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comments6.xml" ContentType="application/vnd.openxmlformats-officedocument.spreadsheetml.comment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10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mages - BigQuery (Do Not Touc" sheetId="1" state="visible" r:id="rId2"/>
    <sheet name="Shrinkage - Sheets (Do Not Touc" sheetId="2" state="visible" r:id="rId3"/>
    <sheet name="Raw Data" sheetId="3" state="hidden" r:id="rId4"/>
    <sheet name="Damages " sheetId="4" state="visible" r:id="rId5"/>
    <sheet name="Damages Report" sheetId="5" state="visible" r:id="rId6"/>
    <sheet name="Damage tracking sheet" sheetId="6" state="visible" r:id="rId7"/>
    <sheet name="Expiry" sheetId="7" state="visible" r:id="rId8"/>
    <sheet name="Expiry tracking sheet" sheetId="8" state="visible" r:id="rId9"/>
    <sheet name="Expiry report" sheetId="9" state="visible" r:id="rId10"/>
    <sheet name="Graph raw" sheetId="10" state="hidden" r:id="rId11"/>
    <sheet name="Brand manager data " sheetId="11" state="hidden" r:id="rId12"/>
  </sheets>
  <definedNames>
    <definedName function="false" hidden="true" localSheetId="5" name="_xlnm._FilterDatabase" vbProcedure="false">'Damage tracking sheet'!$A$1:$S$1502</definedName>
    <definedName function="false" hidden="false" name="brand" vbProcedure="false">'Damages '!$D$6:$D$1002</definedName>
    <definedName function="false" hidden="false" name="Category" vbProcedure="false">'Damages '!$E$6:$E$1002</definedName>
    <definedName function="false" hidden="false" name="damages_code" vbProcedure="false">'Damages '!$M$6:$M$1002</definedName>
    <definedName function="false" hidden="false" name="Date" vbProcedure="false">'Damages '!$F$6:$F$1002</definedName>
    <definedName function="false" hidden="false" name="Date_time" vbProcedure="false">'Damages '!$R$6:$R$1002</definedName>
    <definedName function="false" hidden="false" name="EXP_BRAND" vbProcedure="false">Expiry!$D$3:$D$1000</definedName>
    <definedName function="false" hidden="false" name="exp_category" vbProcedure="false">Expiry!$E$3:$E$1000</definedName>
    <definedName function="false" hidden="false" name="exp_code" vbProcedure="false">Expiry!$M$3:$M$1000</definedName>
    <definedName function="false" hidden="false" name="exp_d_t" vbProcedure="false">Expiry!$R$3:$R$1000</definedName>
    <definedName function="false" hidden="false" name="exp_EXPdate" vbProcedure="false">Expiry!$N$3:$N$1000</definedName>
    <definedName function="false" hidden="false" name="exp_notes" vbProcedure="false">Expiry!$Q$3:$Q$1000</definedName>
    <definedName function="false" hidden="false" name="exp_pendays" vbProcedure="false">Expiry!$T$3:$T$1000</definedName>
    <definedName function="false" hidden="false" name="exp_pp" vbProcedure="false">Expiry!$J$3:$J$1000</definedName>
    <definedName function="false" hidden="false" name="exp_qty" vbProcedure="false">Expiry!$I$3:$I$1000</definedName>
    <definedName function="false" hidden="false" name="EXP_RDATE" vbProcedure="false">Expiry!$F$3:$F$1000</definedName>
    <definedName function="false" hidden="false" name="exp_rname" vbProcedure="false">Expiry!$P$3:$P$1000</definedName>
    <definedName function="false" hidden="false" name="exp_sku" vbProcedure="false">Expiry!$C$3:$C$1000</definedName>
    <definedName function="false" hidden="false" name="exp_type" vbProcedure="false">Expiry!$S$3:$S$1000</definedName>
    <definedName function="false" hidden="false" name="notes_new" vbProcedure="false">'Damages '!$Q$6:$Q$1002</definedName>
    <definedName function="false" hidden="false" name="PP" vbProcedure="false">'Damages '!$J$6:$J$1002</definedName>
    <definedName function="false" hidden="false" name="quantity" vbProcedure="false">'Damages '!$I$6:$I$1002</definedName>
    <definedName function="false" hidden="false" name="requester_name" vbProcedure="false">'Damages '!$P$6:$P$1002</definedName>
    <definedName function="false" hidden="false" name="sku_name" vbProcedure="false">'Damages '!$C$6:$C$1002</definedName>
    <definedName function="false" hidden="false" name="type" vbProcedure="false">'Damages '!$S$6:$S$1002</definedName>
    <definedName function="false" hidden="false" localSheetId="7" name="Z_06121CB4_FE5D_4E51_BAC6_2A8596C921F1_.wvu.FilterData" vbProcedure="false">'Expiry tracking sheet'!$P$2:$R$1000</definedName>
    <definedName function="false" hidden="false" localSheetId="7" name="Z_08089DAA_62B5_4DE3_BCC2_8685E2B5E5C6_.wvu.FilterData" vbProcedure="false">'Expiry tracking sheet'!$A$2:$AA$1000</definedName>
    <definedName function="false" hidden="false" localSheetId="7" name="Z_0961D8E1_24C7_4787_9908_4C0821BC3562_.wvu.FilterData" vbProcedure="false">'Expiry tracking sheet'!$A$2:$AA$1000</definedName>
    <definedName function="false" hidden="false" localSheetId="7" name="Z_0F5212CA_F66C_4822_AE62_A54F86825EC0_.wvu.FilterData" vbProcedure="false">'Expiry tracking sheet'!$A$2:$AA$1000</definedName>
    <definedName function="false" hidden="false" localSheetId="7" name="Z_15244E8F_D0B1_459A_A3D6_CE292FF759BB_.wvu.FilterData" vbProcedure="false">'Expiry tracking sheet'!$A$2:$AA$1000</definedName>
    <definedName function="false" hidden="false" localSheetId="7" name="Z_1C54AA3A_D7F0_41EB_841A_93E273625B94_.wvu.FilterData" vbProcedure="false">'Expiry tracking sheet'!$A$2:$AA$1000</definedName>
    <definedName function="false" hidden="false" localSheetId="7" name="Z_4A7A37F3_31E3_44F8_9EC6_FEC28520D66D_.wvu.FilterData" vbProcedure="false">'Expiry tracking sheet'!$A$2:$AA$1000</definedName>
    <definedName function="false" hidden="false" localSheetId="7" name="Z_61F55868_6D61_4357_BBB5_BC3C1B749F98_.wvu.FilterData" vbProcedure="false">'Expiry tracking sheet'!$A$2:$AA$1000</definedName>
    <definedName function="false" hidden="false" localSheetId="7" name="Z_644B7854_D789_42EB_B0D4_277596901127_.wvu.FilterData" vbProcedure="false">'Expiry tracking sheet'!$A$2:$AA$1000</definedName>
    <definedName function="false" hidden="false" localSheetId="7" name="Z_798C1D12_1513_4206_925B_C5AE7C7B90D7_.wvu.FilterData" vbProcedure="false">'Expiry tracking sheet'!$A$2:$AA$1000</definedName>
    <definedName function="false" hidden="false" localSheetId="7" name="Z_82375A23_C6DA_4EE3_835D_B17B8D2AE890_.wvu.FilterData" vbProcedure="false">'Expiry tracking sheet'!$A$2:$AA$1000</definedName>
    <definedName function="false" hidden="false" localSheetId="7" name="Z_8521F635_CAAF_47FD_A1D3_8A4B03D80C7A_.wvu.FilterData" vbProcedure="false">'Expiry tracking sheet'!$A$2:$AA$1000</definedName>
    <definedName function="false" hidden="false" localSheetId="7" name="Z_88B677BC_B9ED_4DC2_B20A_C6458B42AA52_.wvu.FilterData" vbProcedure="false">'Expiry tracking sheet'!$A$2:$AA$1000</definedName>
    <definedName function="false" hidden="false" localSheetId="7" name="Z_9077C324_C39F_4003_AD74_358CCD99DEB1_.wvu.FilterData" vbProcedure="false">'Expiry tracking sheet'!$A$2:$AA$1000</definedName>
    <definedName function="false" hidden="false" localSheetId="7" name="Z_A3441DCD_D0A6_44F2_A96C_AA6D2DB9DAEA_.wvu.FilterData" vbProcedure="false">'Expiry tracking sheet'!$A$2:$AA$1000</definedName>
    <definedName function="false" hidden="false" localSheetId="7" name="Z_B1BF69BE_E4A7_4376_8374_9C4E7A8D4741_.wvu.FilterData" vbProcedure="false">'Expiry tracking sheet'!$A$2:$AA$1000</definedName>
    <definedName function="false" hidden="false" localSheetId="7" name="Z_B4E94327_34F6_4033_9977_C7B3932709EE_.wvu.FilterData" vbProcedure="false">'Expiry tracking sheet'!$A$2:$AA$1000</definedName>
    <definedName function="false" hidden="false" localSheetId="7" name="Z_B75317F8_F80F_4A07_98FA_57C67F2A73A8_.wvu.FilterData" vbProcedure="false">'Expiry tracking sheet'!$A$2:$AA$16</definedName>
    <definedName function="false" hidden="false" localSheetId="7" name="Z_CD575453_EF13_4E9E_9B54_A90EC190BC9C_.wvu.FilterData" vbProcedure="false">'Expiry tracking sheet'!$A$2:$AA$1000</definedName>
    <definedName function="false" hidden="false" localSheetId="7" name="Z_D409C025_9570_4F19_9283_24213B165D8D_.wvu.FilterData" vbProcedure="false">'Expiry tracking sheet'!$A$2:$AA$1000</definedName>
    <definedName function="false" hidden="false" localSheetId="7" name="Z_DB0F65D8_CDD4_4744_B7CA_A243377C2C7A_.wvu.FilterData" vbProcedure="false">'Expiry tracking sheet'!$A$2:$AA$1000</definedName>
    <definedName function="false" hidden="false" localSheetId="7" name="Z_F0D4A672_1D8A_485F_BD1A_48F7114F2F41_.wvu.FilterData" vbProcedure="false">'Expiry tracking sheet'!$A$2:$AA$1000</definedName>
    <definedName function="false" hidden="false" localSheetId="7" name="Z_F4884927_5E09_4F3C_BD0E_4C100BCD5364_.wvu.FilterData" vbProcedure="false">'Expiry tracking sheet'!$A$2:$AA$1000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M11" authorId="0">
      <text>
        <r>
          <rPr>
            <sz val="10"/>
            <color rgb="FF000000"/>
            <rFont val="Arial"/>
            <family val="0"/>
            <charset val="1"/>
          </rPr>
          <t xml:space="preserve">Live in audit of 11-Nov-2023
SKU Name: Ariel Original Surf x6 bundle Rs50</t>
        </r>
      </text>
    </comment>
    <comment ref="M24" authorId="0">
      <text>
        <r>
          <rPr>
            <sz val="10"/>
            <color rgb="FF000000"/>
            <rFont val="Arial"/>
            <family val="0"/>
            <charset val="1"/>
          </rPr>
          <t xml:space="preserve">Live in audit of 11-Nov-2023
SKU Name: Ariel Original Surf x6 bundle Rs50</t>
        </r>
      </text>
    </comment>
    <comment ref="M32" authorId="0">
      <text>
        <r>
          <rPr>
            <sz val="10"/>
            <color rgb="FF000000"/>
            <rFont val="Arial"/>
            <family val="0"/>
            <charset val="1"/>
          </rPr>
          <t xml:space="preserve">Live in audit of 11-Nov-2023
SKU Name: Ariel Original Surf x6 bundle Rs50</t>
        </r>
      </text>
    </comment>
    <comment ref="M42" authorId="0">
      <text>
        <r>
          <rPr>
            <sz val="10"/>
            <color rgb="FF000000"/>
            <rFont val="Arial"/>
            <family val="0"/>
            <charset val="1"/>
          </rPr>
          <t xml:space="preserve">Live in audit of 11-Nov-2023
SKU Name: Ariel Original Surf x6 bundle Rs50</t>
        </r>
      </text>
    </comment>
    <comment ref="M46" authorId="0">
      <text>
        <r>
          <rPr>
            <sz val="10"/>
            <color rgb="FF000000"/>
            <rFont val="Arial"/>
            <family val="0"/>
            <charset val="1"/>
          </rPr>
          <t xml:space="preserve">live in audit of 19-Jul-23</t>
        </r>
      </text>
    </comment>
    <comment ref="M50" authorId="0">
      <text>
        <r>
          <rPr>
            <sz val="10"/>
            <color rgb="FF000000"/>
            <rFont val="Arial"/>
            <family val="0"/>
            <charset val="1"/>
          </rPr>
          <t xml:space="preserve">live in audit of 06-Nov-23</t>
        </r>
      </text>
    </comment>
    <comment ref="M54" authorId="0">
      <text>
        <r>
          <rPr>
            <sz val="10"/>
            <color rgb="FF000000"/>
            <rFont val="Arial"/>
            <family val="0"/>
            <charset val="1"/>
          </rPr>
          <t xml:space="preserve">live in audit of 06-Nov-23</t>
        </r>
      </text>
    </comment>
    <comment ref="M74" authorId="0">
      <text>
        <r>
          <rPr>
            <sz val="10"/>
            <color rgb="FF000000"/>
            <rFont val="Arial"/>
            <family val="0"/>
            <charset val="1"/>
          </rPr>
          <t xml:space="preserve">Live in audit of 11-Nov-2023
SKU Name: Ariel Original Surf x6 bundle Rs50</t>
        </r>
      </text>
    </comment>
    <comment ref="M79" authorId="0">
      <text>
        <r>
          <rPr>
            <sz val="10"/>
            <color rgb="FF000000"/>
            <rFont val="Arial"/>
            <family val="0"/>
            <charset val="1"/>
          </rPr>
          <t xml:space="preserve">live in audit of 06-Nov-23</t>
        </r>
      </text>
    </comment>
    <comment ref="M116" authorId="0">
      <text>
        <r>
          <rPr>
            <sz val="10"/>
            <color rgb="FF000000"/>
            <rFont val="Arial"/>
            <family val="0"/>
            <charset val="1"/>
          </rPr>
          <t xml:space="preserve">live in audit of 06-Nov-23</t>
        </r>
      </text>
    </comment>
    <comment ref="M133" authorId="0">
      <text>
        <r>
          <rPr>
            <sz val="10"/>
            <color rgb="FF000000"/>
            <rFont val="Arial"/>
            <family val="0"/>
            <charset val="1"/>
          </rPr>
          <t xml:space="preserve">live on 28-Sep-23 </t>
        </r>
      </text>
    </comment>
    <comment ref="M135" authorId="0">
      <text>
        <r>
          <rPr>
            <sz val="10"/>
            <color rgb="FF000000"/>
            <rFont val="Arial"/>
            <family val="0"/>
            <charset val="1"/>
          </rPr>
          <t xml:space="preserve">live in audit of 06-Nov-23</t>
        </r>
      </text>
    </comment>
    <comment ref="M146" authorId="0">
      <text>
        <r>
          <rPr>
            <sz val="10"/>
            <color rgb="FF000000"/>
            <rFont val="Arial"/>
            <family val="0"/>
            <charset val="1"/>
          </rPr>
          <t xml:space="preserve">live in audit of 06-Nov-23</t>
        </r>
      </text>
    </comment>
    <comment ref="M147" authorId="0">
      <text>
        <r>
          <rPr>
            <sz val="10"/>
            <color rgb="FF000000"/>
            <rFont val="Arial"/>
            <family val="0"/>
            <charset val="1"/>
          </rPr>
          <t xml:space="preserve">live in audit of 19-Jul-23</t>
        </r>
      </text>
    </comment>
    <comment ref="M149" authorId="0">
      <text>
        <r>
          <rPr>
            <sz val="10"/>
            <color rgb="FF000000"/>
            <rFont val="Arial"/>
            <family val="0"/>
            <charset val="1"/>
          </rPr>
          <t xml:space="preserve">Live in audit of 22-Nov-2023
SKU Name: 7up Plastic 1.5L</t>
        </r>
      </text>
    </comment>
    <comment ref="M168" authorId="0">
      <text>
        <r>
          <rPr>
            <sz val="10"/>
            <color rgb="FF000000"/>
            <rFont val="Arial"/>
            <family val="0"/>
            <charset val="1"/>
          </rPr>
          <t xml:space="preserve">6 CTNs received of Kolson Potato Sticks Salt And Pepper 7g Rs10 60pcs</t>
        </r>
      </text>
    </comment>
    <comment ref="M181" authorId="0">
      <text>
        <r>
          <rPr>
            <sz val="10"/>
            <color rgb="FF000000"/>
            <rFont val="Arial"/>
            <family val="0"/>
            <charset val="1"/>
          </rPr>
          <t xml:space="preserve">live in audit of 19-Jul-23</t>
        </r>
      </text>
    </comment>
    <comment ref="M221" authorId="0">
      <text>
        <r>
          <rPr>
            <sz val="10"/>
            <color rgb="FF000000"/>
            <rFont val="Arial"/>
            <family val="0"/>
            <charset val="1"/>
          </rPr>
          <t xml:space="preserve">live in audit of 06-Nov-23</t>
        </r>
      </text>
    </comment>
    <comment ref="M315" authorId="0">
      <text>
        <r>
          <rPr>
            <sz val="10"/>
            <color rgb="FF000000"/>
            <rFont val="Arial"/>
            <family val="0"/>
            <charset val="1"/>
          </rPr>
          <t xml:space="preserve">Express power 1kg Rs450
live in audit of 06-Sep-23</t>
        </r>
      </text>
    </comment>
    <comment ref="M323" authorId="0">
      <text>
        <r>
          <rPr>
            <sz val="10"/>
            <color rgb="FF000000"/>
            <rFont val="Arial"/>
            <family val="0"/>
            <charset val="1"/>
          </rPr>
          <t xml:space="preserve">1 unit of white chana mota 1kg returned against of white chana 500g</t>
        </r>
      </text>
    </comment>
    <comment ref="M383" authorId="0">
      <text>
        <r>
          <rPr>
            <sz val="10"/>
            <color rgb="FF000000"/>
            <rFont val="Arial"/>
            <family val="0"/>
            <charset val="1"/>
          </rPr>
          <t xml:space="preserve">Live in audit of 11-Nov-2023
SKU Name: Ariel Original Surf x6 bundle Rs50</t>
        </r>
      </text>
    </comment>
    <comment ref="M385" authorId="0">
      <text>
        <r>
          <rPr>
            <sz val="10"/>
            <color rgb="FF000000"/>
            <rFont val="Arial"/>
            <family val="0"/>
            <charset val="1"/>
          </rPr>
          <t xml:space="preserve">live in audit of 07-Oct-2023</t>
        </r>
      </text>
    </comment>
    <comment ref="M402" authorId="0">
      <text>
        <r>
          <rPr>
            <sz val="10"/>
            <color rgb="FF000000"/>
            <rFont val="Arial"/>
            <family val="0"/>
            <charset val="1"/>
          </rPr>
          <t xml:space="preserve">Live in audit </t>
        </r>
      </text>
    </comment>
    <comment ref="M412" authorId="0">
      <text>
        <r>
          <rPr>
            <sz val="10"/>
            <color rgb="FF000000"/>
            <rFont val="Arial"/>
            <family val="0"/>
            <charset val="1"/>
          </rPr>
          <t xml:space="preserve">Live in audit</t>
        </r>
      </text>
    </comment>
    <comment ref="M444" authorId="0">
      <text>
        <r>
          <rPr>
            <sz val="10"/>
            <color rgb="FF000000"/>
            <rFont val="Arial"/>
            <family val="0"/>
            <charset val="1"/>
          </rPr>
          <t xml:space="preserve">2 units replaced with Dummer Zamindar Artta 10kg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7" authorId="0">
      <text>
        <r>
          <rPr>
            <sz val="10"/>
            <color rgb="FF000000"/>
            <rFont val="Arial"/>
            <family val="0"/>
            <charset val="1"/>
          </rPr>
          <t xml:space="preserve">5 CTNs received of Kolson Potato Sticks Salt And Pepper 7g Rs10 60pcs</t>
        </r>
      </text>
    </comment>
    <comment ref="P8" authorId="0">
      <text>
        <r>
          <rPr>
            <sz val="10"/>
            <color rgb="FF000000"/>
            <rFont val="Arial"/>
            <family val="0"/>
            <charset val="1"/>
          </rPr>
          <t xml:space="preserve">3 CTNs received of Kolson Potato Sticks Salt And Pepper 7g Rs10 60pcs </t>
        </r>
      </text>
    </comment>
    <comment ref="P35" authorId="0">
      <text>
        <r>
          <rPr>
            <sz val="10"/>
            <color rgb="FF000000"/>
            <rFont val="Arial"/>
            <family val="0"/>
            <charset val="1"/>
          </rPr>
          <t xml:space="preserve">1 CTN received of Kolson Potato Sticks Salt And Pepper 7g Rs10 60pcs </t>
        </r>
      </text>
    </comment>
    <comment ref="P46" authorId="0">
      <text>
        <r>
          <rPr>
            <sz val="10"/>
            <color rgb="FF000000"/>
            <rFont val="Arial"/>
            <family val="0"/>
            <charset val="1"/>
          </rPr>
          <t xml:space="preserve">241 unit handover to vendor on 21-10-23 </t>
        </r>
      </text>
    </comment>
  </commentList>
</comments>
</file>

<file path=xl/sharedStrings.xml><?xml version="1.0" encoding="utf-8"?>
<sst xmlns="http://schemas.openxmlformats.org/spreadsheetml/2006/main" count="16278" uniqueCount="2631">
  <si>
    <t xml:space="preserve">dc_name</t>
  </si>
  <si>
    <t xml:space="preserve">sku_id</t>
  </si>
  <si>
    <t xml:space="preserve">sku_name</t>
  </si>
  <si>
    <t xml:space="preserve">brand</t>
  </si>
  <si>
    <t xml:space="preserve">category</t>
  </si>
  <si>
    <t xml:space="preserve">date_pkt</t>
  </si>
  <si>
    <t xml:space="preserve">created_at</t>
  </si>
  <si>
    <t xml:space="preserve">type</t>
  </si>
  <si>
    <t xml:space="preserve">quantity</t>
  </si>
  <si>
    <t xml:space="preserve">pp</t>
  </si>
  <si>
    <t xml:space="preserve">inventory_value</t>
  </si>
  <si>
    <t xml:space="preserve">notes</t>
  </si>
  <si>
    <t xml:space="preserve">code</t>
  </si>
  <si>
    <t xml:space="preserve">expiry</t>
  </si>
  <si>
    <t xml:space="preserve">requester_email</t>
  </si>
  <si>
    <t xml:space="preserve">requester_name</t>
  </si>
  <si>
    <t xml:space="preserve">Metro DC Faisalabad</t>
  </si>
  <si>
    <t xml:space="preserve">137560e5-2617-406b-ad61-b7a155b2b5c1</t>
  </si>
  <si>
    <t xml:space="preserve">Sherdil Black Chana 5kg</t>
  </si>
  <si>
    <t xml:space="preserve">Sherdil</t>
  </si>
  <si>
    <t xml:space="preserve">Pulses</t>
  </si>
  <si>
    <t xml:space="preserve">missing stock</t>
  </si>
  <si>
    <t xml:space="preserve">TA: The required SKU not available on floor.</t>
  </si>
  <si>
    <t xml:space="preserve">taufeeq.akhtar@tajir-app.com</t>
  </si>
  <si>
    <t xml:space="preserve">Taufeeq Akhtar </t>
  </si>
  <si>
    <t xml:space="preserve">b49f59be-4eb3-441c-845d-cb7ea2398677</t>
  </si>
  <si>
    <t xml:space="preserve">Murree Brewery Bigg Lychee Plastic x12 Crate 500ml (Half Liter)</t>
  </si>
  <si>
    <t xml:space="preserve">Murree Brewery</t>
  </si>
  <si>
    <t xml:space="preserve">Beverages</t>
  </si>
  <si>
    <t xml:space="preserve">expired stock</t>
  </si>
  <si>
    <t xml:space="preserve">MM: 01 Selling unit expire on 20-Feb-2023</t>
  </si>
  <si>
    <t xml:space="preserve">moazam.abrar@tajir-app.com</t>
  </si>
  <si>
    <t xml:space="preserve">Muhammad Moazam Ali</t>
  </si>
  <si>
    <t xml:space="preserve">9dcddc55-b946-4af1-ae7a-33dc07b5aaff</t>
  </si>
  <si>
    <t xml:space="preserve">Juice Time Peach 1L</t>
  </si>
  <si>
    <t xml:space="preserve">Juice Time</t>
  </si>
  <si>
    <t xml:space="preserve">Juice, Syrup, Squash</t>
  </si>
  <si>
    <t xml:space="preserve">damaged stock</t>
  </si>
  <si>
    <t xml:space="preserve">MM: 01 Selling unit found damaged from ctn</t>
  </si>
  <si>
    <t xml:space="preserve">7aa66a56-9483-4d1f-a55d-afced12899de</t>
  </si>
  <si>
    <t xml:space="preserve">Juice Time Mango 1L</t>
  </si>
  <si>
    <t xml:space="preserve">MM: 07 selling unit found damaged from ctn</t>
  </si>
  <si>
    <t xml:space="preserve">MM: 01 units expire on 20-Feb-23</t>
  </si>
  <si>
    <t xml:space="preserve">6196b8ef-2781-44f9-92d7-b048222e3730</t>
  </si>
  <si>
    <t xml:space="preserve">Murree Brewery Cindy Malt Can x24 Crate 330ml</t>
  </si>
  <si>
    <t xml:space="preserve">MM: 15 units expire on 12-Feb-23</t>
  </si>
  <si>
    <t xml:space="preserve">0460f0ac-20cf-43a8-97d6-19138f83c993</t>
  </si>
  <si>
    <t xml:space="preserve">Murree Brewery Blitz Malt Can x24 Crate 250ml</t>
  </si>
  <si>
    <t xml:space="preserve">MM: 47 units expire on 25-Feb-23</t>
  </si>
  <si>
    <t xml:space="preserve">MM: 565 units expire on 20-Feb-23</t>
  </si>
  <si>
    <t xml:space="preserve">de2ec4b6-2866-4186-b48b-f743923a1eda</t>
  </si>
  <si>
    <t xml:space="preserve">Murree Brewery Bigg Apple Diet Plastic x6 Crate 1L</t>
  </si>
  <si>
    <t xml:space="preserve">MM: 26 units expire on 28-Feb-23</t>
  </si>
  <si>
    <t xml:space="preserve">71b08e38-b6ff-40d8-88f6-947262d0ec6c</t>
  </si>
  <si>
    <t xml:space="preserve">Dare Next Plastic 1L</t>
  </si>
  <si>
    <t xml:space="preserve">Dare Next</t>
  </si>
  <si>
    <t xml:space="preserve">MM: 85 units expire on 14-Feb-23</t>
  </si>
  <si>
    <t xml:space="preserve">MM: 01 unit expire on 28-Feb-2023</t>
  </si>
  <si>
    <t xml:space="preserve">cc841ec2-815b-4083-8dea-10ebd3260dde</t>
  </si>
  <si>
    <t xml:space="preserve">Sherdil Daal Masoor Whole 5kg</t>
  </si>
  <si>
    <t xml:space="preserve">AR :2 selling unit found damge</t>
  </si>
  <si>
    <t xml:space="preserve">ali.raza@tajir-app.com</t>
  </si>
  <si>
    <t xml:space="preserve">Ali Raza </t>
  </si>
  <si>
    <t xml:space="preserve">94b66be5-57ed-470c-bca1-0810948fa645</t>
  </si>
  <si>
    <t xml:space="preserve">Bisconni Cocomo Double Chocolate Rs25</t>
  </si>
  <si>
    <t xml:space="preserve">Bisconni</t>
  </si>
  <si>
    <t xml:space="preserve">Confectionary</t>
  </si>
  <si>
    <t xml:space="preserve">TA: NOT FOUND</t>
  </si>
  <si>
    <t xml:space="preserve">40125117-cd27-407a-8221-a385d7fe16bc</t>
  </si>
  <si>
    <t xml:space="preserve">Head and Shoulder Neem Shampoo 185ml Rs400</t>
  </si>
  <si>
    <t xml:space="preserve">Head and Shoulders</t>
  </si>
  <si>
    <t xml:space="preserve">Shampoo</t>
  </si>
  <si>
    <t xml:space="preserve">e0597ab8-48bd-4de3-ba13-14e920c03910</t>
  </si>
  <si>
    <t xml:space="preserve">Giggly Boom Boom Bubble Gum 72pc Box Rs2.5</t>
  </si>
  <si>
    <t xml:space="preserve">Giggly</t>
  </si>
  <si>
    <t xml:space="preserve">08b6a901-ad6a-420f-8ea8-a897c060d8d9</t>
  </si>
  <si>
    <t xml:space="preserve">Bisconni Cocomo Milk Party Pack Rs60</t>
  </si>
  <si>
    <t xml:space="preserve">TA: Not Found</t>
  </si>
  <si>
    <t xml:space="preserve">bb395c3c-56d7-4e32-b2ae-c52852d22a73</t>
  </si>
  <si>
    <t xml:space="preserve">Seasly Water 1.5L</t>
  </si>
  <si>
    <t xml:space="preserve">Seasly Water</t>
  </si>
  <si>
    <t xml:space="preserve">[Code: 466789] AR : 1 selling units found damge  3 bottle empty </t>
  </si>
  <si>
    <t xml:space="preserve">466789</t>
  </si>
  <si>
    <t xml:space="preserve">b8389bfa-ef72-4572-80a0-4967b27c702d</t>
  </si>
  <si>
    <t xml:space="preserve">Mountain Dew plastic 500ml (Other city stock)</t>
  </si>
  <si>
    <t xml:space="preserve">Mountain Dew</t>
  </si>
  <si>
    <t xml:space="preserve">TA: Not available on floor</t>
  </si>
  <si>
    <t xml:space="preserve">c32f9f0f-4d7e-4b6f-a7b3-a66d2ed4951e</t>
  </si>
  <si>
    <t xml:space="preserve">Al-Munawar Makayi ka Atta 5kg</t>
  </si>
  <si>
    <t xml:space="preserve">Al-Munawar</t>
  </si>
  <si>
    <t xml:space="preserve">Flour</t>
  </si>
  <si>
    <t xml:space="preserve">[Code: 22377A] AR: stock removed due to quality issue complaint by customer (Student Mobile &amp; Tuck Shop +923219661100)</t>
  </si>
  <si>
    <t xml:space="preserve">22377A</t>
  </si>
  <si>
    <t xml:space="preserve">a5ea6cde-48a4-4099-bfe4-f4287dc723f1</t>
  </si>
  <si>
    <t xml:space="preserve">Bonus tristar yellow surf 260g Rs50</t>
  </si>
  <si>
    <t xml:space="preserve">Bonus Surf</t>
  </si>
  <si>
    <t xml:space="preserve">Surf, Bleach</t>
  </si>
  <si>
    <t xml:space="preserve">[Code: 25689B] TA: Found damaged from bag.</t>
  </si>
  <si>
    <t xml:space="preserve">25689B</t>
  </si>
  <si>
    <t xml:space="preserve">d864c0cd-914b-4a54-96d5-8e894ba5f3b6</t>
  </si>
  <si>
    <t xml:space="preserve">Surf Excel x6 bundle 17g Rs10</t>
  </si>
  <si>
    <t xml:space="preserve">Surf Excel</t>
  </si>
  <si>
    <t xml:space="preserve">[Code: 339ABB] TA:found damaged from bag during overnight operation.</t>
  </si>
  <si>
    <t xml:space="preserve">339ABB</t>
  </si>
  <si>
    <t xml:space="preserve">07f527c6-69c5-40cd-b2df-65d8fc3b47f7</t>
  </si>
  <si>
    <t xml:space="preserve">Kolson Dhanak Colour Vermicelli x6 Bundle 160g</t>
  </si>
  <si>
    <t xml:space="preserve">Kolson</t>
  </si>
  <si>
    <t xml:space="preserve">Grocery</t>
  </si>
  <si>
    <t xml:space="preserve">[Code: 3799DE] ZA: Found damage packing (company end Issue) </t>
  </si>
  <si>
    <t xml:space="preserve">3799DE</t>
  </si>
  <si>
    <t xml:space="preserve">zeeshan.alimalik@tajir-app.com</t>
  </si>
  <si>
    <t xml:space="preserve">Zeeshan Ali Malik</t>
  </si>
  <si>
    <t xml:space="preserve">[Code: 456678] [Expiry: 16 Mar, 2023] ZA: Stock removed due to short expiry.</t>
  </si>
  <si>
    <t xml:space="preserve">456678</t>
  </si>
  <si>
    <t xml:space="preserve">16 Mar, 2023</t>
  </si>
  <si>
    <t xml:space="preserve">[Code: 345667] TA: Company end issue(Found damaged from bag)</t>
  </si>
  <si>
    <t xml:space="preserve">345667</t>
  </si>
  <si>
    <t xml:space="preserve">[Code: 28CHJJ] TA:company end issue(found damage from bag)</t>
  </si>
  <si>
    <t xml:space="preserve">28CHJJ</t>
  </si>
  <si>
    <t xml:space="preserve">2f953f5f-d3c7-49bb-881d-aa2e19ce060a</t>
  </si>
  <si>
    <t xml:space="preserve">Gibs Crispee Wafers Orange 15pcs Rs10</t>
  </si>
  <si>
    <t xml:space="preserve">Gibs</t>
  </si>
  <si>
    <t xml:space="preserve">Biscuits, Wafers</t>
  </si>
  <si>
    <t xml:space="preserve">[Code: 69HHJK] TA:company end issue(only 4 pieces available in box)</t>
  </si>
  <si>
    <t xml:space="preserve">69HHJK</t>
  </si>
  <si>
    <t xml:space="preserve">355659b5-dc1b-4187-939c-e7c9bcdd532b</t>
  </si>
  <si>
    <t xml:space="preserve">Deer Glider Fountain Ink Pen 10pcs Box</t>
  </si>
  <si>
    <t xml:space="preserve">Deer</t>
  </si>
  <si>
    <t xml:space="preserve">Stationery</t>
  </si>
  <si>
    <t xml:space="preserve">TA:Not Available on floor.</t>
  </si>
  <si>
    <t xml:space="preserve">677536ca-c438-4cd5-bda6-0f9fe40a7515</t>
  </si>
  <si>
    <t xml:space="preserve">Closed 3</t>
  </si>
  <si>
    <t xml:space="preserve">Ariel Surf</t>
  </si>
  <si>
    <t xml:space="preserve">[Code: 267CEE] TA:Company end issue(found damaged from bag)</t>
  </si>
  <si>
    <t xml:space="preserve">267CEE</t>
  </si>
  <si>
    <t xml:space="preserve">[Code: 3789AC] TA:Company end issue(Found damaged from bag)</t>
  </si>
  <si>
    <t xml:space="preserve">3789AC</t>
  </si>
  <si>
    <t xml:space="preserve">711ede13-576f-4d62-a580-4aede9c04794</t>
  </si>
  <si>
    <t xml:space="preserve">Deer Alpha Black Ballpoint 10pcs x5 Bundle (DA001)</t>
  </si>
  <si>
    <t xml:space="preserve">TA:Sku was not available on floor.</t>
  </si>
  <si>
    <t xml:space="preserve">cd68a607-af95-45cb-b9f4-2721224c85f8</t>
  </si>
  <si>
    <t xml:space="preserve">Coca Cola plastic 1.5L</t>
  </si>
  <si>
    <t xml:space="preserve">Coca Cola</t>
  </si>
  <si>
    <t xml:space="preserve">[Code: 2788AH] TA: Damaged during sorting.</t>
  </si>
  <si>
    <t xml:space="preserve">2788AH</t>
  </si>
  <si>
    <t xml:space="preserve">7f59832f-434a-4243-bd33-75b0c68542bd</t>
  </si>
  <si>
    <t xml:space="preserve">Super Crisp Mix Nimko Mexican Chilli Regular Pack Rs30 21g</t>
  </si>
  <si>
    <t xml:space="preserve">Super Crisp</t>
  </si>
  <si>
    <t xml:space="preserve">Snacks</t>
  </si>
  <si>
    <t xml:space="preserve">[Code: 239ABD] [Expiry: 16 Mar, 2023] Short Expiry</t>
  </si>
  <si>
    <t xml:space="preserve">239ABD</t>
  </si>
  <si>
    <t xml:space="preserve">942ae6e8-b062-46ab-bcd3-a17189bf0e3e</t>
  </si>
  <si>
    <t xml:space="preserve">SnackCity Kurleez Mirch Masala Rs30</t>
  </si>
  <si>
    <t xml:space="preserve">SnackCity</t>
  </si>
  <si>
    <t xml:space="preserve">[Code: 24579C] [Expiry: 17 Mar, 2023] SHort Expiry </t>
  </si>
  <si>
    <t xml:space="preserve">24579C</t>
  </si>
  <si>
    <t xml:space="preserve">17 Mar, 2023</t>
  </si>
  <si>
    <t xml:space="preserve">da1ccae4-c025-4efb-92e0-3d417439a7df</t>
  </si>
  <si>
    <t xml:space="preserve">SnackCity Kurleez Ketchup Rs30</t>
  </si>
  <si>
    <t xml:space="preserve">[Code: 223355] [Expiry: 15 Mar, 2023] Short Expiry</t>
  </si>
  <si>
    <t xml:space="preserve">223355</t>
  </si>
  <si>
    <t xml:space="preserve">15 Mar, 2023</t>
  </si>
  <si>
    <t xml:space="preserve">7767101f-5d8f-413e-84ca-972e0e452e15</t>
  </si>
  <si>
    <t xml:space="preserve">SnackCity Kurleez BBQ Rs20</t>
  </si>
  <si>
    <t xml:space="preserve">[Code: 22259A] [Expiry: 11 Mar, 2023] Short Expiry</t>
  </si>
  <si>
    <t xml:space="preserve">22259A</t>
  </si>
  <si>
    <t xml:space="preserve">11 Mar, 2023</t>
  </si>
  <si>
    <t xml:space="preserve">260b76ec-fddf-4758-963e-2029967a1a3f</t>
  </si>
  <si>
    <t xml:space="preserve">Murree Brewery Lychee Malt Glass x24 Crate 300ml (brown liquid)</t>
  </si>
  <si>
    <t xml:space="preserve">[Code: 288CFH] [Expiry: 5 Mar, 2023] Short Expiry</t>
  </si>
  <si>
    <t xml:space="preserve">288CFH</t>
  </si>
  <si>
    <t xml:space="preserve">5 Mar, 2023</t>
  </si>
  <si>
    <t xml:space="preserve">f2c4d9b0-dde9-4de7-ac25-b7d66796cd67</t>
  </si>
  <si>
    <t xml:space="preserve">Jan Guava 1L</t>
  </si>
  <si>
    <t xml:space="preserve">Jan</t>
  </si>
  <si>
    <t xml:space="preserve">[Code: 23348J] [Expiry: 20 Mar, 2023] Short Expiry</t>
  </si>
  <si>
    <t xml:space="preserve">23348J</t>
  </si>
  <si>
    <t xml:space="preserve">20 Mar, 2023</t>
  </si>
  <si>
    <t xml:space="preserve">499ac4af-b138-4562-8ea3-f409a3495a06</t>
  </si>
  <si>
    <t xml:space="preserve">Gibs Kababish khasta Paaray Rs5</t>
  </si>
  <si>
    <t xml:space="preserve">TA:company end issue(Brand exchane recieved from box)</t>
  </si>
  <si>
    <t xml:space="preserve">596a4a6b-0ee1-4779-99e1-70f9bc3da938</t>
  </si>
  <si>
    <t xml:space="preserve">Bonus tristar yellow surf 470g Rs99</t>
  </si>
  <si>
    <t xml:space="preserve">[Code: 5BBCDG] TA:Found damaged(company end issue)</t>
  </si>
  <si>
    <t xml:space="preserve">5BBCDG</t>
  </si>
  <si>
    <t xml:space="preserve">b80ea921-bf1e-42eb-a897-3580365aa85c</t>
  </si>
  <si>
    <t xml:space="preserve">Tops Tangy Apple Juice x24 Crate 200ml</t>
  </si>
  <si>
    <t xml:space="preserve">Tops Food and Beverages</t>
  </si>
  <si>
    <t xml:space="preserve">[Code: 235679] [Expiry: 8 Mar, 2023] Short Expiry </t>
  </si>
  <si>
    <t xml:space="preserve">235679</t>
  </si>
  <si>
    <t xml:space="preserve">8 Mar, 2023</t>
  </si>
  <si>
    <t xml:space="preserve">[Code: 235699] [Expiry: 21 Mar, 2023] Short Expiry</t>
  </si>
  <si>
    <t xml:space="preserve">235699</t>
  </si>
  <si>
    <t xml:space="preserve">21 Mar, 2023</t>
  </si>
  <si>
    <t xml:space="preserve">[Code: 3567BD] TA: found emty plastic(company end issue)</t>
  </si>
  <si>
    <t xml:space="preserve">3567BD</t>
  </si>
  <si>
    <t xml:space="preserve">[Code: 2468CC] TA:Found Damaged (company end issue)</t>
  </si>
  <si>
    <t xml:space="preserve">2468CC</t>
  </si>
  <si>
    <t xml:space="preserve">[Code: 44568A] TA:Damaged during sorting</t>
  </si>
  <si>
    <t xml:space="preserve">44568A</t>
  </si>
  <si>
    <t xml:space="preserve">4868927a-2538-48aa-a68f-a58afcdcf44d</t>
  </si>
  <si>
    <t xml:space="preserve">LU Zeera Plus Biscuits Snack Pack Rs40</t>
  </si>
  <si>
    <t xml:space="preserve">LU</t>
  </si>
  <si>
    <t xml:space="preserve">[Code: 248FHJ] TA: found damaged during display in the rack(A3) . 1 packet is missing from the box. Date:22/2/2023</t>
  </si>
  <si>
    <t xml:space="preserve">248FHJ</t>
  </si>
  <si>
    <t xml:space="preserve">bb845504-19f0-4af9-9884-b7ca9dc80572</t>
  </si>
  <si>
    <t xml:space="preserve">Harpic Toilet Cleaner Original 750ml Rs625</t>
  </si>
  <si>
    <t xml:space="preserve">Harpic</t>
  </si>
  <si>
    <t xml:space="preserve">Home Care</t>
  </si>
  <si>
    <t xml:space="preserve">TA:Not found on floor(3 units were lived in audit on 31st jan 2023)</t>
  </si>
  <si>
    <t xml:space="preserve">0d2f17bc-36e0-41fe-b498-89a7a8a34416</t>
  </si>
  <si>
    <t xml:space="preserve">Brite Surf x12 bundle 23g Rs 10</t>
  </si>
  <si>
    <t xml:space="preserve">Brite Surf</t>
  </si>
  <si>
    <t xml:space="preserve">[Code: 567ACD] TA:Damaged during sorting by sorter.NON Food Area say milay.</t>
  </si>
  <si>
    <t xml:space="preserve">567ACD</t>
  </si>
  <si>
    <t xml:space="preserve">a790a37f-fc1f-4e5c-ab11-b92c75978f33</t>
  </si>
  <si>
    <t xml:space="preserve">Super Crisp Masala Party Pack Rs50 45g</t>
  </si>
  <si>
    <t xml:space="preserve">Brand exchange with Super Crisp Salted Party Pack 45g Rs60</t>
  </si>
  <si>
    <t xml:space="preserve">5729dfa4-cfe1-40d5-949b-b76cae2d4a6a</t>
  </si>
  <si>
    <t xml:space="preserve">Super Crisp Salted Party Pack 45g Rs60</t>
  </si>
  <si>
    <t xml:space="preserve">[Code: 22567F] [Expiry: 3 Mar, 2023] Short Expiry</t>
  </si>
  <si>
    <t xml:space="preserve">22567F</t>
  </si>
  <si>
    <t xml:space="preserve">3 Mar, 2023</t>
  </si>
  <si>
    <t xml:space="preserve">f87ff78a-1bae-4831-98d3-4830bfb86513</t>
  </si>
  <si>
    <t xml:space="preserve">Kolson Snackers French Cheese x24 Carton Rs20 12g</t>
  </si>
  <si>
    <t xml:space="preserve">[Code: 89AAAA] [Expiry: 4 Mar, 2023] Short Expiry </t>
  </si>
  <si>
    <t xml:space="preserve">89AAAA</t>
  </si>
  <si>
    <t xml:space="preserve">4 Mar, 2023</t>
  </si>
  <si>
    <t xml:space="preserve">176983fa-732d-441c-8dad-ce901c437dc3</t>
  </si>
  <si>
    <t xml:space="preserve">Shangrila Imli Ginger Sauce x3 Bundle 400g Rs190</t>
  </si>
  <si>
    <t xml:space="preserve">Shangrila</t>
  </si>
  <si>
    <t xml:space="preserve">Sauces</t>
  </si>
  <si>
    <t xml:space="preserve">[Code: 6899BC] TA: Found damaged from row B1.(sorting k doran rack say damaged mila display may laga tha)</t>
  </si>
  <si>
    <t xml:space="preserve">6899BC</t>
  </si>
  <si>
    <t xml:space="preserve">7895eaf1-f271-4f8b-8491-c25a4a901b63</t>
  </si>
  <si>
    <t xml:space="preserve">Super Crisp BBQ Popular Pack Rs20 14g</t>
  </si>
  <si>
    <t xml:space="preserve">[Code: 8CDEGJ] [Expiry: 16 Mar, 2023] Short Expiry </t>
  </si>
  <si>
    <t xml:space="preserve">8CDEGJ</t>
  </si>
  <si>
    <t xml:space="preserve">d35314e0-f3f4-47fe-90aa-af65dab10e9d</t>
  </si>
  <si>
    <t xml:space="preserve">Bonus tristar detergent x6 bundle 48g Rs10</t>
  </si>
  <si>
    <t xml:space="preserve">[Code: 227899] TA: Damaged during display by patrolling officer|:</t>
  </si>
  <si>
    <t xml:space="preserve">227899</t>
  </si>
  <si>
    <t xml:space="preserve">75edc3b0-f1d5-4e06-b8f6-848eeb320e52</t>
  </si>
  <si>
    <t xml:space="preserve">Surf Excel x6 bundle 115g Rs50</t>
  </si>
  <si>
    <t xml:space="preserve">[Code: 889ACE] 01 pc found damage in packed bag during sorting</t>
  </si>
  <si>
    <t xml:space="preserve">889ACE</t>
  </si>
  <si>
    <t xml:space="preserve">[Code: 233668] 01 selling unit found damage in packed bag during sorting</t>
  </si>
  <si>
    <t xml:space="preserve">233668</t>
  </si>
  <si>
    <t xml:space="preserve">2597743e-4d52-4816-b29b-53d4227dec5f</t>
  </si>
  <si>
    <t xml:space="preserve">Murree Brewery Apple Malt Glass x24 Crate 300ml</t>
  </si>
  <si>
    <t xml:space="preserve">[Code: 4567AA] [Expiry: 26 Mar, 2023] Short Expiry</t>
  </si>
  <si>
    <t xml:space="preserve">4567AA</t>
  </si>
  <si>
    <t xml:space="preserve">26 Mar, 2023</t>
  </si>
  <si>
    <t xml:space="preserve">9350d930-ed80-48de-9795-74af93723368</t>
  </si>
  <si>
    <t xml:space="preserve">Sunsilk Stunning Black Shine Shampoo 185ml Rs330</t>
  </si>
  <si>
    <t xml:space="preserve">Sunsilk</t>
  </si>
  <si>
    <t xml:space="preserve">[Code: 234EJK] Damage by sorter during sorting</t>
  </si>
  <si>
    <t xml:space="preserve">234EJK</t>
  </si>
  <si>
    <t xml:space="preserve">b3727af3-5194-4b68-9804-0a02d53a5902</t>
  </si>
  <si>
    <t xml:space="preserve">Juice Time Guava x24 200ml</t>
  </si>
  <si>
    <t xml:space="preserve">[Code: 26679A] TA: quality kaafi kharab hay(nami k wajah say ulli par gayi hay)</t>
  </si>
  <si>
    <t xml:space="preserve">26679A</t>
  </si>
  <si>
    <t xml:space="preserve">1e2dbc4d-414f-41dc-b7dd-26d7d4ff979f</t>
  </si>
  <si>
    <t xml:space="preserve">Seasly Water 500ml</t>
  </si>
  <si>
    <t xml:space="preserve">[Code: 3489AA] TA: Damaged :(chakka girnay ki wajah say damage hogaye)</t>
  </si>
  <si>
    <t xml:space="preserve">3489AA</t>
  </si>
  <si>
    <t xml:space="preserve">12646735-2228-4137-ba21-ca9d802b51c3</t>
  </si>
  <si>
    <t xml:space="preserve">Lipton yellow label tea 85g Rs200</t>
  </si>
  <si>
    <t xml:space="preserve">Lipton</t>
  </si>
  <si>
    <t xml:space="preserve">Tea, Coffee</t>
  </si>
  <si>
    <t xml:space="preserve">[Code: 57ABBE] TA: Company end issue: box bilkul khali hay andr say.</t>
  </si>
  <si>
    <t xml:space="preserve">57ABBE</t>
  </si>
  <si>
    <t xml:space="preserve">[Code: 268BCD] TA:chakka girnay ki wajah say damage hogaye. </t>
  </si>
  <si>
    <t xml:space="preserve">268BCD</t>
  </si>
  <si>
    <t xml:space="preserve">[Code: 245568] 1 selling unit damgechakka girnay ki wajah say damage hogaye.</t>
  </si>
  <si>
    <t xml:space="preserve">245568</t>
  </si>
  <si>
    <t xml:space="preserve">041381e9-f87a-4632-a2aa-f4c5284c079a</t>
  </si>
  <si>
    <t xml:space="preserve">Bonus tristar yellow surf 1kg Rs195</t>
  </si>
  <si>
    <t xml:space="preserve">[Code: 2249CC] TA:Company end issue.(bag say damage nikla hay )</t>
  </si>
  <si>
    <t xml:space="preserve">2249CC</t>
  </si>
  <si>
    <t xml:space="preserve">[Code: 24666D] TA: Bag say damage nikla company end issue.</t>
  </si>
  <si>
    <t xml:space="preserve">24666D</t>
  </si>
  <si>
    <t xml:space="preserve">[Code: BBMMNN] TA: Bag say damage nikla tha display krtay waqt.</t>
  </si>
  <si>
    <t xml:space="preserve">BBMMNN</t>
  </si>
  <si>
    <t xml:space="preserve">[Code: 34999F] TA: Bag say damage nikla tha display krtay waqt</t>
  </si>
  <si>
    <t xml:space="preserve">34999F</t>
  </si>
  <si>
    <t xml:space="preserve">978a88b5-e0d1-4d9d-b7a1-90921ab8d4f0</t>
  </si>
  <si>
    <t xml:space="preserve">Sherdil Daal Mash Wash 5kg</t>
  </si>
  <si>
    <t xml:space="preserve">[Code: 55999B] Quality Issue</t>
  </si>
  <si>
    <t xml:space="preserve">55999B</t>
  </si>
  <si>
    <t xml:space="preserve">d673742c-5290-4691-88c8-ed8b00341db9</t>
  </si>
  <si>
    <t xml:space="preserve">Shangrila Tomato Ketchup x6 Bundle 80g Rs40</t>
  </si>
  <si>
    <t xml:space="preserve">[Code: 57BDEF] TA:display krtay waqt box may say damage nikla.</t>
  </si>
  <si>
    <t xml:space="preserve">57BDEF</t>
  </si>
  <si>
    <t xml:space="preserve">cd2007fb-3e0b-4260-9f93-e56ace372150</t>
  </si>
  <si>
    <t xml:space="preserve">Brite Surf 500g Rs260</t>
  </si>
  <si>
    <t xml:space="preserve">[Code: 223378] TA: box may say damage nikla display lagatay waqt</t>
  </si>
  <si>
    <t xml:space="preserve">223378</t>
  </si>
  <si>
    <t xml:space="preserve">de4cce85-245a-4396-906f-6d53fd57b7e2</t>
  </si>
  <si>
    <t xml:space="preserve">Supreme Tea Pouch 900g Rs1550</t>
  </si>
  <si>
    <t xml:space="preserve">Brookebond Supreme</t>
  </si>
  <si>
    <t xml:space="preserve">TA; The Sku not Available on the floor.</t>
  </si>
  <si>
    <t xml:space="preserve">357b5b8b-a5b4-4c2a-8610-be5bdb3ef70d</t>
  </si>
  <si>
    <t xml:space="preserve">Tapal Danedar Tea 430g Rs780</t>
  </si>
  <si>
    <t xml:space="preserve">Tapal</t>
  </si>
  <si>
    <t xml:space="preserve">TA:Not avvailable on floor.</t>
  </si>
  <si>
    <t xml:space="preserve">9d01e7dd-caa1-425f-b532-766075078ff7</t>
  </si>
  <si>
    <t xml:space="preserve">Sunlight Pink Clean and Jasmine Fresh x6 Bundle 35g</t>
  </si>
  <si>
    <t xml:space="preserve">Sunlight</t>
  </si>
  <si>
    <t xml:space="preserve">[Code: 3ACCHK] TA: bag may say damage nikla.company end issue.</t>
  </si>
  <si>
    <t xml:space="preserve">3ACCHK</t>
  </si>
  <si>
    <t xml:space="preserve">[Code: 689ADG] TA:boray may say damage nikla.</t>
  </si>
  <si>
    <t xml:space="preserve">689ADG</t>
  </si>
  <si>
    <t xml:space="preserve">[Code: 3567CD] TA:aik unit display lagaty waqt damage hogia. aik unit bag may say damage nikla.</t>
  </si>
  <si>
    <t xml:space="preserve">3567CD</t>
  </si>
  <si>
    <t xml:space="preserve">186ae300-06b4-48fc-9604-02d2c07f5d21</t>
  </si>
  <si>
    <t xml:space="preserve">Ariel Original Surf x12 bundle 20g Rs 10</t>
  </si>
  <si>
    <t xml:space="preserve">[Code: 5889DH] TA:bag may say damage nikila display lagaty waqt.</t>
  </si>
  <si>
    <t xml:space="preserve">5889DH</t>
  </si>
  <si>
    <t xml:space="preserve">[Code: 778AAA] TA:box may say damage nikla display lagaty waqt.</t>
  </si>
  <si>
    <t xml:space="preserve">778AAA</t>
  </si>
  <si>
    <t xml:space="preserve">[Code: 34BCCF] TA:Two units found damaged from bag during display.</t>
  </si>
  <si>
    <t xml:space="preserve">34BCCF</t>
  </si>
  <si>
    <t xml:space="preserve">d97fb0bb-676a-494c-8110-12dd03c0c397</t>
  </si>
  <si>
    <t xml:space="preserve">Sherdil Dal Mash Wash 500g</t>
  </si>
  <si>
    <t xml:space="preserve">[Code: 2359AA] ZA: Remove due to fungus (Same Batch as fresh stock) </t>
  </si>
  <si>
    <t xml:space="preserve">2359AA</t>
  </si>
  <si>
    <t xml:space="preserve">[Code: 47AAHK] TA:bag may say damage nikla display krtay waqt;</t>
  </si>
  <si>
    <t xml:space="preserve">47AAHK</t>
  </si>
  <si>
    <t xml:space="preserve">[Code: 57BBDD] TA:Box may say damage nikla display krtay waqt;</t>
  </si>
  <si>
    <t xml:space="preserve">57BBDD</t>
  </si>
  <si>
    <t xml:space="preserve">523bbc04-e7e5-439b-ba66-47801764f013</t>
  </si>
  <si>
    <t xml:space="preserve">Sherdil Badam 100g</t>
  </si>
  <si>
    <t xml:space="preserve">Spices</t>
  </si>
  <si>
    <t xml:space="preserve">TA; not Available on the Floor</t>
  </si>
  <si>
    <t xml:space="preserve">e2b7c4a7-2047-4074-a21c-0b3245d5a55a</t>
  </si>
  <si>
    <t xml:space="preserve">Lemon Max Liquid Regular Pouch 450ml (Green) Rs185</t>
  </si>
  <si>
    <t xml:space="preserve">Lemon Max</t>
  </si>
  <si>
    <t xml:space="preserve">[Code: 2359CF] TA;BOX may say damage nikla he </t>
  </si>
  <si>
    <t xml:space="preserve">2359CF</t>
  </si>
  <si>
    <t xml:space="preserve">[Code: 2234BE] TA:bag may say damage nikla display krtay waqt seal sy open he</t>
  </si>
  <si>
    <t xml:space="preserve">2234BE</t>
  </si>
  <si>
    <t xml:space="preserve">38f91ed7-8c25-4061-b1cb-85ac528c02dc</t>
  </si>
  <si>
    <t xml:space="preserve">Shangrila Tomato Ketchup x6 Bundle 70g</t>
  </si>
  <si>
    <t xml:space="preserve">[Code: 3347AC] TA:display lagaty waqt carton say damage nikla.</t>
  </si>
  <si>
    <t xml:space="preserve">3347AC</t>
  </si>
  <si>
    <t xml:space="preserve">[Code: 236789] TA:bag say damage nikla display k doran.</t>
  </si>
  <si>
    <t xml:space="preserve">236789</t>
  </si>
  <si>
    <t xml:space="preserve">[Code: 23378A] TA:bag may say damage nikla display k doran.</t>
  </si>
  <si>
    <t xml:space="preserve">23378A</t>
  </si>
  <si>
    <t xml:space="preserve">[Code: 33579C] TA:Sorting k doran damage hogia sorter say.</t>
  </si>
  <si>
    <t xml:space="preserve">33579C</t>
  </si>
  <si>
    <t xml:space="preserve">[Code: 588CCD] TA:bag may say damage nikla display krtay waqt.</t>
  </si>
  <si>
    <t xml:space="preserve">588CCD</t>
  </si>
  <si>
    <t xml:space="preserve">c7372592-c402-4c85-b228-945a854bb01b</t>
  </si>
  <si>
    <t xml:space="preserve">Murree Brewery Big Apple Can x24 Crate 250ml</t>
  </si>
  <si>
    <t xml:space="preserve">[Code: 355668] [Expiry: 1 Apr, 2023] ZA: Short expiry stock</t>
  </si>
  <si>
    <t xml:space="preserve">355668</t>
  </si>
  <si>
    <t xml:space="preserve">1 Apr, 2023</t>
  </si>
  <si>
    <t xml:space="preserve">[Code: 4467AA] TA;Bag sy damge nikla he seal sy open he.</t>
  </si>
  <si>
    <t xml:space="preserve">4467AA</t>
  </si>
  <si>
    <t xml:space="preserve">[Code: 25689B] TA:found damaged in the rake during sorting.</t>
  </si>
  <si>
    <t xml:space="preserve">4c447aed-9a95-4032-b894-8b48ec3876ce</t>
  </si>
  <si>
    <t xml:space="preserve">Shangrila Tomato Ketchup x3 Bundle 400g Rs175</t>
  </si>
  <si>
    <t xml:space="preserve">[Code: 23579A] TA: display krtay waqt carton may say damaged nikla.</t>
  </si>
  <si>
    <t xml:space="preserve">23579A</t>
  </si>
  <si>
    <t xml:space="preserve">67c33ff3-e486-487d-844a-b17c396936ee</t>
  </si>
  <si>
    <t xml:space="preserve">Coca Cola plastic 1L</t>
  </si>
  <si>
    <t xml:space="preserve">[Code: 368GHL] TA:Low fill and found damaged in the display (company end issue)</t>
  </si>
  <si>
    <t xml:space="preserve">368GHL</t>
  </si>
  <si>
    <t xml:space="preserve">[Code: 47ABCD] TA:low fill and bottle seal is also loosed (company end issue)</t>
  </si>
  <si>
    <t xml:space="preserve">47ABCD</t>
  </si>
  <si>
    <t xml:space="preserve">89a7eba5-d5a6-48cb-8b55-2b0790561ea2</t>
  </si>
  <si>
    <t xml:space="preserve">Super Crisp Salted Popular Pack Rs20 14g</t>
  </si>
  <si>
    <t xml:space="preserve">[Code: 34568C] [Expiry: 9 Apr, 2023] Short Expiry</t>
  </si>
  <si>
    <t xml:space="preserve">34568C</t>
  </si>
  <si>
    <t xml:space="preserve">9 Apr, 2023</t>
  </si>
  <si>
    <t xml:space="preserve">886117d5-99b1-4ea5-b746-725766108721</t>
  </si>
  <si>
    <t xml:space="preserve">Murree Brewery Pineapple Malt Glass x24 Crate 300ml</t>
  </si>
  <si>
    <t xml:space="preserve">[Code: 222245] [Expiry: 4 Oct, 2023] TA:short expired stock(4 oct, ki stock pari hay 33 units)</t>
  </si>
  <si>
    <t xml:space="preserve">222245</t>
  </si>
  <si>
    <t xml:space="preserve">4 Oct, 2023</t>
  </si>
  <si>
    <t xml:space="preserve">[Code: 567789] [Expiry: 4 Sep, 2023] TA:short expired stock (expiry date 4 april 2023)</t>
  </si>
  <si>
    <t xml:space="preserve">567789</t>
  </si>
  <si>
    <t xml:space="preserve">4 Sep, 2023</t>
  </si>
  <si>
    <t xml:space="preserve">9c395894-35c2-4217-9eff-b0a22e04c2d1</t>
  </si>
  <si>
    <t xml:space="preserve">Coca Cola plastic 2.25L (Jumbo)</t>
  </si>
  <si>
    <t xml:space="preserve">[Code: 23347A] TA:company end issue :(low fill and loose botal milay hay pet k ander say).</t>
  </si>
  <si>
    <t xml:space="preserve">23347A</t>
  </si>
  <si>
    <t xml:space="preserve">3951e68d-8cd5-48c2-ba36-322050c21998</t>
  </si>
  <si>
    <t xml:space="preserve">Sherdil Dal Mash Wash 1kg</t>
  </si>
  <si>
    <t xml:space="preserve">[Code: 24668A] TA:qaulity sahi nahi daal ki ulli (haryali ) lagi hay or smell bhi arhi hay daal may say.</t>
  </si>
  <si>
    <t xml:space="preserve">24668A</t>
  </si>
  <si>
    <t xml:space="preserve">[Code: 56699C] TA:qaulity sahi nahi daal ki ulli (haryali ) lagi hay or smell bhi arhi hay daal may say.</t>
  </si>
  <si>
    <t xml:space="preserve">56699C</t>
  </si>
  <si>
    <t xml:space="preserve">[Code: 444899] TA:Sorting k doran sorter say damage hogia keel lagnay k wajah say.</t>
  </si>
  <si>
    <t xml:space="preserve">444899</t>
  </si>
  <si>
    <t xml:space="preserve">[Code: 389CEJ] TA:company end issue(pallets k under say khali botel milay hay sorting k doran)</t>
  </si>
  <si>
    <t xml:space="preserve">389CEJ</t>
  </si>
  <si>
    <t xml:space="preserve">36f65055-820f-48bd-917c-ec2013ee64ec</t>
  </si>
  <si>
    <t xml:space="preserve">Shangrila Chilli Garlic Sauce x3 Bundle 800g</t>
  </si>
  <si>
    <t xml:space="preserve">TA:Not found in floor.</t>
  </si>
  <si>
    <t xml:space="preserve">e1d071e3-d27f-47ca-bd86-13408e8d89dd</t>
  </si>
  <si>
    <t xml:space="preserve">Shangrila Tomato Ketchup x3 Bundle 800g</t>
  </si>
  <si>
    <t xml:space="preserve">TA:Not found in floor</t>
  </si>
  <si>
    <t xml:space="preserve">[Code: ACDFJL] [Expiry: 4 Sep, 2023] TA:short expired stock of 9 april 2023.</t>
  </si>
  <si>
    <t xml:space="preserve">ACDFJL</t>
  </si>
  <si>
    <t xml:space="preserve">[Code: 348EGG] TA:company end issue(pallets k under say khali botel  Or kush botel lose Mili hain Sorting ky doran  )</t>
  </si>
  <si>
    <t xml:space="preserve">348EGG</t>
  </si>
  <si>
    <t xml:space="preserve">ae3c4d47-c25a-4d8a-91fe-7e939d3514ad</t>
  </si>
  <si>
    <t xml:space="preserve">Sunsilk Stunning Black Shine Shampoo x16 bundle 4.5ml</t>
  </si>
  <si>
    <t xml:space="preserve">[Code: 358BCF] TA:box may say damage nikla.</t>
  </si>
  <si>
    <t xml:space="preserve">358BCF</t>
  </si>
  <si>
    <t xml:space="preserve">[Code: 6AJLNP] TA: company end issue(chakkay may botel khali or loose milay hay.)</t>
  </si>
  <si>
    <t xml:space="preserve">6AJLNP</t>
  </si>
  <si>
    <t xml:space="preserve">8ba63ec6-3b42-4cf0-86f4-4da7f87c70d1</t>
  </si>
  <si>
    <t xml:space="preserve">Head and Shoulders Silky Black Shampoo x12 bundle 4.5ml</t>
  </si>
  <si>
    <t xml:space="preserve">[Code: 2368AA] TA:sorting k doran sorter say damage hua....</t>
  </si>
  <si>
    <t xml:space="preserve">2368AA</t>
  </si>
  <si>
    <t xml:space="preserve">1559f027-e075-4556-92c2-6f895b5668a0</t>
  </si>
  <si>
    <t xml:space="preserve">Pantene Smooth And Strong Shampoo x12 Bundle 4.5ml</t>
  </si>
  <si>
    <t xml:space="preserve">Pantene</t>
  </si>
  <si>
    <t xml:space="preserve">[Code: 7899AB] TA:bos may say damage nikla.</t>
  </si>
  <si>
    <t xml:space="preserve">7899AB</t>
  </si>
  <si>
    <t xml:space="preserve">a3fd9ae4-01a1-4cf0-82bb-221e4c8cf42d</t>
  </si>
  <si>
    <t xml:space="preserve">Lifebuoy Herbal Strong 9ml 16pcs Rs.10</t>
  </si>
  <si>
    <t xml:space="preserve">Lifebuoy</t>
  </si>
  <si>
    <t xml:space="preserve">[Code: 23358B] TA:bos may say damage nikla hay display krtay waqt mila .</t>
  </si>
  <si>
    <t xml:space="preserve">23358B</t>
  </si>
  <si>
    <t xml:space="preserve">01c9858d-02a4-4b16-92ae-43f11529215c</t>
  </si>
  <si>
    <t xml:space="preserve">Al-Munawar Zahedi Dates 1kg</t>
  </si>
  <si>
    <t xml:space="preserve">Khajoor &amp; Pakoriyan</t>
  </si>
  <si>
    <t xml:space="preserve">TA:Not available on the floor.</t>
  </si>
  <si>
    <t xml:space="preserve">[Code: 9ABBDE] TA:low quality of water and some botels are loose as weil(fungus bhi laga hay under).</t>
  </si>
  <si>
    <t xml:space="preserve">9ABBDE</t>
  </si>
  <si>
    <t xml:space="preserve">24eda97a-547d-4730-a019-073bc438fe6c</t>
  </si>
  <si>
    <t xml:space="preserve">Al-Munawar Special Muzafati Dates Box</t>
  </si>
  <si>
    <t xml:space="preserve">[Code: 389DDE] 02 selling units found damage.(Quality Issue)</t>
  </si>
  <si>
    <t xml:space="preserve">389DDE</t>
  </si>
  <si>
    <t xml:space="preserve">[Code: 68AAAF] TA: thailay may say damage nikla </t>
  </si>
  <si>
    <t xml:space="preserve">68AAAF</t>
  </si>
  <si>
    <t xml:space="preserve">[Code: 667BDD] TA:thailay may say damage niklay hay </t>
  </si>
  <si>
    <t xml:space="preserve">667BDD</t>
  </si>
  <si>
    <t xml:space="preserve">[Code: 669ABC] [Expiry: 28 Apr, 2023] TA:short expired stock of 28 april.</t>
  </si>
  <si>
    <t xml:space="preserve">669ABC</t>
  </si>
  <si>
    <t xml:space="preserve">28 Apr, 2023</t>
  </si>
  <si>
    <t xml:space="preserve">[Code: 2349CE] [Expiry: 10 Apr, 2023] TA:short expired stock of 10 april.</t>
  </si>
  <si>
    <t xml:space="preserve">2349CE</t>
  </si>
  <si>
    <t xml:space="preserve">10 Apr, 2023</t>
  </si>
  <si>
    <t xml:space="preserve">[Code: 2344DD] [Expiry: 20 Apr, 2023] Near to expired stok .</t>
  </si>
  <si>
    <t xml:space="preserve">2344DD</t>
  </si>
  <si>
    <t xml:space="preserve">20 Apr, 2023</t>
  </si>
  <si>
    <t xml:space="preserve">81bc04a4-9adf-4338-87ab-25bd23ae0744</t>
  </si>
  <si>
    <t xml:space="preserve">Murree Brewery Lemon Malt Glass x24 Crate 300ml</t>
  </si>
  <si>
    <t xml:space="preserve">[Code: 35ABCD] [Expiry: 19 Apr, 2023] expired stock of 19 april 2023</t>
  </si>
  <si>
    <t xml:space="preserve">35ABCD</t>
  </si>
  <si>
    <t xml:space="preserve">19 Apr, 2023</t>
  </si>
  <si>
    <t xml:space="preserve">[Code: 5678HH] [Expiry: 18 Apr, 2023] TA:short expired stock of 18 april 2023</t>
  </si>
  <si>
    <t xml:space="preserve">5678HH</t>
  </si>
  <si>
    <t xml:space="preserve">18 Apr, 2023</t>
  </si>
  <si>
    <t xml:space="preserve">92414078-99ec-4ada-9055-d3307ef0c86a</t>
  </si>
  <si>
    <t xml:space="preserve">Bisconni Flo Chocolate Coated Vanilla Cake 10pcs Rs15 (Blue)</t>
  </si>
  <si>
    <t xml:space="preserve">[Code: 56DFGJ] [Expiry: 21 Mar, 2023] 167 SELLING UNIT EXPIRED</t>
  </si>
  <si>
    <t xml:space="preserve">56DFGJ</t>
  </si>
  <si>
    <t xml:space="preserve">644f8d6f-825d-4bd4-b06f-b1f006e10b46</t>
  </si>
  <si>
    <t xml:space="preserve">Robin Liquid Bleach 500ml Rs405</t>
  </si>
  <si>
    <t xml:space="preserve">Robin</t>
  </si>
  <si>
    <t xml:space="preserve">TA;Not Found</t>
  </si>
  <si>
    <t xml:space="preserve">01c5ef82-cc7c-4e03-9b33-0f3c7b4215cf</t>
  </si>
  <si>
    <t xml:space="preserve">Shangrila Chilli Garlic Sauce x6 Bundle 225g</t>
  </si>
  <si>
    <t xml:space="preserve">[Code: 455579] TA:box may say damage nikla jab display kr rahay thay.</t>
  </si>
  <si>
    <t xml:space="preserve">455579</t>
  </si>
  <si>
    <t xml:space="preserve">13e1aca6-1334-4628-8642-373185a2eeb7</t>
  </si>
  <si>
    <t xml:space="preserve">Shangrila Tomato Ketchup x6 Bundle 225g</t>
  </si>
  <si>
    <t xml:space="preserve">[Code: 3469BD] TA:box may say damage nikla display krtay waqt.</t>
  </si>
  <si>
    <t xml:space="preserve">3469BD</t>
  </si>
  <si>
    <t xml:space="preserve">63ad4255-bc6a-418c-8142-78be89c55ad1</t>
  </si>
  <si>
    <t xml:space="preserve">Regal Laser Mood Chocolate Magic Stick Box 50pcs Rs5</t>
  </si>
  <si>
    <t xml:space="preserve">Regal</t>
  </si>
  <si>
    <t xml:space="preserve">[Code: 399BCD] TA:few pieces are missing in the box(dabay may say damage nikla display krtay waqt)</t>
  </si>
  <si>
    <t xml:space="preserve">399BCD</t>
  </si>
  <si>
    <t xml:space="preserve">2464bc36-bd09-4b59-a2c1-77ffe8e9f91e</t>
  </si>
  <si>
    <t xml:space="preserve">Knorr Noodles Chatpatta x12 Bundle 31g (Red) Rs40</t>
  </si>
  <si>
    <t xml:space="preserve">Knorr</t>
  </si>
  <si>
    <t xml:space="preserve">TA:Not available on floor because of brand exchange.</t>
  </si>
  <si>
    <t xml:space="preserve">ec715b2d-5740-4793-9cd3-443bd75bfe8a</t>
  </si>
  <si>
    <t xml:space="preserve">Swadi Sabz Ilaichi Rs50</t>
  </si>
  <si>
    <t xml:space="preserve">Swadi</t>
  </si>
  <si>
    <t xml:space="preserve">[Code: 5CDDEE] [Expiry: 5 Apr, 2023] TA; Expire Stock  4-5-2023</t>
  </si>
  <si>
    <t xml:space="preserve">5CDDEE</t>
  </si>
  <si>
    <t xml:space="preserve">5 Apr, 2023</t>
  </si>
  <si>
    <t xml:space="preserve">ac4adbad-6c84-4ac9-bbea-82023152a54a</t>
  </si>
  <si>
    <t xml:space="preserve">Swadi Garam Masala Sabat Rs50</t>
  </si>
  <si>
    <t xml:space="preserve">[Code: 223357] [Expiry: 5 Apr, 2023] TA;Expire Stock   4-5-2023</t>
  </si>
  <si>
    <t xml:space="preserve">223357</t>
  </si>
  <si>
    <t xml:space="preserve">05dab5fb-de04-499d-bab4-7ac665be2f95</t>
  </si>
  <si>
    <t xml:space="preserve">Safeguard Lemon Fresh Large Size Bachat Pack 125g Rs420</t>
  </si>
  <si>
    <t xml:space="preserve">Safeguard</t>
  </si>
  <si>
    <t xml:space="preserve">Soap</t>
  </si>
  <si>
    <t xml:space="preserve">TA;Not Available on Floor</t>
  </si>
  <si>
    <t xml:space="preserve">8078a3ae-7e73-45ad-a86c-fc72d31e0e52</t>
  </si>
  <si>
    <t xml:space="preserve">Al-Munawar Coriander Whole 500g</t>
  </si>
  <si>
    <t xml:space="preserve">TA:Not available on floor.</t>
  </si>
  <si>
    <t xml:space="preserve">[Code: 55788A] TA: quality sahi nahi hay smell arahi hay aur ulli lagi hay </t>
  </si>
  <si>
    <t xml:space="preserve">55788A</t>
  </si>
  <si>
    <t xml:space="preserve">[Code: 225566] TA: bag may say damage niklay hay.</t>
  </si>
  <si>
    <t xml:space="preserve">225566</t>
  </si>
  <si>
    <t xml:space="preserve">44f4762f-5274-4866-a30e-c35aa97fb23e</t>
  </si>
  <si>
    <t xml:space="preserve">Bonus tristar yellow surf 250g Rs50</t>
  </si>
  <si>
    <t xml:space="preserve">[Code: 223568] TA:bag may say damage niklay </t>
  </si>
  <si>
    <t xml:space="preserve">223568</t>
  </si>
  <si>
    <t xml:space="preserve">[Code: 3567GG] [Expiry: 12 Apr, 2023] 22selling unit found expired </t>
  </si>
  <si>
    <t xml:space="preserve">3567GG</t>
  </si>
  <si>
    <t xml:space="preserve">12 Apr, 2023</t>
  </si>
  <si>
    <t xml:space="preserve">6c568402-1788-466b-8f61-43acc83fa9d1</t>
  </si>
  <si>
    <t xml:space="preserve">Sherdil White Chana Mota 5kg</t>
  </si>
  <si>
    <t xml:space="preserve">[Code: 2344AB] Damaged due to insects </t>
  </si>
  <si>
    <t xml:space="preserve">2344AB</t>
  </si>
  <si>
    <t xml:space="preserve">[Code: 5567AB] Damaged due to insects </t>
  </si>
  <si>
    <t xml:space="preserve">5567AB</t>
  </si>
  <si>
    <t xml:space="preserve">[Code: 45CDFG] TA; Sorting Ky Doran stock sy lose bottel mili hain.</t>
  </si>
  <si>
    <t xml:space="preserve">45CDFG</t>
  </si>
  <si>
    <t xml:space="preserve">a5b76747-fa5b-49a3-ac19-3d6294d61b30</t>
  </si>
  <si>
    <t xml:space="preserve">Murree Brewery Bigg Apple Plastic x6 Crate 1.5L</t>
  </si>
  <si>
    <t xml:space="preserve">TA: Not Found on floor.</t>
  </si>
  <si>
    <t xml:space="preserve">f94d909f-e438-4b91-8f1b-4c73f30c8100</t>
  </si>
  <si>
    <t xml:space="preserve">Shahi Daal Chana Spicy Rs100</t>
  </si>
  <si>
    <t xml:space="preserve">Shahi</t>
  </si>
  <si>
    <t xml:space="preserve">[Code: 4ADGKM] 01 selling found air less quality issue</t>
  </si>
  <si>
    <t xml:space="preserve">4ADGKM</t>
  </si>
  <si>
    <t xml:space="preserve">7ea9d613-4818-44be-acc2-e182a1b6cb8a</t>
  </si>
  <si>
    <t xml:space="preserve">Shahi Dal Moong Rs100</t>
  </si>
  <si>
    <t xml:space="preserve">[Code: 56799E] 01 selling unit found air less quality issue</t>
  </si>
  <si>
    <t xml:space="preserve">56799E</t>
  </si>
  <si>
    <t xml:space="preserve">dd6c0c77-07ca-4d2d-a074-d372fbb30d0f</t>
  </si>
  <si>
    <t xml:space="preserve">Shahi Dal Moong Rs50</t>
  </si>
  <si>
    <t xml:space="preserve">[Code: 56BCEF] 04 selling units are air less</t>
  </si>
  <si>
    <t xml:space="preserve">56BCEF</t>
  </si>
  <si>
    <t xml:space="preserve">7dc0ccc5-ac25-4572-8029-9945f3c5533c</t>
  </si>
  <si>
    <t xml:space="preserve">Shahi Dal Moth Rs100</t>
  </si>
  <si>
    <t xml:space="preserve">[Code: 245579] 03 selling units are air less</t>
  </si>
  <si>
    <t xml:space="preserve">245579</t>
  </si>
  <si>
    <t xml:space="preserve">3ca26ff3-6c29-479e-9638-f97023a3c91a</t>
  </si>
  <si>
    <t xml:space="preserve">Shahi Dal Moth Rs50</t>
  </si>
  <si>
    <t xml:space="preserve">[Code: 34558A] 4 selling units are air less</t>
  </si>
  <si>
    <t xml:space="preserve">34558A</t>
  </si>
  <si>
    <t xml:space="preserve">2b734f62-2a52-4be7-9677-151f1d6b8627</t>
  </si>
  <si>
    <t xml:space="preserve">Ariel Original Surf x12 bundle 40g Rs 20</t>
  </si>
  <si>
    <t xml:space="preserve">[Code: 2357FG] TA: thailay may say damage nikla</t>
  </si>
  <si>
    <t xml:space="preserve">2357FG</t>
  </si>
  <si>
    <t xml:space="preserve">cbf926b8-97ae-4a9c-bd5b-482caa3e544c</t>
  </si>
  <si>
    <t xml:space="preserve">Fair and Lovely Insta Glow Face Wash 50g Rs180</t>
  </si>
  <si>
    <t xml:space="preserve">Fair and Lovely</t>
  </si>
  <si>
    <t xml:space="preserve">Personal Care</t>
  </si>
  <si>
    <t xml:space="preserve">[Code: 344578] TA: box may say damage nikla</t>
  </si>
  <si>
    <t xml:space="preserve">344578</t>
  </si>
  <si>
    <t xml:space="preserve">[Code: 234EFG] TA:display krtay huay carton say damage nikla hay..</t>
  </si>
  <si>
    <t xml:space="preserve">234EFG</t>
  </si>
  <si>
    <t xml:space="preserve">2e2e95fc-ec3f-444a-bed1-af263e608d75</t>
  </si>
  <si>
    <t xml:space="preserve">Cookania Gale Biscuit 6pcs Rs20</t>
  </si>
  <si>
    <t xml:space="preserve">Cookania</t>
  </si>
  <si>
    <t xml:space="preserve">[Code: 99ABDF] TA; unit me sy few piece missing hain. Display ky doran corton sy mila he</t>
  </si>
  <si>
    <t xml:space="preserve">99ABDF</t>
  </si>
  <si>
    <t xml:space="preserve">[Code: 45589B] TA; 2 selling unit found (lowfill and Losse)</t>
  </si>
  <si>
    <t xml:space="preserve">45589B</t>
  </si>
  <si>
    <t xml:space="preserve">37c67563-5af0-4d7f-a91c-c6e2e4a6a68e</t>
  </si>
  <si>
    <t xml:space="preserve">Engro Olpers Badam Zafran Flavored Milk x24 180mL</t>
  </si>
  <si>
    <t xml:space="preserve">Olpers</t>
  </si>
  <si>
    <t xml:space="preserve">Dairy</t>
  </si>
  <si>
    <t xml:space="preserve">[Code: 36AACC] TA; 1 unit damage found during sorting ( disply sy  leak mila he )</t>
  </si>
  <si>
    <t xml:space="preserve">36AACC</t>
  </si>
  <si>
    <t xml:space="preserve">52fc90df-861c-4bdc-a491-d48a5fbaceb8</t>
  </si>
  <si>
    <t xml:space="preserve">Habib Foods Funtime Apple Flavoured Drink 200mL</t>
  </si>
  <si>
    <t xml:space="preserve">Habib Foods</t>
  </si>
  <si>
    <t xml:space="preserve">[Code: 5568BC] TA; 1 unit damage found during sorting ( disply sy  leak mila he )</t>
  </si>
  <si>
    <t xml:space="preserve">5568BC</t>
  </si>
  <si>
    <t xml:space="preserve">[Code: 223566] TA; 4 seling unit damage found  (bag my sy damege mila he display krty time)</t>
  </si>
  <si>
    <t xml:space="preserve">223566</t>
  </si>
  <si>
    <t xml:space="preserve">cc8c99db-8172-4ea9-9083-e304f1faf175</t>
  </si>
  <si>
    <t xml:space="preserve">Colgate Extra Clean Tooth Brush Medium Rs80</t>
  </si>
  <si>
    <t xml:space="preserve">Colgate</t>
  </si>
  <si>
    <t xml:space="preserve">TA; Brand Exchange Found with ( Extra clean tooth brush Soft RS80)</t>
  </si>
  <si>
    <t xml:space="preserve">bce89ad4-9a48-440a-9e92-b6c4600eb026</t>
  </si>
  <si>
    <t xml:space="preserve">Sunlight Green Clean and Fresh 330g Rs99</t>
  </si>
  <si>
    <t xml:space="preserve">[Code: 4899BB] TA; sorting ky doran bag sy damage mila he.</t>
  </si>
  <si>
    <t xml:space="preserve">4899BB</t>
  </si>
  <si>
    <t xml:space="preserve">2a480d17-8dfd-4b06-a889-3361da3b6dfb</t>
  </si>
  <si>
    <t xml:space="preserve">Sherdil Maida 1kg</t>
  </si>
  <si>
    <t xml:space="preserve">[Code: 368AGH] ZA: Packing damage found during Audit</t>
  </si>
  <si>
    <t xml:space="preserve">368AGH</t>
  </si>
  <si>
    <t xml:space="preserve">[Code: 336BEJ] TA; sorting Ky doran corton sy damage mila he.</t>
  </si>
  <si>
    <t xml:space="preserve">336BEJ</t>
  </si>
  <si>
    <t xml:space="preserve">[Code: 257ABD] TA;  2 unit damage found During Sorting </t>
  </si>
  <si>
    <t xml:space="preserve">257ABD</t>
  </si>
  <si>
    <t xml:space="preserve">[Code: 344479] TA:Loading kay doran loader say damage howa.</t>
  </si>
  <si>
    <t xml:space="preserve">344479</t>
  </si>
  <si>
    <t xml:space="preserve">b7e47528-8822-461b-8889-f508bace7dfe</t>
  </si>
  <si>
    <t xml:space="preserve">Sherdil Daal Chana Bareek 1kg</t>
  </si>
  <si>
    <t xml:space="preserve">[Code: 349DJK] TA; 1unit found bad condation.( daal ka color change or uli bi lgi hoi he)</t>
  </si>
  <si>
    <t xml:space="preserve">349DJK</t>
  </si>
  <si>
    <t xml:space="preserve">[Code: 355578] TA: Sorting kay Doran box may say damage nikla</t>
  </si>
  <si>
    <t xml:space="preserve">355578</t>
  </si>
  <si>
    <t xml:space="preserve">46f4851c-6e4e-4ab1-a65f-f5bb2ff0c287</t>
  </si>
  <si>
    <t xml:space="preserve">Sherdil Suji 500g</t>
  </si>
  <si>
    <t xml:space="preserve">[Code: 2345EG] TA: quality achi nahi hay...susri lagi hay </t>
  </si>
  <si>
    <t xml:space="preserve">2345EG</t>
  </si>
  <si>
    <t xml:space="preserve">640b3d13-fe80-4e07-8c7f-6e8b80a71337</t>
  </si>
  <si>
    <t xml:space="preserve">Swadi Besan 5kg</t>
  </si>
  <si>
    <t xml:space="preserve">[Code: 378999] 6 units found damaged due to insects</t>
  </si>
  <si>
    <t xml:space="preserve">378999</t>
  </si>
  <si>
    <t xml:space="preserve">[Code: 4778AG] 2 units found damaged due to fungus.</t>
  </si>
  <si>
    <t xml:space="preserve">4778AG</t>
  </si>
  <si>
    <t xml:space="preserve">[Code: 23456A] 14 units damaged due to insects </t>
  </si>
  <si>
    <t xml:space="preserve">23456A</t>
  </si>
  <si>
    <t xml:space="preserve">[Code: 55667A] TA ; 1unit damage found ( sorting ky doran stock sy lose mila he)</t>
  </si>
  <si>
    <t xml:space="preserve">55667A</t>
  </si>
  <si>
    <t xml:space="preserve">[Code: 33559C] TA; 1 unit damage found  (stock my sy lose mila hain )</t>
  </si>
  <si>
    <t xml:space="preserve">33559C</t>
  </si>
  <si>
    <t xml:space="preserve">[Code: 345578] TA; 1 unit damage found .(  sorting ky doran stock sy lose bottel mili hain)</t>
  </si>
  <si>
    <t xml:space="preserve">345578</t>
  </si>
  <si>
    <t xml:space="preserve">717c11ae-c3bc-4378-a184-2154badcf63d</t>
  </si>
  <si>
    <t xml:space="preserve">Quality Grains Daal Mash Wash 500g</t>
  </si>
  <si>
    <t xml:space="preserve">Quality Grains</t>
  </si>
  <si>
    <t xml:space="preserve">[Code: 445699] TA; 7 units found damaged due to fungus. (quality ashi nhi he)</t>
  </si>
  <si>
    <t xml:space="preserve">445699</t>
  </si>
  <si>
    <t xml:space="preserve">[Code: 223557] TA;  4unit damage found (sorting krty waqt bag sy damage mily hain)</t>
  </si>
  <si>
    <t xml:space="preserve">223557</t>
  </si>
  <si>
    <t xml:space="preserve">[Code: 59AAJK] TA: sorting k doran kuch botel loose or kuch botel khali milay hay.</t>
  </si>
  <si>
    <t xml:space="preserve">59AAJK</t>
  </si>
  <si>
    <t xml:space="preserve">[Code: 236999] TA; 2unit damage found (bag sy damage mily hain sorting ky doran)</t>
  </si>
  <si>
    <t xml:space="preserve">236999</t>
  </si>
  <si>
    <t xml:space="preserve">73450c2c-e78c-4c7c-ada4-17c7817fcb4c</t>
  </si>
  <si>
    <t xml:space="preserve">Plastic Special Phool Jharoo</t>
  </si>
  <si>
    <t xml:space="preserve">Jharoo</t>
  </si>
  <si>
    <t xml:space="preserve">[Code: 3JJMNN] TA; 1 unit damage found ( Woden Hendle tota mila he stock me sy)</t>
  </si>
  <si>
    <t xml:space="preserve">3JJMNN</t>
  </si>
  <si>
    <t xml:space="preserve">TA; Not found on floor</t>
  </si>
  <si>
    <t xml:space="preserve">fd4d416a-7c4c-4123-8ca6-5df3a39a991b</t>
  </si>
  <si>
    <t xml:space="preserve">Sherdil Corrainder Whole 500g</t>
  </si>
  <si>
    <t xml:space="preserve">TA: double live in audit.</t>
  </si>
  <si>
    <t xml:space="preserve">[Code: 33668A]  TA: sorting k doran kuch botel loose or kuch botel khali milay hay.</t>
  </si>
  <si>
    <t xml:space="preserve">33668A</t>
  </si>
  <si>
    <t xml:space="preserve">9afc3ef0-c2d8-4326-94ec-14ad3d4ef503</t>
  </si>
  <si>
    <t xml:space="preserve">Lux Pink Soft Touch Soap x3 bundle 128g Rs130</t>
  </si>
  <si>
    <t xml:space="preserve">Lux</t>
  </si>
  <si>
    <t xml:space="preserve">TA; not found on floor (audit ky doran 2unit km a rhy thy)</t>
  </si>
  <si>
    <t xml:space="preserve">80a44c7b-5c53-448c-a6ff-ff0f99023429</t>
  </si>
  <si>
    <t xml:space="preserve">Sunlight Yellow Clean and Rose Fresh 330g Rs99</t>
  </si>
  <si>
    <t xml:space="preserve">[Code: 2BCEEF] TA:bag may say damage niklay.</t>
  </si>
  <si>
    <t xml:space="preserve">2BCEEF</t>
  </si>
  <si>
    <t xml:space="preserve">6afa406d-5fa6-42ea-a697-9b99ff3ba267</t>
  </si>
  <si>
    <t xml:space="preserve">Sprite plastic 1L</t>
  </si>
  <si>
    <t xml:space="preserve">Sprite</t>
  </si>
  <si>
    <t xml:space="preserve">[Code: 347ACC] TA: Bottle Loose niklay pet may say</t>
  </si>
  <si>
    <t xml:space="preserve">347ACC</t>
  </si>
  <si>
    <t xml:space="preserve">[Code: 688ABF] TA:  Botle loose niklay pet may say.</t>
  </si>
  <si>
    <t xml:space="preserve">688ABF</t>
  </si>
  <si>
    <t xml:space="preserve">8c6f0a86-09e6-4c8b-ab37-3f37b00556f3</t>
  </si>
  <si>
    <t xml:space="preserve">7up plastic 1L (Other city stock)</t>
  </si>
  <si>
    <t xml:space="preserve">7up</t>
  </si>
  <si>
    <t xml:space="preserve">[Code: 233348] TA: Found in loose condition during sorting (Company end issue)</t>
  </si>
  <si>
    <t xml:space="preserve">233348</t>
  </si>
  <si>
    <t xml:space="preserve">[Code: 578BEG] TA:Found loose in floor(Company end issue)</t>
  </si>
  <si>
    <t xml:space="preserve">578BEG</t>
  </si>
  <si>
    <t xml:space="preserve">[Code: 5678AF] TA: found in loose condition(Company end issue)</t>
  </si>
  <si>
    <t xml:space="preserve">5678AF</t>
  </si>
  <si>
    <t xml:space="preserve">TA; Mistakenly lived in Audit.</t>
  </si>
  <si>
    <t xml:space="preserve">[Code: 35578B] TA: found in loose conditon during sorting(company end issue)</t>
  </si>
  <si>
    <t xml:space="preserve">35578B</t>
  </si>
  <si>
    <t xml:space="preserve">4485a552-0e60-4f2e-8416-e5b7d925a5be</t>
  </si>
  <si>
    <t xml:space="preserve">Bisconni Chocolate Chip Biscuits 25pcs Rs7</t>
  </si>
  <si>
    <t xml:space="preserve">[Code: 58DDEE] [Expiry: 19 May, 2023] Short Expiry Stock</t>
  </si>
  <si>
    <t xml:space="preserve">58DDEE</t>
  </si>
  <si>
    <t xml:space="preserve">19 May, 2023</t>
  </si>
  <si>
    <t xml:space="preserve">20b74367-094d-4004-9a32-f4829b729e1d</t>
  </si>
  <si>
    <t xml:space="preserve">Bold Deodorant Body Spray Prime 150ml</t>
  </si>
  <si>
    <t xml:space="preserve">Bold</t>
  </si>
  <si>
    <t xml:space="preserve">[Code: 49ADGH] 01 unit found low fill liquid (Quality Issue)</t>
  </si>
  <si>
    <t xml:space="preserve">49ADGH</t>
  </si>
  <si>
    <t xml:space="preserve">65650175-df92-4ef5-ae18-f525df57d160</t>
  </si>
  <si>
    <t xml:space="preserve">Coca Cola plastic 500ml (Half Liter)</t>
  </si>
  <si>
    <t xml:space="preserve">[Code: 2789DE] TA; Stock sy damage mila he sorting ky doran</t>
  </si>
  <si>
    <t xml:space="preserve">2789DE</t>
  </si>
  <si>
    <t xml:space="preserve">[Code: 8BCDDF] TA: found in loose condtions during sorting.</t>
  </si>
  <si>
    <t xml:space="preserve">8BCDDF</t>
  </si>
  <si>
    <t xml:space="preserve">[Code: 359BCD] TA: Found in loose condition during sorting</t>
  </si>
  <si>
    <t xml:space="preserve">359BCD</t>
  </si>
  <si>
    <t xml:space="preserve">091103b8-ad58-4db4-9f95-ecd8969b63d4</t>
  </si>
  <si>
    <t xml:space="preserve">Shangrila Mango Pickle Jar 1kg (Purple Jar Large)</t>
  </si>
  <si>
    <t xml:space="preserve">[Code: 334489] TA: sorting kay doran damage hua;</t>
  </si>
  <si>
    <t xml:space="preserve">334489</t>
  </si>
  <si>
    <t xml:space="preserve">daniyal.ahmad@tajir-app.com</t>
  </si>
  <si>
    <t xml:space="preserve">Daniyal Ahmad</t>
  </si>
  <si>
    <t xml:space="preserve">ee9f509f-e6b6-44a0-a37c-57dee8c1a7e4</t>
  </si>
  <si>
    <t xml:space="preserve">Quality Grains Daal Chana Budget 500g</t>
  </si>
  <si>
    <t xml:space="preserve">[Code: 25888A] ZA: Stock removed due to Quality Issue(Found Fungus)</t>
  </si>
  <si>
    <t xml:space="preserve">25888A</t>
  </si>
  <si>
    <t xml:space="preserve">[Code: 225578] TA:Found in loose condtion during sorting.</t>
  </si>
  <si>
    <t xml:space="preserve">225578</t>
  </si>
  <si>
    <t xml:space="preserve">[Code: 5699BE] TA: Found in loose conditon (company end issue)</t>
  </si>
  <si>
    <t xml:space="preserve">5699BE</t>
  </si>
  <si>
    <t xml:space="preserve">[Code: 344568] TA: damaged during sorting.</t>
  </si>
  <si>
    <t xml:space="preserve">344568</t>
  </si>
  <si>
    <t xml:space="preserve">[Code: 2999AC] TA; Bags sy sorting ky doran damage mily hain</t>
  </si>
  <si>
    <t xml:space="preserve">2999AC</t>
  </si>
  <si>
    <t xml:space="preserve">[Code: 224679] TA: found in loose condition and emply botels(Company end issue)</t>
  </si>
  <si>
    <t xml:space="preserve">224679</t>
  </si>
  <si>
    <t xml:space="preserve">61b64cf5-8ce8-47c7-8293-6e04fbebd722</t>
  </si>
  <si>
    <t xml:space="preserve">Lemon Max Liquid Regular Bottle 475ml Rs260</t>
  </si>
  <si>
    <t xml:space="preserve">[Code: 368AHH] 01 unit found damaged from CTN (Cap Damaged)</t>
  </si>
  <si>
    <t xml:space="preserve">368AHH</t>
  </si>
  <si>
    <t xml:space="preserve">[Code: 2BEGLQ] TA: found in loose condition and empty botels(Company end issue)</t>
  </si>
  <si>
    <t xml:space="preserve">2BEGLQ</t>
  </si>
  <si>
    <t xml:space="preserve">[Code: 34455F] TA: found in loose condition and emply botels(Company end issue)</t>
  </si>
  <si>
    <t xml:space="preserve">34455F</t>
  </si>
  <si>
    <t xml:space="preserve">0ec2fbab-4de7-42eb-baaa-9d579f1547ab</t>
  </si>
  <si>
    <t xml:space="preserve">Swadi Dharra Mirch 2kg</t>
  </si>
  <si>
    <t xml:space="preserve">[Code: 566GHH] TA: quality bari kharab hay. ulli lagi hui hay.</t>
  </si>
  <si>
    <t xml:space="preserve">566GHH</t>
  </si>
  <si>
    <t xml:space="preserve">10f5c620-05d2-4bff-bf22-3c02b5a12fc2</t>
  </si>
  <si>
    <t xml:space="preserve">Sherdil White Chana Bareek 5kg</t>
  </si>
  <si>
    <t xml:space="preserve">[Code: 223356] 02 units found damaged due to fungus</t>
  </si>
  <si>
    <t xml:space="preserve">223356</t>
  </si>
  <si>
    <t xml:space="preserve">c2dbed6e-d95e-4c43-b456-e74524aeabd0</t>
  </si>
  <si>
    <t xml:space="preserve">Sherdil White Chana Bareek 500g</t>
  </si>
  <si>
    <t xml:space="preserve">[Code: 44556H] 01 unit found damaged due to fungus</t>
  </si>
  <si>
    <t xml:space="preserve">44556H</t>
  </si>
  <si>
    <t xml:space="preserve">eb5c71cb-609c-4f22-a442-ffab083be8ac</t>
  </si>
  <si>
    <t xml:space="preserve">Sherdil Masar Desi 1kg</t>
  </si>
  <si>
    <t xml:space="preserve">[Code: 3448CJ] 01 unit found damaged due to fungus </t>
  </si>
  <si>
    <t xml:space="preserve">3448CJ</t>
  </si>
  <si>
    <t xml:space="preserve">[Code: 333357] 01 unit found damaged due to fungus</t>
  </si>
  <si>
    <t xml:space="preserve">333357</t>
  </si>
  <si>
    <t xml:space="preserve">0b39f0e9-812a-42f4-a3d7-8dbb4a2038b0</t>
  </si>
  <si>
    <t xml:space="preserve">Kashmir Cooking Oil 1L x5 Polybags</t>
  </si>
  <si>
    <t xml:space="preserve">Kashmir</t>
  </si>
  <si>
    <t xml:space="preserve">Ghee and Oil</t>
  </si>
  <si>
    <t xml:space="preserve">[Code: 226BDF] 01 unit found damaged (1 pouch leak in ctn)</t>
  </si>
  <si>
    <t xml:space="preserve">226BDF</t>
  </si>
  <si>
    <t xml:space="preserve">[Code: 579ACG] ; 6unit Damage found   (Bags sy damage mila he sorting ky doran)</t>
  </si>
  <si>
    <t xml:space="preserve">579ACG</t>
  </si>
  <si>
    <t xml:space="preserve">[Code: 79ACDD] TA; 4unit Damage found   (Bags sy damage mila he sorting ky doran)</t>
  </si>
  <si>
    <t xml:space="preserve">79ACDD</t>
  </si>
  <si>
    <t xml:space="preserve">[Code: 2444AD] TA; 1unit Damage found   (Bags sy damage mila he sorting ky doran)</t>
  </si>
  <si>
    <t xml:space="preserve">2444AD</t>
  </si>
  <si>
    <t xml:space="preserve">52258fdc-8b0c-4343-9884-310c160a213d</t>
  </si>
  <si>
    <t xml:space="preserve">Sunridge Fortified Chakki Atta 5kg</t>
  </si>
  <si>
    <t xml:space="preserve">Sunridge</t>
  </si>
  <si>
    <t xml:space="preserve">[Code: 34567B] TA; 1unit damage during sorting (rack sy lgny ki wja sy damage howa he)</t>
  </si>
  <si>
    <t xml:space="preserve">34567B</t>
  </si>
  <si>
    <t xml:space="preserve">[Code: ABDEHH] TA; 1unit Damage found During loading</t>
  </si>
  <si>
    <t xml:space="preserve">ABDEHH</t>
  </si>
  <si>
    <t xml:space="preserve">539d3f2b-5d2f-484d-8e3e-659966482eb3</t>
  </si>
  <si>
    <t xml:space="preserve">Mortein 2in1 All Insect Killer Spray 550ml</t>
  </si>
  <si>
    <t xml:space="preserve">Mortein</t>
  </si>
  <si>
    <t xml:space="preserve">TA: Mistakenly Lived.</t>
  </si>
  <si>
    <t xml:space="preserve">3eb53e13-e76b-44dd-a61d-b094d3a33925</t>
  </si>
  <si>
    <t xml:space="preserve">Peek Freans Sooper Biscuits Half Roll Rs40</t>
  </si>
  <si>
    <t xml:space="preserve">Peek Freans</t>
  </si>
  <si>
    <t xml:space="preserve">TA; The requried sku not found.</t>
  </si>
  <si>
    <t xml:space="preserve">938c9d77-dc4e-45d6-a00d-c76ba055f9d1</t>
  </si>
  <si>
    <t xml:space="preserve">Sultan Canola Cooking Oil Bottle 3L Rs 1746</t>
  </si>
  <si>
    <t xml:space="preserve">Sultan</t>
  </si>
  <si>
    <t xml:space="preserve">TA: Mistakenly lived in different MRP()</t>
  </si>
  <si>
    <t xml:space="preserve">078a3f2f-ce1c-4f45-a2ab-80e3ebbdc2f7</t>
  </si>
  <si>
    <t xml:space="preserve">Mountain Dew plastic 1L</t>
  </si>
  <si>
    <t xml:space="preserve">[Code: 3789AA] TA: Found loose during sorting(quality issue)</t>
  </si>
  <si>
    <t xml:space="preserve">3789AA</t>
  </si>
  <si>
    <t xml:space="preserve">f04787dc-21e3-4dae-bcbe-e7290c125b85</t>
  </si>
  <si>
    <t xml:space="preserve">7up plastic 1.5L (Other city stock)</t>
  </si>
  <si>
    <t xml:space="preserve">[Code: 346668] TA: Found Loose during sorting;</t>
  </si>
  <si>
    <t xml:space="preserve">346668</t>
  </si>
  <si>
    <t xml:space="preserve">aedc6661-7714-4dbb-a1ca-818b0f964c8e</t>
  </si>
  <si>
    <t xml:space="preserve">Sunridge Super Fortified Atta 15kg</t>
  </si>
  <si>
    <t xml:space="preserve">[Code: 38899A] [Expiry: 4 Jun, 2023] AR: Stock Removed due to near to expiry </t>
  </si>
  <si>
    <t xml:space="preserve">38899A</t>
  </si>
  <si>
    <t xml:space="preserve">4 Jun, 2023</t>
  </si>
  <si>
    <t xml:space="preserve">dfd6b040-ad74-42ea-ab82-4d22c45a2040</t>
  </si>
  <si>
    <t xml:space="preserve">Sting Berry Blast plastic 500ml (Other city stock)</t>
  </si>
  <si>
    <t xml:space="preserve">Sting</t>
  </si>
  <si>
    <t xml:space="preserve">TA; The required sku not Found.</t>
  </si>
  <si>
    <t xml:space="preserve">9bde6c18-7711-4860-b5bc-8dc06af21b12</t>
  </si>
  <si>
    <t xml:space="preserve">Cola Next Plastic 500ml</t>
  </si>
  <si>
    <t xml:space="preserve">Cola Next</t>
  </si>
  <si>
    <t xml:space="preserve">[Code: 2367BC] TA: Found in loose condition during sorting(company end issue);</t>
  </si>
  <si>
    <t xml:space="preserve">2367BC</t>
  </si>
  <si>
    <t xml:space="preserve">[Code: 699BDE] 03 units found damaged due to insects (Quality Issue)</t>
  </si>
  <si>
    <t xml:space="preserve">699BDE</t>
  </si>
  <si>
    <t xml:space="preserve">[Code: 345668] 04 units found damaged due to insects (Quality Issue)</t>
  </si>
  <si>
    <t xml:space="preserve">345668</t>
  </si>
  <si>
    <t xml:space="preserve">a7507847-81de-49fd-b5e8-be87be357b08</t>
  </si>
  <si>
    <t xml:space="preserve">Ajinomoto Masako Chicken Flavour Masala 10g Rs20</t>
  </si>
  <si>
    <t xml:space="preserve">Ajinomoto</t>
  </si>
  <si>
    <t xml:space="preserve">[Code: 3778CK] 01 UNIT found damaged seal open (Quality issue)</t>
  </si>
  <si>
    <t xml:space="preserve">3778CK</t>
  </si>
  <si>
    <t xml:space="preserve">b93fbdaa-e3d2-4c97-a148-e775d72799e6</t>
  </si>
  <si>
    <t xml:space="preserve">Peek Freans Pista Pik Munch Pack 12pcs Rs25</t>
  </si>
  <si>
    <t xml:space="preserve">TA; mistakenly lived by Audit </t>
  </si>
  <si>
    <t xml:space="preserve">[Code: 34455E] TA:  daal ki quality sahi nahi hay(ulli lagi hay)</t>
  </si>
  <si>
    <t xml:space="preserve">34455E</t>
  </si>
  <si>
    <t xml:space="preserve">[Code: 224499] TA:Found Damaged in Floor during sorting (Company end issue )</t>
  </si>
  <si>
    <t xml:space="preserve">224499</t>
  </si>
  <si>
    <t xml:space="preserve">398986cd-2e1e-4946-a57d-f258ff679bb9</t>
  </si>
  <si>
    <t xml:space="preserve">Head and Shoulders Classic Clean Shampoo x12 bundle 4.5ml</t>
  </si>
  <si>
    <t xml:space="preserve">[Code: 568DGG] TA: Found Damaged in Floor;</t>
  </si>
  <si>
    <t xml:space="preserve">568DGG</t>
  </si>
  <si>
    <t xml:space="preserve">019873e6-cb23-4dc9-84b1-2ca68483b5d3</t>
  </si>
  <si>
    <t xml:space="preserve">Gibs Makhan Badami Toffee Rs5</t>
  </si>
  <si>
    <t xml:space="preserve">[Code: 456668] TA: Found damaged and few pieces missing from the box during display.</t>
  </si>
  <si>
    <t xml:space="preserve">456668</t>
  </si>
  <si>
    <t xml:space="preserve">[Code: 2333BC] TA:</t>
  </si>
  <si>
    <t xml:space="preserve">2333BC</t>
  </si>
  <si>
    <t xml:space="preserve">827ffe30-f763-442e-b6dc-a1da20601720</t>
  </si>
  <si>
    <t xml:space="preserve">Kolson Jam Hearts Strawberry and Vanilla Biscuits Bar Pack 12pcs Rs15</t>
  </si>
  <si>
    <t xml:space="preserve">[Code: 44599A] [Expiry: 27 Jun, 2023] 80 units found short expiry</t>
  </si>
  <si>
    <t xml:space="preserve">44599A</t>
  </si>
  <si>
    <t xml:space="preserve">27 Jun, 2023</t>
  </si>
  <si>
    <t xml:space="preserve">6bf8e4d8-b1ee-4416-8677-04c83525e4ce</t>
  </si>
  <si>
    <t xml:space="preserve">Dummer Super Fine Atta 15kg</t>
  </si>
  <si>
    <t xml:space="preserve">Dummer Atta</t>
  </si>
  <si>
    <t xml:space="preserve">[Code: 55678B] TA;21 units found damaged due to fungus (Quality issu )</t>
  </si>
  <si>
    <t xml:space="preserve">55678B</t>
  </si>
  <si>
    <t xml:space="preserve">fe7f6e44-8ea8-4eee-a9ea-e5fce8ce8067</t>
  </si>
  <si>
    <t xml:space="preserve">Quality Grains Daal Chana Budget 1kg</t>
  </si>
  <si>
    <t xml:space="preserve">[Code: 5567BG] 02 units found damaged due to fungus (quality issue)</t>
  </si>
  <si>
    <t xml:space="preserve">5567BG</t>
  </si>
  <si>
    <t xml:space="preserve">61d83a40-577c-4f96-9f01-3b2d39501f02</t>
  </si>
  <si>
    <t xml:space="preserve">Sherdil Daal Chana Bareek 5kg</t>
  </si>
  <si>
    <t xml:space="preserve">[Code: 377GGK] 08 units found damaged due to fungus (Quality Issue)</t>
  </si>
  <si>
    <t xml:space="preserve">377GGK</t>
  </si>
  <si>
    <t xml:space="preserve">e6bf5f33-817a-4aa8-b7f2-68b529324ca2</t>
  </si>
  <si>
    <t xml:space="preserve">Top Breading Flour 11kg</t>
  </si>
  <si>
    <t xml:space="preserve">Yadgar Atta</t>
  </si>
  <si>
    <t xml:space="preserve">[Code: 378AAA] [Expiry: 8 Jun, 2023] 3 units expire on 08-Jun-2023</t>
  </si>
  <si>
    <t xml:space="preserve">378AAA</t>
  </si>
  <si>
    <t xml:space="preserve">8 Jun, 2023</t>
  </si>
  <si>
    <t xml:space="preserve">[Code: 578EFF] TA: Display karty waqt box may say damaged nikla aik piece.</t>
  </si>
  <si>
    <t xml:space="preserve">578EFF</t>
  </si>
  <si>
    <t xml:space="preserve">[Code: 469BBD] TA: (Quality issue,company end): daal ki qaulity sahi nahi hay ulli lagi hui hain.</t>
  </si>
  <si>
    <t xml:space="preserve">469BBD</t>
  </si>
  <si>
    <t xml:space="preserve">d833817f-cf3e-4c58-89b9-79905c414df1</t>
  </si>
  <si>
    <t xml:space="preserve">Booster NR 250ml</t>
  </si>
  <si>
    <t xml:space="preserve">Booster</t>
  </si>
  <si>
    <t xml:space="preserve">[Code: 34BEFK] TA: Four empty botel found in pet During sorting.(Company end issue)</t>
  </si>
  <si>
    <t xml:space="preserve">34BEFK</t>
  </si>
  <si>
    <t xml:space="preserve">a883a43a-bb52-446d-a615-93f044869b44</t>
  </si>
  <si>
    <t xml:space="preserve">Gibs Crispee Wafers Banana 15pcs Rs10</t>
  </si>
  <si>
    <t xml:space="preserve">TA: NOT available on floor. instead(Banana wafers 12pc Rs10) availabel on floor of same quantity.</t>
  </si>
  <si>
    <t xml:space="preserve">4cff4418-6388-49da-a75e-625503b3b330</t>
  </si>
  <si>
    <t xml:space="preserve">Hilal Premium Mini Cake Rusk Rs30</t>
  </si>
  <si>
    <t xml:space="preserve">Hilal</t>
  </si>
  <si>
    <t xml:space="preserve">TA:Not available on floor(Night audit)</t>
  </si>
  <si>
    <t xml:space="preserve">e9afd721-6631-4c9e-82b8-a67357d6c119</t>
  </si>
  <si>
    <t xml:space="preserve">National Hyderabadi Pickle 1kg</t>
  </si>
  <si>
    <t xml:space="preserve">National</t>
  </si>
  <si>
    <t xml:space="preserve">[Code: 34889B] TA: company end issue : found in loose condtion during sorting ;</t>
  </si>
  <si>
    <t xml:space="preserve">34889B</t>
  </si>
  <si>
    <t xml:space="preserve">[Code: 24466E] TA:(company end issuue ) Found in loose condition during sorting:</t>
  </si>
  <si>
    <t xml:space="preserve">24466E</t>
  </si>
  <si>
    <t xml:space="preserve">23cd5453-e4e2-4f7a-bdb0-4ba6f0aff353</t>
  </si>
  <si>
    <t xml:space="preserve">Sunlight Green Clean and Fresh 700g Rs199</t>
  </si>
  <si>
    <t xml:space="preserve">[Code: 345888] TA: Thailay may say damaged niklay ....</t>
  </si>
  <si>
    <t xml:space="preserve">345888</t>
  </si>
  <si>
    <t xml:space="preserve">0ee035a6-b655-42e7-9383-db7e445284d9</t>
  </si>
  <si>
    <t xml:space="preserve">Sunlight Yellow Clean and Rose Fresh 760g Rs199</t>
  </si>
  <si>
    <t xml:space="preserve">[Code: 34CCEG] TA: thailay may say damaged nikla(Company end issue )</t>
  </si>
  <si>
    <t xml:space="preserve">34CCEG</t>
  </si>
  <si>
    <t xml:space="preserve">2078dcd4-3c88-45e1-bc7b-363dde84c6e8</t>
  </si>
  <si>
    <t xml:space="preserve">Special Wooden Phool Jharoo</t>
  </si>
  <si>
    <t xml:space="preserve">[Code: 247ACD] TA: bundle may say damaged niklay sorting k doran.</t>
  </si>
  <si>
    <t xml:space="preserve">247ACD</t>
  </si>
  <si>
    <t xml:space="preserve">[Code: 235579] TA: company end issue(bundle may say toota hua nikla)</t>
  </si>
  <si>
    <t xml:space="preserve">235579</t>
  </si>
  <si>
    <t xml:space="preserve">75d54c08-307e-4a4f-90f3-1310ae913c1b</t>
  </si>
  <si>
    <t xml:space="preserve">Kolson Slanty Jalapeno 60Pcs Rs10 5g</t>
  </si>
  <si>
    <t xml:space="preserve">[Code: 3668AB] expriy not mentioned on 6 units </t>
  </si>
  <si>
    <t xml:space="preserve">3668AB</t>
  </si>
  <si>
    <t xml:space="preserve">[Code: 457DFG] [Expiry: 30 Jul, 2023] 3 units expire on 30-07-2023</t>
  </si>
  <si>
    <t xml:space="preserve">457DFG</t>
  </si>
  <si>
    <t xml:space="preserve">30 Jul, 2023</t>
  </si>
  <si>
    <t xml:space="preserve">[Code: 26ABDG] [Expiry: 15 May, 2023] 5 units found expire from (Vendor End)</t>
  </si>
  <si>
    <t xml:space="preserve">26ABDG</t>
  </si>
  <si>
    <t xml:space="preserve">15 May, 2023</t>
  </si>
  <si>
    <t xml:space="preserve">59e4c477-de73-4b1a-951d-f12eb0f05512</t>
  </si>
  <si>
    <t xml:space="preserve">Shangrila Tomato Ketchup x3 Bundle 400g</t>
  </si>
  <si>
    <t xml:space="preserve">[Code: 33AACD] TA: Display krtay waqt box may say damaged nikla.</t>
  </si>
  <si>
    <t xml:space="preserve">33AACD</t>
  </si>
  <si>
    <t xml:space="preserve">[Code: 244AAC] TA: Found Damaged from Box During sorting:</t>
  </si>
  <si>
    <t xml:space="preserve">244AAC</t>
  </si>
  <si>
    <t xml:space="preserve">[Code: 3556DM] TA:Quality sahi nahi hay(Fungus laga hay)</t>
  </si>
  <si>
    <t xml:space="preserve">3556DM</t>
  </si>
  <si>
    <t xml:space="preserve">[Code: 244679] TA: sorting k doran 4 botel khali milay thay pet k ander say:</t>
  </si>
  <si>
    <t xml:space="preserve">244679</t>
  </si>
  <si>
    <t xml:space="preserve">221bbcfe-f877-40f8-9931-83b998b79598</t>
  </si>
  <si>
    <t xml:space="preserve">Candyland Yums Fruity Rs10 (Yellow)</t>
  </si>
  <si>
    <t xml:space="preserve">Candyland</t>
  </si>
  <si>
    <t xml:space="preserve">TA: 4 units less recieved from two Box.</t>
  </si>
  <si>
    <t xml:space="preserve">43f4f41f-1e01-4a55-af90-dda61b167f55</t>
  </si>
  <si>
    <t xml:space="preserve">National Mixed Fruit Jam 440g</t>
  </si>
  <si>
    <t xml:space="preserve">[Code: 556777] TA: Found damaged on rack during sorting.</t>
  </si>
  <si>
    <t xml:space="preserve">556777</t>
  </si>
  <si>
    <t xml:space="preserve">4c1e5dbf-0389-4d05-bfff-fb95c463f197</t>
  </si>
  <si>
    <t xml:space="preserve">Swadi Garam Masala Pissa Hoa Rs10</t>
  </si>
  <si>
    <t xml:space="preserve">TA:Not available on the floor.(Night Audit)</t>
  </si>
  <si>
    <t xml:space="preserve">[Code: 234459] TA; 1 unit Damage found during Sorting.</t>
  </si>
  <si>
    <t xml:space="preserve">234459</t>
  </si>
  <si>
    <t xml:space="preserve">[Code: 2677CE] TA: bag may damaged niklay </t>
  </si>
  <si>
    <t xml:space="preserve">2677CE</t>
  </si>
  <si>
    <t xml:space="preserve">738b3bdb-3b9e-4c0a-a6fa-18a670c5bcba</t>
  </si>
  <si>
    <t xml:space="preserve">Bonus tristar yellow surf 240g Rs50</t>
  </si>
  <si>
    <t xml:space="preserve">[Code: 235568] TA: bag may say damaged nikla .</t>
  </si>
  <si>
    <t xml:space="preserve">235568</t>
  </si>
  <si>
    <t xml:space="preserve">[Code: 67999C] TA: bag may say damaged nikla sorting k doran.</t>
  </si>
  <si>
    <t xml:space="preserve">67999C</t>
  </si>
  <si>
    <t xml:space="preserve">[Code: 27HHJK] TA: loose  bottles found during Sorting(Company end issue)</t>
  </si>
  <si>
    <t xml:space="preserve">27HHJK</t>
  </si>
  <si>
    <t xml:space="preserve">406c6b3c-ad2b-44f5-90ab-3864dcb92a83</t>
  </si>
  <si>
    <t xml:space="preserve">LU Tuc Biscuits Ticky Rs7</t>
  </si>
  <si>
    <t xml:space="preserve">[Code: 8AFFGJ] [Expiry: 30 Jun, 2023] TA: Short Expired Stock only 11 units where in floor.</t>
  </si>
  <si>
    <t xml:space="preserve">8AFFGJ</t>
  </si>
  <si>
    <t xml:space="preserve">30 Jun, 2023</t>
  </si>
  <si>
    <t xml:space="preserve">89d464f6-022a-41b2-8847-e5d6f1123566</t>
  </si>
  <si>
    <t xml:space="preserve">Guard Long Grain Rice 1kg Rs225</t>
  </si>
  <si>
    <t xml:space="preserve">Guard Agri</t>
  </si>
  <si>
    <t xml:space="preserve">Rice</t>
  </si>
  <si>
    <t xml:space="preserve">[Code: 57889B] Content Spoiled (found susri in pouch)</t>
  </si>
  <si>
    <t xml:space="preserve">57889B</t>
  </si>
  <si>
    <t xml:space="preserve">[Code: 799GJL] TA: Found in Loose condition during sorting.</t>
  </si>
  <si>
    <t xml:space="preserve">799GJL</t>
  </si>
  <si>
    <t xml:space="preserve">c1f7eed2-b097-47f5-ae2f-17507b692319</t>
  </si>
  <si>
    <t xml:space="preserve">Yadgar Super Special Atta 15kg</t>
  </si>
  <si>
    <t xml:space="preserve">[Code: 3468BE]  370 units damaged due to insects </t>
  </si>
  <si>
    <t xml:space="preserve">3468BE</t>
  </si>
  <si>
    <t xml:space="preserve">[Code: 3FGJKM] 555 units damaged due to insects </t>
  </si>
  <si>
    <t xml:space="preserve">3FGJKM</t>
  </si>
  <si>
    <t xml:space="preserve">a65c5908-c94a-43ce-adb9-5364039a176b</t>
  </si>
  <si>
    <t xml:space="preserve">Palmolive Healthy &amp; Smooth Shampoo 180ml Rs330</t>
  </si>
  <si>
    <t xml:space="preserve">Palmolive</t>
  </si>
  <si>
    <t xml:space="preserve">TA: Not available on floor.</t>
  </si>
  <si>
    <t xml:space="preserve">[Code: BDFFGM] TA: Found loose condition during sorting.</t>
  </si>
  <si>
    <t xml:space="preserve">BDFFGM</t>
  </si>
  <si>
    <t xml:space="preserve">d108dc59-da93-451f-9024-d773dad3e97a</t>
  </si>
  <si>
    <t xml:space="preserve">Sprite plastic 1.5L</t>
  </si>
  <si>
    <t xml:space="preserve">[Code: 245678] TA: Found in Loose condition(Company end issue)</t>
  </si>
  <si>
    <t xml:space="preserve">245678</t>
  </si>
  <si>
    <t xml:space="preserve">[Code: 23BBCE] TA: Found in Loose condition (Company end issue)</t>
  </si>
  <si>
    <t xml:space="preserve">23BBCE</t>
  </si>
  <si>
    <t xml:space="preserve">4a7a2807-a0b1-4bb9-af21-da5ec7137065</t>
  </si>
  <si>
    <t xml:space="preserve">Mirinda plastic 345ml (Other city stock)</t>
  </si>
  <si>
    <t xml:space="preserve">Mirinda</t>
  </si>
  <si>
    <t xml:space="preserve">[Code: 333579] TA: damaged because of mouse bite.</t>
  </si>
  <si>
    <t xml:space="preserve">333579</t>
  </si>
  <si>
    <t xml:space="preserve">TA: NOT AVAILABLE ON FLOOR.</t>
  </si>
  <si>
    <t xml:space="preserve">[Code: 24566A] TA: Diplay krtay waqt box may say damaged nikla</t>
  </si>
  <si>
    <t xml:space="preserve">24566A</t>
  </si>
  <si>
    <t xml:space="preserve">[Code: 46BCGH] TA: Box May say damaged nikla display krtay wqt.</t>
  </si>
  <si>
    <t xml:space="preserve">46BCGH</t>
  </si>
  <si>
    <t xml:space="preserve">[Code: 34446A] TA:  Found in Loose condition during sorting</t>
  </si>
  <si>
    <t xml:space="preserve">34446A</t>
  </si>
  <si>
    <t xml:space="preserve">[Code: 233458] TA: found in loose condition during sorting.</t>
  </si>
  <si>
    <t xml:space="preserve">233458</t>
  </si>
  <si>
    <t xml:space="preserve">[Code: 28AGHL] TA: Found loose during sorting.</t>
  </si>
  <si>
    <t xml:space="preserve">28AGHL</t>
  </si>
  <si>
    <t xml:space="preserve">446b7945-0903-4143-804b-79769ad0280b</t>
  </si>
  <si>
    <t xml:space="preserve">Engro Olpers Milk x8 Carton 1.5L</t>
  </si>
  <si>
    <t xml:space="preserve">[Code: 2348AA] TA; 1unit Damage found during sorting (Unit me one piece leak he )</t>
  </si>
  <si>
    <t xml:space="preserve">2348AA</t>
  </si>
  <si>
    <t xml:space="preserve">19e5dc4d-029c-48c4-ac76-f5a2b0735223</t>
  </si>
  <si>
    <t xml:space="preserve">Top Pizza Flour 10kg</t>
  </si>
  <si>
    <t xml:space="preserve">[Code: 39ACFG] [Expiry: 12 Jul, 2023] AR : short expiry </t>
  </si>
  <si>
    <t xml:space="preserve">39ACFG</t>
  </si>
  <si>
    <t xml:space="preserve">12 Jul, 2023</t>
  </si>
  <si>
    <t xml:space="preserve">4df466f2-5062-4b23-a5b8-e471d0f47b18</t>
  </si>
  <si>
    <t xml:space="preserve">Engro Tarang Liquid Tea Whitener x24 Crate 175ml</t>
  </si>
  <si>
    <t xml:space="preserve">Tarang</t>
  </si>
  <si>
    <t xml:space="preserve">[Code: 344CCF] TA: ulli lagi hay leak honay ki wajah say.</t>
  </si>
  <si>
    <t xml:space="preserve">344CCF</t>
  </si>
  <si>
    <t xml:space="preserve">[Code: 5668AA] TA: Found looase and empty bottels </t>
  </si>
  <si>
    <t xml:space="preserve">5668AA</t>
  </si>
  <si>
    <t xml:space="preserve">[Code: 35689A] TA:Found in Loose condition during sorting.</t>
  </si>
  <si>
    <t xml:space="preserve">35689A</t>
  </si>
  <si>
    <t xml:space="preserve">[Code: 44667A] TA: 1 unit Damage found (stock sy lose bottel mili hain )</t>
  </si>
  <si>
    <t xml:space="preserve">44667A</t>
  </si>
  <si>
    <t xml:space="preserve">[Code: 555566] TA: 1 unit Damage found (stock sy lose bottel mili hain</t>
  </si>
  <si>
    <t xml:space="preserve">555566</t>
  </si>
  <si>
    <t xml:space="preserve">fad25572-0a15-41d0-8d58-dacc5ffc316c</t>
  </si>
  <si>
    <t xml:space="preserve">National Mango Jam 200g</t>
  </si>
  <si>
    <t xml:space="preserve">[Code: 24ADEF] TA: Box May say damaged nikla.</t>
  </si>
  <si>
    <t xml:space="preserve">24ADEF</t>
  </si>
  <si>
    <t xml:space="preserve">[Code: 44AACD] TA: box may say damage nikla display krtay waqt.</t>
  </si>
  <si>
    <t xml:space="preserve">44AACD</t>
  </si>
  <si>
    <t xml:space="preserve">[Code: 249BBB] TA:Dispaly krtay waqt box may say damaged nikla(Company end issue)</t>
  </si>
  <si>
    <t xml:space="preserve">249BBB</t>
  </si>
  <si>
    <t xml:space="preserve">d63ab6cc-42d2-4109-b73f-680b703c1db4</t>
  </si>
  <si>
    <t xml:space="preserve">Ariel Original Surf 500g Rs325</t>
  </si>
  <si>
    <t xml:space="preserve">[Code: 234789] TA: box may say damaged nikla </t>
  </si>
  <si>
    <t xml:space="preserve">234789</t>
  </si>
  <si>
    <t xml:space="preserve">399be4c6-65e9-4f9f-96f8-5dd01114c885</t>
  </si>
  <si>
    <t xml:space="preserve">Express power 1kg Rs450</t>
  </si>
  <si>
    <t xml:space="preserve">Express Surf</t>
  </si>
  <si>
    <t xml:space="preserve">[Code: 37AFFH] TA: box may say damaged nikla .</t>
  </si>
  <si>
    <t xml:space="preserve">37AFFH</t>
  </si>
  <si>
    <t xml:space="preserve">fe1e8ada-86a8-4ffb-aca1-c0717a4122d2</t>
  </si>
  <si>
    <t xml:space="preserve">Super Blue Liquid 150ml</t>
  </si>
  <si>
    <t xml:space="preserve">Super</t>
  </si>
  <si>
    <t xml:space="preserve">[Code: 334469] TA: BOX may sayy damaged nikla.</t>
  </si>
  <si>
    <t xml:space="preserve">334469</t>
  </si>
  <si>
    <t xml:space="preserve">e9c0a6e9-1dec-4df5-baa2-e4de53214163</t>
  </si>
  <si>
    <t xml:space="preserve">Head and Shoulders Classic Clean Shampoo 75ml Rs220</t>
  </si>
  <si>
    <t xml:space="preserve">[Code: 335556] TA:BOx may say damaged nikla display krtay waqt.</t>
  </si>
  <si>
    <t xml:space="preserve">335556</t>
  </si>
  <si>
    <t xml:space="preserve">[Code: 457CEJ] TA: Found in loose condition during sorting</t>
  </si>
  <si>
    <t xml:space="preserve">457CEJ</t>
  </si>
  <si>
    <t xml:space="preserve">[Code: 24899A] ZA: Stock Removed due to Quality Issue</t>
  </si>
  <si>
    <t xml:space="preserve">24899A</t>
  </si>
  <si>
    <t xml:space="preserve">a7d2470b-2460-44b6-8f69-725c45d4b7f9</t>
  </si>
  <si>
    <t xml:space="preserve">Sultan Banaspati Ghee 5kg Tin Rs2740</t>
  </si>
  <si>
    <t xml:space="preserve">[Code: 57AACE] ZA: Stock found damage on floor during Audit</t>
  </si>
  <si>
    <t xml:space="preserve">57AACE</t>
  </si>
  <si>
    <t xml:space="preserve">fb5a1ad6-8f33-4e97-8f4e-2270ac3d6ff0</t>
  </si>
  <si>
    <t xml:space="preserve">Peek Freans Sooper Biscuits Snack Pack 16pcs Rs15</t>
  </si>
  <si>
    <t xml:space="preserve">TA: Not Available in floor (Night Audit)</t>
  </si>
  <si>
    <t xml:space="preserve">b7ba5d29-7122-4903-a7c5-21040b23784c</t>
  </si>
  <si>
    <t xml:space="preserve">Shangrila Chilli Garlic Sauce x6 Bundle 70g</t>
  </si>
  <si>
    <t xml:space="preserve">[Code: 222CFG] TA: Found damaged from box during display.</t>
  </si>
  <si>
    <t xml:space="preserve">222CFG</t>
  </si>
  <si>
    <t xml:space="preserve">[Code: 357AHK] TA: quality sahi nahi hay(Fungus lagi hay)</t>
  </si>
  <si>
    <t xml:space="preserve">357AHK</t>
  </si>
  <si>
    <t xml:space="preserve">[Code: 233578] 01 unit has quality issue (Content Spoiled)</t>
  </si>
  <si>
    <t xml:space="preserve">233578</t>
  </si>
  <si>
    <t xml:space="preserve">b223382d-8a2b-4732-988a-47b072256252</t>
  </si>
  <si>
    <t xml:space="preserve">Bio Amla Shampoo 280ml Rs300</t>
  </si>
  <si>
    <t xml:space="preserve">Bio Amla</t>
  </si>
  <si>
    <t xml:space="preserve">[Code: 2489GK] TA: found empty botel from box during display.</t>
  </si>
  <si>
    <t xml:space="preserve">2489GK</t>
  </si>
  <si>
    <t xml:space="preserve">[Code: 34ABDD] [Expiry: 5 Jul, 2023] 576 units removed due to misprint of expiry date</t>
  </si>
  <si>
    <t xml:space="preserve">34ABDD</t>
  </si>
  <si>
    <t xml:space="preserve">5 Jul, 2023</t>
  </si>
  <si>
    <t xml:space="preserve">90f9d692-0595-469e-a8a1-d4c4335cc3b4</t>
  </si>
  <si>
    <t xml:space="preserve">Kolson Jam Hearts Lemon Cream Biscuits Bar Pack 12pcs Rs15</t>
  </si>
  <si>
    <t xml:space="preserve">[Code: 568899] [Expiry: 17 Jul, 2023] AR: Stock Expiry stock</t>
  </si>
  <si>
    <t xml:space="preserve">568899</t>
  </si>
  <si>
    <t xml:space="preserve">17 Jul, 2023</t>
  </si>
  <si>
    <t xml:space="preserve">5a3fa3ee-6f77-4747-96ae-dfa7c713c02c</t>
  </si>
  <si>
    <t xml:space="preserve">National Mango Jam 440g</t>
  </si>
  <si>
    <t xml:space="preserve">[Code: 3589AB] TA; 1unit Damage Found during Sorting</t>
  </si>
  <si>
    <t xml:space="preserve">3589AB</t>
  </si>
  <si>
    <t xml:space="preserve">e704339c-42c0-48de-92ab-39348129ef53</t>
  </si>
  <si>
    <t xml:space="preserve">7up plastic 1L</t>
  </si>
  <si>
    <t xml:space="preserve">[Code: 3668GG] TA: empty bottels found from pet during sorting.</t>
  </si>
  <si>
    <t xml:space="preserve">3668GG</t>
  </si>
  <si>
    <t xml:space="preserve">[Code: 577DGL] TA: Found in loose condition during Loading</t>
  </si>
  <si>
    <t xml:space="preserve">577DGL</t>
  </si>
  <si>
    <t xml:space="preserve">[Code: 6BCDEE]  TA: Found in loose and empty bottels during sorting.</t>
  </si>
  <si>
    <t xml:space="preserve">6BCDEE</t>
  </si>
  <si>
    <t xml:space="preserve">[Code: 9ABDHP]  TA: Found in loose condition during sorting</t>
  </si>
  <si>
    <t xml:space="preserve">9ABDHP</t>
  </si>
  <si>
    <t xml:space="preserve">91b8b9c1-7e40-45bd-8bc6-e6126047f1d6</t>
  </si>
  <si>
    <t xml:space="preserve">Al-Munawar Zahedi Dates 500g</t>
  </si>
  <si>
    <t xml:space="preserve">TA; the sku not avilable </t>
  </si>
  <si>
    <t xml:space="preserve">7c2b8ffc-a709-4cae-922c-ba2811c9531f</t>
  </si>
  <si>
    <t xml:space="preserve">Chill Up Salted Lemon Can x12 Crate 250ml</t>
  </si>
  <si>
    <t xml:space="preserve">Chill Up</t>
  </si>
  <si>
    <t xml:space="preserve">[Code: 35578A] TA:Found few bottels damaged during sorting.</t>
  </si>
  <si>
    <t xml:space="preserve">35578A</t>
  </si>
  <si>
    <t xml:space="preserve">0eac6d2f-01cf-4c5c-b580-2e1371626413</t>
  </si>
  <si>
    <t xml:space="preserve">Kolson Jam Hearts Strawberry and Vanilla Biscuits Snack Pack 6pcs Rs30</t>
  </si>
  <si>
    <t xml:space="preserve">[Code: 278FFJ] [Expiry: 4 Aug, 2023] AR: Stock removed due to short Expiry</t>
  </si>
  <si>
    <t xml:space="preserve">278FFJ</t>
  </si>
  <si>
    <t xml:space="preserve">4 Aug, 2023</t>
  </si>
  <si>
    <t xml:space="preserve">[Code: 33689A] TA:bag may say damaged nikla display k doran.</t>
  </si>
  <si>
    <t xml:space="preserve">33689A</t>
  </si>
  <si>
    <t xml:space="preserve">[Code: 678ADD] TA:bag may say damaged niklay display k doran.</t>
  </si>
  <si>
    <t xml:space="preserve">678ADD</t>
  </si>
  <si>
    <t xml:space="preserve">baa38c91-1e0b-4e3a-a7a6-8e660f88175a</t>
  </si>
  <si>
    <t xml:space="preserve">Candyland Yums Sour Rs10 (Green)</t>
  </si>
  <si>
    <t xml:space="preserve">TA; The requried sku not found</t>
  </si>
  <si>
    <t xml:space="preserve">[Code: 299BDE] TA: Aik unit ki quality sahi nahi thi or 5 units floor pr available nahi thay...</t>
  </si>
  <si>
    <t xml:space="preserve">299BDE</t>
  </si>
  <si>
    <t xml:space="preserve">671572b4-dd58-442e-8057-59bc8f59fb09</t>
  </si>
  <si>
    <t xml:space="preserve">Quality Grains Daal Mash Wash 1kg</t>
  </si>
  <si>
    <t xml:space="preserve">[Code: 679AAA] TA: aik unit para hay lakin quality  sahi nahi or 5 unit floor pr available nahi hay.</t>
  </si>
  <si>
    <t xml:space="preserve">679AAA</t>
  </si>
  <si>
    <t xml:space="preserve">[Code: 22255A]   TA: Found in loose and empty bottels during sorting.</t>
  </si>
  <si>
    <t xml:space="preserve">22255A</t>
  </si>
  <si>
    <t xml:space="preserve">c227111f-6b7d-4366-aa4b-32e58cf5a1f6</t>
  </si>
  <si>
    <t xml:space="preserve">Sherdil White Chana Mota 500g</t>
  </si>
  <si>
    <t xml:space="preserve">[Code: 244888] TA: quality sahi nahi hay ulli lagi hay chano may.</t>
  </si>
  <si>
    <t xml:space="preserve">244888</t>
  </si>
  <si>
    <t xml:space="preserve">5398c7c5-109d-4225-97cb-0237bb7c8aed</t>
  </si>
  <si>
    <t xml:space="preserve">Mountain Dew plastic 345ml (Other city stock)</t>
  </si>
  <si>
    <t xml:space="preserve">[Code: 457BBC] [Expiry: 31 Jul, 2023] 264 units having Short expiry</t>
  </si>
  <si>
    <t xml:space="preserve">457BBC</t>
  </si>
  <si>
    <t xml:space="preserve">31 Jul, 2023</t>
  </si>
  <si>
    <t xml:space="preserve">2953fe5f-00e3-4ab4-83b9-39d0133c3ce6</t>
  </si>
  <si>
    <t xml:space="preserve">Peek Freans Zeera Click Biscuits Half Roll Rs40</t>
  </si>
  <si>
    <t xml:space="preserve">[Code: 667EGJ] [Expiry: 31 Jul, 2023] AR : 39 selling unit found near expire</t>
  </si>
  <si>
    <t xml:space="preserve">667EGJ</t>
  </si>
  <si>
    <t xml:space="preserve">[Code: 24DGHJ] TA: 4 bottels found loose during sorting.</t>
  </si>
  <si>
    <t xml:space="preserve">24DGHJ</t>
  </si>
  <si>
    <t xml:space="preserve">7f12f4f8-6be0-4afc-98a9-afca65a480b4</t>
  </si>
  <si>
    <t xml:space="preserve">Sherdil Daal Moong Wash 5kg</t>
  </si>
  <si>
    <t xml:space="preserve">[Code: 24577A] 1 unit found damaged due to fungus</t>
  </si>
  <si>
    <t xml:space="preserve">24577A</t>
  </si>
  <si>
    <t xml:space="preserve">[Code: 334779] 4 units found damaged due to fungus</t>
  </si>
  <si>
    <t xml:space="preserve">334779</t>
  </si>
  <si>
    <t xml:space="preserve">[Code: 567788] 1 unit found damaged due to insects (Quality Issue0</t>
  </si>
  <si>
    <t xml:space="preserve">567788</t>
  </si>
  <si>
    <t xml:space="preserve">[Code: 5779EF] 2 units damaged due to due to insects (Quality Issue)</t>
  </si>
  <si>
    <t xml:space="preserve">5779EF</t>
  </si>
  <si>
    <t xml:space="preserve">[Code: 58CHHJ] 181 units damaged due to fungus</t>
  </si>
  <si>
    <t xml:space="preserve">58CHHJ</t>
  </si>
  <si>
    <t xml:space="preserve">[Code: 36ACEE] TA: bag may say damaged milay display k doran.</t>
  </si>
  <si>
    <t xml:space="preserve">36ACEE</t>
  </si>
  <si>
    <t xml:space="preserve">5c5c14c0-1835-4730-97c8-c60574b0a2d5</t>
  </si>
  <si>
    <t xml:space="preserve">Surf Excel x6 bundle 95g Rs50</t>
  </si>
  <si>
    <t xml:space="preserve">[Code: 347ACD] TA: bag may say damaged mila display karnay kay doran.</t>
  </si>
  <si>
    <t xml:space="preserve">347ACD</t>
  </si>
  <si>
    <t xml:space="preserve">48d86c7f-335c-4978-b5da-a55e35053778</t>
  </si>
  <si>
    <t xml:space="preserve">Surf Excel x6 bundle 35g Rs20</t>
  </si>
  <si>
    <t xml:space="preserve">[Code: 4589AD] TA: bag may say damaged milay display krnay kay doran.</t>
  </si>
  <si>
    <t xml:space="preserve">4589AD</t>
  </si>
  <si>
    <t xml:space="preserve">[Code: 6889BC] TA: Found in loose and empty bottels during sorting.</t>
  </si>
  <si>
    <t xml:space="preserve">6889BC</t>
  </si>
  <si>
    <t xml:space="preserve">[Code: 24567C] TA: Found loose bottles During Sorting(Company end issue)</t>
  </si>
  <si>
    <t xml:space="preserve">24567C</t>
  </si>
  <si>
    <t xml:space="preserve">[Code: 356AEG] TA:Found Loose bottels during sorting.(Company end issue)</t>
  </si>
  <si>
    <t xml:space="preserve">356AEG</t>
  </si>
  <si>
    <t xml:space="preserve">1416169c-68df-4f79-9126-fe301e8ac9d9</t>
  </si>
  <si>
    <t xml:space="preserve">Sprite Plastic 2.25L (Jumbo)</t>
  </si>
  <si>
    <t xml:space="preserve">[Code: 5688AA] TA: Found in loose and empty bottels during sorting.</t>
  </si>
  <si>
    <t xml:space="preserve">5688AA</t>
  </si>
  <si>
    <t xml:space="preserve">[Code: 67CCGH] TA: 4 bottels Found Loose during Sorting.(Company end issue)</t>
  </si>
  <si>
    <t xml:space="preserve">67CCGH</t>
  </si>
  <si>
    <t xml:space="preserve">[Code: 669BCE] TA: bag may say damaged mila.</t>
  </si>
  <si>
    <t xml:space="preserve">669BCE</t>
  </si>
  <si>
    <t xml:space="preserve">abcf8988-e2e3-45c6-9460-b69fac4fd0e1</t>
  </si>
  <si>
    <t xml:space="preserve">Bonus tristar yellow surf 1kg Rs220</t>
  </si>
  <si>
    <t xml:space="preserve">[Code: 2357AB] TA: bag may say damaged nikla display krtay waqt.</t>
  </si>
  <si>
    <t xml:space="preserve">2357AB</t>
  </si>
  <si>
    <t xml:space="preserve">138f860f-6230-442e-9fbc-5d3c54065f1e</t>
  </si>
  <si>
    <t xml:space="preserve">Pepsi plastic 1L</t>
  </si>
  <si>
    <t xml:space="preserve">Pepsi</t>
  </si>
  <si>
    <t xml:space="preserve">[Code: 345677] TA: Found in loose and Empty bottels during sorting.</t>
  </si>
  <si>
    <t xml:space="preserve">345677</t>
  </si>
  <si>
    <t xml:space="preserve">[Code: 689ACE]  TA: Found loose bottles During Sorting(Company end issue)</t>
  </si>
  <si>
    <t xml:space="preserve">689ACE</t>
  </si>
  <si>
    <t xml:space="preserve">[Code: 222457]  TA: Found in loose and empty bottels during sorting.</t>
  </si>
  <si>
    <t xml:space="preserve">222457</t>
  </si>
  <si>
    <t xml:space="preserve">08c91743-6dd7-4879-95b9-a808ee0d28cd</t>
  </si>
  <si>
    <t xml:space="preserve">Bisconni Chocolatto Filled Biscuits 8pcs Rs30</t>
  </si>
  <si>
    <t xml:space="preserve">[Code: 478899] TA: 3 Units less in floor(Night audit).</t>
  </si>
  <si>
    <t xml:space="preserve">478899</t>
  </si>
  <si>
    <t xml:space="preserve">4f93819e-18b1-4234-b206-d6b3121ef80c</t>
  </si>
  <si>
    <t xml:space="preserve">Giggly Opus Bar Caramel Filled Chocolate 15Pcs Rs10 (caramel bar)</t>
  </si>
  <si>
    <t xml:space="preserve">[Code: 599BEF] TA: Found damaged from rack and few pieces are missing from the box.</t>
  </si>
  <si>
    <t xml:space="preserve">599BEF</t>
  </si>
  <si>
    <t xml:space="preserve">cba4160d-2426-4f0a-86e5-206cc7183440</t>
  </si>
  <si>
    <t xml:space="preserve">Ultra Pure Dish Wash Liquid 1000ml Rs350</t>
  </si>
  <si>
    <t xml:space="preserve">Ultra Pure</t>
  </si>
  <si>
    <t xml:space="preserve">[Code: 66777A] 01 unit found cap damaged </t>
  </si>
  <si>
    <t xml:space="preserve">66777A</t>
  </si>
  <si>
    <t xml:space="preserve">[Code: 689DHJ] TA: found damaged during display.</t>
  </si>
  <si>
    <t xml:space="preserve">689DHJ</t>
  </si>
  <si>
    <t xml:space="preserve">[Code: 2668DD] TA: found in damaged from bag during display.</t>
  </si>
  <si>
    <t xml:space="preserve">2668DD</t>
  </si>
  <si>
    <t xml:space="preserve">379bf168-787d-41f8-b497-a8cc19cbb48e</t>
  </si>
  <si>
    <t xml:space="preserve">Super Shaheen Atta 10kg</t>
  </si>
  <si>
    <t xml:space="preserve">Khalid Flour &amp; General Mills</t>
  </si>
  <si>
    <t xml:space="preserve">[Code: ADFFGH] TA:quality sahi nahi hay.(Fungus lagi hay).</t>
  </si>
  <si>
    <t xml:space="preserve">ADFFGH</t>
  </si>
  <si>
    <t xml:space="preserve">76cbd286-ec03-4842-a510-1302d929540b</t>
  </si>
  <si>
    <t xml:space="preserve">A One Fine Atta 15kg</t>
  </si>
  <si>
    <t xml:space="preserve">A One Atta</t>
  </si>
  <si>
    <t xml:space="preserve">[Code: 69AFGG] TA:quality sahi nahi hay (fangus laga hay.)</t>
  </si>
  <si>
    <t xml:space="preserve">69AFGG</t>
  </si>
  <si>
    <t xml:space="preserve">e9ed0c29-a010-4faa-8134-f48eaaca8f25</t>
  </si>
  <si>
    <t xml:space="preserve">Crown Chakki Atta 5kg</t>
  </si>
  <si>
    <t xml:space="preserve">Crown Chakki Atta</t>
  </si>
  <si>
    <t xml:space="preserve">[Code: 23889C] TA: fangus lagi hay. quality issue(company end)</t>
  </si>
  <si>
    <t xml:space="preserve">23889C</t>
  </si>
  <si>
    <t xml:space="preserve">c5f28882-1e06-4a8e-9655-5fb37e9446a2</t>
  </si>
  <si>
    <t xml:space="preserve">Dove Intense Repair Shampoo 175ml Rs450</t>
  </si>
  <si>
    <t xml:space="preserve">Dove</t>
  </si>
  <si>
    <t xml:space="preserve">[Code: 347889] TA: box may day damage mila(Leak hua hay cap open haoay k wajah say).</t>
  </si>
  <si>
    <t xml:space="preserve">347889</t>
  </si>
  <si>
    <t xml:space="preserve">db2a9e21-31e6-49fe-af06-a1ebbfaf94f6</t>
  </si>
  <si>
    <t xml:space="preserve">Al-Munawar Garam Masala Powder 1kg</t>
  </si>
  <si>
    <t xml:space="preserve">[Code: 2558AB] 14 units found and have quality issue</t>
  </si>
  <si>
    <t xml:space="preserve">2558AB</t>
  </si>
  <si>
    <t xml:space="preserve">c32c9268-2957-4ca1-b416-07784f269da3</t>
  </si>
  <si>
    <t xml:space="preserve">Al-Munawar Dar Cheeni 500g</t>
  </si>
  <si>
    <t xml:space="preserve">[Code: 2349DF] 14 units have quality issue </t>
  </si>
  <si>
    <t xml:space="preserve">2349DF</t>
  </si>
  <si>
    <t xml:space="preserve">621dbd60-720f-4ade-92c4-b3749f55891a</t>
  </si>
  <si>
    <t xml:space="preserve">Al-Munawar Chaat Masala 500g</t>
  </si>
  <si>
    <t xml:space="preserve">[Code: 34566C] 13 units have quality issue</t>
  </si>
  <si>
    <t xml:space="preserve">34566C</t>
  </si>
  <si>
    <t xml:space="preserve">5851e843-65c8-4b68-ac1c-432ad2be8ea2</t>
  </si>
  <si>
    <t xml:space="preserve">Candyland Paradise Chocolate 12pcs Rs10</t>
  </si>
  <si>
    <t xml:space="preserve">TA: Less due to brand exchange.(one carton or 18 units are available of paradise Rs.5)</t>
  </si>
  <si>
    <t xml:space="preserve">23294e84-86d3-4867-bf69-7035fbfaef59</t>
  </si>
  <si>
    <t xml:space="preserve">Bisconni Nice Biscuit 16pcs Rs15</t>
  </si>
  <si>
    <t xml:space="preserve">[Code: 335ACE] TA:found damaged on floor. </t>
  </si>
  <si>
    <t xml:space="preserve">335ACE</t>
  </si>
  <si>
    <t xml:space="preserve">[Code: ABDFKL] TA: found damaged during sorting</t>
  </si>
  <si>
    <t xml:space="preserve">ABDFKL</t>
  </si>
  <si>
    <t xml:space="preserve">8af448e7-ff6d-4e39-a837-4e923e99504e</t>
  </si>
  <si>
    <t xml:space="preserve">Murree Brewery Bigg Apple Plastic x6 Crate 1L (One Liter)</t>
  </si>
  <si>
    <t xml:space="preserve">[Code: 3ACCCE] TA: found loose during sorting.</t>
  </si>
  <si>
    <t xml:space="preserve">3ACCCE</t>
  </si>
  <si>
    <t xml:space="preserve">b1d42907-2b09-4bde-b14c-0f346545bf6e</t>
  </si>
  <si>
    <t xml:space="preserve">National Mixed Pickle 400g</t>
  </si>
  <si>
    <t xml:space="preserve">[Code: 355668] 01 unit found damaged</t>
  </si>
  <si>
    <t xml:space="preserve">a77e7abe-7b3d-461d-917c-4e23bdad2720</t>
  </si>
  <si>
    <t xml:space="preserve">Engro Olpers Chocolate Flavored Milk x24 180mL</t>
  </si>
  <si>
    <t xml:space="preserve">[Code: 44579A] [Expiry: 13 Aug, 2023] 56 selling unit found short expiry</t>
  </si>
  <si>
    <t xml:space="preserve">44579A</t>
  </si>
  <si>
    <t xml:space="preserve">13 Aug, 2023</t>
  </si>
  <si>
    <t xml:space="preserve">[Code: 246FJK] TA: found damaged from box during display.</t>
  </si>
  <si>
    <t xml:space="preserve">246FJK</t>
  </si>
  <si>
    <t xml:space="preserve">8e8e98e4-a24b-4c87-acfe-8360eed46321</t>
  </si>
  <si>
    <t xml:space="preserve">Ultra Pure Amla Shampoo Herbal 500ml Rs450</t>
  </si>
  <si>
    <t xml:space="preserve">[Code: 3577BD] TA:found damaged from box during display....</t>
  </si>
  <si>
    <t xml:space="preserve">3577BD</t>
  </si>
  <si>
    <t xml:space="preserve">TA: Mistakenly double lived in audit.</t>
  </si>
  <si>
    <t xml:space="preserve">de8d9d67-55e7-41cc-a256-7ae18bd528aa</t>
  </si>
  <si>
    <t xml:space="preserve">Yadgar Whole Wheat Atta 10kg</t>
  </si>
  <si>
    <t xml:space="preserve">[Code: 2489CC] [Expiry: 10 Sep, 2023] 45 units found damaged due to susri</t>
  </si>
  <si>
    <t xml:space="preserve">2489CC</t>
  </si>
  <si>
    <t xml:space="preserve">10 Sep, 2023</t>
  </si>
  <si>
    <t xml:space="preserve">[Code: 22456C] [Expiry: 10 Aug, 2023] 3 units expire in next month</t>
  </si>
  <si>
    <t xml:space="preserve">22456C</t>
  </si>
  <si>
    <t xml:space="preserve">10 Aug, 2023</t>
  </si>
  <si>
    <t xml:space="preserve">e2b23a59-5b91-40c2-99b0-67c3e3509d5d</t>
  </si>
  <si>
    <t xml:space="preserve">Yadgar Whole Wheat Atta 5kg</t>
  </si>
  <si>
    <t xml:space="preserve">[Code: 57899A] [Expiry: 10 Aug, 2023] 58 units expire in next month</t>
  </si>
  <si>
    <t xml:space="preserve">57899A</t>
  </si>
  <si>
    <t xml:space="preserve">9ebce01f-fcea-44e5-9f2d-4acec2b54956</t>
  </si>
  <si>
    <t xml:space="preserve">Yadgar Maida 1kg</t>
  </si>
  <si>
    <t xml:space="preserve">[Code: 222359] [Expiry: 8 Aug, 2023] 25 units expire in next month</t>
  </si>
  <si>
    <t xml:space="preserve">222359</t>
  </si>
  <si>
    <t xml:space="preserve">8 Aug, 2023</t>
  </si>
  <si>
    <t xml:space="preserve">[Code: 6ABDEG] TA: Found in loose condition during sorting.</t>
  </si>
  <si>
    <t xml:space="preserve">6ABDEG</t>
  </si>
  <si>
    <t xml:space="preserve">2a7fb319-7f21-4145-a915-5d8177e531d9</t>
  </si>
  <si>
    <t xml:space="preserve">Fruita Vitals Red Grape x24 Crate 200mL Rs57</t>
  </si>
  <si>
    <t xml:space="preserve">Fruita Vitals</t>
  </si>
  <si>
    <t xml:space="preserve">[Code: 233559] [Expiry: 21 Aug, 2023] AR: short expiry stock </t>
  </si>
  <si>
    <t xml:space="preserve">233559</t>
  </si>
  <si>
    <t xml:space="preserve">21 Aug, 2023</t>
  </si>
  <si>
    <t xml:space="preserve">[Code: 2678FG] [Expiry: 21 Aug, 2023] AR: Short date stock</t>
  </si>
  <si>
    <t xml:space="preserve">2678FG</t>
  </si>
  <si>
    <t xml:space="preserve">[Code: 22558A] TA: found in loose condition during sorting.</t>
  </si>
  <si>
    <t xml:space="preserve">22558A</t>
  </si>
  <si>
    <t xml:space="preserve">a46be111-2a99-4b29-8a75-aa691efd5217</t>
  </si>
  <si>
    <t xml:space="preserve">Sting Berry Blast plastic 500ml (Half Liter)</t>
  </si>
  <si>
    <t xml:space="preserve">[Code: 3BDEGJ] TA:found in loose condition during sorting.</t>
  </si>
  <si>
    <t xml:space="preserve">3BDEGJ</t>
  </si>
  <si>
    <t xml:space="preserve">60e2bb1e-d374-4b6c-82f1-86fc0c5cdcdb</t>
  </si>
  <si>
    <t xml:space="preserve">Fruita Vitals Red Grape 1L Rs313</t>
  </si>
  <si>
    <t xml:space="preserve">[Code: 5ACDEG] [Expiry: 6 Aug, 2023] ZA: Stock removed due to short expiry.</t>
  </si>
  <si>
    <t xml:space="preserve">5ACDEG</t>
  </si>
  <si>
    <t xml:space="preserve">6 Aug, 2023</t>
  </si>
  <si>
    <t xml:space="preserve">7a49cdfe-e3d6-492c-a939-6352fb823dea</t>
  </si>
  <si>
    <t xml:space="preserve">Guard Tukra Basmati Rice 1kg Rs290</t>
  </si>
  <si>
    <t xml:space="preserve">[Code: 223556] 20 units found damaged due to susri</t>
  </si>
  <si>
    <t xml:space="preserve">223556</t>
  </si>
  <si>
    <t xml:space="preserve">fa16ff05-7be7-427a-9ef8-07f7e7540a1c</t>
  </si>
  <si>
    <t xml:space="preserve">Guard Super Kernel Rice 5kg Rs2245</t>
  </si>
  <si>
    <t xml:space="preserve">[Code: 2459AB] 8 units found damaged due to susri</t>
  </si>
  <si>
    <t xml:space="preserve">2459AB</t>
  </si>
  <si>
    <t xml:space="preserve">8be8f800-b90e-46d0-a0d0-62a2d626bda3</t>
  </si>
  <si>
    <t xml:space="preserve">Arsh Aromatic Basmati Rice 5kg Rs2050</t>
  </si>
  <si>
    <t xml:space="preserve">Arsh</t>
  </si>
  <si>
    <t xml:space="preserve">[Code: 3478AA] 5 units found damaged due to susri</t>
  </si>
  <si>
    <t xml:space="preserve">3478AA</t>
  </si>
  <si>
    <t xml:space="preserve">8e69544a-1546-48c7-8f7e-4a74280deb6d</t>
  </si>
  <si>
    <t xml:space="preserve">Guard Awami Basmati Rice 5kg Rs1490</t>
  </si>
  <si>
    <t xml:space="preserve">[Code: 35789C] 2 units found damaged due to susri</t>
  </si>
  <si>
    <t xml:space="preserve">35789C</t>
  </si>
  <si>
    <t xml:space="preserve">0feb230b-0301-42b3-9770-9b79ac4135fc</t>
  </si>
  <si>
    <t xml:space="preserve">Pepsi plastic 1.5L (Other city stock)</t>
  </si>
  <si>
    <t xml:space="preserve">[Code: 79BEHH] TA: Found in loose condition during sorting.</t>
  </si>
  <si>
    <t xml:space="preserve">79BEHH</t>
  </si>
  <si>
    <t xml:space="preserve">79e6d840-1b66-4011-9fc4-d33bc5d08f50</t>
  </si>
  <si>
    <t xml:space="preserve">Pepsi plastic 1L (Other city stock)</t>
  </si>
  <si>
    <t xml:space="preserve">TA: Not available...(Night audit)</t>
  </si>
  <si>
    <t xml:space="preserve">[Code: 6789AD] TA: found in loose condition and some empty bottel.</t>
  </si>
  <si>
    <t xml:space="preserve">6789AD</t>
  </si>
  <si>
    <t xml:space="preserve">671abd0a-6903-4fba-9ed6-f5cfd6efc7de</t>
  </si>
  <si>
    <t xml:space="preserve">Sherdil Khopra Powder 100g</t>
  </si>
  <si>
    <t xml:space="preserve">TA: brand exchange company end say...uper khopra likha magr packet kay undr ispagol hay.</t>
  </si>
  <si>
    <t xml:space="preserve">f0ad7b4e-0679-4e5d-ba61-adcde994ff43</t>
  </si>
  <si>
    <t xml:space="preserve">Kolson U Shape Vermicelli x12 Bundle 140g</t>
  </si>
  <si>
    <t xml:space="preserve">TA: Not Available on the floor.</t>
  </si>
  <si>
    <t xml:space="preserve">17aa7ddd-01de-4d8c-a111-7f60217ccdd6</t>
  </si>
  <si>
    <t xml:space="preserve">Fair and Lovely Advanced Multi Vitamin Fairness Cream x3 Bundle 25g Rs199</t>
  </si>
  <si>
    <t xml:space="preserve">TA: Not Available on the florr.</t>
  </si>
  <si>
    <t xml:space="preserve">3d8ceafe-422d-42ad-8d8f-f606dafa6270</t>
  </si>
  <si>
    <t xml:space="preserve">Hilal Eclairs Candy 50pcs Rs2.5</t>
  </si>
  <si>
    <t xml:space="preserve">AR: temp remove</t>
  </si>
  <si>
    <t xml:space="preserve">aimen.rafique@tajir-app.com</t>
  </si>
  <si>
    <t xml:space="preserve">Aimen Rafique</t>
  </si>
  <si>
    <t xml:space="preserve">db1281d2-b45b-4883-8f8c-596859595064</t>
  </si>
  <si>
    <t xml:space="preserve">Swadi Surkh Mirch Pissi Hoi 5kg</t>
  </si>
  <si>
    <t xml:space="preserve">[Code: 569AAB] [Expiry: 20 May, 2023] TA; 1 unit found  Expire ( date 20/5/2023)</t>
  </si>
  <si>
    <t xml:space="preserve">569AAB</t>
  </si>
  <si>
    <t xml:space="preserve">20 May, 2023</t>
  </si>
  <si>
    <t xml:space="preserve">[Code: 49BBHJ] TA: loose bottels found during sorting.</t>
  </si>
  <si>
    <t xml:space="preserve">49BBHJ</t>
  </si>
  <si>
    <t xml:space="preserve">248ab271-a514-46ab-93f3-d3f1c3c30c09</t>
  </si>
  <si>
    <t xml:space="preserve">Hiba's Collection Aloe Vera Face Wash 100mL (Sensitive Skin)</t>
  </si>
  <si>
    <t xml:space="preserve">Hiba's Collection</t>
  </si>
  <si>
    <t xml:space="preserve">09ff2b51-de1a-43dc-8e0b-d66ec9177555</t>
  </si>
  <si>
    <t xml:space="preserve">Aquafina Mineral Water 1.5L </t>
  </si>
  <si>
    <t xml:space="preserve">Aquafina</t>
  </si>
  <si>
    <t xml:space="preserve">[Code: 33679A] TA: loose bottels found during sorting.</t>
  </si>
  <si>
    <t xml:space="preserve">33679A</t>
  </si>
  <si>
    <t xml:space="preserve">80b07a0a-8f60-4407-ab45-58e972cfd1dd</t>
  </si>
  <si>
    <t xml:space="preserve">Giggly Opus Square Caramel Chocolate 30pcs Box Rs5</t>
  </si>
  <si>
    <t xml:space="preserve">[Code: 446789] TA: found damaged from corton during display and few pieces are missing from the box.</t>
  </si>
  <si>
    <t xml:space="preserve">446789</t>
  </si>
  <si>
    <t xml:space="preserve">[Code: 99CFGK] TA: box may say aik piece damaged mila display kay doran.</t>
  </si>
  <si>
    <t xml:space="preserve">99CFGK</t>
  </si>
  <si>
    <t xml:space="preserve">[Code: 23677A] TA: bag may say damaged mila display kay doran.</t>
  </si>
  <si>
    <t xml:space="preserve">23677A</t>
  </si>
  <si>
    <t xml:space="preserve">[Code: 366BBC] TA; Display k doran damaged hogye hain.</t>
  </si>
  <si>
    <t xml:space="preserve">366BBC</t>
  </si>
  <si>
    <t xml:space="preserve">[Code: 27799A] TA: Quality sahi nahi hay (fangus lagi hay) </t>
  </si>
  <si>
    <t xml:space="preserve">27799A</t>
  </si>
  <si>
    <t xml:space="preserve">4ec7070e-b3be-4519-8bc9-28c4f61e0c5c</t>
  </si>
  <si>
    <t xml:space="preserve">Palmolive Healthy &amp; Smooth Shampoo 375ml Rs570</t>
  </si>
  <si>
    <t xml:space="preserve">TA: Not available on the floor.</t>
  </si>
  <si>
    <t xml:space="preserve">cc634f8e-33ec-46b5-8ea6-33ed0432f243</t>
  </si>
  <si>
    <t xml:space="preserve">Sherdil Taatri 100g</t>
  </si>
  <si>
    <t xml:space="preserve">[Code: 2789DG] [Expiry: 20 Sep, 2023] 13 units found short expriy</t>
  </si>
  <si>
    <t xml:space="preserve">2789DG</t>
  </si>
  <si>
    <t xml:space="preserve">20 Sep, 2023</t>
  </si>
  <si>
    <t xml:space="preserve">[Code: 2377HK] [Expiry: 25 Aug, 2023] 1 unit found short epxiry</t>
  </si>
  <si>
    <t xml:space="preserve">2377HK</t>
  </si>
  <si>
    <t xml:space="preserve">25 Aug, 2023</t>
  </si>
  <si>
    <t xml:space="preserve">06d6c9b1-99eb-425f-87fc-dcf844091b3c</t>
  </si>
  <si>
    <t xml:space="preserve">Sherdil Red Chili Crushed 500g</t>
  </si>
  <si>
    <t xml:space="preserve">[Code: 4577AB] [Expiry: 20 Sep, 2023] 15 units found short expiry</t>
  </si>
  <si>
    <t xml:space="preserve">4577AB</t>
  </si>
  <si>
    <t xml:space="preserve">efa208eb-1570-4637-96a6-831cf6fcd3cb</t>
  </si>
  <si>
    <t xml:space="preserve">Sherdil Red Chili Crushed 1Kg</t>
  </si>
  <si>
    <t xml:space="preserve">[Code: 224566] [Expiry: 25 Aug, 2023] 07 units found short expiry</t>
  </si>
  <si>
    <t xml:space="preserve">224566</t>
  </si>
  <si>
    <t xml:space="preserve">ef5292a1-b576-440d-a0a7-7557c23acc14</t>
  </si>
  <si>
    <t xml:space="preserve">Sherdil Masar Desi 5kg</t>
  </si>
  <si>
    <t xml:space="preserve">[Code: 223334] [Expiry: 20 Sep, 2023] 03 units expire in next month </t>
  </si>
  <si>
    <t xml:space="preserve">223334</t>
  </si>
  <si>
    <t xml:space="preserve">68e18f16-9746-430b-a32a-2b6c62dba9c3</t>
  </si>
  <si>
    <t xml:space="preserve">Sherdil Daal Mash Chilka 5kg</t>
  </si>
  <si>
    <t xml:space="preserve">[Code: 44DEFH] [Expiry: 28 Sep, 2023] 05 units expire in next month</t>
  </si>
  <si>
    <t xml:space="preserve">44DEFH</t>
  </si>
  <si>
    <t xml:space="preserve">28 Sep, 2023</t>
  </si>
  <si>
    <t xml:space="preserve">b4cfbd12-ad18-40f4-8008-44f022246aae</t>
  </si>
  <si>
    <t xml:space="preserve">Al-Munawar Besan 20kg</t>
  </si>
  <si>
    <t xml:space="preserve">[Code: 233678] 03 units having quality issue.</t>
  </si>
  <si>
    <t xml:space="preserve">233678</t>
  </si>
  <si>
    <t xml:space="preserve">TA: Not found on the floor.</t>
  </si>
  <si>
    <t xml:space="preserve">c0d23360-824d-4c04-acdb-4f5111e410d0</t>
  </si>
  <si>
    <t xml:space="preserve">Pepsi plastic 1.5L</t>
  </si>
  <si>
    <t xml:space="preserve">[Code: 25669A] TA: found in loose condition during sorting.</t>
  </si>
  <si>
    <t xml:space="preserve">25669A</t>
  </si>
  <si>
    <t xml:space="preserve">[Code: 4789AA] TA: Found damaged on floor during sorting.</t>
  </si>
  <si>
    <t xml:space="preserve">4789AA</t>
  </si>
  <si>
    <t xml:space="preserve">[Code: 269GHK] TA: Found in loose conditon during sorting.</t>
  </si>
  <si>
    <t xml:space="preserve">269GHK</t>
  </si>
  <si>
    <t xml:space="preserve">088cc1d0-50fe-4f10-a74d-f47f601ed3bc</t>
  </si>
  <si>
    <t xml:space="preserve">Shahi Savory Mix Rs100</t>
  </si>
  <si>
    <t xml:space="preserve">[Code: 335BBB] TA: Found damaged from box during display.</t>
  </si>
  <si>
    <t xml:space="preserve">335BBB</t>
  </si>
  <si>
    <t xml:space="preserve">[Code: 2346AE] Content Spoiled (Quality Issue)</t>
  </si>
  <si>
    <t xml:space="preserve">2346AE</t>
  </si>
  <si>
    <t xml:space="preserve">[Code: 9AADFF] 4 units found damaged due to quality issue</t>
  </si>
  <si>
    <t xml:space="preserve">9AADFF</t>
  </si>
  <si>
    <t xml:space="preserve">8518785f-79c2-459a-b06d-007dea8cd492</t>
  </si>
  <si>
    <t xml:space="preserve">Mirinda plastic 1L</t>
  </si>
  <si>
    <t xml:space="preserve">[Code: 223556] TA: Found loose bottels during sorting (Company end issue)</t>
  </si>
  <si>
    <t xml:space="preserve">[Code: 256DEH] TA: found damaged during sorting....</t>
  </si>
  <si>
    <t xml:space="preserve">256DEH</t>
  </si>
  <si>
    <t xml:space="preserve">[Code: 99EJKM] TA: found damaged from box during display(Company end issue )...</t>
  </si>
  <si>
    <t xml:space="preserve">99EJKM</t>
  </si>
  <si>
    <t xml:space="preserve">[Code: 4BEFFH] TA: found loose during sorting.(Company end issue)</t>
  </si>
  <si>
    <t xml:space="preserve">4BEFFH</t>
  </si>
  <si>
    <t xml:space="preserve">14c0bac0-691e-447b-9bc6-6e81f589a8de</t>
  </si>
  <si>
    <t xml:space="preserve">Rafhan Corn Flour 275g Rs160</t>
  </si>
  <si>
    <t xml:space="preserve">Rafhan</t>
  </si>
  <si>
    <t xml:space="preserve"> TA: Required Sku not Available.</t>
  </si>
  <si>
    <t xml:space="preserve">bcd0395a-3af4-483a-860d-51d4eeee9e96</t>
  </si>
  <si>
    <t xml:space="preserve">Ultra Pure Drain Opener 300ml Rs60</t>
  </si>
  <si>
    <t xml:space="preserve">[Code: 246AEF] T A ; 4 unit Damage found during Display  (coton sy damge mily hain )</t>
  </si>
  <si>
    <t xml:space="preserve">246AEF</t>
  </si>
  <si>
    <t xml:space="preserve">[Code: 45779C] TA: found loose during sorting.</t>
  </si>
  <si>
    <t xml:space="preserve">45779C</t>
  </si>
  <si>
    <t xml:space="preserve">ad261b39-8236-46b3-b4b8-18de2ebb3efd</t>
  </si>
  <si>
    <t xml:space="preserve">Lipton yellow label tea 85g Rs270</t>
  </si>
  <si>
    <t xml:space="preserve">[Code: 68888C] TA: Found daamged from box.</t>
  </si>
  <si>
    <t xml:space="preserve">68888C</t>
  </si>
  <si>
    <t xml:space="preserve">2f4582c6-2964-4844-8b03-c3a586c876c9</t>
  </si>
  <si>
    <t xml:space="preserve">Hairx Herbal Shampoo 360ml Rs450</t>
  </si>
  <si>
    <t xml:space="preserve">[Code: 3577DE] TA: Found damaged from durring display .</t>
  </si>
  <si>
    <t xml:space="preserve">3577DE</t>
  </si>
  <si>
    <t xml:space="preserve">[Code: 2358AD] TA: fungus(ulli) lagi hay atay may.</t>
  </si>
  <si>
    <t xml:space="preserve">2358AD</t>
  </si>
  <si>
    <t xml:space="preserve">[Code: 33778E] TA: found loose bottels during sorting.</t>
  </si>
  <si>
    <t xml:space="preserve">33778E</t>
  </si>
  <si>
    <t xml:space="preserve">[Code: 2346CC]  TA: fungus(ulli) lagi hay atay may.</t>
  </si>
  <si>
    <t xml:space="preserve">2346CC</t>
  </si>
  <si>
    <t xml:space="preserve">f5d0fa7a-c3e6-4b73-a02d-50506e9dd23b</t>
  </si>
  <si>
    <t xml:space="preserve">Ultra Pure Surf 1kg Rs350</t>
  </si>
  <si>
    <t xml:space="preserve">[Code: BBDJKL]  TA: Found damaged from bag  during display .</t>
  </si>
  <si>
    <t xml:space="preserve">BBDJKL</t>
  </si>
  <si>
    <t xml:space="preserve">[Code: 356689]   TA: Found damage from bag </t>
  </si>
  <si>
    <t xml:space="preserve">356689</t>
  </si>
  <si>
    <t xml:space="preserve">[Code: 344566] TA: Found damaged from box during display.</t>
  </si>
  <si>
    <t xml:space="preserve">344566</t>
  </si>
  <si>
    <t xml:space="preserve">[Code: 22366A] one unit found damaged due to fungus</t>
  </si>
  <si>
    <t xml:space="preserve">22366A</t>
  </si>
  <si>
    <t xml:space="preserve">[Code: 3AAEFL] 98 units return to vendor due to sale </t>
  </si>
  <si>
    <t xml:space="preserve">3AAEFL</t>
  </si>
  <si>
    <t xml:space="preserve">da91f26e-758a-4787-8d66-43e126813b36</t>
  </si>
  <si>
    <t xml:space="preserve">Sherdil Masar Desi 500g</t>
  </si>
  <si>
    <t xml:space="preserve">[Code: 46AGHH] 289 units return to vendor due to low sale</t>
  </si>
  <si>
    <t xml:space="preserve">46AGHH</t>
  </si>
  <si>
    <t xml:space="preserve">[Code: 25677C] 11 units have quality issue </t>
  </si>
  <si>
    <t xml:space="preserve">25677C</t>
  </si>
  <si>
    <t xml:space="preserve">a9577abb-135c-47b0-ad5b-cf249da9f0f0</t>
  </si>
  <si>
    <t xml:space="preserve">Bisconni Double Vanilla Rollies Swiss Roll 8pcs Rs35</t>
  </si>
  <si>
    <t xml:space="preserve">[Code: 33346B] [Expiry: 28 Aug, 2023] 16 units short expiry</t>
  </si>
  <si>
    <t xml:space="preserve">33346B</t>
  </si>
  <si>
    <t xml:space="preserve">28 Aug, 2023</t>
  </si>
  <si>
    <t xml:space="preserve">[Code: 57899E]  TA: Found damaged  during sorting.</t>
  </si>
  <si>
    <t xml:space="preserve">57899E</t>
  </si>
  <si>
    <t xml:space="preserve">a256ce9f-7f44-44e9-ae86-f3752981f2ee</t>
  </si>
  <si>
    <t xml:space="preserve">Juice Time Red Grape x24 200ml</t>
  </si>
  <si>
    <t xml:space="preserve">[Code: 89EFFJ]   TA: Found damaged during display.</t>
  </si>
  <si>
    <t xml:space="preserve">89EFFJ</t>
  </si>
  <si>
    <t xml:space="preserve">[Code: 69CDEF]  TA:Display krty time Bags sy damage mily hain</t>
  </si>
  <si>
    <t xml:space="preserve">69CDEF</t>
  </si>
  <si>
    <t xml:space="preserve">[Code: 2346AB]  TA: Damage Found during displa </t>
  </si>
  <si>
    <t xml:space="preserve">2346AB</t>
  </si>
  <si>
    <t xml:space="preserve">[Code: 349BEE] TA:Found loose during sorting.</t>
  </si>
  <si>
    <t xml:space="preserve">349BEE</t>
  </si>
  <si>
    <t xml:space="preserve">9926975c-0c03-40ef-b99e-5c44dbf91072</t>
  </si>
  <si>
    <t xml:space="preserve">Pampers Skin Comfort Size 4 Maxi (7-12) KG 27 Diapers Rs1640</t>
  </si>
  <si>
    <t xml:space="preserve">Pampers</t>
  </si>
  <si>
    <t xml:space="preserve">Pharmacy</t>
  </si>
  <si>
    <t xml:space="preserve">TA; Mistakenly liveid (Required Sku lived in 27pc but we have 25pc available on floor)</t>
  </si>
  <si>
    <t xml:space="preserve">[Code: 334AAF] 02 units found damaged</t>
  </si>
  <si>
    <t xml:space="preserve">334AAF</t>
  </si>
  <si>
    <t xml:space="preserve">[Code: 245577] 09 units return to vendor due to quality issue in stock on 20-07-23 but not removed from the system</t>
  </si>
  <si>
    <t xml:space="preserve">245577</t>
  </si>
  <si>
    <t xml:space="preserve">f2256bf0-42f2-4a1a-bf53-a26aa9aeaad3</t>
  </si>
  <si>
    <t xml:space="preserve">Kolson Pasta Spaghetti 450g (Hard Box)</t>
  </si>
  <si>
    <t xml:space="preserve">TA: found 250g spaghatti from box during display (brand exchange company end) .</t>
  </si>
  <si>
    <t xml:space="preserve">5ba96b61-5a63-43cc-8b69-0fccc3cea590</t>
  </si>
  <si>
    <t xml:space="preserve">Express power 1kg Rs480</t>
  </si>
  <si>
    <t xml:space="preserve">[Code: 2367AACE] TA:found damaged during stock display...</t>
  </si>
  <si>
    <t xml:space="preserve">2367AACE</t>
  </si>
  <si>
    <t xml:space="preserve">a0341272-f530-40e9-97dd-e3c77f4a8a1c</t>
  </si>
  <si>
    <t xml:space="preserve">Murree Brewery Bigg Lychee Plastic x12 Crate 300ml</t>
  </si>
  <si>
    <t xml:space="preserve">[Code: 2389AFGJ] TA:Found two bottels  loose and one bottel damaged during sorting ...</t>
  </si>
  <si>
    <t xml:space="preserve">2389AFGJ</t>
  </si>
  <si>
    <t xml:space="preserve">full_in/missing</t>
  </si>
  <si>
    <t xml:space="preserve">dev@tajir-app.com</t>
  </si>
  <si>
    <t xml:space="preserve">Tajir Dev Retool</t>
  </si>
  <si>
    <t xml:space="preserve">[Code: 3355779B] 6 units found damaged due to fungus</t>
  </si>
  <si>
    <t xml:space="preserve">3355779B</t>
  </si>
  <si>
    <t xml:space="preserve">[Code: 2458CDEH] 1 unit found damaged due to fungus</t>
  </si>
  <si>
    <t xml:space="preserve">2458CDEH</t>
  </si>
  <si>
    <t xml:space="preserve">[Code: 2345588A] 1 unit found damaged due to quality issue.</t>
  </si>
  <si>
    <t xml:space="preserve">2345588A</t>
  </si>
  <si>
    <t xml:space="preserve">[Code: 557ABCCJ] 1 unit found damaged having quality issue.</t>
  </si>
  <si>
    <t xml:space="preserve">557ABCCJ</t>
  </si>
  <si>
    <t xml:space="preserve">[Code: 25BBFGGH] 4 units found damaged due to fungus.</t>
  </si>
  <si>
    <t xml:space="preserve">25BBFGGH</t>
  </si>
  <si>
    <t xml:space="preserve">[Code: 499DEJJJ] 02 units was damaged and return to vendor.</t>
  </si>
  <si>
    <t xml:space="preserve">499DEJJJ</t>
  </si>
  <si>
    <t xml:space="preserve">[Code: 689DFFFG] TA: Found kolson pasta spaghetti 250 grams from box During display(Company end brand exchange)</t>
  </si>
  <si>
    <t xml:space="preserve">689DFFFG</t>
  </si>
  <si>
    <t xml:space="preserve">[Code: 23579CJP] TA: found damaged because of rabbit bite.</t>
  </si>
  <si>
    <t xml:space="preserve">23579CJP</t>
  </si>
  <si>
    <t xml:space="preserve">2f3a3c21-6a6d-491d-991e-e2a3e112a571</t>
  </si>
  <si>
    <t xml:space="preserve">Dettol Original Hand Wash Refill Pouch 150ml Rs225</t>
  </si>
  <si>
    <t xml:space="preserve">Dettol</t>
  </si>
  <si>
    <t xml:space="preserve">[Code: 78BCDDJM] TA: Found damaged from box during display.</t>
  </si>
  <si>
    <t xml:space="preserve">78BCDDJM</t>
  </si>
  <si>
    <t xml:space="preserve">[Code: 455666AA] TA: found two bottels empty and one bottel loose.</t>
  </si>
  <si>
    <t xml:space="preserve">455666AA</t>
  </si>
  <si>
    <t xml:space="preserve">[Code: 3445FKMM] TA: Found two empty bottels during sorting.</t>
  </si>
  <si>
    <t xml:space="preserve">3445FKMM</t>
  </si>
  <si>
    <t xml:space="preserve">[Code: 46ADDEHJ] 03 units found damaged due to quality issue</t>
  </si>
  <si>
    <t xml:space="preserve">46ADDEHJ</t>
  </si>
  <si>
    <t xml:space="preserve">[Code: 2356899B] TA:Found three empty bottels during sorting.</t>
  </si>
  <si>
    <t xml:space="preserve">2356899B</t>
  </si>
  <si>
    <t xml:space="preserve">[Code: 57ABCCFH] TA: Found three bottel loose and three empty bottels during sorting.</t>
  </si>
  <si>
    <t xml:space="preserve">57ABCCFH</t>
  </si>
  <si>
    <t xml:space="preserve">[Code: BCCCDGJJ] TA: Found foure bottels in loose conditon.(company end issue)</t>
  </si>
  <si>
    <t xml:space="preserve">BCCCDGJJ</t>
  </si>
  <si>
    <t xml:space="preserve">c0c43530-de56-4449-abff-170fdb3fc048</t>
  </si>
  <si>
    <t xml:space="preserve">Lemon Max Dishwash Liquid 275ml Rs170 (Yellow)</t>
  </si>
  <si>
    <t xml:space="preserve">[Code: 5588AABH] TA: 1unit damage found  (cotton sy damage mila hy)</t>
  </si>
  <si>
    <t xml:space="preserve">5588AABH</t>
  </si>
  <si>
    <t xml:space="preserve">[Code: 2368CEKM] TA: 1unit damage found  (coton sy damage mila hy)</t>
  </si>
  <si>
    <t xml:space="preserve">2368CEKM</t>
  </si>
  <si>
    <t xml:space="preserve">[Code: 489ACDDH] TA:1unit (damage found durring display)</t>
  </si>
  <si>
    <t xml:space="preserve">489ACDDH</t>
  </si>
  <si>
    <t xml:space="preserve">[Code: 899BBDFJ] 12 units found damaged due to susri </t>
  </si>
  <si>
    <t xml:space="preserve">899BBDFJ</t>
  </si>
  <si>
    <t xml:space="preserve">[Code: 228BCCFG] TA: 1unit damage found (2bottle lose hain)</t>
  </si>
  <si>
    <t xml:space="preserve">228BCCFG</t>
  </si>
  <si>
    <t xml:space="preserve">[Code: 3458BEEJ] TA: 1unit damage found (2bottle lose hain)</t>
  </si>
  <si>
    <t xml:space="preserve">3458BEEJ</t>
  </si>
  <si>
    <t xml:space="preserve">68a117a6-3f98-4eb1-aef6-df85a7f8e4ba</t>
  </si>
  <si>
    <t xml:space="preserve">Aish Water 1500ml</t>
  </si>
  <si>
    <t xml:space="preserve">Aish Water</t>
  </si>
  <si>
    <t xml:space="preserve">[Code: 237999BG] TA: Found two bottels loose and one empty bottel during sorting.</t>
  </si>
  <si>
    <t xml:space="preserve">237999BG</t>
  </si>
  <si>
    <t xml:space="preserve">708ebf9b-2966-4d18-920f-9dbfee0aea89</t>
  </si>
  <si>
    <t xml:space="preserve">Sunlight Pink Clean and Jasmine Fresh 330g Rs99</t>
  </si>
  <si>
    <t xml:space="preserve">[Code: ACHHJMNQ] TA: 2 units damaged found (bag main sy damage mila hy)</t>
  </si>
  <si>
    <t xml:space="preserve">ACHHJMNQ</t>
  </si>
  <si>
    <t xml:space="preserve">[Code: 36ABCFGM] TA: Found damaged during sorting .</t>
  </si>
  <si>
    <t xml:space="preserve">36ABCFGM</t>
  </si>
  <si>
    <t xml:space="preserve">71a58108-1e40-41a1-9cfc-dc09c29fdf09</t>
  </si>
  <si>
    <t xml:space="preserve">Sunridge Maida 1kg</t>
  </si>
  <si>
    <t xml:space="preserve">[Code: 2247AABD] TA: Found damaged from box and the qality also bad(susri lagi hain.)</t>
  </si>
  <si>
    <t xml:space="preserve">2247AABD</t>
  </si>
  <si>
    <t xml:space="preserve">[Code: 2356789A] TA: Found damaged (bitten by mouse)</t>
  </si>
  <si>
    <t xml:space="preserve">2356789A</t>
  </si>
  <si>
    <t xml:space="preserve">[Code: 288AEFFF] TA: quality sahi nahi hay(fungus lagi hui haiy.)</t>
  </si>
  <si>
    <t xml:space="preserve">288AEFFF</t>
  </si>
  <si>
    <t xml:space="preserve">4d1285d2-648d-4238-afa2-0eb99ebcc41c</t>
  </si>
  <si>
    <t xml:space="preserve">Lifebuoy Soft And Silky Shampoo 175ml Rs340</t>
  </si>
  <si>
    <t xml:space="preserve">4ad074b7-ddf4-49c4-bd12-d77c14e891f1</t>
  </si>
  <si>
    <t xml:space="preserve">Lifebuoy Herbal Strong Shampoo 175ml Rs340</t>
  </si>
  <si>
    <t xml:space="preserve">[Code: 24EFJNNP] TA: 1 unit damaged found (sorting ky doran damage mila hy)</t>
  </si>
  <si>
    <t xml:space="preserve">24EFJNNP</t>
  </si>
  <si>
    <t xml:space="preserve">698bcc4f-3133-4d6c-9eb4-4b6886ad40b3</t>
  </si>
  <si>
    <t xml:space="preserve">Kolson Pasta Large Shell 400g</t>
  </si>
  <si>
    <t xml:space="preserve">[Code: 22448ACF] [Expiry: 23 Sep, 2023] 1 ctn have short expiry</t>
  </si>
  <si>
    <t xml:space="preserve">22448ACF</t>
  </si>
  <si>
    <t xml:space="preserve">23 Sep, 2023</t>
  </si>
  <si>
    <t xml:space="preserve">375dbb10-803f-4f4b-8e93-abdc4dfc14fd</t>
  </si>
  <si>
    <t xml:space="preserve">Chenab Garden Fortified Chakki Atta 5kg</t>
  </si>
  <si>
    <t xml:space="preserve">Chenab Garden</t>
  </si>
  <si>
    <t xml:space="preserve">[Code: 4568BDGG] TA: found in damaged condition during sorting (Company end issue)</t>
  </si>
  <si>
    <t xml:space="preserve">4568BDGG</t>
  </si>
  <si>
    <t xml:space="preserve">5c0cedf5-3a7f-4dd7-b7d5-727edd227cfc</t>
  </si>
  <si>
    <t xml:space="preserve">Colgate Extra Clean Tooth Brush Medium Rs85</t>
  </si>
  <si>
    <t xml:space="preserve">[Code: 3567CCCD] TA: 1 unit damage found (Khali packet mila brush missing hay.)</t>
  </si>
  <si>
    <t xml:space="preserve">3567CCCD</t>
  </si>
  <si>
    <t xml:space="preserve">[Code: 24456678] 01 unit found damaged leak (quality issue)</t>
  </si>
  <si>
    <t xml:space="preserve">24456678</t>
  </si>
  <si>
    <t xml:space="preserve">9a3b2b7b-5df5-42db-9664-fb5f26aef9b0</t>
  </si>
  <si>
    <t xml:space="preserve">Quality Grains Daal Mash Chilka 500g</t>
  </si>
  <si>
    <t xml:space="preserve">[Code: 2FGGJLMN] 01 unit found damaged due to fungus (Quality Issue)</t>
  </si>
  <si>
    <t xml:space="preserve">2FGGJLMN</t>
  </si>
  <si>
    <t xml:space="preserve">ce4bf3f0-b935-479c-8e3f-b8fe379a8db4</t>
  </si>
  <si>
    <t xml:space="preserve">Sherdil Shakar 500g</t>
  </si>
  <si>
    <t xml:space="preserve">[Code: 34479BFJ] 07 units found damaged due to fungus (Quality Issue)</t>
  </si>
  <si>
    <t xml:space="preserve">34479BFJ</t>
  </si>
  <si>
    <t xml:space="preserve">[Code: 24569BCE] TA: 1 unit damage found (sorting ky doran 2 bottle khali nikle hain or 1 bottle loose hain)</t>
  </si>
  <si>
    <t xml:space="preserve">24569BCE</t>
  </si>
  <si>
    <t xml:space="preserve">[Code: 7CCEFJKP] AR: Stock Removed due to Bad Quality </t>
  </si>
  <si>
    <t xml:space="preserve">7CCEFJKP</t>
  </si>
  <si>
    <t xml:space="preserve">1c7a8681-ae87-4ae9-b5e7-2388779ba232</t>
  </si>
  <si>
    <t xml:space="preserve">LU Gala Biscuits Snack Pack 6pcs Rs30</t>
  </si>
  <si>
    <t xml:space="preserve">TA; the requird sku not available </t>
  </si>
  <si>
    <t xml:space="preserve">8ded4cb0-1035-47a1-acf2-f1350da673c3</t>
  </si>
  <si>
    <t xml:space="preserve">LU Candi Biscuits Snack Pack 6pcs Rs40</t>
  </si>
  <si>
    <t xml:space="preserve">[Code: 4458ADEH] TA: one unit damaged found from box during display(two packet missing from box)</t>
  </si>
  <si>
    <t xml:space="preserve">4458ADEH</t>
  </si>
  <si>
    <t xml:space="preserve">[Code: 2256666B] TA: 1 unit damage found (bag main sy damage mila hy)</t>
  </si>
  <si>
    <t xml:space="preserve">2256666B</t>
  </si>
  <si>
    <t xml:space="preserve">a2bf441a-dee5-4e28-b50d-2c54a3ca16ee</t>
  </si>
  <si>
    <t xml:space="preserve">Lemon Max Dishwash Liquid 170ml Rs110 (Yellow)</t>
  </si>
  <si>
    <t xml:space="preserve">[Code: 3346DEFF] TA: 1 unit damage found from box (box main sy damage mila hy es ka cap ni hy)</t>
  </si>
  <si>
    <t xml:space="preserve">3346DEFF</t>
  </si>
  <si>
    <t xml:space="preserve">d229259f-76d5-45b8-a773-a8eba64d12cf</t>
  </si>
  <si>
    <t xml:space="preserve">Pepsi plastic 500ml (Other city stock)</t>
  </si>
  <si>
    <t xml:space="preserve">[Code: 567AEGHK] TA: 1unit damage found (4 bottle khali hain )</t>
  </si>
  <si>
    <t xml:space="preserve">567AEGHK</t>
  </si>
  <si>
    <t xml:space="preserve">[Code: 34BCCFGJ] TA: 1 unit damage found (5 bottle khali hain)</t>
  </si>
  <si>
    <t xml:space="preserve">34BCCFGJ</t>
  </si>
  <si>
    <t xml:space="preserve">[Code: 2456DFLN] TA; 1 unit damaged found during sorting</t>
  </si>
  <si>
    <t xml:space="preserve">2456DFLN</t>
  </si>
  <si>
    <t xml:space="preserve">[Code: 258BCDJK]  01 unit found damaged ( leak quality issue)</t>
  </si>
  <si>
    <t xml:space="preserve">258BCDJK</t>
  </si>
  <si>
    <t xml:space="preserve">40a1c407-6dda-44ab-82f5-2dff4e4d6e55</t>
  </si>
  <si>
    <t xml:space="preserve">Elaine Secret Ecstasy Deodrant Body Spray 150ml (Orange)</t>
  </si>
  <si>
    <t xml:space="preserve">Elaine</t>
  </si>
  <si>
    <t xml:space="preserve">[Code: 2577BCHJ] TA: two bottels found empty during sorting.</t>
  </si>
  <si>
    <t xml:space="preserve">2577BCHJ</t>
  </si>
  <si>
    <t xml:space="preserve">53e21ee3-610d-4ef2-b927-5e8331670cb0</t>
  </si>
  <si>
    <t xml:space="preserve">Nestle Cerelac 3 Fruits and Wheat x8 Bundle 25g</t>
  </si>
  <si>
    <t xml:space="preserve">Cerelac</t>
  </si>
  <si>
    <t xml:space="preserve">ali.ahmad@tajir-app.com</t>
  </si>
  <si>
    <t xml:space="preserve">Ali Ahmad</t>
  </si>
  <si>
    <t xml:space="preserve">[Code: 78AABDFF] TA; 1 unit damage found in stock {4 bottels lose mili hain unit sy} </t>
  </si>
  <si>
    <t xml:space="preserve">78AABDFF</t>
  </si>
  <si>
    <t xml:space="preserve">[Code: 44678ABD] TA; 1unit damage found during display {cotton sy damage mila he}</t>
  </si>
  <si>
    <t xml:space="preserve">44678ABD</t>
  </si>
  <si>
    <t xml:space="preserve">[Code: 478AAFFG]   TA; 1 unit damage found during sorting  {bag sy damage mila he}</t>
  </si>
  <si>
    <t xml:space="preserve">478AAFFG</t>
  </si>
  <si>
    <t xml:space="preserve">[Code: 257CFKMP]  TA; 1 unit damage found during display  {bag sy damage mila he}</t>
  </si>
  <si>
    <t xml:space="preserve">257CFKMP</t>
  </si>
  <si>
    <t xml:space="preserve">[Code: 79CFGLMN] TA; 1 unit damage found during display  {bag sy damage mila he}</t>
  </si>
  <si>
    <t xml:space="preserve">79CFGLMN</t>
  </si>
  <si>
    <t xml:space="preserve">[Code: 236CDFJK] TA: Qaulity sahi nahi hay (Fungus lagi hui haiy)</t>
  </si>
  <si>
    <t xml:space="preserve">236CDFJK</t>
  </si>
  <si>
    <t xml:space="preserve">[Code: 489ABCFG] TA: 1 unit damage found (2bottle khali hain 1 lose hay )</t>
  </si>
  <si>
    <t xml:space="preserve">489ABCFG</t>
  </si>
  <si>
    <t xml:space="preserve">1b684534-854d-487b-87b4-d26502505afa</t>
  </si>
  <si>
    <t xml:space="preserve">Jan Mango 1L</t>
  </si>
  <si>
    <t xml:space="preserve">[Code: 22578AEF]   TA; 1 unit damage found during sorting  {box sy damage mily hain}</t>
  </si>
  <si>
    <t xml:space="preserve">22578AEF</t>
  </si>
  <si>
    <t xml:space="preserve">[Code: 22357788] TA: Quantity kam hain sachet may.</t>
  </si>
  <si>
    <t xml:space="preserve">22357788</t>
  </si>
  <si>
    <t xml:space="preserve">[Code: 2469CDDF]  TA: 1 unit damage found (2bottle khali hain 1 lose hay )</t>
  </si>
  <si>
    <t xml:space="preserve">2469CDDF</t>
  </si>
  <si>
    <t xml:space="preserve">0df8c120-7502-4f37-945a-fd2e8e7e3829</t>
  </si>
  <si>
    <t xml:space="preserve">Star Millions Chew Strawberry Box 30pcs Rs5</t>
  </si>
  <si>
    <t xml:space="preserve">Star</t>
  </si>
  <si>
    <t xml:space="preserve">TA: one unit was less in box(company end issue) ...</t>
  </si>
  <si>
    <t xml:space="preserve">52f96a76-cd7f-4425-b619-57b7c2eacaaf</t>
  </si>
  <si>
    <t xml:space="preserve">Aala Quality 2 Pari Broken Rice 25kg</t>
  </si>
  <si>
    <t xml:space="preserve">2 Pari Rice</t>
  </si>
  <si>
    <t xml:space="preserve">[Code: 4568GHJJ] TA: susri lagi hay ...qality kharab hain.</t>
  </si>
  <si>
    <t xml:space="preserve">4568GHJJ</t>
  </si>
  <si>
    <t xml:space="preserve">Surf Excel x6 bundle 20g Rs 10</t>
  </si>
  <si>
    <t xml:space="preserve">[Code: 5688CJLM] TA: found damaged from bag during display ...</t>
  </si>
  <si>
    <t xml:space="preserve">5688CJLM</t>
  </si>
  <si>
    <t xml:space="preserve">63888977-140e-48ab-be06-54a2810ec1fe</t>
  </si>
  <si>
    <t xml:space="preserve">Anne French Hair Removing Cream Rose 14g Rs35</t>
  </si>
  <si>
    <t xml:space="preserve">Anne French</t>
  </si>
  <si>
    <t xml:space="preserve">[Code: 6678ABCE] TA: Found damaged during display..</t>
  </si>
  <si>
    <t xml:space="preserve">6678ABCE</t>
  </si>
  <si>
    <t xml:space="preserve">a6c17001-899f-47b8-a847-a7e9a37c9429</t>
  </si>
  <si>
    <t xml:space="preserve">Gibs Cake Time Plain Cake Rs10</t>
  </si>
  <si>
    <t xml:space="preserve">[Code: 33679EGG] TA: Found damaged from box during display (Company end issue)</t>
  </si>
  <si>
    <t xml:space="preserve">33679EGG</t>
  </si>
  <si>
    <t xml:space="preserve">f4a7c642-7555-4dfd-8198-642b8dbed45d</t>
  </si>
  <si>
    <t xml:space="preserve">Bonus tristar yellow surf 1kg Rs230</t>
  </si>
  <si>
    <t xml:space="preserve">[Code: 23357CFG] 1 unit found damaged</t>
  </si>
  <si>
    <t xml:space="preserve">23357CFG</t>
  </si>
  <si>
    <t xml:space="preserve">[Code: 259DEFKM] 2 unit found damaged </t>
  </si>
  <si>
    <t xml:space="preserve">259DEFKM</t>
  </si>
  <si>
    <t xml:space="preserve">[Code: 229CDFGJ] 24 units having quality issue.</t>
  </si>
  <si>
    <t xml:space="preserve">229CDFGJ</t>
  </si>
  <si>
    <t xml:space="preserve">TA: 1unit not Available  (Mistakenly lived by Bizop)</t>
  </si>
  <si>
    <t xml:space="preserve">2d1d70db-c6f7-4c4e-9a22-476f6301175b</t>
  </si>
  <si>
    <t xml:space="preserve">Murree Brewery Bigg Apple Plastic x12 Crate 300ml</t>
  </si>
  <si>
    <t xml:space="preserve">[Code: 344569AB]  TA; 1unit found damage during sorting (unit sy 4bottles lose mili hain)</t>
  </si>
  <si>
    <t xml:space="preserve">344569AB</t>
  </si>
  <si>
    <t xml:space="preserve">[Code: 445679CD] TA; 1unit found damage during sorting (unit sy 2bottles lose mili hain)</t>
  </si>
  <si>
    <t xml:space="preserve">445679CD</t>
  </si>
  <si>
    <t xml:space="preserve">[Code: 46BBCDDF] TA: one bottel found damaged and one bottel found in loose condition during sorting,</t>
  </si>
  <si>
    <t xml:space="preserve">46BBCDDF</t>
  </si>
  <si>
    <t xml:space="preserve">[Code: 2334DKNQ]  TA; 1unit found damage during sorting (unit sy 2bottles lose mili hain)</t>
  </si>
  <si>
    <t xml:space="preserve">2334DKNQ</t>
  </si>
  <si>
    <t xml:space="preserve">[Code: 346BCLMM] [Expiry: 14 Oct, 2023] AR : 21 selliong unit found short expiry </t>
  </si>
  <si>
    <t xml:space="preserve">346BCLMM</t>
  </si>
  <si>
    <t xml:space="preserve">14 Oct, 2023</t>
  </si>
  <si>
    <t xml:space="preserve">[Code: 27AGHKKL] TA:  18 units damage found due to fungus  ( Quality issue )</t>
  </si>
  <si>
    <t xml:space="preserve">27AGHKKL</t>
  </si>
  <si>
    <t xml:space="preserve">[Code: 26CDEHKK]  TA; 1unit found damage during display (cotton sy damage mila he)</t>
  </si>
  <si>
    <t xml:space="preserve">26CDEHKK</t>
  </si>
  <si>
    <t xml:space="preserve">[Code: 45569ADE]  TA; 1unit found damage during display </t>
  </si>
  <si>
    <t xml:space="preserve">45569ADE</t>
  </si>
  <si>
    <t xml:space="preserve">9984c582-1364-4d99-a722-47d5f9ae95dd</t>
  </si>
  <si>
    <t xml:space="preserve">Closed 5</t>
  </si>
  <si>
    <t xml:space="preserve">[Code: 335AABDD]  TA; 2unit found damage during sorting (bag sy damage mily hain seal sy open hain)</t>
  </si>
  <si>
    <t xml:space="preserve">335AABDD</t>
  </si>
  <si>
    <t xml:space="preserve">232fabde-4fe5-4c6c-aebf-a8aeba21fee0</t>
  </si>
  <si>
    <t xml:space="preserve">Ultra Pure Surf x13 bundle 40g Rs 10</t>
  </si>
  <si>
    <t xml:space="preserve">[Code: 277889EE]  TA; 5unit found damage during display (bag sy damage mily hain)</t>
  </si>
  <si>
    <t xml:space="preserve">277889EE</t>
  </si>
  <si>
    <t xml:space="preserve">[Code: 3BCCCEGH] [Expiry: 14 Oct, 2023] 1 unit found expiry</t>
  </si>
  <si>
    <t xml:space="preserve">3BCCCEGH</t>
  </si>
  <si>
    <t xml:space="preserve">[Code: 2345788G] TA: 12 units found in bad quality(tthailay banay hauy hain under)</t>
  </si>
  <si>
    <t xml:space="preserve">2345788G</t>
  </si>
  <si>
    <t xml:space="preserve">[Code: 44689CGH] TA: 2 units found damage (box main sy damage mily hain)</t>
  </si>
  <si>
    <t xml:space="preserve">44689CGH</t>
  </si>
  <si>
    <t xml:space="preserve">d9f37d3d-1faf-49e9-a182-5cf510e25207</t>
  </si>
  <si>
    <t xml:space="preserve">Robin Blue Liquid x2 Bundle 75ml Rs230</t>
  </si>
  <si>
    <t xml:space="preserve">[Code: 4679BCDD] TA: 1 unit damage found (sorting ky doran damage mila hy)</t>
  </si>
  <si>
    <t xml:space="preserve">4679BCDD</t>
  </si>
  <si>
    <t xml:space="preserve">[Code: 45699CFF] TA: 1 unit damage found (sorting ky doran damage mila hy)</t>
  </si>
  <si>
    <t xml:space="preserve">45699CFF</t>
  </si>
  <si>
    <t xml:space="preserve">e22b9d74-ee25-4162-b816-ac79f5614672</t>
  </si>
  <si>
    <t xml:space="preserve">Sherdil Dry Aloo Bukhara 200g</t>
  </si>
  <si>
    <t xml:space="preserve">[Code: 22455EEF] ZA: Stock Removed due to bad Quality</t>
  </si>
  <si>
    <t xml:space="preserve">22455EEF</t>
  </si>
  <si>
    <t xml:space="preserve">298f7ff6-cb06-44cc-8db9-94fbb78c15cd</t>
  </si>
  <si>
    <t xml:space="preserve">Kolson Snackers Hot Masala 6g 60pcs Rs10</t>
  </si>
  <si>
    <t xml:space="preserve">[Code: 56889CCE] [Expiry: 13 Oct, 2023] 1 unit found short expiry</t>
  </si>
  <si>
    <t xml:space="preserve">56889CCE</t>
  </si>
  <si>
    <t xml:space="preserve">13 Oct, 2023</t>
  </si>
  <si>
    <t xml:space="preserve">2085bdff-5f5a-49c6-ae7c-7591efe72a07</t>
  </si>
  <si>
    <t xml:space="preserve">Sunridge Super White Atta 5kg</t>
  </si>
  <si>
    <t xml:space="preserve">[Code: 378BFHLL] [Expiry: 13 Oct, 2023] 40 units found short expiry</t>
  </si>
  <si>
    <t xml:space="preserve">378BFHLL</t>
  </si>
  <si>
    <t xml:space="preserve">7313919c-9135-494f-8e7e-e790ec3945e4</t>
  </si>
  <si>
    <t xml:space="preserve">Sunridge Fortified Chakki Atta 10kg</t>
  </si>
  <si>
    <t xml:space="preserve">[Code: 558BBCCD] [Expiry: 19 Oct, 2023] 4 units found short expiry</t>
  </si>
  <si>
    <t xml:space="preserve">558BBCCD</t>
  </si>
  <si>
    <t xml:space="preserve">19 Oct, 2023</t>
  </si>
  <si>
    <t xml:space="preserve">[Code: 4678ADEH] [Expiry: 16 Oct, 2023] 39 units found short expiry </t>
  </si>
  <si>
    <t xml:space="preserve">4678ADEH</t>
  </si>
  <si>
    <t xml:space="preserve">16 Oct, 2023</t>
  </si>
  <si>
    <t xml:space="preserve">98d3b2af-101e-4569-b9c4-46656a7fa2a9</t>
  </si>
  <si>
    <t xml:space="preserve">Shahi Munchy Mix Rs100</t>
  </si>
  <si>
    <t xml:space="preserve">[Code: 2459BHHJ] TA: 1 unit found damage (box main sy damage mila hy ) (display ky doran)</t>
  </si>
  <si>
    <t xml:space="preserve">2459BHHJ</t>
  </si>
  <si>
    <t xml:space="preserve">7ded1a89-96f8-4e70-aaaa-68f2f94b7cb6</t>
  </si>
  <si>
    <t xml:space="preserve">Ariel surf bundle x6 80g Rs50</t>
  </si>
  <si>
    <t xml:space="preserve">[Code: 2566ABDG] TA: 1 unit found damage (sorting ky doran bag main sy damage mila hy)</t>
  </si>
  <si>
    <t xml:space="preserve">2566ABDG</t>
  </si>
  <si>
    <t xml:space="preserve">8fdc60ea-d545-4d3b-950e-9c3d771fe813</t>
  </si>
  <si>
    <t xml:space="preserve">Sunlight Green Clean and Fresh 525g Rs99</t>
  </si>
  <si>
    <t xml:space="preserve">[Code: 37ACDDDL] TA: 1 unit found damage(bag main sy damage mila hy)(sorting ky doran)</t>
  </si>
  <si>
    <t xml:space="preserve">37ACDDDL</t>
  </si>
  <si>
    <t xml:space="preserve">[Code: 236BEGNQ]  TA: 1 unit damage found during sorting  (2bottels lose hain)</t>
  </si>
  <si>
    <t xml:space="preserve">236BEGNQ</t>
  </si>
  <si>
    <t xml:space="preserve">[Code: 578888AA]  TA:2 unit damage found during sorting   ( bottels lose or khali hain)</t>
  </si>
  <si>
    <t xml:space="preserve">578888AA</t>
  </si>
  <si>
    <t xml:space="preserve">[Code: 23458ACD]  TA: 1 unit damage found during sorting  (4bottels lose hain)</t>
  </si>
  <si>
    <t xml:space="preserve">23458ACD</t>
  </si>
  <si>
    <t xml:space="preserve">f3945952-aa69-4f83-bc21-db77fff3fa93</t>
  </si>
  <si>
    <t xml:space="preserve">Murree Brewery Lemon Malt Can x24 Crate 250ml</t>
  </si>
  <si>
    <t xml:space="preserve">[Code: 234569CC] ZA: Stock removed due to damage. </t>
  </si>
  <si>
    <t xml:space="preserve">234569CC</t>
  </si>
  <si>
    <t xml:space="preserve">[Code: 334556AB] [Expiry: 16 Oct, 2023] 1 unit found short expiry </t>
  </si>
  <si>
    <t xml:space="preserve">334556AB</t>
  </si>
  <si>
    <t xml:space="preserve">[Code: 2558BBHL] TA; 1 unit damage found during display  (cotton sy damage mila he)</t>
  </si>
  <si>
    <t xml:space="preserve">2558BBHL</t>
  </si>
  <si>
    <t xml:space="preserve">ec9683dc-07f9-4a9c-9983-438ddf495b8a</t>
  </si>
  <si>
    <t xml:space="preserve">7up plastic 1.5L</t>
  </si>
  <si>
    <t xml:space="preserve">[Code: 56ABBEEF]  TA: 1 unit damage found during sorting  (4bottels lose hain)</t>
  </si>
  <si>
    <t xml:space="preserve">56ABBEEF</t>
  </si>
  <si>
    <t xml:space="preserve">[Code: 3348AABD]  TA: 1 unit damage found during sorting  ( bottels lose hain)</t>
  </si>
  <si>
    <t xml:space="preserve">3348AABD</t>
  </si>
  <si>
    <t xml:space="preserve">[Code: 457ADDEF]  TA: 1 unit damage found during sorting  (4bottels lose hain)</t>
  </si>
  <si>
    <t xml:space="preserve">457ADDEF</t>
  </si>
  <si>
    <t xml:space="preserve">630de87d-3ce6-4932-b06d-18dc87932be0</t>
  </si>
  <si>
    <t xml:space="preserve">Al-Munawar Haldi 1Kg</t>
  </si>
  <si>
    <t xml:space="preserve">[Code: 24477AEF] AR: STOCK REMOVED DUE TO DAMAGE</t>
  </si>
  <si>
    <t xml:space="preserve">24477AEF</t>
  </si>
  <si>
    <t xml:space="preserve">0f5fc901-0daa-4932-8fcb-1ab8eb56feaa</t>
  </si>
  <si>
    <t xml:space="preserve">Badshahi Qila Super Kernel Old Classic Rice 25kg</t>
  </si>
  <si>
    <t xml:space="preserve">Badshahi Qila Rice</t>
  </si>
  <si>
    <t xml:space="preserve">[Code: 334678AK] AR: Stock Removed due to Quality Issue</t>
  </si>
  <si>
    <t xml:space="preserve">334678AK</t>
  </si>
  <si>
    <t xml:space="preserve">[Code: 488CDEGJ]  TA; 1 unit damage found during display </t>
  </si>
  <si>
    <t xml:space="preserve">488CDEGJ</t>
  </si>
  <si>
    <t xml:space="preserve">0d038538-c4b5-4b63-9831-2b3c32d21d51</t>
  </si>
  <si>
    <t xml:space="preserve">Ultra Pure Drain Opener 300ml Rs75</t>
  </si>
  <si>
    <t xml:space="preserve">[Code: 9ABCDDEE]  TA; 1 unit damage found during sortin .</t>
  </si>
  <si>
    <t xml:space="preserve">9ABCDDEE</t>
  </si>
  <si>
    <t xml:space="preserve">9d59c968-f91e-4f22-8530-346cfe9703b8</t>
  </si>
  <si>
    <t xml:space="preserve">Fanta Red Apple 500ml (Half Liter)</t>
  </si>
  <si>
    <t xml:space="preserve">Fanta</t>
  </si>
  <si>
    <t xml:space="preserve">[Code: 223ABCCE] TA: one bottel was less in pet and one bottel found without cap.</t>
  </si>
  <si>
    <t xml:space="preserve">223ABCCE</t>
  </si>
  <si>
    <t xml:space="preserve">[Code: 44679BFG] TA: 2 bottels found in loose condition during sorting.</t>
  </si>
  <si>
    <t xml:space="preserve">44679BFG</t>
  </si>
  <si>
    <t xml:space="preserve">e664935a-fa50-488a-85ac-07b95c2dd953</t>
  </si>
  <si>
    <t xml:space="preserve">Quality Grains White Chana Bareek 500g</t>
  </si>
  <si>
    <t xml:space="preserve">[Code: 388999BE] 1 unit found quality issue.</t>
  </si>
  <si>
    <t xml:space="preserve">388999BE</t>
  </si>
  <si>
    <t xml:space="preserve">[Code: 88CEEEFJ] 16 units found damaged due to quality issue </t>
  </si>
  <si>
    <t xml:space="preserve">88CEEEFJ</t>
  </si>
  <si>
    <t xml:space="preserve">[Code: 3567778A] 7  units found damaged due to quality issue </t>
  </si>
  <si>
    <t xml:space="preserve">3567778A</t>
  </si>
  <si>
    <t xml:space="preserve">[Code: 35678DEE] 1  unit found damaged due to quality issue </t>
  </si>
  <si>
    <t xml:space="preserve">35678DEE</t>
  </si>
  <si>
    <t xml:space="preserve">[Code: 2567799A] 1 unit found damaged due to quality issue </t>
  </si>
  <si>
    <t xml:space="preserve">2567799A</t>
  </si>
  <si>
    <t xml:space="preserve">3ce3c12d-7715-456d-8699-9bd776782739</t>
  </si>
  <si>
    <t xml:space="preserve">Sherdil White Chana Mota 1kg</t>
  </si>
  <si>
    <t xml:space="preserve">[Code: 23556889] 1  unit found damaged due to quality issue </t>
  </si>
  <si>
    <t xml:space="preserve">23556889</t>
  </si>
  <si>
    <t xml:space="preserve">[Code: ABCDDHLN] 1 unit found damaged due to quality issue </t>
  </si>
  <si>
    <t xml:space="preserve">ABCDDHLN</t>
  </si>
  <si>
    <t xml:space="preserve">[Code: 7CEEFFGJ] 3 units found damaged due to quality issue </t>
  </si>
  <si>
    <t xml:space="preserve">7CEEFFGJ</t>
  </si>
  <si>
    <t xml:space="preserve">b5ab7706-278d-4335-95b2-02fffc661db4</t>
  </si>
  <si>
    <t xml:space="preserve">Sherdil Black Chana 1kg</t>
  </si>
  <si>
    <t xml:space="preserve">[Code: 777899BC] 4 units found damaged due to quality issue </t>
  </si>
  <si>
    <t xml:space="preserve">777899BC</t>
  </si>
  <si>
    <t xml:space="preserve">[Code: 23688DHJ] 5 units found damaged due to quality issue </t>
  </si>
  <si>
    <t xml:space="preserve">23688DHJ</t>
  </si>
  <si>
    <t xml:space="preserve">aa81c118-4223-44ff-878d-c9287edd1801</t>
  </si>
  <si>
    <t xml:space="preserve">Quality Grains White Chana Motta 1kg</t>
  </si>
  <si>
    <t xml:space="preserve">[Code: 2246778B] 2 units found damaged due to quality issue </t>
  </si>
  <si>
    <t xml:space="preserve">2246778B</t>
  </si>
  <si>
    <t xml:space="preserve">c59bd43e-ec72-41c4-93bb-8ef5fcb8f75f</t>
  </si>
  <si>
    <t xml:space="preserve">Quality Grains Black Chana 5kg</t>
  </si>
  <si>
    <t xml:space="preserve">[Code: 2358AEGK] 4 units found damaged due to quality issue </t>
  </si>
  <si>
    <t xml:space="preserve">2358AEGK</t>
  </si>
  <si>
    <t xml:space="preserve">855d7079-fcd2-4ebf-be1e-3a3d4fe8caed</t>
  </si>
  <si>
    <t xml:space="preserve">Quality Grains Black Chana Desi 1kg</t>
  </si>
  <si>
    <t xml:space="preserve">[Code: 39AFKLLM] 3 units found damaged due to quality issue </t>
  </si>
  <si>
    <t xml:space="preserve">39AFKLLM</t>
  </si>
  <si>
    <t xml:space="preserve">[Code: 4678AACC] [Expiry: 1 Nov, 2023] AR : all stock found short expiry</t>
  </si>
  <si>
    <t xml:space="preserve">4678AACC</t>
  </si>
  <si>
    <t xml:space="preserve">1 Nov, 2023</t>
  </si>
  <si>
    <t xml:space="preserve">b1872158-a06b-433e-8867-619fd35e9f88</t>
  </si>
  <si>
    <t xml:space="preserve">Ariel Downy Surf 450g Rs325</t>
  </si>
  <si>
    <t xml:space="preserve">TA: Different Variant available on floor with different price of 335 instead of 325.</t>
  </si>
  <si>
    <t xml:space="preserve">[Code: 3455778A]  TA: 4 bottels found in loose condition during sorting.</t>
  </si>
  <si>
    <t xml:space="preserve">3455778A</t>
  </si>
  <si>
    <t xml:space="preserve">9b648a63-345b-46ae-a3ee-2fe74a6951d8</t>
  </si>
  <si>
    <t xml:space="preserve">Lipton Danedar Tea Jar 475g (Orange) Rs1500</t>
  </si>
  <si>
    <t xml:space="preserve">[Code: 2346ABCF] [Expiry: 2 Oct, 2023] 6 units expire in next month short expiry</t>
  </si>
  <si>
    <t xml:space="preserve">2346ABCF</t>
  </si>
  <si>
    <t xml:space="preserve">2 Oct, 2023</t>
  </si>
  <si>
    <t xml:space="preserve">[Code: 2234489A] [Expiry: 1 Nov, 2023] 11 units short expiry </t>
  </si>
  <si>
    <t xml:space="preserve">2234489A</t>
  </si>
  <si>
    <t xml:space="preserve">187245c1-bd74-424d-861b-e9271a9a0af9</t>
  </si>
  <si>
    <t xml:space="preserve">Engro Dairy Omung Milk x12 Carton 1L</t>
  </si>
  <si>
    <t xml:space="preserve">Omung</t>
  </si>
  <si>
    <t xml:space="preserve">[Code: 23369HHK] [Expiry: 11 Nov, 2023] 25 units found short expiry</t>
  </si>
  <si>
    <t xml:space="preserve">23369HHK</t>
  </si>
  <si>
    <t xml:space="preserve">11 Nov, 2023</t>
  </si>
  <si>
    <t xml:space="preserve">295d36d9-6897-41bf-8a72-7486d721cf17</t>
  </si>
  <si>
    <t xml:space="preserve">Engro Olpers Milk Ecolean Pouch x28 Crate 250ml</t>
  </si>
  <si>
    <t xml:space="preserve">[Code: 2268BEEF] [Expiry: 5 Nov, 2023] 58 units found short expiry </t>
  </si>
  <si>
    <t xml:space="preserve">2268BEEF</t>
  </si>
  <si>
    <t xml:space="preserve">5 Nov, 2023</t>
  </si>
  <si>
    <t xml:space="preserve">[Code: 5679ACKL] 3 units found damaged due to quality issue.</t>
  </si>
  <si>
    <t xml:space="preserve">5679ACKL</t>
  </si>
  <si>
    <t xml:space="preserve">[Code: 3556CEGK] 1 unit found damaged due to quality issue.</t>
  </si>
  <si>
    <t xml:space="preserve">3556CEGK</t>
  </si>
  <si>
    <t xml:space="preserve">[Code: 2457BFHJ] TA: Found damaged in box during display..</t>
  </si>
  <si>
    <t xml:space="preserve">2457BFHJ</t>
  </si>
  <si>
    <t xml:space="preserve">58c6dd8d-23cb-4343-8840-54ba0c1a0bea</t>
  </si>
  <si>
    <t xml:space="preserve">Aquafina plastic 500ml (Half Liter)</t>
  </si>
  <si>
    <t xml:space="preserve">[Code: 3CFFJLLN]  TA: 4 bottels found in loose condition during sorting.</t>
  </si>
  <si>
    <t xml:space="preserve">3CFFJLLN</t>
  </si>
  <si>
    <t xml:space="preserve">[Code: 58ABCEHM]  TA: 2 bottels found in loose   condition during sorting.</t>
  </si>
  <si>
    <t xml:space="preserve">58ABCEHM</t>
  </si>
  <si>
    <t xml:space="preserve">[Code: 2388ABCE] 2 units found damaged due to fungus </t>
  </si>
  <si>
    <t xml:space="preserve">2388ABCE</t>
  </si>
  <si>
    <t xml:space="preserve">[Code: 23366669] [Expiry: 5 Nov, 2023] 1 unit found short expiry</t>
  </si>
  <si>
    <t xml:space="preserve">23366669</t>
  </si>
  <si>
    <t xml:space="preserve">[Code: 4478CDEJ] 1 unit found damaged due to fungus</t>
  </si>
  <si>
    <t xml:space="preserve">4478CDEJ</t>
  </si>
  <si>
    <t xml:space="preserve">f7425506-e9b7-4b03-8637-220222ba185c</t>
  </si>
  <si>
    <t xml:space="preserve">Ariel Original Surf 2kg Rs1250</t>
  </si>
  <si>
    <t xml:space="preserve">[Code: 5779DEFG] 1 unit damaged during sorting by rack</t>
  </si>
  <si>
    <t xml:space="preserve">5779DEFG</t>
  </si>
  <si>
    <t xml:space="preserve">[Code: 289CDEHJ] TA; 2unit damage found during sorting  wihtout  cap</t>
  </si>
  <si>
    <t xml:space="preserve">289CDEHJ</t>
  </si>
  <si>
    <t xml:space="preserve">TA: 1unit less due to mistakenly lived in audit</t>
  </si>
  <si>
    <t xml:space="preserve">[Code: 577889BC]   TA: 2 bottels found in loose condition during sorting.</t>
  </si>
  <si>
    <t xml:space="preserve">577889BC</t>
  </si>
  <si>
    <t xml:space="preserve">eff7c5b3-4154-4f71-8ee4-cf81e596da29</t>
  </si>
  <si>
    <t xml:space="preserve">Mirinda plastic 1.5L Mrinda Marinda</t>
  </si>
  <si>
    <t xml:space="preserve">[Code: 2788BCDH]   TA: 2 bottels found in loose condition during sorting.</t>
  </si>
  <si>
    <t xml:space="preserve">2788BCDH</t>
  </si>
  <si>
    <t xml:space="preserve">7f923b69-80d3-47fb-9441-450eab46eb8e</t>
  </si>
  <si>
    <t xml:space="preserve">Gibs Real Taste Quality Biscuits 40pcs Rs5</t>
  </si>
  <si>
    <t xml:space="preserve">[Code: 22689FHH] [Expiry: 30 Oct, 2023] AR : 241  selling unit found short expiry </t>
  </si>
  <si>
    <t xml:space="preserve">22689FHH</t>
  </si>
  <si>
    <t xml:space="preserve">30 Oct, 2023</t>
  </si>
  <si>
    <t xml:space="preserve">9f296fd5-3f53-43a7-aa24-12b881344053</t>
  </si>
  <si>
    <t xml:space="preserve">Gourmet Mango Mauj 500ml</t>
  </si>
  <si>
    <t xml:space="preserve">Gourmet</t>
  </si>
  <si>
    <t xml:space="preserve">[Code: 35579BKL] TA; 1 unit damage found during sorting</t>
  </si>
  <si>
    <t xml:space="preserve">35579BKL</t>
  </si>
  <si>
    <t xml:space="preserve">[Code: 56779EGH] TA: Found damaged from box during stock display (cap toota hua hayn...)</t>
  </si>
  <si>
    <t xml:space="preserve">56779EGH</t>
  </si>
  <si>
    <t xml:space="preserve">[Code: 8AAELNQ] TA: 1 unit damage during sorting (sorter sy damage hoi he 1bottel )</t>
  </si>
  <si>
    <t xml:space="preserve">8AAELNQ</t>
  </si>
  <si>
    <t xml:space="preserve">[Code: 234579AD]  TA: 2 bottels found in loose condition during sorting.</t>
  </si>
  <si>
    <t xml:space="preserve">234579AD</t>
  </si>
  <si>
    <t xml:space="preserve">f75700db-db97-4687-a243-8c9ae89def23</t>
  </si>
  <si>
    <t xml:space="preserve">Juice Time Guava 1L</t>
  </si>
  <si>
    <t xml:space="preserve">[Code: 3345BGJL] [Expiry: 1 Sep, 2023] TA: 36 units found  expired during night audit.</t>
  </si>
  <si>
    <t xml:space="preserve">3345BGJL</t>
  </si>
  <si>
    <t xml:space="preserve">1 Sep, 2023</t>
  </si>
  <si>
    <t xml:space="preserve">3175cb6a-55fb-434f-a79a-2c987c3438a4</t>
  </si>
  <si>
    <t xml:space="preserve">Engro Dairy Omung Milk x27 Crate 225ml</t>
  </si>
  <si>
    <t xml:space="preserve">[Code: 45666DJL] TA: 1unit damage found during display (unit me sy 1pc leak mila he )</t>
  </si>
  <si>
    <t xml:space="preserve">45666DJL</t>
  </si>
  <si>
    <t xml:space="preserve">[Code: 3458BBEH] TA: Found loose bottels during sorting....</t>
  </si>
  <si>
    <t xml:space="preserve">3458BBEH</t>
  </si>
  <si>
    <t xml:space="preserve">[Code: 22788CCF] TA: Found empty bottels during sorting...</t>
  </si>
  <si>
    <t xml:space="preserve">22788CCF</t>
  </si>
  <si>
    <t xml:space="preserve">4f4aa8cf-4dd3-4ca7-a53a-2b8d07d46710</t>
  </si>
  <si>
    <t xml:space="preserve">Head and Shoulders Anti Hairfall Shampoo 185ml Rs500</t>
  </si>
  <si>
    <t xml:space="preserve">[Code: 26789ACH] AR: 01 unit found empty in a packed Carton</t>
  </si>
  <si>
    <t xml:space="preserve">26789ACH</t>
  </si>
  <si>
    <t xml:space="preserve">[Code: 237CCCDE]  TA: Found loose bottels during sorting....</t>
  </si>
  <si>
    <t xml:space="preserve">237CCCDE</t>
  </si>
  <si>
    <t xml:space="preserve">[Code: 3344CDGG]   TA: Found loose and empty bottels during sorting....</t>
  </si>
  <si>
    <t xml:space="preserve">3344CDGG</t>
  </si>
  <si>
    <t xml:space="preserve">af76431c-0024-4bb6-a5ba-665052444ae5</t>
  </si>
  <si>
    <t xml:space="preserve">Candyland Toss Peach and Mango Jelly 50pcs Rs5</t>
  </si>
  <si>
    <t xml:space="preserve">[Code: 2257ADEG] [Expiry: 29 Oct, 2023] 4 units found short expiry</t>
  </si>
  <si>
    <t xml:space="preserve">2257ADEG</t>
  </si>
  <si>
    <t xml:space="preserve">29 Oct, 2023</t>
  </si>
  <si>
    <t xml:space="preserve">[Code: 289AGLMN] TA: Found in damaged condition during stock display .</t>
  </si>
  <si>
    <t xml:space="preserve">289AGLMN</t>
  </si>
  <si>
    <t xml:space="preserve">[Code: 2234446D] TA: Found damaged from display during sorting.</t>
  </si>
  <si>
    <t xml:space="preserve">2234446D</t>
  </si>
  <si>
    <t xml:space="preserve">[Code: 22566678] TA: One bottel found in loose condition during sorting.....</t>
  </si>
  <si>
    <t xml:space="preserve">22566678</t>
  </si>
  <si>
    <t xml:space="preserve">[Code: 5699AAAM] TA:Qaulity kharab hay(Susri lagi hui hai...)</t>
  </si>
  <si>
    <t xml:space="preserve">5699AAAM</t>
  </si>
  <si>
    <t xml:space="preserve">[Code: 7888ACCE] 8 units found damaged due to qaulity issue.</t>
  </si>
  <si>
    <t xml:space="preserve">7888ACCE</t>
  </si>
  <si>
    <t xml:space="preserve">[Code: 339ACEGJ] 8 units found damaged due to quality issue.</t>
  </si>
  <si>
    <t xml:space="preserve">339ACEGJ</t>
  </si>
  <si>
    <t xml:space="preserve">b463f451-40ec-48b9-a4c1-ff27d496f36c</t>
  </si>
  <si>
    <t xml:space="preserve">A One Fine Atta 10kg</t>
  </si>
  <si>
    <t xml:space="preserve">[Code: CDEEEFFK] 27 units found damaged due to quality issue.</t>
  </si>
  <si>
    <t xml:space="preserve">CDEEEFFK</t>
  </si>
  <si>
    <t xml:space="preserve">849ad7bb-d1d3-4e3b-838f-04cf2f7fb5fd</t>
  </si>
  <si>
    <t xml:space="preserve">Dummer Super Fine Atta 10kg</t>
  </si>
  <si>
    <t xml:space="preserve">[Code: 2336799A] 02 units found damaged due to mouse cut</t>
  </si>
  <si>
    <t xml:space="preserve">2336799A</t>
  </si>
  <si>
    <t xml:space="preserve">[Code: 4899DEGK] 01 unit found damaged due to mouse cut</t>
  </si>
  <si>
    <t xml:space="preserve">4899DEGK</t>
  </si>
  <si>
    <t xml:space="preserve">[Code: 468ACEFH] TA: Found damaged from bag during sorting.</t>
  </si>
  <si>
    <t xml:space="preserve">468ACEFH</t>
  </si>
  <si>
    <t xml:space="preserve">[Code: 244578BC] TA: found damaged from bundle during sorting.</t>
  </si>
  <si>
    <t xml:space="preserve">244578BC</t>
  </si>
  <si>
    <t xml:space="preserve">b3598e3d-528f-482f-9789-ead5b9583f19</t>
  </si>
  <si>
    <t xml:space="preserve">Surf Excel x6 bundle Rs50</t>
  </si>
  <si>
    <t xml:space="preserve">[Code: 278ABEHJ] TA: found Damaged from bag during sorting.</t>
  </si>
  <si>
    <t xml:space="preserve">278ABEHJ</t>
  </si>
  <si>
    <t xml:space="preserve">[Code: 359BCEEE] TA: Found empty bottels during sorting//</t>
  </si>
  <si>
    <t xml:space="preserve">359BCEEE</t>
  </si>
  <si>
    <t xml:space="preserve">[Code: 2467BEEE] TA: Found empty bottels during soring..</t>
  </si>
  <si>
    <t xml:space="preserve">2467BEEE</t>
  </si>
  <si>
    <t xml:space="preserve">[Code: 4468889E] TA: quality kharap hay...susri lagi hay </t>
  </si>
  <si>
    <t xml:space="preserve">4468889E</t>
  </si>
  <si>
    <t xml:space="preserve">4064f4d6-26ba-4acc-a2ea-538239607256</t>
  </si>
  <si>
    <t xml:space="preserve">Sunlight Pink Clean and Jasmine Fresh 380g Rs99</t>
  </si>
  <si>
    <t xml:space="preserve">[Code: 234999EE] TA: 1 unit damage found during display (bag sy damage mila he)</t>
  </si>
  <si>
    <t xml:space="preserve">234999EE</t>
  </si>
  <si>
    <t xml:space="preserve">039ebff0-a54d-4ab1-a893-22ee2482fc18</t>
  </si>
  <si>
    <t xml:space="preserve">Habib Foods Funtime Mango Flavoured Drink 200mL</t>
  </si>
  <si>
    <t xml:space="preserve">[Code: 26789DDG] TA: found damaged from display during sorting.</t>
  </si>
  <si>
    <t xml:space="preserve">26789DDG</t>
  </si>
  <si>
    <t xml:space="preserve">[Code: 569AACDE] TA: Found damaged from display during sorting.</t>
  </si>
  <si>
    <t xml:space="preserve">569AACDE</t>
  </si>
  <si>
    <t xml:space="preserve">[Code: 33789FKL] TA: Found three empty bottels in pet during sorting</t>
  </si>
  <si>
    <t xml:space="preserve">33789FKL</t>
  </si>
  <si>
    <t xml:space="preserve">[Code: 378BBDFH] 1 unit found damaged due to fungus (quality issue)</t>
  </si>
  <si>
    <t xml:space="preserve">378BBDFH</t>
  </si>
  <si>
    <t xml:space="preserve">82a80d89-36a1-4ab2-99b4-c4ddef4f8da9</t>
  </si>
  <si>
    <t xml:space="preserve">Quality Grains Daal Mash Wash 5kg</t>
  </si>
  <si>
    <t xml:space="preserve">[Code: 4557ABDH] 3 units found damaged due to fungus (quality issue) </t>
  </si>
  <si>
    <t xml:space="preserve">4557ABDH</t>
  </si>
  <si>
    <t xml:space="preserve">9f3645c8-08f4-4207-96fe-dcdb450f1f20</t>
  </si>
  <si>
    <t xml:space="preserve">Giggly Opus Square Caramel Chocolate 60pcs Jar Rs5</t>
  </si>
  <si>
    <t xml:space="preserve">  Required SKU Not Available.</t>
  </si>
  <si>
    <t xml:space="preserve">[Code: 2356679A] 01 unit found damaged due to fungus</t>
  </si>
  <si>
    <t xml:space="preserve">2356679A</t>
  </si>
  <si>
    <t xml:space="preserve">fc06922e-76db-4025-89f7-b946dd24e76b</t>
  </si>
  <si>
    <t xml:space="preserve">Candyland Paradise Chocolate 12pcs Box Rs20 (large box)</t>
  </si>
  <si>
    <t xml:space="preserve">[Code: 255BBDEG] 01 unit found damaged quality issue.</t>
  </si>
  <si>
    <t xml:space="preserve">255BBDEG</t>
  </si>
  <si>
    <t xml:space="preserve">[Code: 22ACDEEF] 05 units found damaged (Mouse Cut)</t>
  </si>
  <si>
    <t xml:space="preserve">22ACDEEF</t>
  </si>
  <si>
    <t xml:space="preserve">[Code: 2567899A]  TA:1unit damage found during display (empty packet )</t>
  </si>
  <si>
    <t xml:space="preserve">2567899A</t>
  </si>
  <si>
    <t xml:space="preserve">[Code: 2345ACDF] TA: 2unit damage found during soritng,</t>
  </si>
  <si>
    <t xml:space="preserve">2345ACDF</t>
  </si>
  <si>
    <t xml:space="preserve">[Code: 34788ABB] AR: Stock Removed due to Damage</t>
  </si>
  <si>
    <t xml:space="preserve">34788ABB</t>
  </si>
  <si>
    <t xml:space="preserve">2afbf43d-075e-4e77-a688-ea8b11212b92</t>
  </si>
  <si>
    <t xml:space="preserve">Gourmet Red Anaar 300ml</t>
  </si>
  <si>
    <t xml:space="preserve">[Code: 233467AD] [Expiry: 12 Nov, 2023] AR: Stock Removed due to short Expiry</t>
  </si>
  <si>
    <t xml:space="preserve">233467AD</t>
  </si>
  <si>
    <t xml:space="preserve">12 Nov, 2023</t>
  </si>
  <si>
    <t xml:space="preserve">bc3a54c1-25e7-4ec6-ae1e-cef975dfb230</t>
  </si>
  <si>
    <t xml:space="preserve">Ariel Original x3 180gm Rs99</t>
  </si>
  <si>
    <t xml:space="preserve">[Code: 347888GG]  TA: 1unit Damage Found During display  [bag sy damage mila he]</t>
  </si>
  <si>
    <t xml:space="preserve">347888GG</t>
  </si>
  <si>
    <t xml:space="preserve">[Code: 22466BDE] TA: 1unit Damage Found During Sorting .</t>
  </si>
  <si>
    <t xml:space="preserve">22466BDE</t>
  </si>
  <si>
    <t xml:space="preserve">3da155b6-908d-4d4b-902c-b571d43decb4</t>
  </si>
  <si>
    <t xml:space="preserve">Sheikhoo White Sugar 50kg</t>
  </si>
  <si>
    <t xml:space="preserve">Sheikhoo Sugar</t>
  </si>
  <si>
    <t xml:space="preserve">Sugar</t>
  </si>
  <si>
    <t xml:space="preserve">[Code: 2247FHMN] TA: 7unit  Temporary Remove Due to Wet,</t>
  </si>
  <si>
    <t xml:space="preserve">2247FHMN</t>
  </si>
  <si>
    <t xml:space="preserve">779a871a-5819-420b-a693-f4c28ec0610b</t>
  </si>
  <si>
    <t xml:space="preserve">Quality Grains Daal Moung Chilka 1kg</t>
  </si>
  <si>
    <t xml:space="preserve">[Code: 89BEEFHK] 5 units found damaged due to susri (quality issue)</t>
  </si>
  <si>
    <t xml:space="preserve">89BEEFHK</t>
  </si>
  <si>
    <t xml:space="preserve">91081a46-c248-4240-a39e-ac289775ff30</t>
  </si>
  <si>
    <t xml:space="preserve">LU Oreo Mini Chocolate Cookies 12pcs Rs10 (mini choc)</t>
  </si>
  <si>
    <t xml:space="preserve">7100e657-afd3-4a1b-ae14-2e84dd55e2fd</t>
  </si>
  <si>
    <t xml:space="preserve">LU Prince Mini Chocolate Biscuits 24pcs Rs10</t>
  </si>
  <si>
    <t xml:space="preserve">5f783172-f331-4bff-8c1d-48e7522a3543</t>
  </si>
  <si>
    <t xml:space="preserve">Shahi Chewra Rs100</t>
  </si>
  <si>
    <t xml:space="preserve">[Code: 3589CCEH]  TA: 1unit Damage Found During Display. (cotton sy damage mila he)</t>
  </si>
  <si>
    <t xml:space="preserve">3589CCEH</t>
  </si>
  <si>
    <t xml:space="preserve">[Code: 359ABDHH]  TA: 1unit Damage Found During Sorting .</t>
  </si>
  <si>
    <t xml:space="preserve">359ABDHH</t>
  </si>
  <si>
    <t xml:space="preserve">[Code: 69AHKPQR]  TA: 1unit Damage Found During Sorting  (stock me se damage mila he)</t>
  </si>
  <si>
    <t xml:space="preserve">69AHKPQR</t>
  </si>
  <si>
    <t xml:space="preserve">[Code: 2579CDDE]  TA: 1unit Damage Found During Sorting .</t>
  </si>
  <si>
    <t xml:space="preserve">2579CDDE</t>
  </si>
  <si>
    <t xml:space="preserve">[Code: 334479AB]  TA: 4unit Damage Found During Display .</t>
  </si>
  <si>
    <t xml:space="preserve">334479AB</t>
  </si>
  <si>
    <t xml:space="preserve">[Code: 35589EFG] AR Stock Removed due to Quality Issue</t>
  </si>
  <si>
    <t xml:space="preserve">35589EFG</t>
  </si>
  <si>
    <t xml:space="preserve">610ed5aa-0bc3-4e7f-b38e-96d957357fb2</t>
  </si>
  <si>
    <t xml:space="preserve">Nestle Milkpak with cap 1L</t>
  </si>
  <si>
    <t xml:space="preserve">Milkpak</t>
  </si>
  <si>
    <t xml:space="preserve">[Code: 223388AB] [Expiry: 25 Nov, 2023] 12 units found short expiry</t>
  </si>
  <si>
    <t xml:space="preserve">223388AB</t>
  </si>
  <si>
    <t xml:space="preserve">25 Nov, 2023</t>
  </si>
  <si>
    <t xml:space="preserve">[Code: 22349AAB]  TA: 1unit Damage Found During  display.</t>
  </si>
  <si>
    <t xml:space="preserve">22349AAB</t>
  </si>
  <si>
    <t xml:space="preserve">e8f9b476-5fbb-491e-8f5e-eabafac776a8</t>
  </si>
  <si>
    <t xml:space="preserve">Sunlight Green Clean and Fresh x6 Bundle 25g</t>
  </si>
  <si>
    <t xml:space="preserve">[Code: 239BGJMM]  TA: 1unit Damage Found During Sorting .</t>
  </si>
  <si>
    <t xml:space="preserve">239BGJMM</t>
  </si>
  <si>
    <t xml:space="preserve">1d2b420d-9f9c-4450-8c04-687f96234eb2</t>
  </si>
  <si>
    <t xml:space="preserve">Bahadur Fellow Fountain Pen 10pcs Box (BIP001)</t>
  </si>
  <si>
    <t xml:space="preserve">Bahadur</t>
  </si>
  <si>
    <t xml:space="preserve">[Code: 36GGJLMN] TA; 2unit damage found (paking is bad qualty)</t>
  </si>
  <si>
    <t xml:space="preserve">36GGJLMN</t>
  </si>
  <si>
    <t xml:space="preserve">[Code: 5699AAAA] TA: Stock Removed due to quality issue</t>
  </si>
  <si>
    <t xml:space="preserve">5699AAAA</t>
  </si>
  <si>
    <t xml:space="preserve">[Code: 79CFFGGH]  TA: 4 unit damage found during sorting (cotton me  sy  empty packet mily hain )</t>
  </si>
  <si>
    <t xml:space="preserve">79CFFGGH</t>
  </si>
  <si>
    <t xml:space="preserve">3fcace5b-a875-4788-8ec1-1c7dc9c451bb</t>
  </si>
  <si>
    <t xml:space="preserve">Murree Brewery Lychee White Malt Glass x24 Crate 300ml (white liquid)</t>
  </si>
  <si>
    <t xml:space="preserve">[Code: 356BBGGK] TA: 1 unit damage found during sorting (cotton me  sy bottels damage hain)</t>
  </si>
  <si>
    <t xml:space="preserve">356BBGGK</t>
  </si>
  <si>
    <t xml:space="preserve">[Code: 24ADEFFH] [Expiry: 21 Nov, 2023] AR: Near to Expiry Stock removed.</t>
  </si>
  <si>
    <t xml:space="preserve">24ADEFFH</t>
  </si>
  <si>
    <t xml:space="preserve">21 Nov, 2023</t>
  </si>
  <si>
    <t xml:space="preserve">51fecb38-2956-4620-8fde-e0883acd8cd4</t>
  </si>
  <si>
    <t xml:space="preserve">Candyland Toss Orange and Mango Jelly 50pcs Rs5</t>
  </si>
  <si>
    <t xml:space="preserve">[Code: 3456AEFJ] [Expiry: 25 Nov, 2023] AR: Near to Expiry stock removed.</t>
  </si>
  <si>
    <t xml:space="preserve">3456AEFJ</t>
  </si>
  <si>
    <t xml:space="preserve">[Code: 2478BCGJ]   TA: 2unit damage found during sorting  </t>
  </si>
  <si>
    <t xml:space="preserve">2478BCGJ</t>
  </si>
  <si>
    <t xml:space="preserve">128d0670-3def-4796-8768-176c25cf0959</t>
  </si>
  <si>
    <t xml:space="preserve">Quality Grains White Chana Bareek 5kg</t>
  </si>
  <si>
    <t xml:space="preserve">[Code: 2AEFJKLM] 5 units found damaged due to susri (Quality Issue)</t>
  </si>
  <si>
    <t xml:space="preserve">2AEFJKLM</t>
  </si>
  <si>
    <t xml:space="preserve">[Code: 2467BDHJ]  TA: 21unit Damage Found During Display. [ cotton sy damage mily hain]</t>
  </si>
  <si>
    <t xml:space="preserve">2467BDHJ</t>
  </si>
  <si>
    <t xml:space="preserve">[Code: 247778AD]  TA: 1unit Damage Found During Display . [bag s damage mily hain]</t>
  </si>
  <si>
    <t xml:space="preserve">247778AD</t>
  </si>
  <si>
    <t xml:space="preserve">dbdce744-b75d-431f-ad78-9522b1ea1c7a</t>
  </si>
  <si>
    <t xml:space="preserve">Deer Finger Crayons 6pcs x2Bundle</t>
  </si>
  <si>
    <t xml:space="preserve">[Code: 268ABHLL] AR: 2 Crayons found damage in one box</t>
  </si>
  <si>
    <t xml:space="preserve">268ABHLL</t>
  </si>
  <si>
    <t xml:space="preserve">5fd9d62f-0238-4019-9bdc-1d1af6ce662a</t>
  </si>
  <si>
    <t xml:space="preserve">National Chicken Tikka 20G x6 bundle Rs60</t>
  </si>
  <si>
    <t xml:space="preserve">[Code: 239FJMNN] 1 unit found damaged (Seal Open)</t>
  </si>
  <si>
    <t xml:space="preserve">239FJMNN</t>
  </si>
  <si>
    <t xml:space="preserve">2a782b9f-b287-4bd1-8599-4907b87ef77a</t>
  </si>
  <si>
    <t xml:space="preserve">Sherdil White Chana Bareek 1kg</t>
  </si>
  <si>
    <t xml:space="preserve">[Code: 7799DDDF] 1 unit found damaged due to susri (Quality Issue)</t>
  </si>
  <si>
    <t xml:space="preserve">7799DDDF</t>
  </si>
  <si>
    <t xml:space="preserve">[Code: 4666ADEJ]  TA: 1unit Damage Found during display. (seal sy open hain )</t>
  </si>
  <si>
    <t xml:space="preserve">4666ADEJ</t>
  </si>
  <si>
    <t xml:space="preserve">[Code: 578ACEFG]  TA: 2 unit Damage Found during display. (seal sy open hain )</t>
  </si>
  <si>
    <t xml:space="preserve">578ACEFG</t>
  </si>
  <si>
    <t xml:space="preserve">[Code: 23899CGG] TA: 1 unit Damage Found during Sorting.</t>
  </si>
  <si>
    <t xml:space="preserve">23899CGG</t>
  </si>
  <si>
    <t xml:space="preserve">31763cb5-175e-49fe-8888-5294f63f243b</t>
  </si>
  <si>
    <t xml:space="preserve">Softmints Ice Cool Chewy Mints 100pcs Rs2</t>
  </si>
  <si>
    <t xml:space="preserve">Cadbury</t>
  </si>
  <si>
    <t xml:space="preserve">[Code: 334AABCD] TA: found damaged from box during display...</t>
  </si>
  <si>
    <t xml:space="preserve">334AABCD</t>
  </si>
  <si>
    <t xml:space="preserve">[Code: 55566ABG] TA: 1 unit damage found during sorting</t>
  </si>
  <si>
    <t xml:space="preserve">55566ABG</t>
  </si>
  <si>
    <t xml:space="preserve">caa0e387-9f68-407e-84d3-2cbf5010bda9</t>
  </si>
  <si>
    <t xml:space="preserve">Sunsilk Hairfall Shampoo x16 bundle 7ml Rs10</t>
  </si>
  <si>
    <t xml:space="preserve">[Code: 3CDEEFHJ] TA; 1unit damage found during display</t>
  </si>
  <si>
    <t xml:space="preserve">3CDEEFHJ</t>
  </si>
  <si>
    <t xml:space="preserve">[Code: 4666CEHJ] TA; 1unit found damage due to bad quality (box ky andr sundi lgi he)</t>
  </si>
  <si>
    <t xml:space="preserve">4666CEHJ</t>
  </si>
  <si>
    <t xml:space="preserve">[Code: 257CCDFF  { Expiry:30 nov,23 } TA; 38unit found Short expiry</t>
  </si>
  <si>
    <t xml:space="preserve">257CCDFF</t>
  </si>
  <si>
    <t xml:space="preserve">8402bd3d-b067-4d0c-b197-4e5dba5a97d9</t>
  </si>
  <si>
    <t xml:space="preserve">Bonus tristar yellow surf 225g Rs50</t>
  </si>
  <si>
    <t xml:space="preserve">[Code: 68ABCEJL] TA: 3unit Damage Found during Display (bag sy damage mily hain)</t>
  </si>
  <si>
    <t xml:space="preserve">68ABCEJL</t>
  </si>
  <si>
    <t xml:space="preserve">[Code: 55CEFJLM] [Expiry: 7 Dec, 2023] 9 units found short expiry</t>
  </si>
  <si>
    <t xml:space="preserve">55CEFJLM</t>
  </si>
  <si>
    <t xml:space="preserve">7 Dec, 2023</t>
  </si>
  <si>
    <t xml:space="preserve">[Code: 24457CGL] [Expiry: 6 Dec, 2023] 5 units found short expiry</t>
  </si>
  <si>
    <t xml:space="preserve">24457CGL</t>
  </si>
  <si>
    <t xml:space="preserve">6 Dec, 2023</t>
  </si>
  <si>
    <t xml:space="preserve">[Code: 2345667D] [Expiry: 5 Dec, 2023] 2 units found short expiry</t>
  </si>
  <si>
    <t xml:space="preserve">2345667D</t>
  </si>
  <si>
    <t xml:space="preserve">5 Dec, 2023</t>
  </si>
  <si>
    <t xml:space="preserve">[Code: 66666ACG] TA: Quality bohot ziada kharab hay..(susri lagi hay) </t>
  </si>
  <si>
    <t xml:space="preserve">66666ACG</t>
  </si>
  <si>
    <t xml:space="preserve">c72c27ef-ae66-44e4-a637-35674a58a114</t>
  </si>
  <si>
    <t xml:space="preserve">Super Crisp Mix Nimko Spicy Family Pack Rs50 30g</t>
  </si>
  <si>
    <t xml:space="preserve">[Code: 3578ADDD] 1 ctn having 24 units but when open found 19 units</t>
  </si>
  <si>
    <t xml:space="preserve">3578ADDD</t>
  </si>
  <si>
    <t xml:space="preserve">[Code: 3699DDGG]   TA: 1unit damage found during sorting </t>
  </si>
  <si>
    <t xml:space="preserve">3699DDGG</t>
  </si>
  <si>
    <t xml:space="preserve">[Code: 456ABGGJ]  TA: 1unit damage found during sorting </t>
  </si>
  <si>
    <t xml:space="preserve">456ABGGJ</t>
  </si>
  <si>
    <t xml:space="preserve">8caa7e2b-bd86-4e77-b9b4-ee4bf18f6ba8</t>
  </si>
  <si>
    <t xml:space="preserve">Jan Peach 1L</t>
  </si>
  <si>
    <t xml:space="preserve">[Code: 2378BCCG] TA: 1unit damage found during sorting </t>
  </si>
  <si>
    <t xml:space="preserve">2378BCCG</t>
  </si>
  <si>
    <t xml:space="preserve">f72d2fbe-547e-4e3d-a70a-9912b5922254</t>
  </si>
  <si>
    <t xml:space="preserve">Sunlight Pink Clean and Jasmine Fresh 700g Rs199</t>
  </si>
  <si>
    <t xml:space="preserve">[Code: 278CDEJN] TA: 1unit damage found during display.</t>
  </si>
  <si>
    <t xml:space="preserve">278CDEJN</t>
  </si>
  <si>
    <t xml:space="preserve">[Code: 235678GH] TA: Found damaged during sorting.</t>
  </si>
  <si>
    <t xml:space="preserve">235678GH</t>
  </si>
  <si>
    <t xml:space="preserve">[Code: 2458ABBD]   TA: 1unit damage found during sorting </t>
  </si>
  <si>
    <t xml:space="preserve">2458ABBD</t>
  </si>
  <si>
    <t xml:space="preserve">[Code: 34559ABC]  TA; 4unit damage found during display. ( cotton sy leak mile hain )</t>
  </si>
  <si>
    <t xml:space="preserve">34559ABC</t>
  </si>
  <si>
    <t xml:space="preserve">00faca46-8c0b-46d0-bd19-1c2cff790a83</t>
  </si>
  <si>
    <t xml:space="preserve">Ultra Pure Bleach 300ml Rs 80</t>
  </si>
  <si>
    <t xml:space="preserve">[Code: 2237BDEK] TA; 1unit damage found during display. (cotton sy leak mili he )</t>
  </si>
  <si>
    <t xml:space="preserve">2237BDEK</t>
  </si>
  <si>
    <t xml:space="preserve">2734a39b-c21a-48c0-b552-50dfa9bff187</t>
  </si>
  <si>
    <t xml:space="preserve">Swadi Zeera 1kg</t>
  </si>
  <si>
    <t xml:space="preserve">[Code: 445688CF] 7 units found quality issue.</t>
  </si>
  <si>
    <t xml:space="preserve">445688CF</t>
  </si>
  <si>
    <t xml:space="preserve">81281dce-fe81-497a-88e9-fa44b8f2742d</t>
  </si>
  <si>
    <t xml:space="preserve">Sunridge FiberFit Digestive Atta 5kg</t>
  </si>
  <si>
    <t xml:space="preserve">[Code: 345668BE] [Expiry: 1 Dec, 2023] AR:short expiry stock </t>
  </si>
  <si>
    <t xml:space="preserve">345668BE</t>
  </si>
  <si>
    <t xml:space="preserve">1 Dec, 2023</t>
  </si>
  <si>
    <t xml:space="preserve">48e66272-abb5-4aab-a2b8-e935573e8137</t>
  </si>
  <si>
    <t xml:space="preserve">Sunridge FiberFit Digestive Atta 2kg</t>
  </si>
  <si>
    <t xml:space="preserve">[Code: 24558ABD] [Expiry: 1 Dec, 2023] AR: Short expiry stock </t>
  </si>
  <si>
    <t xml:space="preserve">24558ABD</t>
  </si>
  <si>
    <t xml:space="preserve">3c97c06d-a3d4-4f5b-b694-2b2023aefe1d</t>
  </si>
  <si>
    <t xml:space="preserve">Bio Amla Praima Hair Colour Dark brown 43</t>
  </si>
  <si>
    <t xml:space="preserve">[Code: 35679ACD] TA: box may say damaged nikla.</t>
  </si>
  <si>
    <t xml:space="preserve">35679ACD</t>
  </si>
  <si>
    <t xml:space="preserve">notes-new</t>
  </si>
  <si>
    <t xml:space="preserve">Date &amp; time</t>
  </si>
  <si>
    <t xml:space="preserve">DC Faisalabad</t>
  </si>
  <si>
    <t xml:space="preserve">Ariel Original Surf x6 bundle 100g Rs 50</t>
  </si>
  <si>
    <t xml:space="preserve">Bonus tristar yellow surf 485g Rs99</t>
  </si>
  <si>
    <t xml:space="preserve">Brite Surf x12 bundle 25g Rs 10</t>
  </si>
  <si>
    <t xml:space="preserve">Bonus tristar detergent x6 bundle 50g Rs 10</t>
  </si>
  <si>
    <t xml:space="preserve">Shangrila Tomato Ketchup x6 Bundle 80g</t>
  </si>
  <si>
    <t xml:space="preserve">Lifebouy Herbal Strong 12ml 16pcs Rs.10</t>
  </si>
  <si>
    <t xml:space="preserve">Brand wise analysis </t>
  </si>
  <si>
    <t xml:space="preserve">Category wise analysis </t>
  </si>
  <si>
    <t xml:space="preserve">Damages reported by </t>
  </si>
  <si>
    <t xml:space="preserve">Month</t>
  </si>
  <si>
    <t xml:space="preserve">Brand</t>
  </si>
  <si>
    <t xml:space="preserve">Damage Qty</t>
  </si>
  <si>
    <t xml:space="preserve">Damage value </t>
  </si>
  <si>
    <t xml:space="preserve">Category</t>
  </si>
  <si>
    <t xml:space="preserve">Department </t>
  </si>
  <si>
    <t xml:space="preserve">2023-Feb</t>
  </si>
  <si>
    <t xml:space="preserve">Overnight</t>
  </si>
  <si>
    <t xml:space="preserve">Receiving</t>
  </si>
  <si>
    <t xml:space="preserve">2023-Feb Total</t>
  </si>
  <si>
    <t xml:space="preserve">Audit</t>
  </si>
  <si>
    <t xml:space="preserve">2023-Mar</t>
  </si>
  <si>
    <t xml:space="preserve">2023-Mar Total</t>
  </si>
  <si>
    <t xml:space="preserve">2023-Apr</t>
  </si>
  <si>
    <t xml:space="preserve">2023-Apr Total</t>
  </si>
  <si>
    <t xml:space="preserve">2023-May</t>
  </si>
  <si>
    <t xml:space="preserve">2023-May Total</t>
  </si>
  <si>
    <t xml:space="preserve">2023-Jul</t>
  </si>
  <si>
    <t xml:space="preserve">2023-Jul Total</t>
  </si>
  <si>
    <t xml:space="preserve">2023-Aug</t>
  </si>
  <si>
    <t xml:space="preserve">2023-Aug Total</t>
  </si>
  <si>
    <t xml:space="preserve">2023-Oct</t>
  </si>
  <si>
    <t xml:space="preserve">2023-Jun</t>
  </si>
  <si>
    <t xml:space="preserve">2023-Oct Total</t>
  </si>
  <si>
    <t xml:space="preserve">2023-Nov</t>
  </si>
  <si>
    <t xml:space="preserve">2023-Jun Total</t>
  </si>
  <si>
    <t xml:space="preserve">2023-Nov Total</t>
  </si>
  <si>
    <t xml:space="preserve">Grand Total</t>
  </si>
  <si>
    <t xml:space="preserve">2023-Sep</t>
  </si>
  <si>
    <t xml:space="preserve">2023-Sep Total</t>
  </si>
  <si>
    <t xml:space="preserve">Reporting (auto)</t>
  </si>
  <si>
    <t xml:space="preserve">Examination</t>
  </si>
  <si>
    <t xml:space="preserve">Shrinkage code</t>
  </si>
  <si>
    <t xml:space="preserve">SKU Name</t>
  </si>
  <si>
    <t xml:space="preserve">Type</t>
  </si>
  <si>
    <t xml:space="preserve">Quantity</t>
  </si>
  <si>
    <t xml:space="preserve">Details</t>
  </si>
  <si>
    <t xml:space="preserve">Reported by</t>
  </si>
  <si>
    <t xml:space="preserve">What Happened (Detailed explanation)</t>
  </si>
  <si>
    <t xml:space="preserve">Next Steps </t>
  </si>
  <si>
    <t xml:space="preserve">Number of units recovered/replaced</t>
  </si>
  <si>
    <t xml:space="preserve">Status </t>
  </si>
  <si>
    <t xml:space="preserve">Live</t>
  </si>
  <si>
    <t xml:space="preserve">PP</t>
  </si>
  <si>
    <t xml:space="preserve">INV value </t>
  </si>
  <si>
    <t xml:space="preserve">Date </t>
  </si>
  <si>
    <t xml:space="preserve">empty bottle found by soter during sorting</t>
  </si>
  <si>
    <t xml:space="preserve">As per Discussion with Abdul Raheem, we will replace damage stock with fresh stock in next supply which will receive before 23-Feb-2023</t>
  </si>
  <si>
    <t xml:space="preserve">Closed</t>
  </si>
  <si>
    <t xml:space="preserve">stock removed due to quality issue complaint by customer (Student Mobile &amp; Tuck Shop +923219661100)</t>
  </si>
  <si>
    <t xml:space="preserve">As per Discussion with Abdur Rahim malik, we willl handover damage stock to vendor and will deduct amount from next supply which will receive before 4-mar-2023</t>
  </si>
  <si>
    <t xml:space="preserve">Manufacturing defect  Bora me damge nikla he or sel open the </t>
  </si>
  <si>
    <t xml:space="preserve">As per Discussion with Junaid, we will replace damage stock with fresh stock in next supply which will receive before 28-Feb-2023</t>
  </si>
  <si>
    <t xml:space="preserve">As per Discussion with junaid, we willl handover damage stock to vendor and will deduct amount from next supply which will receive before 15-mar-2023</t>
  </si>
  <si>
    <t xml:space="preserve">Company end issue(The product packaging is defective inside the sealed Sack)</t>
  </si>
  <si>
    <t xml:space="preserve">As per Discussion with Asif Mushtaq, we will replace damage stock with fresh stock in next supply which will receive before 28-Feb-2023</t>
  </si>
  <si>
    <t xml:space="preserve">Company end issue(Less piece found in a Box)</t>
  </si>
  <si>
    <t xml:space="preserve">During the sorting of 19th Feb, a sorter accidentally dropped this while picking from the height of 5th layer in beverages section.</t>
  </si>
  <si>
    <t xml:space="preserve">As per Discussion with Abdul Raheem, we will replace damage stock with fresh stock in next supply which will receive before 25-Feb-2023</t>
  </si>
  <si>
    <t xml:space="preserve">Company end issue(The product packaging is defective inside the sealed carton )</t>
  </si>
  <si>
    <t xml:space="preserve">As per Discussion with Abdul Raheemmalik  we will  hand ovedamge stock to vebdor and willdeduct   amount  with next supply which will receive before 28-Feb-2023</t>
  </si>
  <si>
    <t xml:space="preserve">Damaged during display by patrolling officer</t>
  </si>
  <si>
    <t xml:space="preserve">As per Discussion with Junaid, we will replace damage stock with fresh stock in next supply which will receive before 10-Mar-2023</t>
  </si>
  <si>
    <t xml:space="preserve"> Damage by sorter during sorting</t>
  </si>
  <si>
    <t xml:space="preserve"> quality kaafi kharab hay(nami k wajah say ulli par gayi hay)</t>
  </si>
  <si>
    <t xml:space="preserve">As per Discussion with Abdul Raheem, we will discard damge   </t>
  </si>
  <si>
    <t xml:space="preserve">chakka girnay ki wajah say damage hogaye. </t>
  </si>
  <si>
    <t xml:space="preserve">As per Discussion with Abdul Raheem, we will replace damage stock with fresh stock in next supply which will receive before 10-MAR-2023</t>
  </si>
  <si>
    <t xml:space="preserve"> Company end issue: box bilkul khali hay andr say.</t>
  </si>
  <si>
    <t xml:space="preserve">As per instruction of junaid.mehmood@tajir-app.com damaged stock handed over to vendor  on 07-Jun-2023</t>
  </si>
  <si>
    <t xml:space="preserve">As per Discussion with abdul rahim malik, we will replace damage stock with fresh stock in next supply which will receive before 10-Mar-2023</t>
  </si>
  <si>
    <t xml:space="preserve">As per Discussion with Abdul Raheemmalik  we will  hand ovedamge stock to vebdor and willdeduct   amount  with next supply which will receive before 16-MAR-2023</t>
  </si>
  <si>
    <t xml:space="preserve">As per Discussion with furqan.ahmad@tajir-app.com, we will replace damage stock with fresh stock in next supply which will receive before 30-NOV-2023</t>
  </si>
  <si>
    <t xml:space="preserve">As per Discussion with Junaid, we will replace damage stock with fresh stock in next supply which will receive before 20-Mar-2023</t>
  </si>
  <si>
    <t xml:space="preserve">As per Discussion with Abdul Raheemmalik  we will  hand ovedamge stock to vebdor and willdeduct   amount  with next supply which will receive before 30-MAR-2023</t>
  </si>
  <si>
    <t xml:space="preserve">As per Discussion with junaid, we willl handover damage stock to vendor and will deduct amount from next supply which will receive before 15-APr-2023</t>
  </si>
  <si>
    <t xml:space="preserve">As per Discussion with Junaid, we will replace damage stock with fresh stock in next supply which will receive before 30-Mar-2023</t>
  </si>
  <si>
    <t xml:space="preserve">During the sorting of 24-mar, a sorter accidentally dropped this while picking from the height of 5th layer in beverages section.</t>
  </si>
  <si>
    <t xml:space="preserve">As per Discussion with Abdul Raheem, we will replace damage stock with fresh stock in next supply which will receive before 31-MAR-2023</t>
  </si>
  <si>
    <t xml:space="preserve">During the sorting of 26-mar, a sorter accidentally dropped this while picking from the height of 5th layer in beverages section.</t>
  </si>
  <si>
    <t xml:space="preserve">qaulity sahi nahi daal ki ulli (haryali ) lagi hay or smell bhi arhi hay daal may say.</t>
  </si>
  <si>
    <t xml:space="preserve">As per Discussion with Junaid, we will replace damage stock with fresh stock in next supply which will receive before 31-Mar-2023</t>
  </si>
  <si>
    <t xml:space="preserve">As per Discussion with Abdul Raheem, we will replace damage stock with fresh stock in next supply which will receive before 15-APR-2023</t>
  </si>
  <si>
    <t xml:space="preserve">As per Discussion with Junaid, we will replace damage stock with fresh stock in next supply which will receive before 10-APR-2023</t>
  </si>
  <si>
    <t xml:space="preserve">Manufacturing defect  carton me damge nikla he or sel open the </t>
  </si>
  <si>
    <t xml:space="preserve">As per Discussion with asif we will  hand ovedamge stock to vebdor and willdeduct   amount  with next supply which will receive before 30-APR-2023</t>
  </si>
  <si>
    <t xml:space="preserve">Examined, not closed</t>
  </si>
  <si>
    <t xml:space="preserve">As per Discussion with Abdul Raheemmalik  we will  hand ovedamge stock to vebdor and willdeduct   amount  with next supply which will receive before 30-APR-2023</t>
  </si>
  <si>
    <t xml:space="preserve">As per instruction of @Abdur Rahim Malik discard the damaged stock </t>
  </si>
  <si>
    <t xml:space="preserve">During the sorting of 15-APR a sorter accidentally dropped this while picking from the height of 5th layer in beverages section.</t>
  </si>
  <si>
    <t xml:space="preserve">As per Discussion with Abdul Raheem, we will replace damage stock with fresh stock in next supply which will receive before 16-APR-2023</t>
  </si>
  <si>
    <t xml:space="preserve">4 selling units are air less</t>
  </si>
  <si>
    <t xml:space="preserve">As per Discussion with Asif, we will replace damage stock with fresh stock in next supply which will receive before 30-APR-2023</t>
  </si>
  <si>
    <t xml:space="preserve"> 03 selling units are air less</t>
  </si>
  <si>
    <t xml:space="preserve">04 selling units are air less</t>
  </si>
  <si>
    <t xml:space="preserve">01 selling unit found air less quality issue</t>
  </si>
  <si>
    <t xml:space="preserve"> 01 selling found air less quality issue</t>
  </si>
  <si>
    <t xml:space="preserve">As per Discussion with abdul raheem malik, we will replace damage stock with fresh stock in next supply which will receive before 30-APR-2023</t>
  </si>
  <si>
    <t xml:space="preserve">As per Discussion with Junaid, we will replace damage stock with fresh stock in next supply which will receive before 30-APR-2023</t>
  </si>
  <si>
    <t xml:space="preserve">During the sorting of 19-APR a sorter accidentally dropped this while picking from the height of 5th layer in beverages section.</t>
  </si>
  <si>
    <t xml:space="preserve">As per Discussion with Abdul Raheem, we will replace damage stock with fresh stock in next supply which will receive before 30-APR-2023</t>
  </si>
  <si>
    <t xml:space="preserve">As per Discussion with Junaid, we will replace damage stock with fresh stock in next supply which will receive before 10-MAY-2023</t>
  </si>
  <si>
    <t xml:space="preserve">As per Discussion with ABDUL RAHEEM MALIK, we will replace damage stock with fresh stock in next supply which will receive before 10-MAY-2023</t>
  </si>
  <si>
    <t xml:space="preserve">During the sorting of 5-may, a sorter accidentally dropped this while picking from the height of 5th layer in beverages section.</t>
  </si>
  <si>
    <t xml:space="preserve">As per Discussion with Abdul Raheem, we will replace damage stock with fresh stock in next supply which will receive before 30-MAY-2023</t>
  </si>
  <si>
    <t xml:space="preserve"> 14 units damaged due to insects </t>
  </si>
  <si>
    <t xml:space="preserve"> 2 units found damaged due to fungus.</t>
  </si>
  <si>
    <t xml:space="preserve"> 6 units found damaged due to insects</t>
  </si>
  <si>
    <t xml:space="preserve"> quality achi nahi hay...susri lagi hay </t>
  </si>
  <si>
    <t xml:space="preserve">During the sorting of 10-may, a sorter accidentally dropped this while picking from the height of 5th layer in beverages section.</t>
  </si>
  <si>
    <t xml:space="preserve">As per Discussion with JUnaid, we will replace damage stock with fresh stock in next supply which will receive before 15-MAY-2023</t>
  </si>
  <si>
    <t xml:space="preserve">As per Discussion with ABDUL RAHEEM MALIK, we will replace damage stock with fresh stock in next supply which will receive before 15-MAY-2023</t>
  </si>
  <si>
    <t xml:space="preserve">During the sorting of 12-may, a sorter accidentally dropped this while picking from the height of 5th layer in beverages section.</t>
  </si>
  <si>
    <t xml:space="preserve">During the sorting of 13-may, a sorter accidentally dropped this while picking from the height of 5th layer in beverages section.</t>
  </si>
  <si>
    <t xml:space="preserve">During the sorting of 14-may, a sorter accidentally dropped this while picking from the height of 5th layer in beverages section.</t>
  </si>
  <si>
    <t xml:space="preserve"> 1 unit damage found ( Woden Hendle tota mila he stock me sy)</t>
  </si>
  <si>
    <t xml:space="preserve">During the sorting of 15-may, a sorter accidentally dropped this while picking from the height of 5th layer in beverages section.</t>
  </si>
  <si>
    <t xml:space="preserve">During the sorting of 16-may, a sorter accidentally dropped this while picking from the height of 5th layer in beverages section.</t>
  </si>
  <si>
    <t xml:space="preserve">During the sorting of 18-may, a sorter accidentally dropped this while picking from the height of 5th layer in beverages section.</t>
  </si>
  <si>
    <t xml:space="preserve">As per Discussion with JUnaid, we will replace damage stock with fresh stock in next supply which will receive before 30-MAY-2023</t>
  </si>
  <si>
    <t xml:space="preserve">During the sorting of 22-may, a sorter accidentally dropped this while picking from the height of 5th layer in beverages section.</t>
  </si>
  <si>
    <t xml:space="preserve">During the sorting of 26-may, a sorter accidentally dropped this while picking from the height of 5th layer in beverages section.</t>
  </si>
  <si>
    <t xml:space="preserve"> 01 unit found damaged (1 pouch leak in ctn)</t>
  </si>
  <si>
    <t xml:space="preserve">As per Discussion with Waqas, we will replace damage stock with fresh stock in next supply which will receive before 30-MAY-2023</t>
  </si>
  <si>
    <t xml:space="preserve">As per instruction abdur.rahim@tajir-app.comdamaged stock has returend to vendor </t>
  </si>
  <si>
    <t xml:space="preserve">During the sorting of 31-may, a sorter accidentally dropped this while picking from the height of 5th layer in beverages section.</t>
  </si>
  <si>
    <t xml:space="preserve">As per Discussion with Abdul Raheem, we will replace damage stock with fresh stock in next supply which will receive before 30-JUN-2023</t>
  </si>
  <si>
    <t xml:space="preserve">During the sorting of 3-jun, a sorter accidentally dropped this while picking from the height of 5th layer in beverages section.</t>
  </si>
  <si>
    <t xml:space="preserve">As per Discussion with abdul raheem, we will replace damage stock with fresh stock in next supply which will receive before 30-jun-2023</t>
  </si>
  <si>
    <t xml:space="preserve">As per Discussion with asif, we will replace damage stock with fresh stock in next supply which will receive before 30-jun-2023</t>
  </si>
  <si>
    <t xml:space="preserve">During the sorting of 9-jun, a sorter accidentally dropped this while picking from the height of 5th layer in beverages section.</t>
  </si>
  <si>
    <t xml:space="preserve">As per Discussion with Abdul raheem, we will replace damage stock with fresh stock in next supply which will receive before 30-JUL-2023</t>
  </si>
  <si>
    <t xml:space="preserve">As per Discussion with junaid, we will replace damage stock with fresh stock in next supply which will receive before 30-jun-2023</t>
  </si>
  <si>
    <t xml:space="preserve">During the sorting of1 9-jun, a sorter accidentally dropped this while picking from the height of 5th layer in beverages section.</t>
  </si>
  <si>
    <t xml:space="preserve">During the sorting of1 20-jun, a sorter accidentally dropped this while picking from the height of 5th layer in beverages section.</t>
  </si>
  <si>
    <t xml:space="preserve">Stock main Susri thi </t>
  </si>
  <si>
    <t xml:space="preserve">STOCK CHANGE HO GY HE OR MRP HAS BEEN CHANGED FROM RS225 TO RS245</t>
  </si>
  <si>
    <t xml:space="preserve">During the sorting of22-jun, a sorter accidentally dropped this while picking from the height of 5th layer in beverages section.</t>
  </si>
  <si>
    <t xml:space="preserve">As per Discussion with abdul raheem, we will replace damage stock with fresh stock in next supply which will receive before 30-jul-2023</t>
  </si>
  <si>
    <t xml:space="preserve">During the sorting of24-jun, a sorter accidentally dropped this while picking from the height of 5th layer in beverages section.</t>
  </si>
  <si>
    <t xml:space="preserve">During the sorting of25-jun, a sorter accidentally dropped this while picking from the height of 5th layer in beverages section.</t>
  </si>
  <si>
    <t xml:space="preserve">During the sorting of26-jun, a sorter accidentally dropped this while picking from the height of 5th layer in beverages section.</t>
  </si>
  <si>
    <t xml:space="preserve">As per Discussion with Abdul Raheem, we will replace damage stock with fresh stock in next supply which will receive before 30-JUL-2023</t>
  </si>
  <si>
    <t xml:space="preserve">Manufacturing defect  </t>
  </si>
  <si>
    <t xml:space="preserve">As per Discussion with Abdur Raheem, we will replace damage stock with fresh stock in next supply which will receive before 30-JUL-2023</t>
  </si>
  <si>
    <t xml:space="preserve">Quality Issue</t>
  </si>
  <si>
    <t xml:space="preserve">As per Discussion with Abdur Rahim, we will replace damage stock with fresh stock in next supply which will receive before 30-JUL-2023</t>
  </si>
  <si>
    <t xml:space="preserve">As per Discussion with Junaid, we will replace damage stock with fresh stock in next supply which will receive before 30-JUL-2023</t>
  </si>
  <si>
    <t xml:space="preserve">As per instruction of abdur.rehman@tajir-app.com damaged stock handed over to vendor  on 19-07-2023</t>
  </si>
  <si>
    <t xml:space="preserve">As per Discussion with ABDUL Raheem, we will replace damage stock with fresh stock in next supply which will receive before 30-JUL-2023</t>
  </si>
  <si>
    <t xml:space="preserve">As per Discussion with Asif, we will replace damage stock with fresh stock in next supply which will receive before 30-JUL-2023</t>
  </si>
  <si>
    <t xml:space="preserve"> </t>
  </si>
  <si>
    <t xml:space="preserve">As per Discussion with junaid, we will replace damage stock with fresh stock in next supply which will receive before 30-JUL-2023</t>
  </si>
  <si>
    <t xml:space="preserve">As per Discussion with Abdul raheem, we will replace damage stock with fresh stock in next supply which will receive before 30-AUG-2023</t>
  </si>
  <si>
    <t xml:space="preserve">As per Discussion with Asif, we will replace damage stock with fresh stock in next supply which will receive before 30-AUG-2023</t>
  </si>
  <si>
    <t xml:space="preserve">As per Discussion with junaid, we will replace damage stock with fresh stock in next supply which will receive before 30-AUG-2023</t>
  </si>
  <si>
    <t xml:space="preserve">As per Discussion with junaid, we will replace damage stock with fresh stock in next supply which will receive before 30-sep-2023</t>
  </si>
  <si>
    <t xml:space="preserve">As per Discussion with abdur.rahim@tajir-app.com, we will replace damage stock with fresh stock in next supply which will receive before 30-AUG-2023</t>
  </si>
  <si>
    <t xml:space="preserve">As per Discussion with abdur.rahim@tajir-app.com, we will replace damage stock with fresh stock in next supply which will receive before 30-Sep-2023</t>
  </si>
  <si>
    <t xml:space="preserve">As per Discussion with abdul.raheem@tajir-app.com, we will replace damage stock with fresh stock in next supply which will receive before 30-Sep-2023</t>
  </si>
  <si>
    <t xml:space="preserve">As per Discussion with junaid.mehmood@tajir-app.com, we will replace damage stock with fresh stock in next supply which will receive before 30-SEP-2023</t>
  </si>
  <si>
    <t xml:space="preserve">As per Discussion with asif.mushtaq@tajir-app.com, we will replace damage stock with fresh stock in next supply which will receive before 30-Sep-2023</t>
  </si>
  <si>
    <t xml:space="preserve">As per Discussion with asif, we will replace damage stock with fresh stock in next supply which will receive before 30-Sep-2023</t>
  </si>
  <si>
    <t xml:space="preserve">As per Discussion with abdul raheem, we will replace damage stock with fresh stock in next supply which will receive before 30-SEP-2023</t>
  </si>
  <si>
    <t xml:space="preserve">As per Discussion with junaid.mehmood@tajir-app.com, we will replace damage stock with fresh stock in next supply which will receive before 31-OCT-2023</t>
  </si>
  <si>
    <t xml:space="preserve">As per Discussion with abdul raheem, we will replace damage stock with fresh stock in next supply which will receive before 31-OCT-2023</t>
  </si>
  <si>
    <t xml:space="preserve">As per Discussion with abdul raheem, we will replace damage stock with fresh stock in next supply which will receive before  31-OCT-2023</t>
  </si>
  <si>
    <t xml:space="preserve">As per Discussion with asif, we will replace damage stock with fresh stock in next supply which will receive before 31-OCT-2023</t>
  </si>
  <si>
    <t xml:space="preserve">As per Discussion with junaid.mehmood@tajir-app.com, we will replace damage stock with fresh stock in next supply which will receive before 30-NOV-2023</t>
  </si>
  <si>
    <t xml:space="preserve">As per Discussion with abdul raheem, we will replace damage stock with fresh stock in next supply which will receive before  30-NOV-2023</t>
  </si>
  <si>
    <t xml:space="preserve">As per Discussion with asif, we will replace damage stock with fresh stock in next supply which will receive before  30-NOV-2023</t>
  </si>
  <si>
    <t xml:space="preserve">Pending</t>
  </si>
  <si>
    <t xml:space="preserve">Days pending to be expired </t>
  </si>
  <si>
    <t xml:space="preserve">Dataops </t>
  </si>
  <si>
    <t xml:space="preserve">Bizops </t>
  </si>
  <si>
    <t xml:space="preserve">Expiry date </t>
  </si>
  <si>
    <t xml:space="preserve">Brand Manager</t>
  </si>
  <si>
    <t xml:space="preserve">Removal before expiry </t>
  </si>
  <si>
    <t xml:space="preserve">why resulted in short expiry </t>
  </si>
  <si>
    <t xml:space="preserve">Number of units recovered/replaced/returned</t>
  </si>
  <si>
    <t xml:space="preserve">Live </t>
  </si>
  <si>
    <t xml:space="preserve">🟢Returned to vendor </t>
  </si>
  <si>
    <t xml:space="preserve">🔵Stock replaced</t>
  </si>
  <si>
    <t xml:space="preserve">Double live in audit</t>
  </si>
  <si>
    <t xml:space="preserve">Expiry 24/8/23</t>
  </si>
  <si>
    <t xml:space="preserve">Monthly expiry value </t>
  </si>
  <si>
    <t xml:space="preserve">Monthly Brand manager wise # of issue</t>
  </si>
  <si>
    <t xml:space="preserve">Expired Qty</t>
  </si>
  <si>
    <t xml:space="preserve">Expiry value </t>
  </si>
  <si>
    <t xml:space="preserve"># of issue</t>
  </si>
  <si>
    <t xml:space="preserve">Abdul Raheem</t>
  </si>
  <si>
    <t xml:space="preserve">Syed Qasim Ali</t>
  </si>
  <si>
    <t xml:space="preserve">Abdur Rahim Malik</t>
  </si>
  <si>
    <t xml:space="preserve">Asif Mushtaq</t>
  </si>
  <si>
    <t xml:space="preserve">Abdul Raheem Total</t>
  </si>
  <si>
    <t xml:space="preserve">Nouman Sattar</t>
  </si>
  <si>
    <t xml:space="preserve">Abdur Rahim Malik Total</t>
  </si>
  <si>
    <t xml:space="preserve">Nouman Sattar Total</t>
  </si>
  <si>
    <t xml:space="preserve">Syed Qasim Ali Total</t>
  </si>
  <si>
    <t xml:space="preserve">Asif Mushtaq Total</t>
  </si>
  <si>
    <t xml:space="preserve"># of brands </t>
  </si>
  <si>
    <t xml:space="preserve">Mezan Beverages)</t>
  </si>
  <si>
    <t xml:space="preserve">Murree Sparkletts</t>
  </si>
  <si>
    <t xml:space="preserve">Murree Brewery)</t>
  </si>
  <si>
    <t xml:space="preserve">Asif Aslam</t>
  </si>
  <si>
    <t xml:space="preserve">Storm</t>
  </si>
  <si>
    <t xml:space="preserve">Rango Next</t>
  </si>
  <si>
    <t xml:space="preserve">Junaid Ali</t>
  </si>
  <si>
    <t xml:space="preserve">Murree Brewery Consignment)</t>
  </si>
  <si>
    <t xml:space="preserve">Naveed Iqbal</t>
  </si>
  <si>
    <t xml:space="preserve">Flow Water</t>
  </si>
  <si>
    <t xml:space="preserve">Qarshi</t>
  </si>
  <si>
    <t xml:space="preserve">Furqan</t>
  </si>
  <si>
    <t xml:space="preserve">Anaar Next</t>
  </si>
  <si>
    <t xml:space="preserve">Adnan</t>
  </si>
  <si>
    <t xml:space="preserve">Total</t>
  </si>
  <si>
    <t xml:space="preserve">Nesfruta</t>
  </si>
  <si>
    <t xml:space="preserve">Nestle)</t>
  </si>
  <si>
    <t xml:space="preserve">Red Bull</t>
  </si>
  <si>
    <t xml:space="preserve">Fizup Next</t>
  </si>
  <si>
    <t xml:space="preserve">Six B Beverages)</t>
  </si>
  <si>
    <t xml:space="preserve">Pakola</t>
  </si>
  <si>
    <t xml:space="preserve">Vivo</t>
  </si>
  <si>
    <t xml:space="preserve">Jan Juice)</t>
  </si>
  <si>
    <t xml:space="preserve">Fresh n Up</t>
  </si>
  <si>
    <t xml:space="preserve">Sippy Fruit Drink</t>
  </si>
  <si>
    <t xml:space="preserve">Livvel Beverages Pvt Ltd)</t>
  </si>
  <si>
    <t xml:space="preserve">Pure Next</t>
  </si>
  <si>
    <t xml:space="preserve">Rev Stimulant Drink</t>
  </si>
  <si>
    <t xml:space="preserve">Nero Cola</t>
  </si>
  <si>
    <t xml:space="preserve">RJ Foods)</t>
  </si>
  <si>
    <t xml:space="preserve">Black Horse Rice</t>
  </si>
  <si>
    <t xml:space="preserve">Taj Mehal Rice)</t>
  </si>
  <si>
    <t xml:space="preserve">Mughal Rice</t>
  </si>
  <si>
    <t xml:space="preserve">Punjab Atta</t>
  </si>
  <si>
    <t xml:space="preserve">Al-Munawar Spices)</t>
  </si>
  <si>
    <t xml:space="preserve">National Spices)</t>
  </si>
  <si>
    <t xml:space="preserve">Taj Mehal Rice</t>
  </si>
  <si>
    <t xml:space="preserve">Falak</t>
  </si>
  <si>
    <t xml:space="preserve">One Rice</t>
  </si>
  <si>
    <t xml:space="preserve">Rachna Doab</t>
  </si>
  <si>
    <t xml:space="preserve">Rachna)</t>
  </si>
  <si>
    <t xml:space="preserve">Guard)</t>
  </si>
  <si>
    <t xml:space="preserve">One Rice)</t>
  </si>
  <si>
    <t xml:space="preserve">Pari</t>
  </si>
  <si>
    <t xml:space="preserve">Mahmood Rice</t>
  </si>
  <si>
    <t xml:space="preserve">Sherdil Spices)</t>
  </si>
  <si>
    <t xml:space="preserve">FS Rice</t>
  </si>
  <si>
    <t xml:space="preserve">Dipitt</t>
  </si>
  <si>
    <t xml:space="preserve">Ibex Rice</t>
  </si>
  <si>
    <t xml:space="preserve">Mughal e Azam Rice</t>
  </si>
  <si>
    <t xml:space="preserve">Shams</t>
  </si>
  <si>
    <t xml:space="preserve">Shams Flour)</t>
  </si>
  <si>
    <t xml:space="preserve">UHU</t>
  </si>
  <si>
    <t xml:space="preserve">Kamal Foods</t>
  </si>
  <si>
    <t xml:space="preserve">Almeer</t>
  </si>
  <si>
    <t xml:space="preserve">UK Rice</t>
  </si>
  <si>
    <t xml:space="preserve">Hasan Rice</t>
  </si>
  <si>
    <t xml:space="preserve">Camelion</t>
  </si>
  <si>
    <t xml:space="preserve">Pakistan Tobacco Company</t>
  </si>
  <si>
    <t xml:space="preserve">Lazat Rice</t>
  </si>
  <si>
    <t xml:space="preserve">Khajoor Marka Rice</t>
  </si>
  <si>
    <t xml:space="preserve">Philip Morris</t>
  </si>
  <si>
    <t xml:space="preserve">Sherdill)</t>
  </si>
  <si>
    <t xml:space="preserve">Deli</t>
  </si>
  <si>
    <t xml:space="preserve">WBM</t>
  </si>
  <si>
    <t xml:space="preserve">Dummer)</t>
  </si>
  <si>
    <t xml:space="preserve">Paksafeena</t>
  </si>
  <si>
    <t xml:space="preserve">Safeena)</t>
  </si>
  <si>
    <t xml:space="preserve">Manpasand Atta</t>
  </si>
  <si>
    <t xml:space="preserve">Fauji Foods</t>
  </si>
  <si>
    <t xml:space="preserve">Laziza</t>
  </si>
  <si>
    <t xml:space="preserve">Kamyab Atta</t>
  </si>
  <si>
    <t xml:space="preserve">Kamyab)</t>
  </si>
  <si>
    <t xml:space="preserve">Areej</t>
  </si>
  <si>
    <t xml:space="preserve">Mezan</t>
  </si>
  <si>
    <t xml:space="preserve">Shama</t>
  </si>
  <si>
    <t xml:space="preserve">Shama Oil and Ghee)</t>
  </si>
  <si>
    <t xml:space="preserve">Sufi</t>
  </si>
  <si>
    <t xml:space="preserve">Canolive</t>
  </si>
  <si>
    <t xml:space="preserve">Gul Gold</t>
  </si>
  <si>
    <t xml:space="preserve">Gul)</t>
  </si>
  <si>
    <t xml:space="preserve">Family</t>
  </si>
  <si>
    <t xml:space="preserve">Family Oil)</t>
  </si>
  <si>
    <t xml:space="preserve">Habib</t>
  </si>
  <si>
    <t xml:space="preserve">Pak Desi Ghee</t>
  </si>
  <si>
    <t xml:space="preserve">Afzal Ghee</t>
  </si>
  <si>
    <t xml:space="preserve">Kisan</t>
  </si>
  <si>
    <t xml:space="preserve">Dalda</t>
  </si>
  <si>
    <t xml:space="preserve">Sultan Commodities)</t>
  </si>
  <si>
    <t xml:space="preserve">Kamyab</t>
  </si>
  <si>
    <t xml:space="preserve">Olympia)</t>
  </si>
  <si>
    <t xml:space="preserve">Manpasand</t>
  </si>
  <si>
    <t xml:space="preserve">Kashmir Oil)</t>
  </si>
  <si>
    <t xml:space="preserve">Barkat</t>
  </si>
  <si>
    <t xml:space="preserve">Barkat Oil and Ghee)</t>
  </si>
  <si>
    <t xml:space="preserve">Sofia</t>
  </si>
  <si>
    <t xml:space="preserve">Shahi Zain)</t>
  </si>
  <si>
    <t xml:space="preserve">Lotte</t>
  </si>
  <si>
    <t xml:space="preserve">Kolson)</t>
  </si>
  <si>
    <t xml:space="preserve">Regal Foods)</t>
  </si>
  <si>
    <t xml:space="preserve">Six B Confectionary)</t>
  </si>
  <si>
    <t xml:space="preserve">Whistlez</t>
  </si>
  <si>
    <t xml:space="preserve">Hilal Foods)</t>
  </si>
  <si>
    <t xml:space="preserve">SM Foods</t>
  </si>
  <si>
    <t xml:space="preserve">Soney)</t>
  </si>
  <si>
    <t xml:space="preserve">Bombay Supari</t>
  </si>
  <si>
    <t xml:space="preserve">Fun</t>
  </si>
  <si>
    <t xml:space="preserve">Soney</t>
  </si>
  <si>
    <t xml:space="preserve">Moiz Foods</t>
  </si>
  <si>
    <t xml:space="preserve">Hoest</t>
  </si>
  <si>
    <t xml:space="preserve">Pak Tasty</t>
  </si>
  <si>
    <t xml:space="preserve">Pak Tasty )</t>
  </si>
  <si>
    <t xml:space="preserve">Donal</t>
  </si>
  <si>
    <t xml:space="preserve">Snackcity)</t>
  </si>
  <si>
    <t xml:space="preserve">Brunik</t>
  </si>
  <si>
    <t xml:space="preserve">Tiffany</t>
  </si>
  <si>
    <t xml:space="preserve">Unilever)</t>
  </si>
  <si>
    <t xml:space="preserve">Colgate Palmolive)</t>
  </si>
  <si>
    <t xml:space="preserve">P&amp;G)</t>
  </si>
  <si>
    <t xml:space="preserve">Bizim Mutfak</t>
  </si>
  <si>
    <t xml:space="preserve">Veet</t>
  </si>
  <si>
    <t xml:space="preserve">Reckitt Health)</t>
  </si>
  <si>
    <t xml:space="preserve">Durex</t>
  </si>
  <si>
    <t xml:space="preserve">Protex</t>
  </si>
  <si>
    <t xml:space="preserve">Reckitt HYHO)</t>
  </si>
  <si>
    <t xml:space="preserve">Vim</t>
  </si>
  <si>
    <t xml:space="preserve">JK Sugar</t>
  </si>
  <si>
    <t xml:space="preserve">Local Sugar</t>
  </si>
  <si>
    <t xml:space="preserve">Gillette</t>
  </si>
  <si>
    <t xml:space="preserve">Strepsils</t>
  </si>
  <si>
    <t xml:space="preserve">Max Scrub</t>
  </si>
  <si>
    <t xml:space="preserve">Always Pads</t>
  </si>
  <si>
    <t xml:space="preserve">Cherry Blossom</t>
  </si>
  <si>
    <t xml:space="preserve">Butterfly</t>
  </si>
  <si>
    <t xml:space="preserve">Savannah</t>
  </si>
  <si>
    <t xml:space="preserve">IFFCO)</t>
  </si>
  <si>
    <t xml:space="preserve">Hilal Personal Care)</t>
  </si>
  <si>
    <t xml:space="preserve">Baby&amp;baba</t>
  </si>
  <si>
    <t xml:space="preserve">Shah Hygienic Products)</t>
  </si>
  <si>
    <t xml:space="preserve">Siena</t>
  </si>
  <si>
    <t xml:space="preserve">Oral-B</t>
  </si>
  <si>
    <t xml:space="preserve">Imported Products)</t>
  </si>
  <si>
    <t xml:space="preserve">HY Pro</t>
  </si>
  <si>
    <t xml:space="preserve">Capri)</t>
  </si>
  <si>
    <t xml:space="preserve">Drypex</t>
  </si>
  <si>
    <t xml:space="preserve">Tulip</t>
  </si>
  <si>
    <t xml:space="preserve">Rose Petal)</t>
  </si>
  <si>
    <t xml:space="preserve">Feelings</t>
  </si>
  <si>
    <t xml:space="preserve">Camera</t>
  </si>
  <si>
    <t xml:space="preserve">Rose Petal</t>
  </si>
  <si>
    <t xml:space="preserve">Scrub Shine</t>
  </si>
  <si>
    <t xml:space="preserve">Momy Care</t>
  </si>
  <si>
    <t xml:space="preserve">Wokali</t>
  </si>
  <si>
    <t xml:space="preserve">Capri</t>
  </si>
  <si>
    <t xml:space="preserve">Josh</t>
  </si>
  <si>
    <t xml:space="preserve">Ferrori Sports</t>
  </si>
  <si>
    <t xml:space="preserve">IVY</t>
  </si>
  <si>
    <t xml:space="preserve">Opal</t>
  </si>
  <si>
    <t xml:space="preserve">Tux</t>
  </si>
  <si>
    <t xml:space="preserve">Comfrey</t>
  </si>
  <si>
    <t xml:space="preserve">Tibet</t>
  </si>
  <si>
    <t xml:space="preserve">Tibet Soap)</t>
  </si>
  <si>
    <t xml:space="preserve">Embrace</t>
  </si>
  <si>
    <t xml:space="preserve">Super Storm</t>
  </si>
  <si>
    <t xml:space="preserve">BNB</t>
  </si>
  <si>
    <t xml:space="preserve">Mamia</t>
  </si>
  <si>
    <t xml:space="preserve">Canbebe</t>
  </si>
  <si>
    <t xml:space="preserve">Vaseline</t>
  </si>
  <si>
    <t xml:space="preserve">Kingtox</t>
  </si>
  <si>
    <t xml:space="preserve">Pepsi Co)</t>
  </si>
  <si>
    <t xml:space="preserve">Mezan Tea</t>
  </si>
  <si>
    <t xml:space="preserve">Nescafe</t>
  </si>
  <si>
    <t xml:space="preserve">Slice</t>
  </si>
  <si>
    <t xml:space="preserve">Coca Cola Co)</t>
  </si>
  <si>
    <t xml:space="preserve">Islamabad Tea</t>
  </si>
  <si>
    <t xml:space="preserve">Raaz</t>
  </si>
  <si>
    <t xml:space="preserve">Vital</t>
  </si>
  <si>
    <t xml:space="preserve">Engro Food)</t>
  </si>
  <si>
    <t xml:space="preserve">Nido</t>
  </si>
  <si>
    <t xml:space="preserve">Bunyad</t>
  </si>
  <si>
    <t xml:space="preserve">Haleeb Foods</t>
  </si>
  <si>
    <t xml:space="preserve">Dayfresh</t>
  </si>
  <si>
    <t xml:space="preserve">Day Fresh)</t>
  </si>
  <si>
    <t xml:space="preserve">Everyday</t>
  </si>
  <si>
    <t xml:space="preserve">Lactogrow</t>
  </si>
  <si>
    <t xml:space="preserve">Daizy Queen</t>
  </si>
  <si>
    <t xml:space="preserve">Dairy Queen)</t>
  </si>
  <si>
    <t xml:space="preserve">Milo</t>
  </si>
  <si>
    <t xml:space="preserve">Dil Dil</t>
  </si>
  <si>
    <t xml:space="preserve">Good Goodies</t>
  </si>
  <si>
    <t xml:space="preserve">Innovative</t>
  </si>
  <si>
    <t xml:space="preserve">Shandaar</t>
  </si>
  <si>
    <t xml:space="preserve">Lahore Grains</t>
  </si>
  <si>
    <t xml:space="preserve">Sunrise Flour</t>
  </si>
  <si>
    <t xml:space="preserve">Ponds</t>
  </si>
  <si>
    <t xml:space="preserve">Lays</t>
  </si>
  <si>
    <t xml:space="preserve">Hamdard</t>
  </si>
  <si>
    <t xml:space="preserve">Slushy</t>
  </si>
  <si>
    <t xml:space="preserve">Cheetos</t>
  </si>
  <si>
    <t xml:space="preserve">Kurkure</t>
  </si>
  <si>
    <t xml:space="preserve">Yaqoot</t>
  </si>
  <si>
    <t xml:space="preserve">Anaaj</t>
  </si>
  <si>
    <t xml:space="preserve">Yousaf Hout</t>
  </si>
  <si>
    <t xml:space="preserve">SixB</t>
  </si>
  <si>
    <t xml:space="preserve">Local Sugar (Non Brand)</t>
  </si>
  <si>
    <t xml:space="preserve">Tandlianwala Sugar</t>
  </si>
  <si>
    <t xml:space="preserve">Al Fatah Mills</t>
  </si>
  <si>
    <t xml:space="preserve">Olnaaj</t>
  </si>
  <si>
    <t xml:space="preserve">AL-KHUBZ</t>
  </si>
  <si>
    <t xml:space="preserve">Kisan Supreme Sugar</t>
  </si>
  <si>
    <t xml:space="preserve">Kisan Zaavi Supreme Sugar</t>
  </si>
  <si>
    <t xml:space="preserve">Shan Banaspati</t>
  </si>
  <si>
    <t xml:space="preserve">Nayab</t>
  </si>
  <si>
    <t xml:space="preserve">Tang</t>
  </si>
  <si>
    <t xml:space="preserve">RC Cola</t>
  </si>
  <si>
    <t xml:space="preserve">Hamsaya</t>
  </si>
  <si>
    <t xml:space="preserve">Jugnoo</t>
  </si>
  <si>
    <t xml:space="preserve">Kidco</t>
  </si>
  <si>
    <t xml:space="preserve">Macbi</t>
  </si>
  <si>
    <t xml:space="preserve">Mezban</t>
  </si>
  <si>
    <t xml:space="preserve">Tandrust</t>
  </si>
  <si>
    <t xml:space="preserve">Bake Parlor</t>
  </si>
  <si>
    <t xml:space="preserve">Reem</t>
  </si>
  <si>
    <t xml:space="preserve">Anmol Masalay</t>
  </si>
  <si>
    <t xml:space="preserve">Philips</t>
  </si>
  <si>
    <t xml:space="preserve">Tulsi</t>
  </si>
  <si>
    <t xml:space="preserve">Fruiti-O</t>
  </si>
  <si>
    <t xml:space="preserve">Jasco</t>
  </si>
  <si>
    <t xml:space="preserve">SK Pulses</t>
  </si>
  <si>
    <t xml:space="preserve">Flora</t>
  </si>
  <si>
    <t xml:space="preserve">7up Free</t>
  </si>
  <si>
    <t xml:space="preserve">Food Bags</t>
  </si>
  <si>
    <t xml:space="preserve">Fresher</t>
  </si>
  <si>
    <t xml:space="preserve">Fruitien</t>
  </si>
  <si>
    <t xml:space="preserve">Fresh Vegetable</t>
  </si>
  <si>
    <t xml:space="preserve">Cappy</t>
  </si>
  <si>
    <t xml:space="preserve">Dasani</t>
  </si>
  <si>
    <t xml:space="preserve">Rice Valley</t>
  </si>
  <si>
    <t xml:space="preserve">IFFCO Ghee and Oil</t>
  </si>
  <si>
    <t xml:space="preserve">All Max</t>
  </si>
  <si>
    <t xml:space="preserve">Clear</t>
  </si>
  <si>
    <t xml:space="preserve">Conatural</t>
  </si>
  <si>
    <t xml:space="preserve">Date Fruit (Non Brand)</t>
  </si>
  <si>
    <t xml:space="preserve">Diva</t>
  </si>
  <si>
    <t xml:space="preserve">Easy On</t>
  </si>
  <si>
    <t xml:space="preserve">Face Mask (Non Brand)</t>
  </si>
  <si>
    <t xml:space="preserve">Fakhar Gold Rice (Local Rice)</t>
  </si>
  <si>
    <t xml:space="preserve">Golden Sun</t>
  </si>
  <si>
    <t xml:space="preserve">Matches (Non Brand)</t>
  </si>
  <si>
    <t xml:space="preserve">Inter Food</t>
  </si>
  <si>
    <t xml:space="preserve">Johnsons</t>
  </si>
  <si>
    <t xml:space="preserve">Kaizen Foods</t>
  </si>
  <si>
    <t xml:space="preserve">Kausar</t>
  </si>
  <si>
    <t xml:space="preserve">Kisan Zaavi Supreme</t>
  </si>
  <si>
    <t xml:space="preserve">Kisan Supreme</t>
  </si>
  <si>
    <t xml:space="preserve">KleenOut</t>
  </si>
  <si>
    <t xml:space="preserve">Krax</t>
  </si>
  <si>
    <t xml:space="preserve">MT Pulses</t>
  </si>
  <si>
    <t xml:space="preserve">Nesvita</t>
  </si>
  <si>
    <t xml:space="preserve">Pari 2 Rice (Local Rice)</t>
  </si>
  <si>
    <t xml:space="preserve">Rin</t>
  </si>
  <si>
    <t xml:space="preserve">Rivaaj Chaki Atta</t>
  </si>
  <si>
    <t xml:space="preserve">Shan Foods</t>
  </si>
  <si>
    <t xml:space="preserve">Soft Touch</t>
  </si>
  <si>
    <t xml:space="preserve">Tandlianwala</t>
  </si>
  <si>
    <t xml:space="preserve">Trumilk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</si>
</sst>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@"/>
    <numFmt numFmtId="166" formatCode="m/d/yyyy"/>
    <numFmt numFmtId="167" formatCode="h:mm:ss\ AM/PM"/>
    <numFmt numFmtId="168" formatCode="General"/>
    <numFmt numFmtId="169" formatCode="m/d/yyyy\ h:mm:ss"/>
    <numFmt numFmtId="170" formatCode="mmmm\ d&quot;, &quot;yyyy&quot;, &quot;h\:mm\ AM/PM"/>
    <numFmt numFmtId="171" formatCode="#,##0.00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202124"/>
      <name val="Roboto Medium"/>
      <family val="0"/>
      <charset val="1"/>
    </font>
    <font>
      <sz val="10"/>
      <color rgb="FF3C4043"/>
      <name val="Roboto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u val="single"/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8"/>
      <color rgb="FF757575"/>
      <name val="Arial"/>
      <family val="2"/>
    </font>
    <font>
      <sz val="10"/>
      <color rgb="FF000000"/>
      <name val="Arial"/>
      <family val="2"/>
    </font>
    <font>
      <sz val="10"/>
      <color rgb="FF1A1A1A"/>
      <name val="Arial"/>
      <family val="2"/>
    </font>
    <font>
      <b val="true"/>
      <sz val="11"/>
      <color rgb="FF000000"/>
      <name val="Calibri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8F9FA"/>
        <bgColor rgb="FFF3F3F3"/>
      </patternFill>
    </fill>
    <fill>
      <patternFill patternType="solid">
        <fgColor rgb="FFFFFFFF"/>
        <bgColor rgb="FFF8F9FA"/>
      </patternFill>
    </fill>
    <fill>
      <patternFill patternType="solid">
        <fgColor rgb="FFF1F3F4"/>
        <bgColor rgb="FFF3F3F3"/>
      </patternFill>
    </fill>
    <fill>
      <patternFill patternType="solid">
        <fgColor rgb="FFF3F3F3"/>
        <bgColor rgb="FFF1F3F4"/>
      </patternFill>
    </fill>
    <fill>
      <patternFill patternType="solid">
        <fgColor rgb="FFFFF2CC"/>
        <bgColor rgb="FFF3F3F3"/>
      </patternFill>
    </fill>
    <fill>
      <patternFill patternType="solid">
        <fgColor rgb="FFD9EAD3"/>
        <bgColor rgb="FFDFE4EC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DFE4EC"/>
      </patternFill>
    </fill>
    <fill>
      <patternFill patternType="solid">
        <fgColor rgb="FFDFE4EC"/>
        <bgColor rgb="FFDADCE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DADCE0"/>
      </left>
      <right style="thin">
        <color rgb="FFDADCE0"/>
      </right>
      <top/>
      <bottom style="thin">
        <color rgb="FFDADCE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5" fillId="3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7" fontId="5" fillId="3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5" fillId="4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7" fontId="5" fillId="4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70" fontId="6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7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7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7" fillId="6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6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7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0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8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8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0" fontId="6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7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1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ill>
        <patternFill patternType="solid">
          <fgColor rgb="FFFFF2CC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F3F3F3"/>
        </patternFill>
      </fill>
    </dxf>
    <dxf>
      <fill>
        <patternFill patternType="solid">
          <fgColor rgb="FFD9EAD3"/>
        </patternFill>
      </fill>
    </dxf>
    <dxf>
      <fill>
        <patternFill patternType="solid">
          <fgColor rgb="FFFFF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757575"/>
      <rgbColor rgb="FF9999FF"/>
      <rgbColor rgb="FF993366"/>
      <rgbColor rgb="FFFFF2CC"/>
      <rgbColor rgb="FFF1F3F4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3F3F3"/>
      <rgbColor rgb="FFD9EAD3"/>
      <rgbColor rgb="FFF8F9FA"/>
      <rgbColor rgb="FFDADCE0"/>
      <rgbColor rgb="FFFF99CC"/>
      <rgbColor rgb="FFDFE4EC"/>
      <rgbColor rgb="FFD9D9D9"/>
      <rgbColor rgb="FF4285F4"/>
      <rgbColor rgb="FF33CCCC"/>
      <rgbColor rgb="FF99CC00"/>
      <rgbColor rgb="FFFFCC00"/>
      <rgbColor rgb="FFFF9900"/>
      <rgbColor rgb="FFFF6600"/>
      <rgbColor rgb="FF666699"/>
      <rgbColor rgb="FF8B8B8B"/>
      <rgbColor rgb="FF003366"/>
      <rgbColor rgb="FF339966"/>
      <rgbColor rgb="FF1A1A1A"/>
      <rgbColor rgb="FF202124"/>
      <rgbColor rgb="FF993300"/>
      <rgbColor rgb="FF993366"/>
      <rgbColor rgb="FF333399"/>
      <rgbColor rgb="FF3C40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solidFill>
                  <a:srgbClr val="757575"/>
                </a:solidFill>
                <a:latin typeface="Arial"/>
                <a:ea typeface="Arial"/>
              </a:defRPr>
            </a:pPr>
            <a:r>
              <a:rPr b="0" sz="1800" spc="-1" strike="noStrike">
                <a:solidFill>
                  <a:srgbClr val="757575"/>
                </a:solidFill>
                <a:latin typeface="Arial"/>
                <a:ea typeface="Arial"/>
              </a:rPr>
              <a:t># of issue vs. Brand Manager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'Graph raw'!$C$1:$C$2</c:f>
              <c:strCache>
                <c:ptCount val="1"/>
                <c:pt idx="0">
                  <c:v># of issue</c:v>
                </c:pt>
              </c:strCache>
            </c:strRef>
          </c:tx>
          <c:spPr>
            <a:solidFill>
              <a:srgbClr val="4285f4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'Graph raw'!$B$3</c:f>
              <c:strCache>
                <c:ptCount val="1"/>
                <c:pt idx="0">
                  <c:v>Syed Qasim Ali</c:v>
                </c:pt>
              </c:strCache>
            </c:strRef>
          </c:cat>
          <c:val>
            <c:numRef>
              <c:f>'Graph raw'!$C$3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</c:ser>
        <c:gapWidth val="150"/>
        <c:overlap val="0"/>
        <c:axId val="69804387"/>
        <c:axId val="95963647"/>
      </c:barChart>
      <c:catAx>
        <c:axId val="6980438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rPr>
                  <a:t>Brand Manager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95963647"/>
        <c:crosses val="autoZero"/>
        <c:auto val="1"/>
        <c:lblAlgn val="ctr"/>
        <c:lblOffset val="100"/>
        <c:noMultiLvlLbl val="0"/>
      </c:catAx>
      <c:valAx>
        <c:axId val="95963647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rPr>
                  <a:t># of issue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69804387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Arial"/>
              <a:ea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solidFill>
                  <a:srgbClr val="757575"/>
                </a:solidFill>
                <a:latin typeface="Arial"/>
                <a:ea typeface="Arial"/>
              </a:defRPr>
            </a:pPr>
            <a:r>
              <a:rPr b="0" sz="1800" spc="-1" strike="noStrike">
                <a:solidFill>
                  <a:srgbClr val="757575"/>
                </a:solidFill>
                <a:latin typeface="Arial"/>
                <a:ea typeface="Arial"/>
              </a:rPr>
              <a:t># of issue vs. Brand Manager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'Graph raw'!$C$1:$C$2</c:f>
              <c:strCache>
                <c:ptCount val="1"/>
                <c:pt idx="0">
                  <c:v># of issue</c:v>
                </c:pt>
              </c:strCache>
            </c:strRef>
          </c:tx>
          <c:spPr>
            <a:solidFill>
              <a:srgbClr val="4285f4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'Graph raw'!$B$3</c:f>
              <c:strCache>
                <c:ptCount val="1"/>
                <c:pt idx="0">
                  <c:v>Syed Qasim Ali</c:v>
                </c:pt>
              </c:strCache>
            </c:strRef>
          </c:cat>
          <c:val>
            <c:numRef>
              <c:f>'Graph raw'!$C$3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</c:ser>
        <c:gapWidth val="150"/>
        <c:overlap val="0"/>
        <c:axId val="21344336"/>
        <c:axId val="34621326"/>
      </c:barChart>
      <c:catAx>
        <c:axId val="2134433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rPr>
                  <a:t>Brand Manager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34621326"/>
        <c:crosses val="autoZero"/>
        <c:auto val="1"/>
        <c:lblAlgn val="ctr"/>
        <c:lblOffset val="100"/>
        <c:noMultiLvlLbl val="0"/>
      </c:catAx>
      <c:valAx>
        <c:axId val="34621326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rPr>
                  <a:t># of issue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21344336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Arial"/>
              <a:ea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9360</xdr:colOff>
      <xdr:row>0</xdr:row>
      <xdr:rowOff>0</xdr:rowOff>
    </xdr:from>
    <xdr:to>
      <xdr:col>17</xdr:col>
      <xdr:colOff>197640</xdr:colOff>
      <xdr:row>17</xdr:row>
      <xdr:rowOff>171000</xdr:rowOff>
    </xdr:to>
    <xdr:graphicFrame>
      <xdr:nvGraphicFramePr>
        <xdr:cNvPr id="0" name="Chart 1"/>
        <xdr:cNvGraphicFramePr/>
      </xdr:nvGraphicFramePr>
      <xdr:xfrm>
        <a:off x="9412560" y="0"/>
        <a:ext cx="5771880" cy="3571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200160</xdr:colOff>
      <xdr:row>0</xdr:row>
      <xdr:rowOff>181080</xdr:rowOff>
    </xdr:from>
    <xdr:to>
      <xdr:col>9</xdr:col>
      <xdr:colOff>569520</xdr:colOff>
      <xdr:row>18</xdr:row>
      <xdr:rowOff>114120</xdr:rowOff>
    </xdr:to>
    <xdr:graphicFrame>
      <xdr:nvGraphicFramePr>
        <xdr:cNvPr id="1" name="Chart 2"/>
        <xdr:cNvGraphicFramePr/>
      </xdr:nvGraphicFramePr>
      <xdr:xfrm>
        <a:off x="2908440" y="181080"/>
        <a:ext cx="5714640" cy="3533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hyperlink" Target="mailto:junaid.mehmood@tajir-app.com" TargetMode="External"/><Relationship Id="rId3" Type="http://schemas.openxmlformats.org/officeDocument/2006/relationships/hyperlink" Target="mailto:furqan.ahmad@tajir-app.com" TargetMode="External"/><Relationship Id="rId4" Type="http://schemas.openxmlformats.org/officeDocument/2006/relationships/hyperlink" Target="mailto:junaid.mehmood@tajir-app.com" TargetMode="External"/><Relationship Id="rId5" Type="http://schemas.openxmlformats.org/officeDocument/2006/relationships/hyperlink" Target="mailto:junaid.mehmood@tajir-app.com" TargetMode="External"/><Relationship Id="rId6" Type="http://schemas.openxmlformats.org/officeDocument/2006/relationships/hyperlink" Target="mailto:junaid.mehmood@tajir-app.com" TargetMode="External"/><Relationship Id="rId7" Type="http://schemas.openxmlformats.org/officeDocument/2006/relationships/hyperlink" Target="mailto:furqan.ahmad@tajir-app.com" TargetMode="External"/><Relationship Id="rId8" Type="http://schemas.openxmlformats.org/officeDocument/2006/relationships/hyperlink" Target="mailto:furqan.ahmad@tajir-app.com" TargetMode="External"/><Relationship Id="rId9" Type="http://schemas.openxmlformats.org/officeDocument/2006/relationships/hyperlink" Target="mailto:furqan.ahmad@tajir-app.com" TargetMode="External"/><Relationship Id="rId10" Type="http://schemas.openxmlformats.org/officeDocument/2006/relationships/hyperlink" Target="mailto:junaid.mehmood@tajir-app.com" TargetMode="External"/><Relationship Id="rId11" Type="http://schemas.openxmlformats.org/officeDocument/2006/relationships/hyperlink" Target="mailto:junaid.mehmood@tajir-app.com" TargetMode="External"/><Relationship Id="rId12" Type="http://schemas.openxmlformats.org/officeDocument/2006/relationships/hyperlink" Target="mailto:furqan.ahmad@tajir-app.com" TargetMode="External"/><Relationship Id="rId13" Type="http://schemas.openxmlformats.org/officeDocument/2006/relationships/hyperlink" Target="mailto:junaid.mehmood@tajir-app.com" TargetMode="External"/><Relationship Id="rId14" Type="http://schemas.openxmlformats.org/officeDocument/2006/relationships/hyperlink" Target="mailto:junaid.mehmood@tajir-app.com" TargetMode="External"/><Relationship Id="rId15" Type="http://schemas.openxmlformats.org/officeDocument/2006/relationships/hyperlink" Target="mailto:junaid.mehmood@tajir-app.com" TargetMode="External"/><Relationship Id="rId16" Type="http://schemas.openxmlformats.org/officeDocument/2006/relationships/hyperlink" Target="mailto:junaid.mehmood@tajir-app.com" TargetMode="External"/><Relationship Id="rId17" Type="http://schemas.openxmlformats.org/officeDocument/2006/relationships/hyperlink" Target="mailto:abdur.rahim@tajir-app.com" TargetMode="External"/><Relationship Id="rId18" Type="http://schemas.openxmlformats.org/officeDocument/2006/relationships/hyperlink" Target="mailto:junaid.mehmood@tajir-app.com" TargetMode="External"/><Relationship Id="rId19" Type="http://schemas.openxmlformats.org/officeDocument/2006/relationships/hyperlink" Target="mailto:junaid.mehmood@tajir-app.com" TargetMode="External"/><Relationship Id="rId20" Type="http://schemas.openxmlformats.org/officeDocument/2006/relationships/hyperlink" Target="mailto:junaid.mehmood@tajir-app.com" TargetMode="External"/><Relationship Id="rId21" Type="http://schemas.openxmlformats.org/officeDocument/2006/relationships/hyperlink" Target="mailto:junaid.mehmood@tajir-app.com" TargetMode="External"/><Relationship Id="rId22" Type="http://schemas.openxmlformats.org/officeDocument/2006/relationships/hyperlink" Target="mailto:furqan.ahmad@tajir-app.com" TargetMode="External"/><Relationship Id="rId23" Type="http://schemas.openxmlformats.org/officeDocument/2006/relationships/hyperlink" Target="mailto:furqan.ahmad@tajir-app.com" TargetMode="External"/><Relationship Id="rId24" Type="http://schemas.openxmlformats.org/officeDocument/2006/relationships/hyperlink" Target="mailto:furqan.ahmad@tajir-app.com" TargetMode="External"/><Relationship Id="rId25" Type="http://schemas.openxmlformats.org/officeDocument/2006/relationships/hyperlink" Target="mailto:furqan.ahmad@tajir-app.com" TargetMode="External"/><Relationship Id="rId26" Type="http://schemas.openxmlformats.org/officeDocument/2006/relationships/hyperlink" Target="mailto:abdur.rehman@tajir-app.com" TargetMode="External"/><Relationship Id="rId27" Type="http://schemas.openxmlformats.org/officeDocument/2006/relationships/hyperlink" Target="mailto:abdur.rehman@tajir-app.com" TargetMode="External"/><Relationship Id="rId28" Type="http://schemas.openxmlformats.org/officeDocument/2006/relationships/hyperlink" Target="mailto:abdur.rehman@tajir-app.com" TargetMode="External"/><Relationship Id="rId29" Type="http://schemas.openxmlformats.org/officeDocument/2006/relationships/hyperlink" Target="mailto:abdur.rehman@tajir-app.com" TargetMode="External"/><Relationship Id="rId30" Type="http://schemas.openxmlformats.org/officeDocument/2006/relationships/hyperlink" Target="mailto:abdur.rehman@tajir-app.com" TargetMode="External"/><Relationship Id="rId31" Type="http://schemas.openxmlformats.org/officeDocument/2006/relationships/hyperlink" Target="mailto:abdur.rehman@tajir-app.com" TargetMode="External"/><Relationship Id="rId32" Type="http://schemas.openxmlformats.org/officeDocument/2006/relationships/hyperlink" Target="mailto:abdur.rehman@tajir-app.com" TargetMode="External"/><Relationship Id="rId33" Type="http://schemas.openxmlformats.org/officeDocument/2006/relationships/hyperlink" Target="mailto:abdur.rahim@tajir-app.com" TargetMode="External"/><Relationship Id="rId34" Type="http://schemas.openxmlformats.org/officeDocument/2006/relationships/hyperlink" Target="mailto:abdur.rahim@tajir-app.com" TargetMode="External"/><Relationship Id="rId35" Type="http://schemas.openxmlformats.org/officeDocument/2006/relationships/hyperlink" Target="mailto:abdur.rahim@tajir-app.com" TargetMode="External"/><Relationship Id="rId36" Type="http://schemas.openxmlformats.org/officeDocument/2006/relationships/hyperlink" Target="mailto:abdur.rahim@tajir-app.com" TargetMode="External"/><Relationship Id="rId37" Type="http://schemas.openxmlformats.org/officeDocument/2006/relationships/hyperlink" Target="mailto:abdur.rahim@tajir-app.com" TargetMode="External"/><Relationship Id="rId38" Type="http://schemas.openxmlformats.org/officeDocument/2006/relationships/hyperlink" Target="mailto:abdur.rahim@tajir-app.com" TargetMode="External"/><Relationship Id="rId39" Type="http://schemas.openxmlformats.org/officeDocument/2006/relationships/hyperlink" Target="mailto:abdur.rahim@tajir-app.com" TargetMode="External"/><Relationship Id="rId40" Type="http://schemas.openxmlformats.org/officeDocument/2006/relationships/hyperlink" Target="mailto:abdul.raheem@tajir-app.com" TargetMode="External"/><Relationship Id="rId41" Type="http://schemas.openxmlformats.org/officeDocument/2006/relationships/hyperlink" Target="mailto:abdul.raheem@tajir-app.com" TargetMode="External"/><Relationship Id="rId42" Type="http://schemas.openxmlformats.org/officeDocument/2006/relationships/hyperlink" Target="mailto:junaid.mehmood@tajir-app.com" TargetMode="External"/><Relationship Id="rId43" Type="http://schemas.openxmlformats.org/officeDocument/2006/relationships/hyperlink" Target="mailto:abdur.rahim@tajir-app.com" TargetMode="External"/><Relationship Id="rId44" Type="http://schemas.openxmlformats.org/officeDocument/2006/relationships/hyperlink" Target="mailto:asif.mushtaq@tajir-app.com" TargetMode="External"/><Relationship Id="rId45" Type="http://schemas.openxmlformats.org/officeDocument/2006/relationships/hyperlink" Target="mailto:abdul.raheem@tajir-app.com" TargetMode="External"/><Relationship Id="rId46" Type="http://schemas.openxmlformats.org/officeDocument/2006/relationships/hyperlink" Target="mailto:abdul.raheem@tajir-app.com" TargetMode="External"/><Relationship Id="rId47" Type="http://schemas.openxmlformats.org/officeDocument/2006/relationships/hyperlink" Target="mailto:abdul.raheem@tajir-app.com" TargetMode="External"/><Relationship Id="rId48" Type="http://schemas.openxmlformats.org/officeDocument/2006/relationships/hyperlink" Target="mailto:junaid.mehmood@tajir-app.com" TargetMode="External"/><Relationship Id="rId49" Type="http://schemas.openxmlformats.org/officeDocument/2006/relationships/hyperlink" Target="mailto:junaid.mehmood@tajir-app.com" TargetMode="External"/><Relationship Id="rId50" Type="http://schemas.openxmlformats.org/officeDocument/2006/relationships/hyperlink" Target="mailto:junaid.mehmood@tajir-app.com" TargetMode="External"/><Relationship Id="rId51" Type="http://schemas.openxmlformats.org/officeDocument/2006/relationships/hyperlink" Target="mailto:abdur.rahim@tajir-app.com" TargetMode="External"/><Relationship Id="rId52" Type="http://schemas.openxmlformats.org/officeDocument/2006/relationships/hyperlink" Target="mailto:junaid.mehmood@tajir-app.com" TargetMode="External"/><Relationship Id="rId53" Type="http://schemas.openxmlformats.org/officeDocument/2006/relationships/hyperlink" Target="mailto:abdul.raheem@tajir-app.com" TargetMode="External"/><Relationship Id="rId54" Type="http://schemas.openxmlformats.org/officeDocument/2006/relationships/hyperlink" Target="mailto:abdul.raheem@tajir-app.com" TargetMode="External"/><Relationship Id="rId55" Type="http://schemas.openxmlformats.org/officeDocument/2006/relationships/hyperlink" Target="mailto:abdul.raheem@tajir-app.com" TargetMode="External"/><Relationship Id="rId56" Type="http://schemas.openxmlformats.org/officeDocument/2006/relationships/hyperlink" Target="mailto:abdul.raheem@tajir-app.com" TargetMode="External"/><Relationship Id="rId57" Type="http://schemas.openxmlformats.org/officeDocument/2006/relationships/hyperlink" Target="mailto:abdul.raheem@tajir-app.com" TargetMode="External"/><Relationship Id="rId58" Type="http://schemas.openxmlformats.org/officeDocument/2006/relationships/hyperlink" Target="mailto:abdul.raheem@tajir-app.com" TargetMode="External"/><Relationship Id="rId59" Type="http://schemas.openxmlformats.org/officeDocument/2006/relationships/hyperlink" Target="mailto:abdul.raheem@tajir-app.com" TargetMode="External"/><Relationship Id="rId60" Type="http://schemas.openxmlformats.org/officeDocument/2006/relationships/hyperlink" Target="mailto:abdul.raheem@tajir-app.com" TargetMode="External"/><Relationship Id="rId61" Type="http://schemas.openxmlformats.org/officeDocument/2006/relationships/hyperlink" Target="mailto:junaid.mehmood@tajir-app.com" TargetMode="External"/><Relationship Id="rId62" Type="http://schemas.openxmlformats.org/officeDocument/2006/relationships/hyperlink" Target="mailto:abdul.raheem@tajir-app.com" TargetMode="External"/><Relationship Id="rId63" Type="http://schemas.openxmlformats.org/officeDocument/2006/relationships/hyperlink" Target="mailto:abdul.raheem@tajir-app.com" TargetMode="External"/><Relationship Id="rId64" Type="http://schemas.openxmlformats.org/officeDocument/2006/relationships/hyperlink" Target="mailto:abdul.raheem@tajir-app.com" TargetMode="External"/><Relationship Id="rId65" Type="http://schemas.openxmlformats.org/officeDocument/2006/relationships/hyperlink" Target="mailto:abdul.raheem@tajir-app.com" TargetMode="External"/><Relationship Id="rId66" Type="http://schemas.openxmlformats.org/officeDocument/2006/relationships/hyperlink" Target="mailto:abdul.raheem@tajir-app.com" TargetMode="External"/><Relationship Id="rId67" Type="http://schemas.openxmlformats.org/officeDocument/2006/relationships/hyperlink" Target="mailto:abdul.raheem@tajir-app.com" TargetMode="External"/><Relationship Id="rId68" Type="http://schemas.openxmlformats.org/officeDocument/2006/relationships/hyperlink" Target="mailto:abdul.raheem@tajir-app.com" TargetMode="External"/><Relationship Id="rId69" Type="http://schemas.openxmlformats.org/officeDocument/2006/relationships/hyperlink" Target="mailto:abdul.raheem@tajir-app.com" TargetMode="External"/><Relationship Id="rId70" Type="http://schemas.openxmlformats.org/officeDocument/2006/relationships/hyperlink" Target="mailto:abdul.raheem@tajir-app.com" TargetMode="External"/><Relationship Id="rId71" Type="http://schemas.openxmlformats.org/officeDocument/2006/relationships/hyperlink" Target="mailto:abdul.raheem@tajir-app.com" TargetMode="External"/><Relationship Id="rId72" Type="http://schemas.openxmlformats.org/officeDocument/2006/relationships/hyperlink" Target="mailto:junaid.mehmood@tajir-app.com" TargetMode="External"/><Relationship Id="rId73" Type="http://schemas.openxmlformats.org/officeDocument/2006/relationships/hyperlink" Target="mailto:junaid.mehmood@tajir-app.com" TargetMode="External"/><Relationship Id="rId74" Type="http://schemas.openxmlformats.org/officeDocument/2006/relationships/hyperlink" Target="mailto:abdul.raheem@tajir-app.com" TargetMode="External"/><Relationship Id="rId75" Type="http://schemas.openxmlformats.org/officeDocument/2006/relationships/hyperlink" Target="mailto:abdul.raheem@tajir-app.com" TargetMode="External"/><Relationship Id="rId76" Type="http://schemas.openxmlformats.org/officeDocument/2006/relationships/hyperlink" Target="mailto:abdul.raheem@tajir-app.com" TargetMode="External"/><Relationship Id="rId77" Type="http://schemas.openxmlformats.org/officeDocument/2006/relationships/hyperlink" Target="mailto:abdul.raheem@tajir-app.com" TargetMode="External"/><Relationship Id="rId78" Type="http://schemas.openxmlformats.org/officeDocument/2006/relationships/hyperlink" Target="mailto:abdul.raheem@tajir-app.com" TargetMode="External"/><Relationship Id="rId79" Type="http://schemas.openxmlformats.org/officeDocument/2006/relationships/hyperlink" Target="mailto:abdul.raheem@tajir-app.com" TargetMode="External"/><Relationship Id="rId80" Type="http://schemas.openxmlformats.org/officeDocument/2006/relationships/hyperlink" Target="mailto:abdul.raheem@tajir-app.com" TargetMode="External"/><Relationship Id="rId81" Type="http://schemas.openxmlformats.org/officeDocument/2006/relationships/hyperlink" Target="mailto:abdul.raheem@tajir-app.com" TargetMode="External"/><Relationship Id="rId82" Type="http://schemas.openxmlformats.org/officeDocument/2006/relationships/hyperlink" Target="mailto:abdul.raheem@tajir-app.com" TargetMode="External"/><Relationship Id="rId83" Type="http://schemas.openxmlformats.org/officeDocument/2006/relationships/hyperlink" Target="mailto:abdul.raheem@tajir-app.com" TargetMode="External"/><Relationship Id="rId84" Type="http://schemas.openxmlformats.org/officeDocument/2006/relationships/hyperlink" Target="mailto:abdul.raheem@tajir-app.com" TargetMode="External"/><Relationship Id="rId85" Type="http://schemas.openxmlformats.org/officeDocument/2006/relationships/hyperlink" Target="mailto:junaid.mehmood@tajir-app.com" TargetMode="External"/><Relationship Id="rId86" Type="http://schemas.openxmlformats.org/officeDocument/2006/relationships/hyperlink" Target="mailto:junaid.mehmood@tajir-app.com" TargetMode="External"/><Relationship Id="rId87" Type="http://schemas.openxmlformats.org/officeDocument/2006/relationships/hyperlink" Target="mailto:abdul.raheem@tajir-app.com" TargetMode="External"/><Relationship Id="rId88" Type="http://schemas.openxmlformats.org/officeDocument/2006/relationships/hyperlink" Target="mailto:abdul.raheem@tajir-app.com" TargetMode="External"/><Relationship Id="rId89" Type="http://schemas.openxmlformats.org/officeDocument/2006/relationships/hyperlink" Target="mailto:junaid.mehmood@tajir-app.com" TargetMode="External"/><Relationship Id="rId90" Type="http://schemas.openxmlformats.org/officeDocument/2006/relationships/hyperlink" Target="mailto:junaid.mehmood@tajir-app.com" TargetMode="External"/><Relationship Id="rId91" Type="http://schemas.openxmlformats.org/officeDocument/2006/relationships/hyperlink" Target="mailto:junaid.mehmood@tajir-app.com" TargetMode="External"/><Relationship Id="rId92" Type="http://schemas.openxmlformats.org/officeDocument/2006/relationships/hyperlink" Target="mailto:junaid.mehmood@tajir-app.com" TargetMode="External"/><Relationship Id="rId93" Type="http://schemas.openxmlformats.org/officeDocument/2006/relationships/hyperlink" Target="mailto:junaid.mehmood@tajir-app.com" TargetMode="External"/><Relationship Id="rId94" Type="http://schemas.openxmlformats.org/officeDocument/2006/relationships/hyperlink" Target="mailto:junaid.mehmood@tajir-app.com" TargetMode="External"/><Relationship Id="rId95" Type="http://schemas.openxmlformats.org/officeDocument/2006/relationships/hyperlink" Target="mailto:junaid.mehmood@tajir-app.com" TargetMode="External"/><Relationship Id="rId96" Type="http://schemas.openxmlformats.org/officeDocument/2006/relationships/hyperlink" Target="mailto:junaid.mehmood@tajir-app.com" TargetMode="External"/><Relationship Id="rId97" Type="http://schemas.openxmlformats.org/officeDocument/2006/relationships/hyperlink" Target="mailto:junaid.mehmood@tajir-app.com" TargetMode="External"/><Relationship Id="rId98" Type="http://schemas.openxmlformats.org/officeDocument/2006/relationships/hyperlink" Target="mailto:junaid.mehmood@tajir-app.com" TargetMode="External"/><Relationship Id="rId99" Type="http://schemas.openxmlformats.org/officeDocument/2006/relationships/hyperlink" Target="mailto:junaid.mehmood@tajir-app.com" TargetMode="External"/><Relationship Id="rId100" Type="http://schemas.openxmlformats.org/officeDocument/2006/relationships/hyperlink" Target="mailto:furqan.ahmad@tajir-app.com" TargetMode="External"/><Relationship Id="rId101" Type="http://schemas.openxmlformats.org/officeDocument/2006/relationships/hyperlink" Target="mailto:junaid.mehmood@tajir-app.com" TargetMode="External"/><Relationship Id="rId102" Type="http://schemas.openxmlformats.org/officeDocument/2006/relationships/hyperlink" Target="mailto:junaid.mehmood@tajir-app.com" TargetMode="External"/><Relationship Id="rId103" Type="http://schemas.openxmlformats.org/officeDocument/2006/relationships/hyperlink" Target="mailto:junaid.mehmood@tajir-app.com" TargetMode="External"/><Relationship Id="rId104" Type="http://schemas.openxmlformats.org/officeDocument/2006/relationships/hyperlink" Target="mailto:junaid.mehmood@tajir-app.com" TargetMode="External"/><Relationship Id="rId105" Type="http://schemas.openxmlformats.org/officeDocument/2006/relationships/hyperlink" Target="mailto:furqan.ahmad@tajir-app.com" TargetMode="External"/><Relationship Id="rId106" Type="http://schemas.openxmlformats.org/officeDocument/2006/relationships/hyperlink" Target="mailto:junaid.mehmood@tajir-app.com" TargetMode="External"/><Relationship Id="rId107" Type="http://schemas.openxmlformats.org/officeDocument/2006/relationships/hyperlink" Target="mailto:furqan.ahmad@tajir-app.com" TargetMode="External"/><Relationship Id="rId108" Type="http://schemas.openxmlformats.org/officeDocument/2006/relationships/hyperlink" Target="mailto:junaid.mehmood@tajir-app.com" TargetMode="External"/><Relationship Id="rId109" Type="http://schemas.openxmlformats.org/officeDocument/2006/relationships/hyperlink" Target="mailto:junaid.mehmood@tajir-app.com" TargetMode="External"/><Relationship Id="rId110" Type="http://schemas.openxmlformats.org/officeDocument/2006/relationships/hyperlink" Target="mailto:junaid.mehmood@tajir-app.com" TargetMode="External"/><Relationship Id="rId111" Type="http://schemas.openxmlformats.org/officeDocument/2006/relationships/hyperlink" Target="mailto:junaid.mehmood@tajir-app.com" TargetMode="External"/><Relationship Id="rId112" Type="http://schemas.openxmlformats.org/officeDocument/2006/relationships/hyperlink" Target="mailto:junaid.mehmood@tajir-app.com" TargetMode="External"/><Relationship Id="rId113" Type="http://schemas.openxmlformats.org/officeDocument/2006/relationships/hyperlink" Target="mailto:junaid.mehmood@tajir-app.com" TargetMode="External"/><Relationship Id="rId114" Type="http://schemas.openxmlformats.org/officeDocument/2006/relationships/hyperlink" Target="mailto:furqan.ahmad@tajir-app.com" TargetMode="External"/><Relationship Id="rId115" Type="http://schemas.openxmlformats.org/officeDocument/2006/relationships/hyperlink" Target="mailto:junaid.mehmood@tajir-app.com" TargetMode="External"/><Relationship Id="rId116" Type="http://schemas.openxmlformats.org/officeDocument/2006/relationships/hyperlink" Target="mailto:junaid.mehmood@tajir-app.com" TargetMode="External"/><Relationship Id="rId117" Type="http://schemas.openxmlformats.org/officeDocument/2006/relationships/hyperlink" Target="mailto:junaid.mehmood@tajir-app.com" TargetMode="External"/><Relationship Id="rId118" Type="http://schemas.openxmlformats.org/officeDocument/2006/relationships/hyperlink" Target="mailto:junaid.mehmood@tajir-app.com" TargetMode="External"/><Relationship Id="rId119" Type="http://schemas.openxmlformats.org/officeDocument/2006/relationships/hyperlink" Target="mailto:junaid.mehmood@tajir-app.com" TargetMode="External"/><Relationship Id="rId120" Type="http://schemas.openxmlformats.org/officeDocument/2006/relationships/hyperlink" Target="mailto:junaid.mehmood@tajir-app.com" TargetMode="External"/><Relationship Id="rId121" Type="http://schemas.openxmlformats.org/officeDocument/2006/relationships/hyperlink" Target="mailto:junaid.mehmood@tajir-app.com" TargetMode="External"/><Relationship Id="rId122" Type="http://schemas.openxmlformats.org/officeDocument/2006/relationships/hyperlink" Target="mailto:junaid.mehmood@tajir-app.com" TargetMode="External"/><Relationship Id="rId123" Type="http://schemas.openxmlformats.org/officeDocument/2006/relationships/hyperlink" Target="mailto:junaid.mehmood@tajir-app.com" TargetMode="External"/><Relationship Id="rId124" Type="http://schemas.openxmlformats.org/officeDocument/2006/relationships/hyperlink" Target="mailto:junaid.mehmood@tajir-app.com" TargetMode="External"/><Relationship Id="rId125" Type="http://schemas.openxmlformats.org/officeDocument/2006/relationships/hyperlink" Target="mailto:junaid.mehmood@tajir-app.com" TargetMode="External"/><Relationship Id="rId126" Type="http://schemas.openxmlformats.org/officeDocument/2006/relationships/hyperlink" Target="mailto:junaid.mehmood@tajir-app.com" TargetMode="External"/><Relationship Id="rId127" Type="http://schemas.openxmlformats.org/officeDocument/2006/relationships/hyperlink" Target="mailto:junaid.mehmood@tajir-app.com" TargetMode="External"/><Relationship Id="rId128" Type="http://schemas.openxmlformats.org/officeDocument/2006/relationships/hyperlink" Target="mailto:junaid.mehmood@tajir-app.com" TargetMode="External"/><Relationship Id="rId129" Type="http://schemas.openxmlformats.org/officeDocument/2006/relationships/hyperlink" Target="mailto:junaid.mehmood@tajir-app.com" TargetMode="External"/><Relationship Id="rId130" Type="http://schemas.openxmlformats.org/officeDocument/2006/relationships/hyperlink" Target="mailto:junaid.mehmood@tajir-app.com" TargetMode="External"/><Relationship Id="rId131" Type="http://schemas.openxmlformats.org/officeDocument/2006/relationships/hyperlink" Target="mailto:junaid.mehmood@tajir-app.com" TargetMode="External"/><Relationship Id="rId132" Type="http://schemas.openxmlformats.org/officeDocument/2006/relationships/hyperlink" Target="mailto:junaid.mehmood@tajir-app.com" TargetMode="External"/><Relationship Id="rId133" Type="http://schemas.openxmlformats.org/officeDocument/2006/relationships/hyperlink" Target="mailto:junaid.mehmood@tajir-app.com" TargetMode="External"/><Relationship Id="rId134" Type="http://schemas.openxmlformats.org/officeDocument/2006/relationships/hyperlink" Target="mailto:junaid.mehmood@tajir-app.com" TargetMode="External"/><Relationship Id="rId135" Type="http://schemas.openxmlformats.org/officeDocument/2006/relationships/hyperlink" Target="mailto:junaid.mehmood@tajir-app.com" TargetMode="External"/><Relationship Id="rId136" Type="http://schemas.openxmlformats.org/officeDocument/2006/relationships/hyperlink" Target="mailto:junaid.mehmood@tajir-app.com" TargetMode="External"/><Relationship Id="rId137" Type="http://schemas.openxmlformats.org/officeDocument/2006/relationships/hyperlink" Target="mailto:junaid.mehmood@tajir-app.com" TargetMode="External"/><Relationship Id="rId138" Type="http://schemas.openxmlformats.org/officeDocument/2006/relationships/hyperlink" Target="mailto:junaid.mehmood@tajir-app.com" TargetMode="External"/><Relationship Id="rId139" Type="http://schemas.openxmlformats.org/officeDocument/2006/relationships/hyperlink" Target="mailto:junaid.mehmood@tajir-app.com" TargetMode="External"/><Relationship Id="rId140" Type="http://schemas.openxmlformats.org/officeDocument/2006/relationships/hyperlink" Target="mailto:junaid.mehmood@tajir-app.com" TargetMode="External"/><Relationship Id="rId141" Type="http://schemas.openxmlformats.org/officeDocument/2006/relationships/hyperlink" Target="mailto:junaid.mehmood@tajir-app.com" TargetMode="External"/><Relationship Id="rId142" Type="http://schemas.openxmlformats.org/officeDocument/2006/relationships/hyperlink" Target="mailto:junaid.mehmood@tajir-app.com" TargetMode="External"/><Relationship Id="rId143" Type="http://schemas.openxmlformats.org/officeDocument/2006/relationships/hyperlink" Target="mailto:junaid.mehmood@tajir-app.com" TargetMode="External"/><Relationship Id="rId144" Type="http://schemas.openxmlformats.org/officeDocument/2006/relationships/hyperlink" Target="mailto:junaid.mehmood@tajir-app.com" TargetMode="External"/><Relationship Id="rId145" Type="http://schemas.openxmlformats.org/officeDocument/2006/relationships/drawing" Target="../drawings/drawing1.xml"/><Relationship Id="rId146" Type="http://schemas.openxmlformats.org/officeDocument/2006/relationships/vmlDrawing" Target="../drawings/vmlDrawing1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2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1" min="1" style="0" width="15.13"/>
    <col collapsed="false" customWidth="true" hidden="false" outlineLevel="0" max="12" min="12" style="0" width="37.13"/>
    <col collapsed="false" customWidth="true" hidden="false" outlineLevel="0" max="16" min="13" style="0" width="15.1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.75" hidden="false" customHeight="false" outlineLevel="0" collapsed="false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3" t="n">
        <v>44962</v>
      </c>
      <c r="G2" s="4" t="n">
        <v>0.993738923611111</v>
      </c>
      <c r="H2" s="2" t="s">
        <v>21</v>
      </c>
      <c r="I2" s="5" t="n">
        <v>1</v>
      </c>
      <c r="J2" s="5" t="n">
        <v>1299</v>
      </c>
      <c r="K2" s="5" t="n">
        <v>1299</v>
      </c>
      <c r="L2" s="2" t="s">
        <v>22</v>
      </c>
      <c r="M2" s="2"/>
      <c r="N2" s="2"/>
      <c r="O2" s="2" t="s">
        <v>23</v>
      </c>
      <c r="P2" s="2" t="s">
        <v>24</v>
      </c>
    </row>
    <row r="3" customFormat="false" ht="15.75" hidden="false" customHeight="false" outlineLevel="0" collapsed="false">
      <c r="A3" s="6" t="s">
        <v>16</v>
      </c>
      <c r="B3" s="6" t="s">
        <v>25</v>
      </c>
      <c r="C3" s="6" t="s">
        <v>26</v>
      </c>
      <c r="D3" s="6" t="s">
        <v>27</v>
      </c>
      <c r="E3" s="6" t="s">
        <v>28</v>
      </c>
      <c r="F3" s="7" t="n">
        <v>44963</v>
      </c>
      <c r="G3" s="8" t="n">
        <v>0.88919943287037</v>
      </c>
      <c r="H3" s="6" t="s">
        <v>29</v>
      </c>
      <c r="I3" s="9" t="n">
        <v>1</v>
      </c>
      <c r="J3" s="9" t="n">
        <v>451.25</v>
      </c>
      <c r="K3" s="9" t="n">
        <v>451.25</v>
      </c>
      <c r="L3" s="6" t="s">
        <v>30</v>
      </c>
      <c r="M3" s="6"/>
      <c r="N3" s="6"/>
      <c r="O3" s="6" t="s">
        <v>31</v>
      </c>
      <c r="P3" s="6" t="s">
        <v>32</v>
      </c>
    </row>
    <row r="4" customFormat="false" ht="15.75" hidden="false" customHeight="false" outlineLevel="0" collapsed="false">
      <c r="A4" s="2" t="s">
        <v>16</v>
      </c>
      <c r="B4" s="2" t="s">
        <v>33</v>
      </c>
      <c r="C4" s="2" t="s">
        <v>34</v>
      </c>
      <c r="D4" s="2" t="s">
        <v>35</v>
      </c>
      <c r="E4" s="2" t="s">
        <v>36</v>
      </c>
      <c r="F4" s="3" t="n">
        <v>44963</v>
      </c>
      <c r="G4" s="4" t="n">
        <v>0.756364560185185</v>
      </c>
      <c r="H4" s="2" t="s">
        <v>37</v>
      </c>
      <c r="I4" s="5" t="n">
        <v>1</v>
      </c>
      <c r="J4" s="5" t="n">
        <v>84.17</v>
      </c>
      <c r="K4" s="5" t="n">
        <v>84.17</v>
      </c>
      <c r="L4" s="2" t="s">
        <v>38</v>
      </c>
      <c r="M4" s="2"/>
      <c r="N4" s="2"/>
      <c r="O4" s="2" t="s">
        <v>31</v>
      </c>
      <c r="P4" s="2" t="s">
        <v>32</v>
      </c>
    </row>
    <row r="5" customFormat="false" ht="15.75" hidden="false" customHeight="false" outlineLevel="0" collapsed="false">
      <c r="A5" s="6" t="s">
        <v>16</v>
      </c>
      <c r="B5" s="6" t="s">
        <v>39</v>
      </c>
      <c r="C5" s="6" t="s">
        <v>40</v>
      </c>
      <c r="D5" s="6" t="s">
        <v>35</v>
      </c>
      <c r="E5" s="6" t="s">
        <v>36</v>
      </c>
      <c r="F5" s="7" t="n">
        <v>44963</v>
      </c>
      <c r="G5" s="8" t="n">
        <v>0.754461215277778</v>
      </c>
      <c r="H5" s="6" t="s">
        <v>37</v>
      </c>
      <c r="I5" s="9" t="n">
        <v>7</v>
      </c>
      <c r="J5" s="9" t="n">
        <v>84.17</v>
      </c>
      <c r="K5" s="9" t="n">
        <v>589.19</v>
      </c>
      <c r="L5" s="6" t="s">
        <v>41</v>
      </c>
      <c r="M5" s="6"/>
      <c r="N5" s="6"/>
      <c r="O5" s="6" t="s">
        <v>31</v>
      </c>
      <c r="P5" s="6" t="s">
        <v>32</v>
      </c>
    </row>
    <row r="6" customFormat="false" ht="15.75" hidden="false" customHeight="false" outlineLevel="0" collapsed="false">
      <c r="A6" s="2" t="s">
        <v>16</v>
      </c>
      <c r="B6" s="2" t="s">
        <v>25</v>
      </c>
      <c r="C6" s="2" t="s">
        <v>26</v>
      </c>
      <c r="D6" s="2" t="s">
        <v>27</v>
      </c>
      <c r="E6" s="2" t="s">
        <v>28</v>
      </c>
      <c r="F6" s="3" t="n">
        <v>44963</v>
      </c>
      <c r="G6" s="4" t="n">
        <v>0.650696851851852</v>
      </c>
      <c r="H6" s="2" t="s">
        <v>29</v>
      </c>
      <c r="I6" s="5" t="n">
        <v>1</v>
      </c>
      <c r="J6" s="5" t="n">
        <v>451.25</v>
      </c>
      <c r="K6" s="5" t="n">
        <v>451.25</v>
      </c>
      <c r="L6" s="2" t="s">
        <v>42</v>
      </c>
      <c r="M6" s="2"/>
      <c r="N6" s="2"/>
      <c r="O6" s="2" t="s">
        <v>31</v>
      </c>
      <c r="P6" s="2" t="s">
        <v>32</v>
      </c>
    </row>
    <row r="7" customFormat="false" ht="15.75" hidden="false" customHeight="false" outlineLevel="0" collapsed="false">
      <c r="A7" s="6" t="s">
        <v>16</v>
      </c>
      <c r="B7" s="6" t="s">
        <v>43</v>
      </c>
      <c r="C7" s="6" t="s">
        <v>44</v>
      </c>
      <c r="D7" s="6" t="s">
        <v>27</v>
      </c>
      <c r="E7" s="6" t="s">
        <v>28</v>
      </c>
      <c r="F7" s="7" t="n">
        <v>44963</v>
      </c>
      <c r="G7" s="8" t="n">
        <v>0.616993148148148</v>
      </c>
      <c r="H7" s="6" t="s">
        <v>29</v>
      </c>
      <c r="I7" s="9" t="n">
        <v>15</v>
      </c>
      <c r="J7" s="9" t="n">
        <v>1228.5</v>
      </c>
      <c r="K7" s="9" t="n">
        <v>18427.5</v>
      </c>
      <c r="L7" s="6" t="s">
        <v>45</v>
      </c>
      <c r="M7" s="6"/>
      <c r="N7" s="6"/>
      <c r="O7" s="6" t="s">
        <v>31</v>
      </c>
      <c r="P7" s="6" t="s">
        <v>32</v>
      </c>
    </row>
    <row r="8" customFormat="false" ht="15.75" hidden="false" customHeight="false" outlineLevel="0" collapsed="false">
      <c r="A8" s="2" t="s">
        <v>16</v>
      </c>
      <c r="B8" s="2" t="s">
        <v>46</v>
      </c>
      <c r="C8" s="2" t="s">
        <v>47</v>
      </c>
      <c r="D8" s="2" t="s">
        <v>27</v>
      </c>
      <c r="E8" s="2" t="s">
        <v>28</v>
      </c>
      <c r="F8" s="3" t="n">
        <v>44963</v>
      </c>
      <c r="G8" s="4" t="n">
        <v>0.616653668981481</v>
      </c>
      <c r="H8" s="2" t="s">
        <v>29</v>
      </c>
      <c r="I8" s="5" t="n">
        <v>47</v>
      </c>
      <c r="J8" s="5" t="n">
        <v>1228</v>
      </c>
      <c r="K8" s="5" t="n">
        <v>57716</v>
      </c>
      <c r="L8" s="2" t="s">
        <v>48</v>
      </c>
      <c r="M8" s="2"/>
      <c r="N8" s="2"/>
      <c r="O8" s="2" t="s">
        <v>31</v>
      </c>
      <c r="P8" s="2" t="s">
        <v>32</v>
      </c>
    </row>
    <row r="9" customFormat="false" ht="15.75" hidden="false" customHeight="false" outlineLevel="0" collapsed="false">
      <c r="A9" s="6" t="s">
        <v>16</v>
      </c>
      <c r="B9" s="6" t="s">
        <v>25</v>
      </c>
      <c r="C9" s="6" t="s">
        <v>26</v>
      </c>
      <c r="D9" s="6" t="s">
        <v>27</v>
      </c>
      <c r="E9" s="6" t="s">
        <v>28</v>
      </c>
      <c r="F9" s="7" t="n">
        <v>44963</v>
      </c>
      <c r="G9" s="8" t="n">
        <v>0.615513981481482</v>
      </c>
      <c r="H9" s="6" t="s">
        <v>29</v>
      </c>
      <c r="I9" s="9" t="n">
        <v>565</v>
      </c>
      <c r="J9" s="9" t="n">
        <v>451.25</v>
      </c>
      <c r="K9" s="9" t="n">
        <v>254956.25</v>
      </c>
      <c r="L9" s="6" t="s">
        <v>49</v>
      </c>
      <c r="M9" s="6"/>
      <c r="N9" s="6"/>
      <c r="O9" s="6" t="s">
        <v>31</v>
      </c>
      <c r="P9" s="6" t="s">
        <v>32</v>
      </c>
    </row>
    <row r="10" customFormat="false" ht="15.75" hidden="false" customHeight="false" outlineLevel="0" collapsed="false">
      <c r="A10" s="2" t="s">
        <v>16</v>
      </c>
      <c r="B10" s="2" t="s">
        <v>50</v>
      </c>
      <c r="C10" s="2" t="s">
        <v>51</v>
      </c>
      <c r="D10" s="2" t="s">
        <v>27</v>
      </c>
      <c r="E10" s="2" t="s">
        <v>28</v>
      </c>
      <c r="F10" s="3" t="n">
        <v>44963</v>
      </c>
      <c r="G10" s="4" t="n">
        <v>0.614247905092593</v>
      </c>
      <c r="H10" s="2" t="s">
        <v>29</v>
      </c>
      <c r="I10" s="5" t="n">
        <v>26</v>
      </c>
      <c r="J10" s="5" t="n">
        <v>351.5</v>
      </c>
      <c r="K10" s="5" t="n">
        <v>9139</v>
      </c>
      <c r="L10" s="2" t="s">
        <v>52</v>
      </c>
      <c r="M10" s="2"/>
      <c r="N10" s="2"/>
      <c r="O10" s="2" t="s">
        <v>31</v>
      </c>
      <c r="P10" s="2" t="s">
        <v>32</v>
      </c>
    </row>
    <row r="11" customFormat="false" ht="15.75" hidden="false" customHeight="false" outlineLevel="0" collapsed="false">
      <c r="A11" s="6" t="s">
        <v>16</v>
      </c>
      <c r="B11" s="6" t="s">
        <v>53</v>
      </c>
      <c r="C11" s="6" t="s">
        <v>54</v>
      </c>
      <c r="D11" s="6" t="s">
        <v>55</v>
      </c>
      <c r="E11" s="6" t="s">
        <v>28</v>
      </c>
      <c r="F11" s="7" t="n">
        <v>44963</v>
      </c>
      <c r="G11" s="8" t="n">
        <v>0.612023229166667</v>
      </c>
      <c r="H11" s="6" t="s">
        <v>29</v>
      </c>
      <c r="I11" s="9" t="n">
        <v>85</v>
      </c>
      <c r="J11" s="9" t="n">
        <v>300</v>
      </c>
      <c r="K11" s="9" t="n">
        <v>25500</v>
      </c>
      <c r="L11" s="6" t="s">
        <v>56</v>
      </c>
      <c r="M11" s="6"/>
      <c r="N11" s="6"/>
      <c r="O11" s="6" t="s">
        <v>31</v>
      </c>
      <c r="P11" s="6" t="s">
        <v>32</v>
      </c>
    </row>
    <row r="12" customFormat="false" ht="15.75" hidden="false" customHeight="false" outlineLevel="0" collapsed="false">
      <c r="A12" s="2" t="s">
        <v>16</v>
      </c>
      <c r="B12" s="2" t="s">
        <v>25</v>
      </c>
      <c r="C12" s="2" t="s">
        <v>26</v>
      </c>
      <c r="D12" s="2" t="s">
        <v>27</v>
      </c>
      <c r="E12" s="2" t="s">
        <v>28</v>
      </c>
      <c r="F12" s="3" t="n">
        <v>44964</v>
      </c>
      <c r="G12" s="4" t="n">
        <v>0.834065104166667</v>
      </c>
      <c r="H12" s="2" t="s">
        <v>29</v>
      </c>
      <c r="I12" s="5" t="n">
        <v>1</v>
      </c>
      <c r="J12" s="5" t="n">
        <v>451.25</v>
      </c>
      <c r="K12" s="5" t="n">
        <v>451.25</v>
      </c>
      <c r="L12" s="2" t="s">
        <v>57</v>
      </c>
      <c r="M12" s="2"/>
      <c r="N12" s="2"/>
      <c r="O12" s="2" t="s">
        <v>31</v>
      </c>
      <c r="P12" s="2" t="s">
        <v>32</v>
      </c>
    </row>
    <row r="13" customFormat="false" ht="15.75" hidden="false" customHeight="false" outlineLevel="0" collapsed="false">
      <c r="A13" s="6" t="s">
        <v>16</v>
      </c>
      <c r="B13" s="6" t="s">
        <v>58</v>
      </c>
      <c r="C13" s="6" t="s">
        <v>59</v>
      </c>
      <c r="D13" s="6" t="s">
        <v>19</v>
      </c>
      <c r="E13" s="6" t="s">
        <v>20</v>
      </c>
      <c r="F13" s="7" t="n">
        <v>44964</v>
      </c>
      <c r="G13" s="8" t="n">
        <v>0.386749791666667</v>
      </c>
      <c r="H13" s="6" t="s">
        <v>37</v>
      </c>
      <c r="I13" s="9" t="n">
        <v>2</v>
      </c>
      <c r="J13" s="9" t="n">
        <v>1350</v>
      </c>
      <c r="K13" s="9" t="n">
        <v>2700</v>
      </c>
      <c r="L13" s="6" t="s">
        <v>60</v>
      </c>
      <c r="M13" s="6"/>
      <c r="N13" s="6"/>
      <c r="O13" s="6" t="s">
        <v>61</v>
      </c>
      <c r="P13" s="6" t="s">
        <v>62</v>
      </c>
    </row>
    <row r="14" customFormat="false" ht="15.75" hidden="false" customHeight="false" outlineLevel="0" collapsed="false">
      <c r="A14" s="2" t="s">
        <v>16</v>
      </c>
      <c r="B14" s="2" t="s">
        <v>63</v>
      </c>
      <c r="C14" s="2" t="s">
        <v>64</v>
      </c>
      <c r="D14" s="2" t="s">
        <v>65</v>
      </c>
      <c r="E14" s="2" t="s">
        <v>66</v>
      </c>
      <c r="F14" s="3" t="n">
        <v>44965</v>
      </c>
      <c r="G14" s="4" t="n">
        <v>0.144894155092593</v>
      </c>
      <c r="H14" s="2" t="s">
        <v>21</v>
      </c>
      <c r="I14" s="5" t="n">
        <v>9</v>
      </c>
      <c r="J14" s="5" t="n">
        <v>22</v>
      </c>
      <c r="K14" s="5" t="n">
        <v>198</v>
      </c>
      <c r="L14" s="2" t="s">
        <v>67</v>
      </c>
      <c r="M14" s="2"/>
      <c r="N14" s="2"/>
      <c r="O14" s="2" t="s">
        <v>23</v>
      </c>
      <c r="P14" s="2" t="s">
        <v>24</v>
      </c>
    </row>
    <row r="15" customFormat="false" ht="15.75" hidden="false" customHeight="false" outlineLevel="0" collapsed="false">
      <c r="A15" s="6" t="s">
        <v>16</v>
      </c>
      <c r="B15" s="6" t="s">
        <v>68</v>
      </c>
      <c r="C15" s="6" t="s">
        <v>69</v>
      </c>
      <c r="D15" s="6" t="s">
        <v>70</v>
      </c>
      <c r="E15" s="6" t="s">
        <v>71</v>
      </c>
      <c r="F15" s="7" t="n">
        <v>44965</v>
      </c>
      <c r="G15" s="8" t="n">
        <v>0.14167931712963</v>
      </c>
      <c r="H15" s="6" t="s">
        <v>21</v>
      </c>
      <c r="I15" s="9" t="n">
        <v>4</v>
      </c>
      <c r="J15" s="9" t="n">
        <v>343.5</v>
      </c>
      <c r="K15" s="9" t="n">
        <v>1374</v>
      </c>
      <c r="L15" s="6" t="s">
        <v>67</v>
      </c>
      <c r="M15" s="6"/>
      <c r="N15" s="6"/>
      <c r="O15" s="6" t="s">
        <v>23</v>
      </c>
      <c r="P15" s="6" t="s">
        <v>24</v>
      </c>
    </row>
    <row r="16" customFormat="false" ht="15.75" hidden="false" customHeight="false" outlineLevel="0" collapsed="false">
      <c r="A16" s="2" t="s">
        <v>16</v>
      </c>
      <c r="B16" s="2" t="s">
        <v>72</v>
      </c>
      <c r="C16" s="2" t="s">
        <v>73</v>
      </c>
      <c r="D16" s="2" t="s">
        <v>74</v>
      </c>
      <c r="E16" s="2" t="s">
        <v>66</v>
      </c>
      <c r="F16" s="3" t="n">
        <v>44965</v>
      </c>
      <c r="G16" s="4" t="n">
        <v>0.140767453703704</v>
      </c>
      <c r="H16" s="2" t="s">
        <v>21</v>
      </c>
      <c r="I16" s="5" t="n">
        <v>7</v>
      </c>
      <c r="J16" s="5" t="n">
        <v>135.64</v>
      </c>
      <c r="K16" s="5" t="n">
        <v>949.48</v>
      </c>
      <c r="L16" s="2" t="s">
        <v>67</v>
      </c>
      <c r="M16" s="2"/>
      <c r="N16" s="2"/>
      <c r="O16" s="2" t="s">
        <v>23</v>
      </c>
      <c r="P16" s="2" t="s">
        <v>24</v>
      </c>
    </row>
    <row r="17" customFormat="false" ht="15.75" hidden="false" customHeight="false" outlineLevel="0" collapsed="false">
      <c r="A17" s="6" t="s">
        <v>16</v>
      </c>
      <c r="B17" s="6" t="s">
        <v>75</v>
      </c>
      <c r="C17" s="6" t="s">
        <v>76</v>
      </c>
      <c r="D17" s="6" t="s">
        <v>65</v>
      </c>
      <c r="E17" s="6" t="s">
        <v>66</v>
      </c>
      <c r="F17" s="7" t="n">
        <v>44965</v>
      </c>
      <c r="G17" s="8" t="n">
        <v>0.130118206018519</v>
      </c>
      <c r="H17" s="6" t="s">
        <v>21</v>
      </c>
      <c r="I17" s="9" t="n">
        <v>3</v>
      </c>
      <c r="J17" s="9" t="n">
        <v>52.5</v>
      </c>
      <c r="K17" s="9" t="n">
        <v>157.5</v>
      </c>
      <c r="L17" s="6" t="s">
        <v>77</v>
      </c>
      <c r="M17" s="6"/>
      <c r="N17" s="6"/>
      <c r="O17" s="6" t="s">
        <v>23</v>
      </c>
      <c r="P17" s="6" t="s">
        <v>24</v>
      </c>
    </row>
    <row r="18" customFormat="false" ht="15.75" hidden="false" customHeight="false" outlineLevel="0" collapsed="false">
      <c r="A18" s="2" t="s">
        <v>16</v>
      </c>
      <c r="B18" s="2" t="s">
        <v>78</v>
      </c>
      <c r="C18" s="2" t="s">
        <v>79</v>
      </c>
      <c r="D18" s="2" t="s">
        <v>80</v>
      </c>
      <c r="E18" s="2" t="s">
        <v>28</v>
      </c>
      <c r="F18" s="3" t="n">
        <v>44966</v>
      </c>
      <c r="G18" s="4" t="n">
        <v>0.342833611111111</v>
      </c>
      <c r="H18" s="2" t="s">
        <v>37</v>
      </c>
      <c r="I18" s="5" t="n">
        <v>1</v>
      </c>
      <c r="J18" s="5" t="n">
        <v>150</v>
      </c>
      <c r="K18" s="5" t="n">
        <v>150</v>
      </c>
      <c r="L18" s="2" t="s">
        <v>81</v>
      </c>
      <c r="M18" s="2" t="s">
        <v>82</v>
      </c>
      <c r="N18" s="2"/>
      <c r="O18" s="2" t="s">
        <v>61</v>
      </c>
      <c r="P18" s="2" t="s">
        <v>62</v>
      </c>
    </row>
    <row r="19" customFormat="false" ht="15.75" hidden="false" customHeight="false" outlineLevel="0" collapsed="false">
      <c r="A19" s="6" t="s">
        <v>16</v>
      </c>
      <c r="B19" s="6" t="s">
        <v>83</v>
      </c>
      <c r="C19" s="6" t="s">
        <v>84</v>
      </c>
      <c r="D19" s="6" t="s">
        <v>85</v>
      </c>
      <c r="E19" s="6" t="s">
        <v>28</v>
      </c>
      <c r="F19" s="7" t="n">
        <v>44967</v>
      </c>
      <c r="G19" s="8" t="n">
        <v>0.839569756944444</v>
      </c>
      <c r="H19" s="6" t="s">
        <v>21</v>
      </c>
      <c r="I19" s="9" t="n">
        <v>1</v>
      </c>
      <c r="J19" s="9" t="n">
        <v>570</v>
      </c>
      <c r="K19" s="9" t="n">
        <v>570</v>
      </c>
      <c r="L19" s="6" t="s">
        <v>86</v>
      </c>
      <c r="M19" s="6"/>
      <c r="N19" s="6"/>
      <c r="O19" s="6" t="s">
        <v>23</v>
      </c>
      <c r="P19" s="6" t="s">
        <v>24</v>
      </c>
    </row>
    <row r="20" customFormat="false" ht="15.75" hidden="false" customHeight="false" outlineLevel="0" collapsed="false">
      <c r="A20" s="2" t="s">
        <v>16</v>
      </c>
      <c r="B20" s="2" t="s">
        <v>87</v>
      </c>
      <c r="C20" s="2" t="s">
        <v>88</v>
      </c>
      <c r="D20" s="2" t="s">
        <v>89</v>
      </c>
      <c r="E20" s="2" t="s">
        <v>90</v>
      </c>
      <c r="F20" s="3" t="n">
        <v>44968</v>
      </c>
      <c r="G20" s="4" t="n">
        <v>0.791670671296296</v>
      </c>
      <c r="H20" s="2" t="s">
        <v>37</v>
      </c>
      <c r="I20" s="5" t="n">
        <v>1</v>
      </c>
      <c r="J20" s="5" t="n">
        <v>530</v>
      </c>
      <c r="K20" s="5" t="n">
        <v>530</v>
      </c>
      <c r="L20" s="2" t="s">
        <v>91</v>
      </c>
      <c r="M20" s="2" t="s">
        <v>92</v>
      </c>
      <c r="N20" s="2"/>
      <c r="O20" s="2" t="s">
        <v>61</v>
      </c>
      <c r="P20" s="2" t="s">
        <v>62</v>
      </c>
    </row>
    <row r="21" customFormat="false" ht="15.75" hidden="false" customHeight="false" outlineLevel="0" collapsed="false">
      <c r="A21" s="6" t="s">
        <v>16</v>
      </c>
      <c r="B21" s="6" t="s">
        <v>93</v>
      </c>
      <c r="C21" s="6" t="s">
        <v>94</v>
      </c>
      <c r="D21" s="6" t="s">
        <v>95</v>
      </c>
      <c r="E21" s="6" t="s">
        <v>96</v>
      </c>
      <c r="F21" s="7" t="n">
        <v>44971</v>
      </c>
      <c r="G21" s="8" t="n">
        <v>0.0516908564814815</v>
      </c>
      <c r="H21" s="6" t="s">
        <v>37</v>
      </c>
      <c r="I21" s="9" t="n">
        <v>1</v>
      </c>
      <c r="J21" s="9" t="n">
        <v>45.48</v>
      </c>
      <c r="K21" s="9" t="n">
        <v>45.48</v>
      </c>
      <c r="L21" s="6" t="s">
        <v>97</v>
      </c>
      <c r="M21" s="6" t="s">
        <v>98</v>
      </c>
      <c r="N21" s="6"/>
      <c r="O21" s="6" t="s">
        <v>23</v>
      </c>
      <c r="P21" s="6" t="s">
        <v>24</v>
      </c>
    </row>
    <row r="22" customFormat="false" ht="15.75" hidden="false" customHeight="false" outlineLevel="0" collapsed="false">
      <c r="A22" s="2" t="s">
        <v>16</v>
      </c>
      <c r="B22" s="2" t="s">
        <v>99</v>
      </c>
      <c r="C22" s="2" t="s">
        <v>100</v>
      </c>
      <c r="D22" s="2" t="s">
        <v>101</v>
      </c>
      <c r="E22" s="2" t="s">
        <v>96</v>
      </c>
      <c r="F22" s="3" t="n">
        <v>44971</v>
      </c>
      <c r="G22" s="4" t="n">
        <v>0.0509402546296296</v>
      </c>
      <c r="H22" s="2" t="s">
        <v>37</v>
      </c>
      <c r="I22" s="5" t="n">
        <v>6</v>
      </c>
      <c r="J22" s="5" t="n">
        <v>54.17</v>
      </c>
      <c r="K22" s="5" t="n">
        <v>325.02</v>
      </c>
      <c r="L22" s="2" t="s">
        <v>102</v>
      </c>
      <c r="M22" s="2" t="s">
        <v>103</v>
      </c>
      <c r="N22" s="2"/>
      <c r="O22" s="2" t="s">
        <v>23</v>
      </c>
      <c r="P22" s="2" t="s">
        <v>24</v>
      </c>
    </row>
    <row r="23" customFormat="false" ht="15.75" hidden="false" customHeight="false" outlineLevel="0" collapsed="false">
      <c r="A23" s="6" t="s">
        <v>16</v>
      </c>
      <c r="B23" s="6" t="s">
        <v>104</v>
      </c>
      <c r="C23" s="6" t="s">
        <v>105</v>
      </c>
      <c r="D23" s="6" t="s">
        <v>106</v>
      </c>
      <c r="E23" s="6" t="s">
        <v>107</v>
      </c>
      <c r="F23" s="7" t="n">
        <v>44973</v>
      </c>
      <c r="G23" s="8" t="n">
        <v>0.86465181712963</v>
      </c>
      <c r="H23" s="6" t="s">
        <v>37</v>
      </c>
      <c r="I23" s="9" t="n">
        <v>3</v>
      </c>
      <c r="J23" s="9" t="n">
        <v>281.52</v>
      </c>
      <c r="K23" s="9" t="n">
        <v>844.56</v>
      </c>
      <c r="L23" s="6" t="s">
        <v>108</v>
      </c>
      <c r="M23" s="6" t="s">
        <v>109</v>
      </c>
      <c r="N23" s="6"/>
      <c r="O23" s="6" t="s">
        <v>110</v>
      </c>
      <c r="P23" s="6" t="s">
        <v>111</v>
      </c>
    </row>
    <row r="24" customFormat="false" ht="15.75" hidden="false" customHeight="false" outlineLevel="0" collapsed="false">
      <c r="A24" s="2" t="s">
        <v>16</v>
      </c>
      <c r="B24" s="2" t="s">
        <v>25</v>
      </c>
      <c r="C24" s="2" t="s">
        <v>26</v>
      </c>
      <c r="D24" s="2" t="s">
        <v>27</v>
      </c>
      <c r="E24" s="2" t="s">
        <v>28</v>
      </c>
      <c r="F24" s="3" t="n">
        <v>44973</v>
      </c>
      <c r="G24" s="4" t="n">
        <v>0.613062731481482</v>
      </c>
      <c r="H24" s="2" t="s">
        <v>29</v>
      </c>
      <c r="I24" s="5" t="n">
        <v>19</v>
      </c>
      <c r="J24" s="5" t="n">
        <v>451.25</v>
      </c>
      <c r="K24" s="5" t="n">
        <v>8573.75</v>
      </c>
      <c r="L24" s="2" t="s">
        <v>112</v>
      </c>
      <c r="M24" s="2" t="s">
        <v>113</v>
      </c>
      <c r="N24" s="2" t="s">
        <v>114</v>
      </c>
      <c r="O24" s="2" t="s">
        <v>110</v>
      </c>
      <c r="P24" s="2" t="s">
        <v>111</v>
      </c>
    </row>
    <row r="25" customFormat="false" ht="15.75" hidden="false" customHeight="false" outlineLevel="0" collapsed="false">
      <c r="A25" s="6" t="s">
        <v>16</v>
      </c>
      <c r="B25" s="6" t="s">
        <v>99</v>
      </c>
      <c r="C25" s="6" t="s">
        <v>100</v>
      </c>
      <c r="D25" s="6" t="s">
        <v>101</v>
      </c>
      <c r="E25" s="6" t="s">
        <v>96</v>
      </c>
      <c r="F25" s="7" t="n">
        <v>44973</v>
      </c>
      <c r="G25" s="8" t="n">
        <v>0.0560922685185185</v>
      </c>
      <c r="H25" s="6" t="s">
        <v>37</v>
      </c>
      <c r="I25" s="9" t="n">
        <v>1</v>
      </c>
      <c r="J25" s="9" t="n">
        <v>54.17</v>
      </c>
      <c r="K25" s="9" t="n">
        <v>54.17</v>
      </c>
      <c r="L25" s="6" t="s">
        <v>115</v>
      </c>
      <c r="M25" s="6" t="s">
        <v>116</v>
      </c>
      <c r="N25" s="6"/>
      <c r="O25" s="6" t="s">
        <v>23</v>
      </c>
      <c r="P25" s="6" t="s">
        <v>24</v>
      </c>
    </row>
    <row r="26" customFormat="false" ht="15.75" hidden="false" customHeight="false" outlineLevel="0" collapsed="false">
      <c r="A26" s="2" t="s">
        <v>16</v>
      </c>
      <c r="B26" s="2" t="s">
        <v>93</v>
      </c>
      <c r="C26" s="2" t="s">
        <v>94</v>
      </c>
      <c r="D26" s="2" t="s">
        <v>95</v>
      </c>
      <c r="E26" s="2" t="s">
        <v>96</v>
      </c>
      <c r="F26" s="3" t="n">
        <v>44973</v>
      </c>
      <c r="G26" s="4" t="n">
        <v>0.054575</v>
      </c>
      <c r="H26" s="2" t="s">
        <v>37</v>
      </c>
      <c r="I26" s="5" t="n">
        <v>2</v>
      </c>
      <c r="J26" s="5" t="n">
        <v>45.48</v>
      </c>
      <c r="K26" s="5" t="n">
        <v>90.96</v>
      </c>
      <c r="L26" s="2" t="s">
        <v>117</v>
      </c>
      <c r="M26" s="2" t="s">
        <v>118</v>
      </c>
      <c r="N26" s="2"/>
      <c r="O26" s="2" t="s">
        <v>23</v>
      </c>
      <c r="P26" s="2" t="s">
        <v>24</v>
      </c>
    </row>
    <row r="27" customFormat="false" ht="15.75" hidden="false" customHeight="false" outlineLevel="0" collapsed="false">
      <c r="A27" s="6" t="s">
        <v>16</v>
      </c>
      <c r="B27" s="6" t="s">
        <v>119</v>
      </c>
      <c r="C27" s="6" t="s">
        <v>120</v>
      </c>
      <c r="D27" s="6" t="s">
        <v>121</v>
      </c>
      <c r="E27" s="6" t="s">
        <v>122</v>
      </c>
      <c r="F27" s="7" t="n">
        <v>44973</v>
      </c>
      <c r="G27" s="8" t="n">
        <v>0.0511148263888889</v>
      </c>
      <c r="H27" s="6" t="s">
        <v>37</v>
      </c>
      <c r="I27" s="9" t="n">
        <v>1</v>
      </c>
      <c r="J27" s="9" t="n">
        <v>128.75</v>
      </c>
      <c r="K27" s="9" t="n">
        <v>128.75</v>
      </c>
      <c r="L27" s="6" t="s">
        <v>123</v>
      </c>
      <c r="M27" s="6" t="s">
        <v>124</v>
      </c>
      <c r="N27" s="6"/>
      <c r="O27" s="6" t="s">
        <v>23</v>
      </c>
      <c r="P27" s="6" t="s">
        <v>24</v>
      </c>
    </row>
    <row r="28" customFormat="false" ht="15.75" hidden="false" customHeight="false" outlineLevel="0" collapsed="false">
      <c r="A28" s="2" t="s">
        <v>16</v>
      </c>
      <c r="B28" s="2" t="s">
        <v>125</v>
      </c>
      <c r="C28" s="2" t="s">
        <v>126</v>
      </c>
      <c r="D28" s="2" t="s">
        <v>127</v>
      </c>
      <c r="E28" s="2" t="s">
        <v>128</v>
      </c>
      <c r="F28" s="3" t="n">
        <v>44974</v>
      </c>
      <c r="G28" s="4" t="n">
        <v>0.905304479166667</v>
      </c>
      <c r="H28" s="2" t="s">
        <v>21</v>
      </c>
      <c r="I28" s="5" t="n">
        <v>2</v>
      </c>
      <c r="J28" s="5" t="n">
        <v>325.5</v>
      </c>
      <c r="K28" s="5" t="n">
        <v>651</v>
      </c>
      <c r="L28" s="2" t="s">
        <v>129</v>
      </c>
      <c r="M28" s="2"/>
      <c r="N28" s="2"/>
      <c r="O28" s="2" t="s">
        <v>23</v>
      </c>
      <c r="P28" s="2" t="s">
        <v>24</v>
      </c>
    </row>
    <row r="29" customFormat="false" ht="15.75" hidden="false" customHeight="false" outlineLevel="0" collapsed="false">
      <c r="A29" s="6" t="s">
        <v>16</v>
      </c>
      <c r="B29" s="6" t="s">
        <v>130</v>
      </c>
      <c r="C29" s="6" t="s">
        <v>131</v>
      </c>
      <c r="D29" s="6" t="s">
        <v>132</v>
      </c>
      <c r="E29" s="6" t="s">
        <v>96</v>
      </c>
      <c r="F29" s="7" t="n">
        <v>44976</v>
      </c>
      <c r="G29" s="8" t="n">
        <v>0.95892869212963</v>
      </c>
      <c r="H29" s="6" t="s">
        <v>37</v>
      </c>
      <c r="I29" s="9" t="n">
        <v>1</v>
      </c>
      <c r="J29" s="9" t="n">
        <v>270</v>
      </c>
      <c r="K29" s="9" t="n">
        <v>270</v>
      </c>
      <c r="L29" s="6" t="s">
        <v>133</v>
      </c>
      <c r="M29" s="6" t="s">
        <v>134</v>
      </c>
      <c r="N29" s="6"/>
      <c r="O29" s="6" t="s">
        <v>23</v>
      </c>
      <c r="P29" s="6" t="s">
        <v>24</v>
      </c>
    </row>
    <row r="30" customFormat="false" ht="15.75" hidden="false" customHeight="false" outlineLevel="0" collapsed="false">
      <c r="A30" s="2" t="s">
        <v>16</v>
      </c>
      <c r="B30" s="2" t="s">
        <v>99</v>
      </c>
      <c r="C30" s="2" t="s">
        <v>100</v>
      </c>
      <c r="D30" s="2" t="s">
        <v>101</v>
      </c>
      <c r="E30" s="2" t="s">
        <v>96</v>
      </c>
      <c r="F30" s="3" t="n">
        <v>44976</v>
      </c>
      <c r="G30" s="4" t="n">
        <v>0.957510219907407</v>
      </c>
      <c r="H30" s="2" t="s">
        <v>37</v>
      </c>
      <c r="I30" s="5" t="n">
        <v>13</v>
      </c>
      <c r="J30" s="5" t="n">
        <v>54.17</v>
      </c>
      <c r="K30" s="5" t="n">
        <v>704.21</v>
      </c>
      <c r="L30" s="2" t="s">
        <v>135</v>
      </c>
      <c r="M30" s="2" t="s">
        <v>136</v>
      </c>
      <c r="N30" s="2"/>
      <c r="O30" s="2" t="s">
        <v>23</v>
      </c>
      <c r="P30" s="2" t="s">
        <v>24</v>
      </c>
    </row>
    <row r="31" customFormat="false" ht="15.75" hidden="false" customHeight="false" outlineLevel="0" collapsed="false">
      <c r="A31" s="6" t="s">
        <v>16</v>
      </c>
      <c r="B31" s="6" t="s">
        <v>137</v>
      </c>
      <c r="C31" s="6" t="s">
        <v>138</v>
      </c>
      <c r="D31" s="6" t="s">
        <v>127</v>
      </c>
      <c r="E31" s="6" t="s">
        <v>128</v>
      </c>
      <c r="F31" s="7" t="n">
        <v>44976</v>
      </c>
      <c r="G31" s="8" t="n">
        <v>0.0858313310185185</v>
      </c>
      <c r="H31" s="6" t="s">
        <v>21</v>
      </c>
      <c r="I31" s="9" t="n">
        <v>1</v>
      </c>
      <c r="J31" s="9" t="n">
        <v>348.75</v>
      </c>
      <c r="K31" s="9" t="n">
        <v>348.75</v>
      </c>
      <c r="L31" s="6" t="s">
        <v>139</v>
      </c>
      <c r="M31" s="6"/>
      <c r="N31" s="6"/>
      <c r="O31" s="6" t="s">
        <v>23</v>
      </c>
      <c r="P31" s="6" t="s">
        <v>24</v>
      </c>
    </row>
    <row r="32" customFormat="false" ht="15.75" hidden="false" customHeight="false" outlineLevel="0" collapsed="false">
      <c r="A32" s="2" t="s">
        <v>16</v>
      </c>
      <c r="B32" s="2" t="s">
        <v>140</v>
      </c>
      <c r="C32" s="2" t="s">
        <v>141</v>
      </c>
      <c r="D32" s="2" t="s">
        <v>142</v>
      </c>
      <c r="E32" s="2" t="s">
        <v>28</v>
      </c>
      <c r="F32" s="3" t="n">
        <v>44977</v>
      </c>
      <c r="G32" s="4" t="n">
        <v>0.00424787037037037</v>
      </c>
      <c r="H32" s="2" t="s">
        <v>37</v>
      </c>
      <c r="I32" s="5" t="n">
        <v>1</v>
      </c>
      <c r="J32" s="5" t="n">
        <v>736.3</v>
      </c>
      <c r="K32" s="5" t="n">
        <v>736.3</v>
      </c>
      <c r="L32" s="2" t="s">
        <v>143</v>
      </c>
      <c r="M32" s="2" t="s">
        <v>144</v>
      </c>
      <c r="N32" s="2"/>
      <c r="O32" s="2" t="s">
        <v>23</v>
      </c>
      <c r="P32" s="2" t="s">
        <v>24</v>
      </c>
    </row>
    <row r="33" customFormat="false" ht="15.75" hidden="false" customHeight="false" outlineLevel="0" collapsed="false">
      <c r="A33" s="6" t="s">
        <v>16</v>
      </c>
      <c r="B33" s="6" t="s">
        <v>145</v>
      </c>
      <c r="C33" s="6" t="s">
        <v>146</v>
      </c>
      <c r="D33" s="6" t="s">
        <v>147</v>
      </c>
      <c r="E33" s="6" t="s">
        <v>148</v>
      </c>
      <c r="F33" s="7" t="n">
        <v>44978</v>
      </c>
      <c r="G33" s="8" t="n">
        <v>0.650456805555556</v>
      </c>
      <c r="H33" s="6" t="s">
        <v>29</v>
      </c>
      <c r="I33" s="9" t="n">
        <v>18</v>
      </c>
      <c r="J33" s="9" t="n">
        <v>1176.14</v>
      </c>
      <c r="K33" s="9" t="n">
        <v>21170.52</v>
      </c>
      <c r="L33" s="6" t="s">
        <v>149</v>
      </c>
      <c r="M33" s="6" t="s">
        <v>150</v>
      </c>
      <c r="N33" s="6" t="s">
        <v>114</v>
      </c>
      <c r="O33" s="6" t="s">
        <v>61</v>
      </c>
      <c r="P33" s="6" t="s">
        <v>62</v>
      </c>
    </row>
    <row r="34" customFormat="false" ht="15.75" hidden="false" customHeight="false" outlineLevel="0" collapsed="false">
      <c r="A34" s="2" t="s">
        <v>16</v>
      </c>
      <c r="B34" s="2" t="s">
        <v>151</v>
      </c>
      <c r="C34" s="2" t="s">
        <v>152</v>
      </c>
      <c r="D34" s="2" t="s">
        <v>153</v>
      </c>
      <c r="E34" s="2" t="s">
        <v>148</v>
      </c>
      <c r="F34" s="3" t="n">
        <v>44978</v>
      </c>
      <c r="G34" s="4" t="n">
        <v>0.649586168981482</v>
      </c>
      <c r="H34" s="2" t="s">
        <v>29</v>
      </c>
      <c r="I34" s="5" t="n">
        <v>26</v>
      </c>
      <c r="J34" s="5" t="n">
        <v>557.67</v>
      </c>
      <c r="K34" s="5" t="n">
        <v>14499.42</v>
      </c>
      <c r="L34" s="2" t="s">
        <v>154</v>
      </c>
      <c r="M34" s="2" t="s">
        <v>155</v>
      </c>
      <c r="N34" s="2" t="s">
        <v>156</v>
      </c>
      <c r="O34" s="2" t="s">
        <v>61</v>
      </c>
      <c r="P34" s="2" t="s">
        <v>62</v>
      </c>
    </row>
    <row r="35" customFormat="false" ht="15.75" hidden="false" customHeight="false" outlineLevel="0" collapsed="false">
      <c r="A35" s="6" t="s">
        <v>16</v>
      </c>
      <c r="B35" s="6" t="s">
        <v>157</v>
      </c>
      <c r="C35" s="6" t="s">
        <v>158</v>
      </c>
      <c r="D35" s="6" t="s">
        <v>153</v>
      </c>
      <c r="E35" s="6" t="s">
        <v>148</v>
      </c>
      <c r="F35" s="7" t="n">
        <v>44978</v>
      </c>
      <c r="G35" s="8" t="n">
        <v>0.648379375</v>
      </c>
      <c r="H35" s="6" t="s">
        <v>29</v>
      </c>
      <c r="I35" s="9" t="n">
        <v>92</v>
      </c>
      <c r="J35" s="9" t="n">
        <v>557.66</v>
      </c>
      <c r="K35" s="9" t="n">
        <v>51304.72</v>
      </c>
      <c r="L35" s="6" t="s">
        <v>159</v>
      </c>
      <c r="M35" s="6" t="s">
        <v>160</v>
      </c>
      <c r="N35" s="6" t="s">
        <v>161</v>
      </c>
      <c r="O35" s="6" t="s">
        <v>61</v>
      </c>
      <c r="P35" s="6" t="s">
        <v>62</v>
      </c>
    </row>
    <row r="36" customFormat="false" ht="15.75" hidden="false" customHeight="false" outlineLevel="0" collapsed="false">
      <c r="A36" s="2" t="s">
        <v>16</v>
      </c>
      <c r="B36" s="2" t="s">
        <v>162</v>
      </c>
      <c r="C36" s="2" t="s">
        <v>163</v>
      </c>
      <c r="D36" s="2" t="s">
        <v>153</v>
      </c>
      <c r="E36" s="2" t="s">
        <v>148</v>
      </c>
      <c r="F36" s="3" t="n">
        <v>44978</v>
      </c>
      <c r="G36" s="4" t="n">
        <v>0.647309803240741</v>
      </c>
      <c r="H36" s="2" t="s">
        <v>29</v>
      </c>
      <c r="I36" s="5" t="n">
        <v>26</v>
      </c>
      <c r="J36" s="5" t="n">
        <v>743.55</v>
      </c>
      <c r="K36" s="5" t="n">
        <v>19332.3</v>
      </c>
      <c r="L36" s="2" t="s">
        <v>164</v>
      </c>
      <c r="M36" s="2" t="s">
        <v>165</v>
      </c>
      <c r="N36" s="2" t="s">
        <v>166</v>
      </c>
      <c r="O36" s="2" t="s">
        <v>61</v>
      </c>
      <c r="P36" s="2" t="s">
        <v>62</v>
      </c>
    </row>
    <row r="37" customFormat="false" ht="15.75" hidden="false" customHeight="false" outlineLevel="0" collapsed="false">
      <c r="A37" s="6" t="s">
        <v>16</v>
      </c>
      <c r="B37" s="6" t="s">
        <v>167</v>
      </c>
      <c r="C37" s="6" t="s">
        <v>168</v>
      </c>
      <c r="D37" s="6" t="s">
        <v>27</v>
      </c>
      <c r="E37" s="6" t="s">
        <v>28</v>
      </c>
      <c r="F37" s="7" t="n">
        <v>44978</v>
      </c>
      <c r="G37" s="8" t="n">
        <v>0.646048784722222</v>
      </c>
      <c r="H37" s="6" t="s">
        <v>29</v>
      </c>
      <c r="I37" s="9" t="n">
        <v>5</v>
      </c>
      <c r="J37" s="9" t="n">
        <v>1130</v>
      </c>
      <c r="K37" s="9" t="n">
        <v>5650</v>
      </c>
      <c r="L37" s="6" t="s">
        <v>169</v>
      </c>
      <c r="M37" s="6" t="s">
        <v>170</v>
      </c>
      <c r="N37" s="6" t="s">
        <v>171</v>
      </c>
      <c r="O37" s="6" t="s">
        <v>61</v>
      </c>
      <c r="P37" s="6" t="s">
        <v>62</v>
      </c>
    </row>
    <row r="38" customFormat="false" ht="15.75" hidden="false" customHeight="false" outlineLevel="0" collapsed="false">
      <c r="A38" s="2" t="s">
        <v>16</v>
      </c>
      <c r="B38" s="2" t="s">
        <v>172</v>
      </c>
      <c r="C38" s="2" t="s">
        <v>173</v>
      </c>
      <c r="D38" s="2" t="s">
        <v>174</v>
      </c>
      <c r="E38" s="2" t="s">
        <v>36</v>
      </c>
      <c r="F38" s="3" t="n">
        <v>44978</v>
      </c>
      <c r="G38" s="4" t="n">
        <v>0.644239837962963</v>
      </c>
      <c r="H38" s="2" t="s">
        <v>29</v>
      </c>
      <c r="I38" s="5" t="n">
        <v>327</v>
      </c>
      <c r="J38" s="5" t="n">
        <v>84.17</v>
      </c>
      <c r="K38" s="5" t="n">
        <v>27523.59</v>
      </c>
      <c r="L38" s="2" t="s">
        <v>175</v>
      </c>
      <c r="M38" s="2" t="s">
        <v>176</v>
      </c>
      <c r="N38" s="2" t="s">
        <v>177</v>
      </c>
      <c r="O38" s="2" t="s">
        <v>61</v>
      </c>
      <c r="P38" s="2" t="s">
        <v>62</v>
      </c>
    </row>
    <row r="39" customFormat="false" ht="15.75" hidden="false" customHeight="false" outlineLevel="0" collapsed="false">
      <c r="A39" s="6" t="s">
        <v>16</v>
      </c>
      <c r="B39" s="6" t="s">
        <v>178</v>
      </c>
      <c r="C39" s="6" t="s">
        <v>179</v>
      </c>
      <c r="D39" s="6" t="s">
        <v>121</v>
      </c>
      <c r="E39" s="6" t="s">
        <v>122</v>
      </c>
      <c r="F39" s="7" t="n">
        <v>44978</v>
      </c>
      <c r="G39" s="8" t="n">
        <v>0.0780143287037037</v>
      </c>
      <c r="H39" s="6" t="s">
        <v>21</v>
      </c>
      <c r="I39" s="9" t="n">
        <v>18</v>
      </c>
      <c r="J39" s="9" t="n">
        <v>118.45</v>
      </c>
      <c r="K39" s="9" t="n">
        <v>2132.1</v>
      </c>
      <c r="L39" s="6" t="s">
        <v>180</v>
      </c>
      <c r="M39" s="6"/>
      <c r="N39" s="6"/>
      <c r="O39" s="6" t="s">
        <v>23</v>
      </c>
      <c r="P39" s="6" t="s">
        <v>24</v>
      </c>
    </row>
    <row r="40" customFormat="false" ht="15.75" hidden="false" customHeight="false" outlineLevel="0" collapsed="false">
      <c r="A40" s="2" t="s">
        <v>16</v>
      </c>
      <c r="B40" s="2" t="s">
        <v>181</v>
      </c>
      <c r="C40" s="2" t="s">
        <v>182</v>
      </c>
      <c r="D40" s="2" t="s">
        <v>95</v>
      </c>
      <c r="E40" s="2" t="s">
        <v>96</v>
      </c>
      <c r="F40" s="3" t="n">
        <v>44978</v>
      </c>
      <c r="G40" s="4" t="n">
        <v>0.0421326157407407</v>
      </c>
      <c r="H40" s="2" t="s">
        <v>37</v>
      </c>
      <c r="I40" s="5" t="n">
        <v>1</v>
      </c>
      <c r="J40" s="5" t="n">
        <v>89.88</v>
      </c>
      <c r="K40" s="5" t="n">
        <v>89.88</v>
      </c>
      <c r="L40" s="2" t="s">
        <v>183</v>
      </c>
      <c r="M40" s="2" t="s">
        <v>184</v>
      </c>
      <c r="N40" s="2"/>
      <c r="O40" s="2" t="s">
        <v>23</v>
      </c>
      <c r="P40" s="2" t="s">
        <v>24</v>
      </c>
    </row>
    <row r="41" customFormat="false" ht="15.75" hidden="false" customHeight="false" outlineLevel="0" collapsed="false">
      <c r="A41" s="6" t="s">
        <v>16</v>
      </c>
      <c r="B41" s="6" t="s">
        <v>181</v>
      </c>
      <c r="C41" s="6" t="s">
        <v>182</v>
      </c>
      <c r="D41" s="6" t="s">
        <v>95</v>
      </c>
      <c r="E41" s="6" t="s">
        <v>96</v>
      </c>
      <c r="F41" s="7" t="n">
        <v>44978</v>
      </c>
      <c r="G41" s="8" t="n">
        <v>0.0421263657407407</v>
      </c>
      <c r="H41" s="6" t="s">
        <v>37</v>
      </c>
      <c r="I41" s="9" t="n">
        <v>1</v>
      </c>
      <c r="J41" s="9" t="n">
        <v>89.88</v>
      </c>
      <c r="K41" s="9" t="n">
        <v>89.88</v>
      </c>
      <c r="L41" s="6" t="s">
        <v>183</v>
      </c>
      <c r="M41" s="6" t="s">
        <v>184</v>
      </c>
      <c r="N41" s="6"/>
      <c r="O41" s="6" t="s">
        <v>23</v>
      </c>
      <c r="P41" s="6" t="s">
        <v>24</v>
      </c>
    </row>
    <row r="42" customFormat="false" ht="15.75" hidden="false" customHeight="false" outlineLevel="0" collapsed="false">
      <c r="A42" s="2" t="s">
        <v>16</v>
      </c>
      <c r="B42" s="2" t="s">
        <v>185</v>
      </c>
      <c r="C42" s="2" t="s">
        <v>186</v>
      </c>
      <c r="D42" s="2" t="s">
        <v>187</v>
      </c>
      <c r="E42" s="2" t="s">
        <v>36</v>
      </c>
      <c r="F42" s="3" t="n">
        <v>44979</v>
      </c>
      <c r="G42" s="4" t="n">
        <v>0.657574398148148</v>
      </c>
      <c r="H42" s="2" t="s">
        <v>29</v>
      </c>
      <c r="I42" s="5" t="n">
        <v>116</v>
      </c>
      <c r="J42" s="5" t="n">
        <v>456</v>
      </c>
      <c r="K42" s="5" t="n">
        <v>52896</v>
      </c>
      <c r="L42" s="2" t="s">
        <v>188</v>
      </c>
      <c r="M42" s="2" t="s">
        <v>189</v>
      </c>
      <c r="N42" s="2" t="s">
        <v>190</v>
      </c>
      <c r="O42" s="2" t="s">
        <v>61</v>
      </c>
      <c r="P42" s="2" t="s">
        <v>62</v>
      </c>
    </row>
    <row r="43" customFormat="false" ht="15.75" hidden="false" customHeight="false" outlineLevel="0" collapsed="false">
      <c r="A43" s="6" t="s">
        <v>16</v>
      </c>
      <c r="B43" s="6" t="s">
        <v>50</v>
      </c>
      <c r="C43" s="6" t="s">
        <v>51</v>
      </c>
      <c r="D43" s="6" t="s">
        <v>27</v>
      </c>
      <c r="E43" s="6" t="s">
        <v>28</v>
      </c>
      <c r="F43" s="7" t="n">
        <v>44979</v>
      </c>
      <c r="G43" s="8" t="n">
        <v>0.655493668981482</v>
      </c>
      <c r="H43" s="6" t="s">
        <v>29</v>
      </c>
      <c r="I43" s="9" t="n">
        <v>114</v>
      </c>
      <c r="J43" s="9" t="n">
        <v>175.75</v>
      </c>
      <c r="K43" s="9" t="n">
        <v>20035.5</v>
      </c>
      <c r="L43" s="6" t="s">
        <v>191</v>
      </c>
      <c r="M43" s="6" t="s">
        <v>192</v>
      </c>
      <c r="N43" s="6" t="s">
        <v>193</v>
      </c>
      <c r="O43" s="6" t="s">
        <v>61</v>
      </c>
      <c r="P43" s="6" t="s">
        <v>62</v>
      </c>
    </row>
    <row r="44" customFormat="false" ht="15.75" hidden="false" customHeight="false" outlineLevel="0" collapsed="false">
      <c r="A44" s="2" t="s">
        <v>16</v>
      </c>
      <c r="B44" s="2" t="s">
        <v>75</v>
      </c>
      <c r="C44" s="2" t="s">
        <v>76</v>
      </c>
      <c r="D44" s="2" t="s">
        <v>65</v>
      </c>
      <c r="E44" s="2" t="s">
        <v>66</v>
      </c>
      <c r="F44" s="3" t="n">
        <v>44979</v>
      </c>
      <c r="G44" s="4" t="n">
        <v>0.033849375</v>
      </c>
      <c r="H44" s="2" t="s">
        <v>37</v>
      </c>
      <c r="I44" s="5" t="n">
        <v>1</v>
      </c>
      <c r="J44" s="5" t="n">
        <v>52.5</v>
      </c>
      <c r="K44" s="5" t="n">
        <v>52.5</v>
      </c>
      <c r="L44" s="2" t="s">
        <v>194</v>
      </c>
      <c r="M44" s="2" t="s">
        <v>195</v>
      </c>
      <c r="N44" s="2"/>
      <c r="O44" s="2" t="s">
        <v>23</v>
      </c>
      <c r="P44" s="2" t="s">
        <v>24</v>
      </c>
    </row>
    <row r="45" customFormat="false" ht="15.75" hidden="false" customHeight="false" outlineLevel="0" collapsed="false">
      <c r="A45" s="6" t="s">
        <v>16</v>
      </c>
      <c r="B45" s="6" t="s">
        <v>181</v>
      </c>
      <c r="C45" s="6" t="s">
        <v>182</v>
      </c>
      <c r="D45" s="6" t="s">
        <v>95</v>
      </c>
      <c r="E45" s="6" t="s">
        <v>96</v>
      </c>
      <c r="F45" s="7" t="n">
        <v>44979</v>
      </c>
      <c r="G45" s="8" t="n">
        <v>0.030185775462963</v>
      </c>
      <c r="H45" s="6" t="s">
        <v>37</v>
      </c>
      <c r="I45" s="9" t="n">
        <v>1</v>
      </c>
      <c r="J45" s="9" t="n">
        <v>89.88</v>
      </c>
      <c r="K45" s="9" t="n">
        <v>89.88</v>
      </c>
      <c r="L45" s="6" t="s">
        <v>196</v>
      </c>
      <c r="M45" s="6" t="s">
        <v>197</v>
      </c>
      <c r="N45" s="6"/>
      <c r="O45" s="6" t="s">
        <v>23</v>
      </c>
      <c r="P45" s="6" t="s">
        <v>24</v>
      </c>
    </row>
    <row r="46" customFormat="false" ht="15.75" hidden="false" customHeight="false" outlineLevel="0" collapsed="false">
      <c r="A46" s="2" t="s">
        <v>16</v>
      </c>
      <c r="B46" s="2" t="s">
        <v>99</v>
      </c>
      <c r="C46" s="2" t="s">
        <v>100</v>
      </c>
      <c r="D46" s="2" t="s">
        <v>101</v>
      </c>
      <c r="E46" s="2" t="s">
        <v>96</v>
      </c>
      <c r="F46" s="3" t="n">
        <v>44979</v>
      </c>
      <c r="G46" s="4" t="n">
        <v>0.028370462962963</v>
      </c>
      <c r="H46" s="2" t="s">
        <v>37</v>
      </c>
      <c r="I46" s="5" t="n">
        <v>1</v>
      </c>
      <c r="J46" s="5" t="n">
        <v>54.17</v>
      </c>
      <c r="K46" s="5" t="n">
        <v>54.17</v>
      </c>
      <c r="L46" s="2" t="s">
        <v>198</v>
      </c>
      <c r="M46" s="2" t="s">
        <v>199</v>
      </c>
      <c r="N46" s="2"/>
      <c r="O46" s="2" t="s">
        <v>23</v>
      </c>
      <c r="P46" s="2" t="s">
        <v>24</v>
      </c>
    </row>
    <row r="47" customFormat="false" ht="15.75" hidden="false" customHeight="false" outlineLevel="0" collapsed="false">
      <c r="A47" s="6" t="s">
        <v>16</v>
      </c>
      <c r="B47" s="6" t="s">
        <v>200</v>
      </c>
      <c r="C47" s="6" t="s">
        <v>201</v>
      </c>
      <c r="D47" s="6" t="s">
        <v>202</v>
      </c>
      <c r="E47" s="6" t="s">
        <v>122</v>
      </c>
      <c r="F47" s="7" t="n">
        <v>44980</v>
      </c>
      <c r="G47" s="8" t="n">
        <v>0.0183812152777778</v>
      </c>
      <c r="H47" s="6" t="s">
        <v>37</v>
      </c>
      <c r="I47" s="9" t="n">
        <v>1</v>
      </c>
      <c r="J47" s="9" t="n">
        <v>212.44</v>
      </c>
      <c r="K47" s="9" t="n">
        <v>212.44</v>
      </c>
      <c r="L47" s="6" t="s">
        <v>203</v>
      </c>
      <c r="M47" s="6" t="s">
        <v>204</v>
      </c>
      <c r="N47" s="6"/>
      <c r="O47" s="6" t="s">
        <v>23</v>
      </c>
      <c r="P47" s="6" t="s">
        <v>24</v>
      </c>
    </row>
    <row r="48" customFormat="false" ht="15.75" hidden="false" customHeight="false" outlineLevel="0" collapsed="false">
      <c r="A48" s="2" t="s">
        <v>16</v>
      </c>
      <c r="B48" s="2" t="s">
        <v>205</v>
      </c>
      <c r="C48" s="2" t="s">
        <v>206</v>
      </c>
      <c r="D48" s="2" t="s">
        <v>207</v>
      </c>
      <c r="E48" s="2" t="s">
        <v>208</v>
      </c>
      <c r="F48" s="3" t="n">
        <v>44980</v>
      </c>
      <c r="G48" s="4" t="n">
        <v>0.0107024884259259</v>
      </c>
      <c r="H48" s="2" t="s">
        <v>21</v>
      </c>
      <c r="I48" s="5" t="n">
        <v>3</v>
      </c>
      <c r="J48" s="5" t="n">
        <v>492.97</v>
      </c>
      <c r="K48" s="5" t="n">
        <v>1478.91</v>
      </c>
      <c r="L48" s="2" t="s">
        <v>209</v>
      </c>
      <c r="M48" s="2"/>
      <c r="N48" s="2"/>
      <c r="O48" s="2" t="s">
        <v>23</v>
      </c>
      <c r="P48" s="2" t="s">
        <v>24</v>
      </c>
    </row>
    <row r="49" customFormat="false" ht="15.75" hidden="false" customHeight="false" outlineLevel="0" collapsed="false">
      <c r="A49" s="6" t="s">
        <v>16</v>
      </c>
      <c r="B49" s="6" t="s">
        <v>205</v>
      </c>
      <c r="C49" s="6" t="s">
        <v>206</v>
      </c>
      <c r="D49" s="6" t="s">
        <v>207</v>
      </c>
      <c r="E49" s="6" t="s">
        <v>208</v>
      </c>
      <c r="F49" s="7" t="n">
        <v>44980</v>
      </c>
      <c r="G49" s="8" t="n">
        <v>0.0105994328703704</v>
      </c>
      <c r="H49" s="6" t="s">
        <v>21</v>
      </c>
      <c r="I49" s="9" t="n">
        <v>3</v>
      </c>
      <c r="J49" s="9" t="n">
        <v>492.97</v>
      </c>
      <c r="K49" s="9" t="n">
        <v>1478.91</v>
      </c>
      <c r="L49" s="6" t="s">
        <v>209</v>
      </c>
      <c r="M49" s="6"/>
      <c r="N49" s="6"/>
      <c r="O49" s="6" t="s">
        <v>23</v>
      </c>
      <c r="P49" s="6" t="s">
        <v>24</v>
      </c>
    </row>
    <row r="50" customFormat="false" ht="15.75" hidden="false" customHeight="false" outlineLevel="0" collapsed="false">
      <c r="A50" s="2" t="s">
        <v>16</v>
      </c>
      <c r="B50" s="2" t="s">
        <v>210</v>
      </c>
      <c r="C50" s="2" t="s">
        <v>211</v>
      </c>
      <c r="D50" s="2" t="s">
        <v>212</v>
      </c>
      <c r="E50" s="2" t="s">
        <v>96</v>
      </c>
      <c r="F50" s="3" t="n">
        <v>44981</v>
      </c>
      <c r="G50" s="4" t="n">
        <v>0.899383333333333</v>
      </c>
      <c r="H50" s="2" t="s">
        <v>37</v>
      </c>
      <c r="I50" s="5" t="n">
        <v>2</v>
      </c>
      <c r="J50" s="5" t="n">
        <v>107.03</v>
      </c>
      <c r="K50" s="5" t="n">
        <v>214.06</v>
      </c>
      <c r="L50" s="2" t="s">
        <v>213</v>
      </c>
      <c r="M50" s="2" t="s">
        <v>214</v>
      </c>
      <c r="N50" s="2"/>
      <c r="O50" s="2" t="s">
        <v>23</v>
      </c>
      <c r="P50" s="2" t="s">
        <v>24</v>
      </c>
    </row>
    <row r="51" customFormat="false" ht="15.75" hidden="false" customHeight="false" outlineLevel="0" collapsed="false">
      <c r="A51" s="6" t="s">
        <v>16</v>
      </c>
      <c r="B51" s="6" t="s">
        <v>215</v>
      </c>
      <c r="C51" s="6" t="s">
        <v>216</v>
      </c>
      <c r="D51" s="6" t="s">
        <v>147</v>
      </c>
      <c r="E51" s="6" t="s">
        <v>148</v>
      </c>
      <c r="F51" s="7" t="n">
        <v>44982</v>
      </c>
      <c r="G51" s="8" t="n">
        <v>0.901376122685185</v>
      </c>
      <c r="H51" s="6" t="s">
        <v>21</v>
      </c>
      <c r="I51" s="9" t="n">
        <v>1</v>
      </c>
      <c r="J51" s="9" t="n">
        <v>494.34</v>
      </c>
      <c r="K51" s="9" t="n">
        <v>494.34</v>
      </c>
      <c r="L51" s="6" t="s">
        <v>217</v>
      </c>
      <c r="M51" s="6"/>
      <c r="N51" s="6"/>
      <c r="O51" s="6" t="s">
        <v>61</v>
      </c>
      <c r="P51" s="6" t="s">
        <v>62</v>
      </c>
    </row>
    <row r="52" customFormat="false" ht="15.75" hidden="false" customHeight="false" outlineLevel="0" collapsed="false">
      <c r="A52" s="2" t="s">
        <v>16</v>
      </c>
      <c r="B52" s="2" t="s">
        <v>218</v>
      </c>
      <c r="C52" s="2" t="s">
        <v>219</v>
      </c>
      <c r="D52" s="2" t="s">
        <v>147</v>
      </c>
      <c r="E52" s="2" t="s">
        <v>148</v>
      </c>
      <c r="F52" s="3" t="n">
        <v>44982</v>
      </c>
      <c r="G52" s="4" t="n">
        <v>0.896993356481481</v>
      </c>
      <c r="H52" s="2" t="s">
        <v>29</v>
      </c>
      <c r="I52" s="5" t="n">
        <v>1</v>
      </c>
      <c r="J52" s="5" t="n">
        <v>577.08</v>
      </c>
      <c r="K52" s="5" t="n">
        <v>577.08</v>
      </c>
      <c r="L52" s="2" t="s">
        <v>220</v>
      </c>
      <c r="M52" s="2" t="s">
        <v>221</v>
      </c>
      <c r="N52" s="2" t="s">
        <v>222</v>
      </c>
      <c r="O52" s="2" t="s">
        <v>61</v>
      </c>
      <c r="P52" s="2" t="s">
        <v>62</v>
      </c>
    </row>
    <row r="53" customFormat="false" ht="15.75" hidden="false" customHeight="false" outlineLevel="0" collapsed="false">
      <c r="A53" s="6" t="s">
        <v>16</v>
      </c>
      <c r="B53" s="6" t="s">
        <v>223</v>
      </c>
      <c r="C53" s="6" t="s">
        <v>224</v>
      </c>
      <c r="D53" s="6" t="s">
        <v>106</v>
      </c>
      <c r="E53" s="6" t="s">
        <v>148</v>
      </c>
      <c r="F53" s="7" t="n">
        <v>44982</v>
      </c>
      <c r="G53" s="8" t="n">
        <v>0.895936493055556</v>
      </c>
      <c r="H53" s="6" t="s">
        <v>29</v>
      </c>
      <c r="I53" s="9" t="n">
        <v>3</v>
      </c>
      <c r="J53" s="9" t="n">
        <v>416.4</v>
      </c>
      <c r="K53" s="9" t="n">
        <v>1249.2</v>
      </c>
      <c r="L53" s="6" t="s">
        <v>225</v>
      </c>
      <c r="M53" s="6" t="s">
        <v>226</v>
      </c>
      <c r="N53" s="6" t="s">
        <v>227</v>
      </c>
      <c r="O53" s="6" t="s">
        <v>61</v>
      </c>
      <c r="P53" s="6" t="s">
        <v>62</v>
      </c>
    </row>
    <row r="54" customFormat="false" ht="15.75" hidden="false" customHeight="false" outlineLevel="0" collapsed="false">
      <c r="A54" s="2" t="s">
        <v>16</v>
      </c>
      <c r="B54" s="2" t="s">
        <v>228</v>
      </c>
      <c r="C54" s="2" t="s">
        <v>229</v>
      </c>
      <c r="D54" s="2" t="s">
        <v>230</v>
      </c>
      <c r="E54" s="2" t="s">
        <v>231</v>
      </c>
      <c r="F54" s="3" t="n">
        <v>44984</v>
      </c>
      <c r="G54" s="4" t="n">
        <v>0.0386223726851852</v>
      </c>
      <c r="H54" s="2" t="s">
        <v>37</v>
      </c>
      <c r="I54" s="5" t="n">
        <v>1</v>
      </c>
      <c r="J54" s="5" t="n">
        <v>467.21</v>
      </c>
      <c r="K54" s="5" t="n">
        <v>467.21</v>
      </c>
      <c r="L54" s="2" t="s">
        <v>232</v>
      </c>
      <c r="M54" s="2" t="s">
        <v>233</v>
      </c>
      <c r="N54" s="2"/>
      <c r="O54" s="2" t="s">
        <v>23</v>
      </c>
      <c r="P54" s="2" t="s">
        <v>24</v>
      </c>
    </row>
    <row r="55" customFormat="false" ht="15.75" hidden="false" customHeight="false" outlineLevel="0" collapsed="false">
      <c r="A55" s="6" t="s">
        <v>16</v>
      </c>
      <c r="B55" s="6" t="s">
        <v>234</v>
      </c>
      <c r="C55" s="6" t="s">
        <v>235</v>
      </c>
      <c r="D55" s="6" t="s">
        <v>147</v>
      </c>
      <c r="E55" s="6" t="s">
        <v>148</v>
      </c>
      <c r="F55" s="7" t="n">
        <v>44985</v>
      </c>
      <c r="G55" s="8" t="n">
        <v>0.839587372685185</v>
      </c>
      <c r="H55" s="6" t="s">
        <v>29</v>
      </c>
      <c r="I55" s="9" t="n">
        <v>34</v>
      </c>
      <c r="J55" s="9" t="n">
        <v>811.49</v>
      </c>
      <c r="K55" s="9" t="n">
        <v>27590.66</v>
      </c>
      <c r="L55" s="6" t="s">
        <v>236</v>
      </c>
      <c r="M55" s="6" t="s">
        <v>237</v>
      </c>
      <c r="N55" s="6" t="s">
        <v>114</v>
      </c>
      <c r="O55" s="6" t="s">
        <v>61</v>
      </c>
      <c r="P55" s="6" t="s">
        <v>62</v>
      </c>
    </row>
    <row r="56" customFormat="false" ht="15.75" hidden="false" customHeight="false" outlineLevel="0" collapsed="false">
      <c r="A56" s="2" t="s">
        <v>16</v>
      </c>
      <c r="B56" s="2" t="s">
        <v>238</v>
      </c>
      <c r="C56" s="2" t="s">
        <v>239</v>
      </c>
      <c r="D56" s="2" t="s">
        <v>95</v>
      </c>
      <c r="E56" s="2" t="s">
        <v>96</v>
      </c>
      <c r="F56" s="3" t="n">
        <v>44986</v>
      </c>
      <c r="G56" s="4" t="n">
        <v>0.987827465277778</v>
      </c>
      <c r="H56" s="2" t="s">
        <v>37</v>
      </c>
      <c r="I56" s="5" t="n">
        <v>1</v>
      </c>
      <c r="J56" s="5" t="n">
        <v>55.13</v>
      </c>
      <c r="K56" s="5" t="n">
        <v>55.13</v>
      </c>
      <c r="L56" s="2" t="s">
        <v>240</v>
      </c>
      <c r="M56" s="2" t="s">
        <v>241</v>
      </c>
      <c r="N56" s="2"/>
      <c r="O56" s="2" t="s">
        <v>23</v>
      </c>
      <c r="P56" s="2" t="s">
        <v>24</v>
      </c>
    </row>
    <row r="57" customFormat="false" ht="15.75" hidden="false" customHeight="false" outlineLevel="0" collapsed="false">
      <c r="A57" s="6" t="s">
        <v>16</v>
      </c>
      <c r="B57" s="6" t="s">
        <v>242</v>
      </c>
      <c r="C57" s="6" t="s">
        <v>243</v>
      </c>
      <c r="D57" s="6" t="s">
        <v>101</v>
      </c>
      <c r="E57" s="6" t="s">
        <v>96</v>
      </c>
      <c r="F57" s="7" t="n">
        <v>44986</v>
      </c>
      <c r="G57" s="8" t="n">
        <v>0.873166631944444</v>
      </c>
      <c r="H57" s="6" t="s">
        <v>37</v>
      </c>
      <c r="I57" s="9" t="n">
        <v>1</v>
      </c>
      <c r="J57" s="9" t="n">
        <v>272</v>
      </c>
      <c r="K57" s="9" t="n">
        <v>272</v>
      </c>
      <c r="L57" s="6" t="s">
        <v>244</v>
      </c>
      <c r="M57" s="6" t="s">
        <v>245</v>
      </c>
      <c r="N57" s="6"/>
      <c r="O57" s="6" t="s">
        <v>110</v>
      </c>
      <c r="P57" s="6" t="s">
        <v>111</v>
      </c>
    </row>
    <row r="58" customFormat="false" ht="15.75" hidden="false" customHeight="false" outlineLevel="0" collapsed="false">
      <c r="A58" s="2" t="s">
        <v>16</v>
      </c>
      <c r="B58" s="2" t="s">
        <v>130</v>
      </c>
      <c r="C58" s="2" t="s">
        <v>131</v>
      </c>
      <c r="D58" s="2" t="s">
        <v>132</v>
      </c>
      <c r="E58" s="2" t="s">
        <v>96</v>
      </c>
      <c r="F58" s="3" t="n">
        <v>44986</v>
      </c>
      <c r="G58" s="4" t="n">
        <v>0.871482361111111</v>
      </c>
      <c r="H58" s="2" t="s">
        <v>37</v>
      </c>
      <c r="I58" s="5" t="n">
        <v>1</v>
      </c>
      <c r="J58" s="5" t="n">
        <v>270</v>
      </c>
      <c r="K58" s="5" t="n">
        <v>270</v>
      </c>
      <c r="L58" s="2" t="s">
        <v>246</v>
      </c>
      <c r="M58" s="2" t="s">
        <v>247</v>
      </c>
      <c r="N58" s="2"/>
      <c r="O58" s="2" t="s">
        <v>110</v>
      </c>
      <c r="P58" s="2" t="s">
        <v>111</v>
      </c>
    </row>
    <row r="59" customFormat="false" ht="15.75" hidden="false" customHeight="false" outlineLevel="0" collapsed="false">
      <c r="A59" s="6" t="s">
        <v>16</v>
      </c>
      <c r="B59" s="6" t="s">
        <v>248</v>
      </c>
      <c r="C59" s="6" t="s">
        <v>249</v>
      </c>
      <c r="D59" s="6" t="s">
        <v>27</v>
      </c>
      <c r="E59" s="6" t="s">
        <v>28</v>
      </c>
      <c r="F59" s="7" t="n">
        <v>44986</v>
      </c>
      <c r="G59" s="8" t="n">
        <v>0.843317777777778</v>
      </c>
      <c r="H59" s="6" t="s">
        <v>29</v>
      </c>
      <c r="I59" s="9" t="n">
        <v>10</v>
      </c>
      <c r="J59" s="9" t="n">
        <v>1130</v>
      </c>
      <c r="K59" s="9" t="n">
        <v>11300</v>
      </c>
      <c r="L59" s="6" t="s">
        <v>250</v>
      </c>
      <c r="M59" s="6" t="s">
        <v>251</v>
      </c>
      <c r="N59" s="6" t="s">
        <v>252</v>
      </c>
      <c r="O59" s="6" t="s">
        <v>61</v>
      </c>
      <c r="P59" s="6" t="s">
        <v>62</v>
      </c>
    </row>
    <row r="60" customFormat="false" ht="15.75" hidden="false" customHeight="false" outlineLevel="0" collapsed="false">
      <c r="A60" s="2" t="s">
        <v>16</v>
      </c>
      <c r="B60" s="2" t="s">
        <v>253</v>
      </c>
      <c r="C60" s="2" t="s">
        <v>254</v>
      </c>
      <c r="D60" s="2" t="s">
        <v>255</v>
      </c>
      <c r="E60" s="2" t="s">
        <v>71</v>
      </c>
      <c r="F60" s="3" t="n">
        <v>44987</v>
      </c>
      <c r="G60" s="4" t="n">
        <v>0.642073888888889</v>
      </c>
      <c r="H60" s="2" t="s">
        <v>37</v>
      </c>
      <c r="I60" s="5" t="n">
        <v>1</v>
      </c>
      <c r="J60" s="5" t="n">
        <v>286.25</v>
      </c>
      <c r="K60" s="5" t="n">
        <v>286.25</v>
      </c>
      <c r="L60" s="2" t="s">
        <v>256</v>
      </c>
      <c r="M60" s="2" t="s">
        <v>257</v>
      </c>
      <c r="N60" s="2"/>
      <c r="O60" s="2" t="s">
        <v>110</v>
      </c>
      <c r="P60" s="2" t="s">
        <v>111</v>
      </c>
    </row>
    <row r="61" customFormat="false" ht="15.75" hidden="false" customHeight="false" outlineLevel="0" collapsed="false">
      <c r="A61" s="6" t="s">
        <v>16</v>
      </c>
      <c r="B61" s="6" t="s">
        <v>258</v>
      </c>
      <c r="C61" s="6" t="s">
        <v>259</v>
      </c>
      <c r="D61" s="6" t="s">
        <v>35</v>
      </c>
      <c r="E61" s="6" t="s">
        <v>36</v>
      </c>
      <c r="F61" s="7" t="n">
        <v>44988</v>
      </c>
      <c r="G61" s="8" t="n">
        <v>0.899165266203704</v>
      </c>
      <c r="H61" s="6" t="s">
        <v>37</v>
      </c>
      <c r="I61" s="9" t="n">
        <v>3</v>
      </c>
      <c r="J61" s="9" t="n">
        <v>380</v>
      </c>
      <c r="K61" s="9" t="n">
        <v>1140</v>
      </c>
      <c r="L61" s="6" t="s">
        <v>260</v>
      </c>
      <c r="M61" s="6" t="s">
        <v>261</v>
      </c>
      <c r="N61" s="6"/>
      <c r="O61" s="6" t="s">
        <v>23</v>
      </c>
      <c r="P61" s="6" t="s">
        <v>24</v>
      </c>
    </row>
    <row r="62" customFormat="false" ht="15.75" hidden="false" customHeight="false" outlineLevel="0" collapsed="false">
      <c r="A62" s="2" t="s">
        <v>16</v>
      </c>
      <c r="B62" s="2" t="s">
        <v>262</v>
      </c>
      <c r="C62" s="2" t="s">
        <v>263</v>
      </c>
      <c r="D62" s="2" t="s">
        <v>80</v>
      </c>
      <c r="E62" s="2" t="s">
        <v>28</v>
      </c>
      <c r="F62" s="3" t="n">
        <v>44988</v>
      </c>
      <c r="G62" s="4" t="n">
        <v>0.839948298611111</v>
      </c>
      <c r="H62" s="2" t="s">
        <v>37</v>
      </c>
      <c r="I62" s="5" t="n">
        <v>7</v>
      </c>
      <c r="J62" s="5" t="n">
        <v>150</v>
      </c>
      <c r="K62" s="5" t="n">
        <v>1050</v>
      </c>
      <c r="L62" s="2" t="s">
        <v>264</v>
      </c>
      <c r="M62" s="2" t="s">
        <v>265</v>
      </c>
      <c r="N62" s="2"/>
      <c r="O62" s="2" t="s">
        <v>23</v>
      </c>
      <c r="P62" s="2" t="s">
        <v>24</v>
      </c>
    </row>
    <row r="63" customFormat="false" ht="15.75" hidden="false" customHeight="false" outlineLevel="0" collapsed="false">
      <c r="A63" s="6" t="s">
        <v>16</v>
      </c>
      <c r="B63" s="6" t="s">
        <v>266</v>
      </c>
      <c r="C63" s="6" t="s">
        <v>267</v>
      </c>
      <c r="D63" s="6" t="s">
        <v>268</v>
      </c>
      <c r="E63" s="6" t="s">
        <v>269</v>
      </c>
      <c r="F63" s="7" t="n">
        <v>44988</v>
      </c>
      <c r="G63" s="8" t="n">
        <v>0.7396115625</v>
      </c>
      <c r="H63" s="6" t="s">
        <v>37</v>
      </c>
      <c r="I63" s="9" t="n">
        <v>1</v>
      </c>
      <c r="J63" s="9" t="n">
        <v>182.15</v>
      </c>
      <c r="K63" s="9" t="n">
        <v>182.15</v>
      </c>
      <c r="L63" s="6" t="s">
        <v>270</v>
      </c>
      <c r="M63" s="6" t="s">
        <v>271</v>
      </c>
      <c r="N63" s="6"/>
      <c r="O63" s="6" t="s">
        <v>23</v>
      </c>
      <c r="P63" s="6" t="s">
        <v>24</v>
      </c>
    </row>
    <row r="64" customFormat="false" ht="15.75" hidden="false" customHeight="false" outlineLevel="0" collapsed="false">
      <c r="A64" s="2" t="s">
        <v>16</v>
      </c>
      <c r="B64" s="2" t="s">
        <v>78</v>
      </c>
      <c r="C64" s="2" t="s">
        <v>79</v>
      </c>
      <c r="D64" s="2" t="s">
        <v>80</v>
      </c>
      <c r="E64" s="2" t="s">
        <v>28</v>
      </c>
      <c r="F64" s="3" t="n">
        <v>44988</v>
      </c>
      <c r="G64" s="4" t="n">
        <v>0.738087951388889</v>
      </c>
      <c r="H64" s="2" t="s">
        <v>37</v>
      </c>
      <c r="I64" s="5" t="n">
        <v>7</v>
      </c>
      <c r="J64" s="5" t="n">
        <v>150</v>
      </c>
      <c r="K64" s="5" t="n">
        <v>1050</v>
      </c>
      <c r="L64" s="2" t="s">
        <v>272</v>
      </c>
      <c r="M64" s="2" t="s">
        <v>273</v>
      </c>
      <c r="N64" s="2"/>
      <c r="O64" s="2" t="s">
        <v>23</v>
      </c>
      <c r="P64" s="2" t="s">
        <v>24</v>
      </c>
    </row>
    <row r="65" customFormat="false" ht="15.75" hidden="false" customHeight="false" outlineLevel="0" collapsed="false">
      <c r="A65" s="6" t="s">
        <v>16</v>
      </c>
      <c r="B65" s="6" t="s">
        <v>78</v>
      </c>
      <c r="C65" s="6" t="s">
        <v>79</v>
      </c>
      <c r="D65" s="6" t="s">
        <v>80</v>
      </c>
      <c r="E65" s="6" t="s">
        <v>28</v>
      </c>
      <c r="F65" s="7" t="n">
        <v>44989</v>
      </c>
      <c r="G65" s="8" t="n">
        <v>0.347041238425926</v>
      </c>
      <c r="H65" s="6" t="s">
        <v>37</v>
      </c>
      <c r="I65" s="9" t="n">
        <v>1</v>
      </c>
      <c r="J65" s="9" t="n">
        <v>150</v>
      </c>
      <c r="K65" s="9" t="n">
        <v>150</v>
      </c>
      <c r="L65" s="6" t="s">
        <v>274</v>
      </c>
      <c r="M65" s="6" t="s">
        <v>275</v>
      </c>
      <c r="N65" s="6"/>
      <c r="O65" s="6" t="s">
        <v>61</v>
      </c>
      <c r="P65" s="6" t="s">
        <v>62</v>
      </c>
    </row>
    <row r="66" customFormat="false" ht="15.75" hidden="false" customHeight="false" outlineLevel="0" collapsed="false">
      <c r="A66" s="2" t="s">
        <v>16</v>
      </c>
      <c r="B66" s="2" t="s">
        <v>276</v>
      </c>
      <c r="C66" s="2" t="s">
        <v>277</v>
      </c>
      <c r="D66" s="2" t="s">
        <v>95</v>
      </c>
      <c r="E66" s="2" t="s">
        <v>96</v>
      </c>
      <c r="F66" s="3" t="n">
        <v>44990</v>
      </c>
      <c r="G66" s="4" t="n">
        <v>0.143829837962963</v>
      </c>
      <c r="H66" s="2" t="s">
        <v>37</v>
      </c>
      <c r="I66" s="5" t="n">
        <v>1</v>
      </c>
      <c r="J66" s="5" t="n">
        <v>177.84</v>
      </c>
      <c r="K66" s="5" t="n">
        <v>177.84</v>
      </c>
      <c r="L66" s="2" t="s">
        <v>278</v>
      </c>
      <c r="M66" s="2" t="s">
        <v>279</v>
      </c>
      <c r="N66" s="2"/>
      <c r="O66" s="2" t="s">
        <v>23</v>
      </c>
      <c r="P66" s="2" t="s">
        <v>24</v>
      </c>
    </row>
    <row r="67" customFormat="false" ht="15.75" hidden="false" customHeight="false" outlineLevel="0" collapsed="false">
      <c r="A67" s="6" t="s">
        <v>16</v>
      </c>
      <c r="B67" s="6" t="s">
        <v>130</v>
      </c>
      <c r="C67" s="6" t="s">
        <v>131</v>
      </c>
      <c r="D67" s="6" t="s">
        <v>132</v>
      </c>
      <c r="E67" s="6" t="s">
        <v>96</v>
      </c>
      <c r="F67" s="7" t="n">
        <v>44990</v>
      </c>
      <c r="G67" s="8" t="n">
        <v>0.142303657407407</v>
      </c>
      <c r="H67" s="6" t="s">
        <v>37</v>
      </c>
      <c r="I67" s="9" t="n">
        <v>1</v>
      </c>
      <c r="J67" s="9" t="n">
        <v>270</v>
      </c>
      <c r="K67" s="9" t="n">
        <v>270</v>
      </c>
      <c r="L67" s="6" t="s">
        <v>280</v>
      </c>
      <c r="M67" s="6" t="s">
        <v>281</v>
      </c>
      <c r="N67" s="6"/>
      <c r="O67" s="6" t="s">
        <v>23</v>
      </c>
      <c r="P67" s="6" t="s">
        <v>24</v>
      </c>
    </row>
    <row r="68" customFormat="false" ht="15.75" hidden="false" customHeight="false" outlineLevel="0" collapsed="false">
      <c r="A68" s="2" t="s">
        <v>16</v>
      </c>
      <c r="B68" s="2" t="s">
        <v>242</v>
      </c>
      <c r="C68" s="2" t="s">
        <v>243</v>
      </c>
      <c r="D68" s="2" t="s">
        <v>101</v>
      </c>
      <c r="E68" s="2" t="s">
        <v>96</v>
      </c>
      <c r="F68" s="3" t="n">
        <v>44990</v>
      </c>
      <c r="G68" s="4" t="n">
        <v>0.141077222222222</v>
      </c>
      <c r="H68" s="2" t="s">
        <v>37</v>
      </c>
      <c r="I68" s="5" t="n">
        <v>1</v>
      </c>
      <c r="J68" s="5" t="n">
        <v>272</v>
      </c>
      <c r="K68" s="5" t="n">
        <v>272</v>
      </c>
      <c r="L68" s="2" t="s">
        <v>282</v>
      </c>
      <c r="M68" s="2" t="s">
        <v>283</v>
      </c>
      <c r="N68" s="2"/>
      <c r="O68" s="2" t="s">
        <v>23</v>
      </c>
      <c r="P68" s="2" t="s">
        <v>24</v>
      </c>
    </row>
    <row r="69" customFormat="false" ht="15.75" hidden="false" customHeight="false" outlineLevel="0" collapsed="false">
      <c r="A69" s="6" t="s">
        <v>16</v>
      </c>
      <c r="B69" s="6" t="s">
        <v>99</v>
      </c>
      <c r="C69" s="6" t="s">
        <v>100</v>
      </c>
      <c r="D69" s="6" t="s">
        <v>101</v>
      </c>
      <c r="E69" s="6" t="s">
        <v>96</v>
      </c>
      <c r="F69" s="7" t="n">
        <v>44990</v>
      </c>
      <c r="G69" s="8" t="n">
        <v>0.139776388888889</v>
      </c>
      <c r="H69" s="6" t="s">
        <v>37</v>
      </c>
      <c r="I69" s="9" t="n">
        <v>1</v>
      </c>
      <c r="J69" s="9" t="n">
        <v>54.75</v>
      </c>
      <c r="K69" s="9" t="n">
        <v>54.75</v>
      </c>
      <c r="L69" s="6" t="s">
        <v>284</v>
      </c>
      <c r="M69" s="6" t="s">
        <v>285</v>
      </c>
      <c r="N69" s="6"/>
      <c r="O69" s="6" t="s">
        <v>23</v>
      </c>
      <c r="P69" s="6" t="s">
        <v>24</v>
      </c>
    </row>
    <row r="70" customFormat="false" ht="15.75" hidden="false" customHeight="false" outlineLevel="0" collapsed="false">
      <c r="A70" s="2" t="s">
        <v>16</v>
      </c>
      <c r="B70" s="2" t="s">
        <v>286</v>
      </c>
      <c r="C70" s="2" t="s">
        <v>287</v>
      </c>
      <c r="D70" s="2" t="s">
        <v>19</v>
      </c>
      <c r="E70" s="2" t="s">
        <v>20</v>
      </c>
      <c r="F70" s="3" t="n">
        <v>44992</v>
      </c>
      <c r="G70" s="4" t="n">
        <v>0.884395532407407</v>
      </c>
      <c r="H70" s="2" t="s">
        <v>37</v>
      </c>
      <c r="I70" s="5" t="n">
        <v>1</v>
      </c>
      <c r="J70" s="5" t="n">
        <v>2379</v>
      </c>
      <c r="K70" s="5" t="n">
        <v>2379</v>
      </c>
      <c r="L70" s="2" t="s">
        <v>288</v>
      </c>
      <c r="M70" s="2" t="s">
        <v>289</v>
      </c>
      <c r="N70" s="2"/>
      <c r="O70" s="2" t="s">
        <v>61</v>
      </c>
      <c r="P70" s="2" t="s">
        <v>62</v>
      </c>
    </row>
    <row r="71" customFormat="false" ht="15.75" hidden="false" customHeight="false" outlineLevel="0" collapsed="false">
      <c r="A71" s="6" t="s">
        <v>16</v>
      </c>
      <c r="B71" s="6" t="s">
        <v>290</v>
      </c>
      <c r="C71" s="6" t="s">
        <v>291</v>
      </c>
      <c r="D71" s="6" t="s">
        <v>230</v>
      </c>
      <c r="E71" s="6" t="s">
        <v>231</v>
      </c>
      <c r="F71" s="7" t="n">
        <v>44992</v>
      </c>
      <c r="G71" s="8" t="n">
        <v>0.0669292708333333</v>
      </c>
      <c r="H71" s="6" t="s">
        <v>37</v>
      </c>
      <c r="I71" s="9" t="n">
        <v>1</v>
      </c>
      <c r="J71" s="9" t="n">
        <v>188.49</v>
      </c>
      <c r="K71" s="9" t="n">
        <v>188.49</v>
      </c>
      <c r="L71" s="6" t="s">
        <v>292</v>
      </c>
      <c r="M71" s="6" t="s">
        <v>293</v>
      </c>
      <c r="N71" s="6"/>
      <c r="O71" s="6" t="s">
        <v>23</v>
      </c>
      <c r="P71" s="6" t="s">
        <v>24</v>
      </c>
    </row>
    <row r="72" customFormat="false" ht="15.75" hidden="false" customHeight="false" outlineLevel="0" collapsed="false">
      <c r="A72" s="2" t="s">
        <v>16</v>
      </c>
      <c r="B72" s="2" t="s">
        <v>294</v>
      </c>
      <c r="C72" s="2" t="s">
        <v>295</v>
      </c>
      <c r="D72" s="2" t="s">
        <v>212</v>
      </c>
      <c r="E72" s="2" t="s">
        <v>96</v>
      </c>
      <c r="F72" s="3" t="n">
        <v>44992</v>
      </c>
      <c r="G72" s="4" t="n">
        <v>0.0571433101851852</v>
      </c>
      <c r="H72" s="2" t="s">
        <v>37</v>
      </c>
      <c r="I72" s="5" t="n">
        <v>1</v>
      </c>
      <c r="J72" s="5" t="n">
        <v>238.42</v>
      </c>
      <c r="K72" s="5" t="n">
        <v>238.42</v>
      </c>
      <c r="L72" s="2" t="s">
        <v>296</v>
      </c>
      <c r="M72" s="2" t="s">
        <v>297</v>
      </c>
      <c r="N72" s="2"/>
      <c r="O72" s="2" t="s">
        <v>23</v>
      </c>
      <c r="P72" s="2" t="s">
        <v>24</v>
      </c>
    </row>
    <row r="73" customFormat="false" ht="15.75" hidden="false" customHeight="false" outlineLevel="0" collapsed="false">
      <c r="A73" s="6" t="s">
        <v>16</v>
      </c>
      <c r="B73" s="6" t="s">
        <v>298</v>
      </c>
      <c r="C73" s="6" t="s">
        <v>299</v>
      </c>
      <c r="D73" s="6" t="s">
        <v>300</v>
      </c>
      <c r="E73" s="6" t="s">
        <v>269</v>
      </c>
      <c r="F73" s="7" t="n">
        <v>44994</v>
      </c>
      <c r="G73" s="8" t="n">
        <v>0.0819022106481481</v>
      </c>
      <c r="H73" s="6" t="s">
        <v>21</v>
      </c>
      <c r="I73" s="9" t="n">
        <v>2</v>
      </c>
      <c r="J73" s="9" t="n">
        <v>1400</v>
      </c>
      <c r="K73" s="9" t="n">
        <v>2800</v>
      </c>
      <c r="L73" s="6" t="s">
        <v>301</v>
      </c>
      <c r="M73" s="6"/>
      <c r="N73" s="6"/>
      <c r="O73" s="6" t="s">
        <v>23</v>
      </c>
      <c r="P73" s="6" t="s">
        <v>24</v>
      </c>
    </row>
    <row r="74" customFormat="false" ht="15.75" hidden="false" customHeight="false" outlineLevel="0" collapsed="false">
      <c r="A74" s="2" t="s">
        <v>16</v>
      </c>
      <c r="B74" s="2" t="s">
        <v>302</v>
      </c>
      <c r="C74" s="2" t="s">
        <v>303</v>
      </c>
      <c r="D74" s="2" t="s">
        <v>304</v>
      </c>
      <c r="E74" s="2" t="s">
        <v>269</v>
      </c>
      <c r="F74" s="3" t="n">
        <v>44995</v>
      </c>
      <c r="G74" s="4" t="n">
        <v>0.947716574074074</v>
      </c>
      <c r="H74" s="2" t="s">
        <v>21</v>
      </c>
      <c r="I74" s="5" t="n">
        <v>1</v>
      </c>
      <c r="J74" s="5" t="n">
        <v>729.83</v>
      </c>
      <c r="K74" s="5" t="n">
        <v>729.83</v>
      </c>
      <c r="L74" s="2" t="s">
        <v>305</v>
      </c>
      <c r="M74" s="2"/>
      <c r="N74" s="2"/>
      <c r="O74" s="2" t="s">
        <v>23</v>
      </c>
      <c r="P74" s="2" t="s">
        <v>24</v>
      </c>
    </row>
    <row r="75" customFormat="false" ht="15.75" hidden="false" customHeight="false" outlineLevel="0" collapsed="false">
      <c r="A75" s="6" t="s">
        <v>16</v>
      </c>
      <c r="B75" s="6" t="s">
        <v>306</v>
      </c>
      <c r="C75" s="6" t="s">
        <v>307</v>
      </c>
      <c r="D75" s="6" t="s">
        <v>308</v>
      </c>
      <c r="E75" s="6" t="s">
        <v>96</v>
      </c>
      <c r="F75" s="7" t="n">
        <v>44995</v>
      </c>
      <c r="G75" s="8" t="n">
        <v>0.915344826388889</v>
      </c>
      <c r="H75" s="6" t="s">
        <v>37</v>
      </c>
      <c r="I75" s="9" t="n">
        <v>1</v>
      </c>
      <c r="J75" s="9" t="n">
        <v>54.96</v>
      </c>
      <c r="K75" s="9" t="n">
        <v>54.96</v>
      </c>
      <c r="L75" s="6" t="s">
        <v>309</v>
      </c>
      <c r="M75" s="6" t="s">
        <v>310</v>
      </c>
      <c r="N75" s="6"/>
      <c r="O75" s="6" t="s">
        <v>23</v>
      </c>
      <c r="P75" s="6" t="s">
        <v>24</v>
      </c>
    </row>
    <row r="76" customFormat="false" ht="15.75" hidden="false" customHeight="false" outlineLevel="0" collapsed="false">
      <c r="A76" s="2" t="s">
        <v>16</v>
      </c>
      <c r="B76" s="2" t="s">
        <v>238</v>
      </c>
      <c r="C76" s="2" t="s">
        <v>239</v>
      </c>
      <c r="D76" s="2" t="s">
        <v>95</v>
      </c>
      <c r="E76" s="2" t="s">
        <v>96</v>
      </c>
      <c r="F76" s="3" t="n">
        <v>44995</v>
      </c>
      <c r="G76" s="4" t="n">
        <v>0.913719976851852</v>
      </c>
      <c r="H76" s="2" t="s">
        <v>37</v>
      </c>
      <c r="I76" s="5" t="n">
        <v>1</v>
      </c>
      <c r="J76" s="5" t="n">
        <v>55.13</v>
      </c>
      <c r="K76" s="5" t="n">
        <v>55.13</v>
      </c>
      <c r="L76" s="2" t="s">
        <v>311</v>
      </c>
      <c r="M76" s="2" t="s">
        <v>312</v>
      </c>
      <c r="N76" s="2"/>
      <c r="O76" s="2" t="s">
        <v>23</v>
      </c>
      <c r="P76" s="2" t="s">
        <v>24</v>
      </c>
    </row>
    <row r="77" customFormat="false" ht="15.75" hidden="false" customHeight="false" outlineLevel="0" collapsed="false">
      <c r="A77" s="6" t="s">
        <v>16</v>
      </c>
      <c r="B77" s="6" t="s">
        <v>99</v>
      </c>
      <c r="C77" s="6" t="s">
        <v>100</v>
      </c>
      <c r="D77" s="6" t="s">
        <v>101</v>
      </c>
      <c r="E77" s="6" t="s">
        <v>96</v>
      </c>
      <c r="F77" s="7" t="n">
        <v>44995</v>
      </c>
      <c r="G77" s="8" t="n">
        <v>0.912699872685185</v>
      </c>
      <c r="H77" s="6" t="s">
        <v>37</v>
      </c>
      <c r="I77" s="9" t="n">
        <v>2</v>
      </c>
      <c r="J77" s="9" t="n">
        <v>54.75</v>
      </c>
      <c r="K77" s="9" t="n">
        <v>109.5</v>
      </c>
      <c r="L77" s="6" t="s">
        <v>313</v>
      </c>
      <c r="M77" s="6" t="s">
        <v>314</v>
      </c>
      <c r="N77" s="6"/>
      <c r="O77" s="6" t="s">
        <v>23</v>
      </c>
      <c r="P77" s="6" t="s">
        <v>24</v>
      </c>
    </row>
    <row r="78" customFormat="false" ht="15.75" hidden="false" customHeight="false" outlineLevel="0" collapsed="false">
      <c r="A78" s="2" t="s">
        <v>16</v>
      </c>
      <c r="B78" s="2" t="s">
        <v>315</v>
      </c>
      <c r="C78" s="2" t="s">
        <v>316</v>
      </c>
      <c r="D78" s="2" t="s">
        <v>132</v>
      </c>
      <c r="E78" s="2" t="s">
        <v>96</v>
      </c>
      <c r="F78" s="3" t="n">
        <v>44995</v>
      </c>
      <c r="G78" s="4" t="n">
        <v>0.909296770833333</v>
      </c>
      <c r="H78" s="2" t="s">
        <v>37</v>
      </c>
      <c r="I78" s="5" t="n">
        <v>1</v>
      </c>
      <c r="J78" s="5" t="n">
        <v>106.8</v>
      </c>
      <c r="K78" s="5" t="n">
        <v>106.8</v>
      </c>
      <c r="L78" s="2" t="s">
        <v>317</v>
      </c>
      <c r="M78" s="2" t="s">
        <v>318</v>
      </c>
      <c r="N78" s="2"/>
      <c r="O78" s="2" t="s">
        <v>23</v>
      </c>
      <c r="P78" s="2" t="s">
        <v>24</v>
      </c>
    </row>
    <row r="79" customFormat="false" ht="15.75" hidden="false" customHeight="false" outlineLevel="0" collapsed="false">
      <c r="A79" s="6" t="s">
        <v>16</v>
      </c>
      <c r="B79" s="6" t="s">
        <v>130</v>
      </c>
      <c r="C79" s="6" t="s">
        <v>131</v>
      </c>
      <c r="D79" s="6" t="s">
        <v>132</v>
      </c>
      <c r="E79" s="6" t="s">
        <v>96</v>
      </c>
      <c r="F79" s="7" t="n">
        <v>44995</v>
      </c>
      <c r="G79" s="8" t="n">
        <v>0.907848912037037</v>
      </c>
      <c r="H79" s="6" t="s">
        <v>37</v>
      </c>
      <c r="I79" s="9" t="n">
        <v>1</v>
      </c>
      <c r="J79" s="9" t="n">
        <v>267.6</v>
      </c>
      <c r="K79" s="9" t="n">
        <v>267.6</v>
      </c>
      <c r="L79" s="6" t="s">
        <v>319</v>
      </c>
      <c r="M79" s="6" t="s">
        <v>320</v>
      </c>
      <c r="N79" s="6"/>
      <c r="O79" s="6" t="s">
        <v>23</v>
      </c>
      <c r="P79" s="6" t="s">
        <v>24</v>
      </c>
    </row>
    <row r="80" customFormat="false" ht="15.75" hidden="false" customHeight="false" outlineLevel="0" collapsed="false">
      <c r="A80" s="2" t="s">
        <v>16</v>
      </c>
      <c r="B80" s="2" t="s">
        <v>238</v>
      </c>
      <c r="C80" s="2" t="s">
        <v>239</v>
      </c>
      <c r="D80" s="2" t="s">
        <v>95</v>
      </c>
      <c r="E80" s="2" t="s">
        <v>96</v>
      </c>
      <c r="F80" s="3" t="n">
        <v>44998</v>
      </c>
      <c r="G80" s="4" t="n">
        <v>0.0211330787037037</v>
      </c>
      <c r="H80" s="2" t="s">
        <v>37</v>
      </c>
      <c r="I80" s="5" t="n">
        <v>2</v>
      </c>
      <c r="J80" s="5" t="n">
        <v>55.25</v>
      </c>
      <c r="K80" s="5" t="n">
        <v>110.5</v>
      </c>
      <c r="L80" s="2" t="s">
        <v>321</v>
      </c>
      <c r="M80" s="2" t="s">
        <v>322</v>
      </c>
      <c r="N80" s="2"/>
      <c r="O80" s="2" t="s">
        <v>23</v>
      </c>
      <c r="P80" s="2" t="s">
        <v>24</v>
      </c>
    </row>
    <row r="81" customFormat="false" ht="15.75" hidden="false" customHeight="false" outlineLevel="0" collapsed="false">
      <c r="A81" s="6" t="s">
        <v>16</v>
      </c>
      <c r="B81" s="6" t="s">
        <v>323</v>
      </c>
      <c r="C81" s="6" t="s">
        <v>324</v>
      </c>
      <c r="D81" s="6" t="s">
        <v>19</v>
      </c>
      <c r="E81" s="6" t="s">
        <v>20</v>
      </c>
      <c r="F81" s="7" t="n">
        <v>45000</v>
      </c>
      <c r="G81" s="8" t="n">
        <v>0.863788483796296</v>
      </c>
      <c r="H81" s="6" t="s">
        <v>37</v>
      </c>
      <c r="I81" s="9" t="n">
        <v>3</v>
      </c>
      <c r="J81" s="9" t="n">
        <v>257</v>
      </c>
      <c r="K81" s="9" t="n">
        <v>771</v>
      </c>
      <c r="L81" s="6" t="s">
        <v>325</v>
      </c>
      <c r="M81" s="6" t="s">
        <v>326</v>
      </c>
      <c r="N81" s="6"/>
      <c r="O81" s="6" t="s">
        <v>110</v>
      </c>
      <c r="P81" s="6" t="s">
        <v>111</v>
      </c>
    </row>
    <row r="82" customFormat="false" ht="15.75" hidden="false" customHeight="false" outlineLevel="0" collapsed="false">
      <c r="A82" s="2" t="s">
        <v>16</v>
      </c>
      <c r="B82" s="2" t="s">
        <v>99</v>
      </c>
      <c r="C82" s="2" t="s">
        <v>100</v>
      </c>
      <c r="D82" s="2" t="s">
        <v>101</v>
      </c>
      <c r="E82" s="2" t="s">
        <v>96</v>
      </c>
      <c r="F82" s="3" t="n">
        <v>45000</v>
      </c>
      <c r="G82" s="4" t="n">
        <v>0.0285137847222222</v>
      </c>
      <c r="H82" s="2" t="s">
        <v>37</v>
      </c>
      <c r="I82" s="5" t="n">
        <v>3</v>
      </c>
      <c r="J82" s="5" t="n">
        <v>54.75</v>
      </c>
      <c r="K82" s="5" t="n">
        <v>164.25</v>
      </c>
      <c r="L82" s="2" t="s">
        <v>327</v>
      </c>
      <c r="M82" s="2" t="s">
        <v>328</v>
      </c>
      <c r="N82" s="2"/>
      <c r="O82" s="2" t="s">
        <v>23</v>
      </c>
      <c r="P82" s="2" t="s">
        <v>24</v>
      </c>
    </row>
    <row r="83" customFormat="false" ht="15.75" hidden="false" customHeight="false" outlineLevel="0" collapsed="false">
      <c r="A83" s="6" t="s">
        <v>16</v>
      </c>
      <c r="B83" s="6" t="s">
        <v>210</v>
      </c>
      <c r="C83" s="6" t="s">
        <v>211</v>
      </c>
      <c r="D83" s="6" t="s">
        <v>212</v>
      </c>
      <c r="E83" s="6" t="s">
        <v>96</v>
      </c>
      <c r="F83" s="7" t="n">
        <v>45000</v>
      </c>
      <c r="G83" s="8" t="n">
        <v>0.0260724421296296</v>
      </c>
      <c r="H83" s="6" t="s">
        <v>37</v>
      </c>
      <c r="I83" s="9" t="n">
        <v>1</v>
      </c>
      <c r="J83" s="9" t="n">
        <v>107.91</v>
      </c>
      <c r="K83" s="9" t="n">
        <v>107.91</v>
      </c>
      <c r="L83" s="6" t="s">
        <v>329</v>
      </c>
      <c r="M83" s="6" t="s">
        <v>330</v>
      </c>
      <c r="N83" s="6"/>
      <c r="O83" s="6" t="s">
        <v>23</v>
      </c>
      <c r="P83" s="6" t="s">
        <v>24</v>
      </c>
    </row>
    <row r="84" customFormat="false" ht="15.75" hidden="false" customHeight="false" outlineLevel="0" collapsed="false">
      <c r="A84" s="2" t="s">
        <v>16</v>
      </c>
      <c r="B84" s="2" t="s">
        <v>331</v>
      </c>
      <c r="C84" s="2" t="s">
        <v>332</v>
      </c>
      <c r="D84" s="2" t="s">
        <v>19</v>
      </c>
      <c r="E84" s="2" t="s">
        <v>333</v>
      </c>
      <c r="F84" s="3" t="n">
        <v>45002</v>
      </c>
      <c r="G84" s="4" t="n">
        <v>0.918667824074074</v>
      </c>
      <c r="H84" s="2" t="s">
        <v>21</v>
      </c>
      <c r="I84" s="5" t="n">
        <v>1</v>
      </c>
      <c r="J84" s="5" t="n">
        <v>248</v>
      </c>
      <c r="K84" s="5" t="n">
        <v>248</v>
      </c>
      <c r="L84" s="2" t="s">
        <v>334</v>
      </c>
      <c r="M84" s="2"/>
      <c r="N84" s="2"/>
      <c r="O84" s="2" t="s">
        <v>23</v>
      </c>
      <c r="P84" s="2" t="s">
        <v>24</v>
      </c>
    </row>
    <row r="85" customFormat="false" ht="15.75" hidden="false" customHeight="false" outlineLevel="0" collapsed="false">
      <c r="A85" s="6" t="s">
        <v>16</v>
      </c>
      <c r="B85" s="6" t="s">
        <v>335</v>
      </c>
      <c r="C85" s="6" t="s">
        <v>336</v>
      </c>
      <c r="D85" s="6" t="s">
        <v>337</v>
      </c>
      <c r="E85" s="6" t="s">
        <v>208</v>
      </c>
      <c r="F85" s="7" t="n">
        <v>45002</v>
      </c>
      <c r="G85" s="8" t="n">
        <v>0.917385092592593</v>
      </c>
      <c r="H85" s="6" t="s">
        <v>37</v>
      </c>
      <c r="I85" s="9" t="n">
        <v>1</v>
      </c>
      <c r="J85" s="9" t="n">
        <v>166.77</v>
      </c>
      <c r="K85" s="9" t="n">
        <v>166.77</v>
      </c>
      <c r="L85" s="6" t="s">
        <v>338</v>
      </c>
      <c r="M85" s="6" t="s">
        <v>339</v>
      </c>
      <c r="N85" s="6"/>
      <c r="O85" s="6" t="s">
        <v>23</v>
      </c>
      <c r="P85" s="6" t="s">
        <v>24</v>
      </c>
    </row>
    <row r="86" customFormat="false" ht="15.75" hidden="false" customHeight="false" outlineLevel="0" collapsed="false">
      <c r="A86" s="2" t="s">
        <v>16</v>
      </c>
      <c r="B86" s="2" t="s">
        <v>99</v>
      </c>
      <c r="C86" s="2" t="s">
        <v>100</v>
      </c>
      <c r="D86" s="2" t="s">
        <v>101</v>
      </c>
      <c r="E86" s="2" t="s">
        <v>96</v>
      </c>
      <c r="F86" s="3" t="n">
        <v>45002</v>
      </c>
      <c r="G86" s="4" t="n">
        <v>0.915177743055556</v>
      </c>
      <c r="H86" s="2" t="s">
        <v>37</v>
      </c>
      <c r="I86" s="5" t="n">
        <v>2</v>
      </c>
      <c r="J86" s="5" t="n">
        <v>54.75</v>
      </c>
      <c r="K86" s="5" t="n">
        <v>109.5</v>
      </c>
      <c r="L86" s="2" t="s">
        <v>340</v>
      </c>
      <c r="M86" s="2" t="s">
        <v>341</v>
      </c>
      <c r="N86" s="2"/>
      <c r="O86" s="2" t="s">
        <v>23</v>
      </c>
      <c r="P86" s="2" t="s">
        <v>24</v>
      </c>
    </row>
    <row r="87" customFormat="false" ht="15.75" hidden="false" customHeight="false" outlineLevel="0" collapsed="false">
      <c r="A87" s="6" t="s">
        <v>16</v>
      </c>
      <c r="B87" s="6" t="s">
        <v>342</v>
      </c>
      <c r="C87" s="6" t="s">
        <v>343</v>
      </c>
      <c r="D87" s="6" t="s">
        <v>230</v>
      </c>
      <c r="E87" s="6" t="s">
        <v>231</v>
      </c>
      <c r="F87" s="7" t="n">
        <v>45004</v>
      </c>
      <c r="G87" s="8" t="n">
        <v>0.0560737037037037</v>
      </c>
      <c r="H87" s="6" t="s">
        <v>37</v>
      </c>
      <c r="I87" s="9" t="n">
        <v>1</v>
      </c>
      <c r="J87" s="9" t="n">
        <v>188.49</v>
      </c>
      <c r="K87" s="9" t="n">
        <v>188.49</v>
      </c>
      <c r="L87" s="6" t="s">
        <v>344</v>
      </c>
      <c r="M87" s="6" t="s">
        <v>345</v>
      </c>
      <c r="N87" s="6"/>
      <c r="O87" s="6" t="s">
        <v>23</v>
      </c>
      <c r="P87" s="6" t="s">
        <v>24</v>
      </c>
    </row>
    <row r="88" customFormat="false" ht="15.75" hidden="false" customHeight="false" outlineLevel="0" collapsed="false">
      <c r="A88" s="2" t="s">
        <v>16</v>
      </c>
      <c r="B88" s="2" t="s">
        <v>93</v>
      </c>
      <c r="C88" s="2" t="s">
        <v>94</v>
      </c>
      <c r="D88" s="2" t="s">
        <v>95</v>
      </c>
      <c r="E88" s="2" t="s">
        <v>96</v>
      </c>
      <c r="F88" s="3" t="n">
        <v>45005</v>
      </c>
      <c r="G88" s="4" t="n">
        <v>0.98953255787037</v>
      </c>
      <c r="H88" s="2" t="s">
        <v>37</v>
      </c>
      <c r="I88" s="5" t="n">
        <v>1</v>
      </c>
      <c r="J88" s="5" t="n">
        <v>45.59</v>
      </c>
      <c r="K88" s="5" t="n">
        <v>45.59</v>
      </c>
      <c r="L88" s="2" t="s">
        <v>346</v>
      </c>
      <c r="M88" s="2" t="s">
        <v>347</v>
      </c>
      <c r="N88" s="2"/>
      <c r="O88" s="2" t="s">
        <v>23</v>
      </c>
      <c r="P88" s="2" t="s">
        <v>24</v>
      </c>
    </row>
    <row r="89" customFormat="false" ht="15.75" hidden="false" customHeight="false" outlineLevel="0" collapsed="false">
      <c r="A89" s="6" t="s">
        <v>16</v>
      </c>
      <c r="B89" s="6" t="s">
        <v>315</v>
      </c>
      <c r="C89" s="6" t="s">
        <v>316</v>
      </c>
      <c r="D89" s="6" t="s">
        <v>132</v>
      </c>
      <c r="E89" s="6" t="s">
        <v>96</v>
      </c>
      <c r="F89" s="7" t="n">
        <v>45005</v>
      </c>
      <c r="G89" s="8" t="n">
        <v>0.988385</v>
      </c>
      <c r="H89" s="6" t="s">
        <v>37</v>
      </c>
      <c r="I89" s="9" t="n">
        <v>1</v>
      </c>
      <c r="J89" s="9" t="n">
        <v>106.8</v>
      </c>
      <c r="K89" s="9" t="n">
        <v>106.8</v>
      </c>
      <c r="L89" s="6" t="s">
        <v>348</v>
      </c>
      <c r="M89" s="6" t="s">
        <v>349</v>
      </c>
      <c r="N89" s="6"/>
      <c r="O89" s="6" t="s">
        <v>23</v>
      </c>
      <c r="P89" s="6" t="s">
        <v>24</v>
      </c>
    </row>
    <row r="90" customFormat="false" ht="15.75" hidden="false" customHeight="false" outlineLevel="0" collapsed="false">
      <c r="A90" s="2" t="s">
        <v>16</v>
      </c>
      <c r="B90" s="2" t="s">
        <v>99</v>
      </c>
      <c r="C90" s="2" t="s">
        <v>100</v>
      </c>
      <c r="D90" s="2" t="s">
        <v>101</v>
      </c>
      <c r="E90" s="2" t="s">
        <v>96</v>
      </c>
      <c r="F90" s="3" t="n">
        <v>45005</v>
      </c>
      <c r="G90" s="4" t="n">
        <v>0.986862638888889</v>
      </c>
      <c r="H90" s="2" t="s">
        <v>37</v>
      </c>
      <c r="I90" s="5" t="n">
        <v>1</v>
      </c>
      <c r="J90" s="5" t="n">
        <v>54.75</v>
      </c>
      <c r="K90" s="5" t="n">
        <v>54.75</v>
      </c>
      <c r="L90" s="2" t="s">
        <v>350</v>
      </c>
      <c r="M90" s="2" t="s">
        <v>351</v>
      </c>
      <c r="N90" s="2"/>
      <c r="O90" s="2" t="s">
        <v>23</v>
      </c>
      <c r="P90" s="2" t="s">
        <v>24</v>
      </c>
    </row>
    <row r="91" customFormat="false" ht="15.75" hidden="false" customHeight="false" outlineLevel="0" collapsed="false">
      <c r="A91" s="6" t="s">
        <v>16</v>
      </c>
      <c r="B91" s="6" t="s">
        <v>242</v>
      </c>
      <c r="C91" s="6" t="s">
        <v>243</v>
      </c>
      <c r="D91" s="6" t="s">
        <v>101</v>
      </c>
      <c r="E91" s="6" t="s">
        <v>96</v>
      </c>
      <c r="F91" s="7" t="n">
        <v>45005</v>
      </c>
      <c r="G91" s="8" t="n">
        <v>0.986089664351852</v>
      </c>
      <c r="H91" s="6" t="s">
        <v>37</v>
      </c>
      <c r="I91" s="9" t="n">
        <v>1</v>
      </c>
      <c r="J91" s="9" t="n">
        <v>272</v>
      </c>
      <c r="K91" s="9" t="n">
        <v>272</v>
      </c>
      <c r="L91" s="6" t="s">
        <v>352</v>
      </c>
      <c r="M91" s="6" t="s">
        <v>353</v>
      </c>
      <c r="N91" s="6"/>
      <c r="O91" s="6" t="s">
        <v>23</v>
      </c>
      <c r="P91" s="6" t="s">
        <v>24</v>
      </c>
    </row>
    <row r="92" customFormat="false" ht="15.75" hidden="false" customHeight="false" outlineLevel="0" collapsed="false">
      <c r="A92" s="2" t="s">
        <v>16</v>
      </c>
      <c r="B92" s="2" t="s">
        <v>354</v>
      </c>
      <c r="C92" s="2" t="s">
        <v>355</v>
      </c>
      <c r="D92" s="2" t="s">
        <v>27</v>
      </c>
      <c r="E92" s="2" t="s">
        <v>28</v>
      </c>
      <c r="F92" s="3" t="n">
        <v>45007</v>
      </c>
      <c r="G92" s="4" t="n">
        <v>0.675379525462963</v>
      </c>
      <c r="H92" s="2" t="s">
        <v>29</v>
      </c>
      <c r="I92" s="5" t="n">
        <v>28</v>
      </c>
      <c r="J92" s="5" t="n">
        <v>1203</v>
      </c>
      <c r="K92" s="5" t="n">
        <v>33684</v>
      </c>
      <c r="L92" s="2" t="s">
        <v>356</v>
      </c>
      <c r="M92" s="2" t="s">
        <v>357</v>
      </c>
      <c r="N92" s="2" t="s">
        <v>358</v>
      </c>
      <c r="O92" s="2" t="s">
        <v>110</v>
      </c>
      <c r="P92" s="2" t="s">
        <v>111</v>
      </c>
    </row>
    <row r="93" customFormat="false" ht="15.75" hidden="false" customHeight="false" outlineLevel="0" collapsed="false">
      <c r="A93" s="6" t="s">
        <v>16</v>
      </c>
      <c r="B93" s="6" t="s">
        <v>93</v>
      </c>
      <c r="C93" s="6" t="s">
        <v>94</v>
      </c>
      <c r="D93" s="6" t="s">
        <v>95</v>
      </c>
      <c r="E93" s="6" t="s">
        <v>96</v>
      </c>
      <c r="F93" s="7" t="n">
        <v>45007</v>
      </c>
      <c r="G93" s="8" t="n">
        <v>0.00245898148148148</v>
      </c>
      <c r="H93" s="6" t="s">
        <v>37</v>
      </c>
      <c r="I93" s="9" t="n">
        <v>1</v>
      </c>
      <c r="J93" s="9" t="n">
        <v>45.59</v>
      </c>
      <c r="K93" s="9" t="n">
        <v>45.59</v>
      </c>
      <c r="L93" s="6" t="s">
        <v>359</v>
      </c>
      <c r="M93" s="6" t="s">
        <v>360</v>
      </c>
      <c r="N93" s="6"/>
      <c r="O93" s="6" t="s">
        <v>23</v>
      </c>
      <c r="P93" s="6" t="s">
        <v>24</v>
      </c>
    </row>
    <row r="94" customFormat="false" ht="15.75" hidden="false" customHeight="false" outlineLevel="0" collapsed="false">
      <c r="A94" s="2" t="s">
        <v>16</v>
      </c>
      <c r="B94" s="2" t="s">
        <v>290</v>
      </c>
      <c r="C94" s="2" t="s">
        <v>291</v>
      </c>
      <c r="D94" s="2" t="s">
        <v>230</v>
      </c>
      <c r="E94" s="2" t="s">
        <v>231</v>
      </c>
      <c r="F94" s="3" t="n">
        <v>45009</v>
      </c>
      <c r="G94" s="4" t="n">
        <v>0.973931875</v>
      </c>
      <c r="H94" s="2" t="s">
        <v>37</v>
      </c>
      <c r="I94" s="5" t="n">
        <v>1</v>
      </c>
      <c r="J94" s="5" t="n">
        <v>188.49</v>
      </c>
      <c r="K94" s="5" t="n">
        <v>188.49</v>
      </c>
      <c r="L94" s="2" t="s">
        <v>361</v>
      </c>
      <c r="M94" s="2" t="s">
        <v>98</v>
      </c>
      <c r="N94" s="2"/>
      <c r="O94" s="2" t="s">
        <v>23</v>
      </c>
      <c r="P94" s="2" t="s">
        <v>24</v>
      </c>
    </row>
    <row r="95" customFormat="false" ht="15.75" hidden="false" customHeight="false" outlineLevel="0" collapsed="false">
      <c r="A95" s="6" t="s">
        <v>16</v>
      </c>
      <c r="B95" s="6" t="s">
        <v>290</v>
      </c>
      <c r="C95" s="6" t="s">
        <v>291</v>
      </c>
      <c r="D95" s="6" t="s">
        <v>230</v>
      </c>
      <c r="E95" s="6" t="s">
        <v>231</v>
      </c>
      <c r="F95" s="7" t="n">
        <v>45009</v>
      </c>
      <c r="G95" s="8" t="n">
        <v>0.973925231481482</v>
      </c>
      <c r="H95" s="6" t="s">
        <v>37</v>
      </c>
      <c r="I95" s="9" t="n">
        <v>1</v>
      </c>
      <c r="J95" s="9" t="n">
        <v>188.49</v>
      </c>
      <c r="K95" s="9" t="n">
        <v>188.49</v>
      </c>
      <c r="L95" s="6" t="s">
        <v>361</v>
      </c>
      <c r="M95" s="6" t="s">
        <v>98</v>
      </c>
      <c r="N95" s="6"/>
      <c r="O95" s="6" t="s">
        <v>23</v>
      </c>
      <c r="P95" s="6" t="s">
        <v>24</v>
      </c>
    </row>
    <row r="96" customFormat="false" ht="15.75" hidden="false" customHeight="false" outlineLevel="0" collapsed="false">
      <c r="A96" s="2" t="s">
        <v>16</v>
      </c>
      <c r="B96" s="2" t="s">
        <v>362</v>
      </c>
      <c r="C96" s="2" t="s">
        <v>363</v>
      </c>
      <c r="D96" s="2" t="s">
        <v>230</v>
      </c>
      <c r="E96" s="2" t="s">
        <v>231</v>
      </c>
      <c r="F96" s="3" t="n">
        <v>45009</v>
      </c>
      <c r="G96" s="4" t="n">
        <v>0.9727275</v>
      </c>
      <c r="H96" s="2" t="s">
        <v>37</v>
      </c>
      <c r="I96" s="5" t="n">
        <v>1</v>
      </c>
      <c r="J96" s="5" t="n">
        <v>430.85</v>
      </c>
      <c r="K96" s="5" t="n">
        <v>430.85</v>
      </c>
      <c r="L96" s="2" t="s">
        <v>364</v>
      </c>
      <c r="M96" s="2" t="s">
        <v>365</v>
      </c>
      <c r="N96" s="2"/>
      <c r="O96" s="2" t="s">
        <v>23</v>
      </c>
      <c r="P96" s="2" t="s">
        <v>24</v>
      </c>
    </row>
    <row r="97" customFormat="false" ht="15.75" hidden="false" customHeight="false" outlineLevel="0" collapsed="false">
      <c r="A97" s="6" t="s">
        <v>16</v>
      </c>
      <c r="B97" s="6" t="s">
        <v>366</v>
      </c>
      <c r="C97" s="6" t="s">
        <v>367</v>
      </c>
      <c r="D97" s="6" t="s">
        <v>142</v>
      </c>
      <c r="E97" s="6" t="s">
        <v>28</v>
      </c>
      <c r="F97" s="7" t="n">
        <v>45009</v>
      </c>
      <c r="G97" s="8" t="n">
        <v>0.971270972222222</v>
      </c>
      <c r="H97" s="6" t="s">
        <v>37</v>
      </c>
      <c r="I97" s="9" t="n">
        <v>1</v>
      </c>
      <c r="J97" s="9" t="n">
        <v>632</v>
      </c>
      <c r="K97" s="9" t="n">
        <v>632</v>
      </c>
      <c r="L97" s="6" t="s">
        <v>368</v>
      </c>
      <c r="M97" s="6" t="s">
        <v>369</v>
      </c>
      <c r="N97" s="6"/>
      <c r="O97" s="6" t="s">
        <v>23</v>
      </c>
      <c r="P97" s="6" t="s">
        <v>24</v>
      </c>
    </row>
    <row r="98" customFormat="false" ht="15.75" hidden="false" customHeight="false" outlineLevel="0" collapsed="false">
      <c r="A98" s="2" t="s">
        <v>16</v>
      </c>
      <c r="B98" s="2" t="s">
        <v>140</v>
      </c>
      <c r="C98" s="2" t="s">
        <v>141</v>
      </c>
      <c r="D98" s="2" t="s">
        <v>142</v>
      </c>
      <c r="E98" s="2" t="s">
        <v>28</v>
      </c>
      <c r="F98" s="3" t="n">
        <v>45009</v>
      </c>
      <c r="G98" s="4" t="n">
        <v>0.968729305555556</v>
      </c>
      <c r="H98" s="2" t="s">
        <v>37</v>
      </c>
      <c r="I98" s="5" t="n">
        <v>1</v>
      </c>
      <c r="J98" s="5" t="n">
        <v>790</v>
      </c>
      <c r="K98" s="5" t="n">
        <v>790</v>
      </c>
      <c r="L98" s="2" t="s">
        <v>370</v>
      </c>
      <c r="M98" s="2" t="s">
        <v>371</v>
      </c>
      <c r="N98" s="2"/>
      <c r="O98" s="2" t="s">
        <v>23</v>
      </c>
      <c r="P98" s="2" t="s">
        <v>24</v>
      </c>
    </row>
    <row r="99" customFormat="false" ht="15.75" hidden="false" customHeight="false" outlineLevel="0" collapsed="false">
      <c r="A99" s="6" t="s">
        <v>16</v>
      </c>
      <c r="B99" s="6" t="s">
        <v>372</v>
      </c>
      <c r="C99" s="6" t="s">
        <v>373</v>
      </c>
      <c r="D99" s="6" t="s">
        <v>147</v>
      </c>
      <c r="E99" s="6" t="s">
        <v>148</v>
      </c>
      <c r="F99" s="7" t="n">
        <v>45011</v>
      </c>
      <c r="G99" s="8" t="n">
        <v>0.795979363425926</v>
      </c>
      <c r="H99" s="6" t="s">
        <v>29</v>
      </c>
      <c r="I99" s="9" t="n">
        <v>1</v>
      </c>
      <c r="J99" s="9" t="n">
        <v>811.49</v>
      </c>
      <c r="K99" s="9" t="n">
        <v>811.49</v>
      </c>
      <c r="L99" s="6" t="s">
        <v>374</v>
      </c>
      <c r="M99" s="6" t="s">
        <v>375</v>
      </c>
      <c r="N99" s="6" t="s">
        <v>376</v>
      </c>
      <c r="O99" s="6" t="s">
        <v>61</v>
      </c>
      <c r="P99" s="6" t="s">
        <v>62</v>
      </c>
    </row>
    <row r="100" customFormat="false" ht="15.75" hidden="false" customHeight="false" outlineLevel="0" collapsed="false">
      <c r="A100" s="2" t="s">
        <v>16</v>
      </c>
      <c r="B100" s="2" t="s">
        <v>377</v>
      </c>
      <c r="C100" s="2" t="s">
        <v>378</v>
      </c>
      <c r="D100" s="2" t="s">
        <v>27</v>
      </c>
      <c r="E100" s="2" t="s">
        <v>28</v>
      </c>
      <c r="F100" s="3" t="n">
        <v>45012</v>
      </c>
      <c r="G100" s="4" t="n">
        <v>0.929420949074074</v>
      </c>
      <c r="H100" s="2" t="s">
        <v>29</v>
      </c>
      <c r="I100" s="5" t="n">
        <v>33</v>
      </c>
      <c r="J100" s="5" t="n">
        <v>1021</v>
      </c>
      <c r="K100" s="5" t="n">
        <v>33693</v>
      </c>
      <c r="L100" s="2" t="s">
        <v>379</v>
      </c>
      <c r="M100" s="2" t="s">
        <v>380</v>
      </c>
      <c r="N100" s="2" t="s">
        <v>381</v>
      </c>
      <c r="O100" s="2" t="s">
        <v>23</v>
      </c>
      <c r="P100" s="2" t="s">
        <v>24</v>
      </c>
    </row>
    <row r="101" customFormat="false" ht="15.75" hidden="false" customHeight="false" outlineLevel="0" collapsed="false">
      <c r="A101" s="6" t="s">
        <v>16</v>
      </c>
      <c r="B101" s="6" t="s">
        <v>372</v>
      </c>
      <c r="C101" s="6" t="s">
        <v>373</v>
      </c>
      <c r="D101" s="6" t="s">
        <v>147</v>
      </c>
      <c r="E101" s="6" t="s">
        <v>148</v>
      </c>
      <c r="F101" s="7" t="n">
        <v>45012</v>
      </c>
      <c r="G101" s="8" t="n">
        <v>0.923075914351852</v>
      </c>
      <c r="H101" s="6" t="s">
        <v>29</v>
      </c>
      <c r="I101" s="9" t="n">
        <v>37</v>
      </c>
      <c r="J101" s="9" t="n">
        <v>811.49</v>
      </c>
      <c r="K101" s="9" t="n">
        <v>30025.13</v>
      </c>
      <c r="L101" s="6" t="s">
        <v>382</v>
      </c>
      <c r="M101" s="6" t="s">
        <v>383</v>
      </c>
      <c r="N101" s="6" t="s">
        <v>384</v>
      </c>
      <c r="O101" s="6" t="s">
        <v>23</v>
      </c>
      <c r="P101" s="6" t="s">
        <v>24</v>
      </c>
    </row>
    <row r="102" customFormat="false" ht="15.75" hidden="false" customHeight="false" outlineLevel="0" collapsed="false">
      <c r="A102" s="2" t="s">
        <v>16</v>
      </c>
      <c r="B102" s="2" t="s">
        <v>385</v>
      </c>
      <c r="C102" s="2" t="s">
        <v>386</v>
      </c>
      <c r="D102" s="2" t="s">
        <v>142</v>
      </c>
      <c r="E102" s="2" t="s">
        <v>28</v>
      </c>
      <c r="F102" s="3" t="n">
        <v>45012</v>
      </c>
      <c r="G102" s="4" t="n">
        <v>0.857627002314815</v>
      </c>
      <c r="H102" s="2" t="s">
        <v>37</v>
      </c>
      <c r="I102" s="5" t="n">
        <v>1</v>
      </c>
      <c r="J102" s="5" t="n">
        <v>1126.1</v>
      </c>
      <c r="K102" s="5" t="n">
        <v>1126.1</v>
      </c>
      <c r="L102" s="2" t="s">
        <v>387</v>
      </c>
      <c r="M102" s="2" t="s">
        <v>388</v>
      </c>
      <c r="N102" s="2"/>
      <c r="O102" s="2" t="s">
        <v>23</v>
      </c>
      <c r="P102" s="2" t="s">
        <v>24</v>
      </c>
    </row>
    <row r="103" customFormat="false" ht="15.75" hidden="false" customHeight="false" outlineLevel="0" collapsed="false">
      <c r="A103" s="6" t="s">
        <v>16</v>
      </c>
      <c r="B103" s="6" t="s">
        <v>389</v>
      </c>
      <c r="C103" s="6" t="s">
        <v>390</v>
      </c>
      <c r="D103" s="6" t="s">
        <v>19</v>
      </c>
      <c r="E103" s="6" t="s">
        <v>20</v>
      </c>
      <c r="F103" s="7" t="n">
        <v>45012</v>
      </c>
      <c r="G103" s="8" t="n">
        <v>0.820755289351852</v>
      </c>
      <c r="H103" s="6" t="s">
        <v>37</v>
      </c>
      <c r="I103" s="9" t="n">
        <v>1</v>
      </c>
      <c r="J103" s="9" t="n">
        <v>497</v>
      </c>
      <c r="K103" s="9" t="n">
        <v>497</v>
      </c>
      <c r="L103" s="6" t="s">
        <v>391</v>
      </c>
      <c r="M103" s="6" t="s">
        <v>392</v>
      </c>
      <c r="N103" s="6"/>
      <c r="O103" s="6" t="s">
        <v>23</v>
      </c>
      <c r="P103" s="6" t="s">
        <v>24</v>
      </c>
    </row>
    <row r="104" customFormat="false" ht="15.75" hidden="false" customHeight="false" outlineLevel="0" collapsed="false">
      <c r="A104" s="2" t="s">
        <v>16</v>
      </c>
      <c r="B104" s="2" t="s">
        <v>286</v>
      </c>
      <c r="C104" s="2" t="s">
        <v>287</v>
      </c>
      <c r="D104" s="2" t="s">
        <v>19</v>
      </c>
      <c r="E104" s="2" t="s">
        <v>20</v>
      </c>
      <c r="F104" s="3" t="n">
        <v>45012</v>
      </c>
      <c r="G104" s="4" t="n">
        <v>0.818813773148148</v>
      </c>
      <c r="H104" s="2" t="s">
        <v>37</v>
      </c>
      <c r="I104" s="5" t="n">
        <v>1</v>
      </c>
      <c r="J104" s="5" t="n">
        <v>2379</v>
      </c>
      <c r="K104" s="5" t="n">
        <v>2379</v>
      </c>
      <c r="L104" s="2" t="s">
        <v>393</v>
      </c>
      <c r="M104" s="2" t="s">
        <v>394</v>
      </c>
      <c r="N104" s="2"/>
      <c r="O104" s="2" t="s">
        <v>23</v>
      </c>
      <c r="P104" s="2" t="s">
        <v>24</v>
      </c>
    </row>
    <row r="105" customFormat="false" ht="15.75" hidden="false" customHeight="false" outlineLevel="0" collapsed="false">
      <c r="A105" s="6" t="s">
        <v>16</v>
      </c>
      <c r="B105" s="6" t="s">
        <v>385</v>
      </c>
      <c r="C105" s="6" t="s">
        <v>386</v>
      </c>
      <c r="D105" s="6" t="s">
        <v>142</v>
      </c>
      <c r="E105" s="6" t="s">
        <v>28</v>
      </c>
      <c r="F105" s="7" t="n">
        <v>45012</v>
      </c>
      <c r="G105" s="8" t="n">
        <v>0.0443076273148148</v>
      </c>
      <c r="H105" s="6" t="s">
        <v>37</v>
      </c>
      <c r="I105" s="9" t="n">
        <v>1</v>
      </c>
      <c r="J105" s="9" t="n">
        <v>1126.1</v>
      </c>
      <c r="K105" s="9" t="n">
        <v>1126.1</v>
      </c>
      <c r="L105" s="6" t="s">
        <v>395</v>
      </c>
      <c r="M105" s="6" t="s">
        <v>396</v>
      </c>
      <c r="N105" s="6"/>
      <c r="O105" s="6" t="s">
        <v>23</v>
      </c>
      <c r="P105" s="6" t="s">
        <v>24</v>
      </c>
    </row>
    <row r="106" customFormat="false" ht="15.75" hidden="false" customHeight="false" outlineLevel="0" collapsed="false">
      <c r="A106" s="2" t="s">
        <v>16</v>
      </c>
      <c r="B106" s="2" t="s">
        <v>140</v>
      </c>
      <c r="C106" s="2" t="s">
        <v>141</v>
      </c>
      <c r="D106" s="2" t="s">
        <v>142</v>
      </c>
      <c r="E106" s="2" t="s">
        <v>28</v>
      </c>
      <c r="F106" s="3" t="n">
        <v>45012</v>
      </c>
      <c r="G106" s="4" t="n">
        <v>0.0421649189814815</v>
      </c>
      <c r="H106" s="2" t="s">
        <v>37</v>
      </c>
      <c r="I106" s="5" t="n">
        <v>2</v>
      </c>
      <c r="J106" s="5" t="n">
        <v>790</v>
      </c>
      <c r="K106" s="5" t="n">
        <v>1580</v>
      </c>
      <c r="L106" s="2" t="s">
        <v>397</v>
      </c>
      <c r="M106" s="2" t="s">
        <v>398</v>
      </c>
      <c r="N106" s="2"/>
      <c r="O106" s="2" t="s">
        <v>23</v>
      </c>
      <c r="P106" s="2" t="s">
        <v>24</v>
      </c>
    </row>
    <row r="107" customFormat="false" ht="15.75" hidden="false" customHeight="false" outlineLevel="0" collapsed="false">
      <c r="A107" s="6" t="s">
        <v>16</v>
      </c>
      <c r="B107" s="6" t="s">
        <v>399</v>
      </c>
      <c r="C107" s="6" t="s">
        <v>400</v>
      </c>
      <c r="D107" s="6" t="s">
        <v>230</v>
      </c>
      <c r="E107" s="6" t="s">
        <v>231</v>
      </c>
      <c r="F107" s="7" t="n">
        <v>45013</v>
      </c>
      <c r="G107" s="8" t="n">
        <v>0.0267020023148148</v>
      </c>
      <c r="H107" s="6" t="s">
        <v>21</v>
      </c>
      <c r="I107" s="9" t="n">
        <v>1</v>
      </c>
      <c r="J107" s="9" t="n">
        <v>778.23</v>
      </c>
      <c r="K107" s="9" t="n">
        <v>778.23</v>
      </c>
      <c r="L107" s="6" t="s">
        <v>401</v>
      </c>
      <c r="M107" s="6"/>
      <c r="N107" s="6"/>
      <c r="O107" s="6" t="s">
        <v>23</v>
      </c>
      <c r="P107" s="6" t="s">
        <v>24</v>
      </c>
    </row>
    <row r="108" customFormat="false" ht="15.75" hidden="false" customHeight="false" outlineLevel="0" collapsed="false">
      <c r="A108" s="2" t="s">
        <v>16</v>
      </c>
      <c r="B108" s="2" t="s">
        <v>402</v>
      </c>
      <c r="C108" s="2" t="s">
        <v>403</v>
      </c>
      <c r="D108" s="2" t="s">
        <v>230</v>
      </c>
      <c r="E108" s="2" t="s">
        <v>231</v>
      </c>
      <c r="F108" s="3" t="n">
        <v>45013</v>
      </c>
      <c r="G108" s="4" t="n">
        <v>0.0259050231481481</v>
      </c>
      <c r="H108" s="2" t="s">
        <v>21</v>
      </c>
      <c r="I108" s="5" t="n">
        <v>2</v>
      </c>
      <c r="J108" s="5" t="n">
        <v>778.23</v>
      </c>
      <c r="K108" s="5" t="n">
        <v>1556.46</v>
      </c>
      <c r="L108" s="2" t="s">
        <v>404</v>
      </c>
      <c r="M108" s="2"/>
      <c r="N108" s="2"/>
      <c r="O108" s="2" t="s">
        <v>23</v>
      </c>
      <c r="P108" s="2" t="s">
        <v>24</v>
      </c>
    </row>
    <row r="109" customFormat="false" ht="15.75" hidden="false" customHeight="false" outlineLevel="0" collapsed="false">
      <c r="A109" s="6" t="s">
        <v>16</v>
      </c>
      <c r="B109" s="6" t="s">
        <v>248</v>
      </c>
      <c r="C109" s="6" t="s">
        <v>249</v>
      </c>
      <c r="D109" s="6" t="s">
        <v>27</v>
      </c>
      <c r="E109" s="6" t="s">
        <v>28</v>
      </c>
      <c r="F109" s="7" t="n">
        <v>45013</v>
      </c>
      <c r="G109" s="8" t="n">
        <v>0.0194653472222222</v>
      </c>
      <c r="H109" s="6" t="s">
        <v>29</v>
      </c>
      <c r="I109" s="9" t="n">
        <v>23</v>
      </c>
      <c r="J109" s="9" t="n">
        <v>1130</v>
      </c>
      <c r="K109" s="9" t="n">
        <v>25990</v>
      </c>
      <c r="L109" s="6" t="s">
        <v>405</v>
      </c>
      <c r="M109" s="6" t="s">
        <v>406</v>
      </c>
      <c r="N109" s="6" t="s">
        <v>384</v>
      </c>
      <c r="O109" s="6" t="s">
        <v>23</v>
      </c>
      <c r="P109" s="6" t="s">
        <v>24</v>
      </c>
    </row>
    <row r="110" customFormat="false" ht="15.75" hidden="false" customHeight="false" outlineLevel="0" collapsed="false">
      <c r="A110" s="2" t="s">
        <v>16</v>
      </c>
      <c r="B110" s="2" t="s">
        <v>140</v>
      </c>
      <c r="C110" s="2" t="s">
        <v>141</v>
      </c>
      <c r="D110" s="2" t="s">
        <v>142</v>
      </c>
      <c r="E110" s="2" t="s">
        <v>28</v>
      </c>
      <c r="F110" s="3" t="n">
        <v>45017</v>
      </c>
      <c r="G110" s="4" t="n">
        <v>0.875707835648148</v>
      </c>
      <c r="H110" s="2" t="s">
        <v>37</v>
      </c>
      <c r="I110" s="5" t="n">
        <v>2</v>
      </c>
      <c r="J110" s="5" t="n">
        <v>790</v>
      </c>
      <c r="K110" s="5" t="n">
        <v>1580</v>
      </c>
      <c r="L110" s="2" t="s">
        <v>407</v>
      </c>
      <c r="M110" s="2" t="s">
        <v>408</v>
      </c>
      <c r="N110" s="2"/>
      <c r="O110" s="2" t="s">
        <v>23</v>
      </c>
      <c r="P110" s="2" t="s">
        <v>24</v>
      </c>
    </row>
    <row r="111" customFormat="false" ht="15.75" hidden="false" customHeight="false" outlineLevel="0" collapsed="false">
      <c r="A111" s="6" t="s">
        <v>16</v>
      </c>
      <c r="B111" s="6" t="s">
        <v>409</v>
      </c>
      <c r="C111" s="6" t="s">
        <v>410</v>
      </c>
      <c r="D111" s="6" t="s">
        <v>255</v>
      </c>
      <c r="E111" s="6" t="s">
        <v>71</v>
      </c>
      <c r="F111" s="7" t="n">
        <v>45018</v>
      </c>
      <c r="G111" s="8" t="n">
        <v>0.902773657407407</v>
      </c>
      <c r="H111" s="6" t="s">
        <v>37</v>
      </c>
      <c r="I111" s="9" t="n">
        <v>1</v>
      </c>
      <c r="J111" s="9" t="n">
        <v>71.77</v>
      </c>
      <c r="K111" s="9" t="n">
        <v>71.77</v>
      </c>
      <c r="L111" s="6" t="s">
        <v>411</v>
      </c>
      <c r="M111" s="6" t="s">
        <v>412</v>
      </c>
      <c r="N111" s="6"/>
      <c r="O111" s="6" t="s">
        <v>23</v>
      </c>
      <c r="P111" s="6" t="s">
        <v>24</v>
      </c>
    </row>
    <row r="112" customFormat="false" ht="15.75" hidden="false" customHeight="false" outlineLevel="0" collapsed="false">
      <c r="A112" s="2" t="s">
        <v>16</v>
      </c>
      <c r="B112" s="2" t="s">
        <v>140</v>
      </c>
      <c r="C112" s="2" t="s">
        <v>141</v>
      </c>
      <c r="D112" s="2" t="s">
        <v>142</v>
      </c>
      <c r="E112" s="2" t="s">
        <v>28</v>
      </c>
      <c r="F112" s="3" t="n">
        <v>45018</v>
      </c>
      <c r="G112" s="4" t="n">
        <v>0.899516886574074</v>
      </c>
      <c r="H112" s="2" t="s">
        <v>37</v>
      </c>
      <c r="I112" s="5" t="n">
        <v>4</v>
      </c>
      <c r="J112" s="5" t="n">
        <v>790</v>
      </c>
      <c r="K112" s="5" t="n">
        <v>3160</v>
      </c>
      <c r="L112" s="2" t="s">
        <v>413</v>
      </c>
      <c r="M112" s="2" t="s">
        <v>414</v>
      </c>
      <c r="N112" s="2"/>
      <c r="O112" s="2" t="s">
        <v>23</v>
      </c>
      <c r="P112" s="2" t="s">
        <v>24</v>
      </c>
    </row>
    <row r="113" customFormat="false" ht="15.75" hidden="false" customHeight="false" outlineLevel="0" collapsed="false">
      <c r="A113" s="6" t="s">
        <v>16</v>
      </c>
      <c r="B113" s="6" t="s">
        <v>415</v>
      </c>
      <c r="C113" s="6" t="s">
        <v>416</v>
      </c>
      <c r="D113" s="6" t="s">
        <v>70</v>
      </c>
      <c r="E113" s="6" t="s">
        <v>71</v>
      </c>
      <c r="F113" s="7" t="n">
        <v>45018</v>
      </c>
      <c r="G113" s="8" t="n">
        <v>0.898055081018518</v>
      </c>
      <c r="H113" s="6" t="s">
        <v>37</v>
      </c>
      <c r="I113" s="9" t="n">
        <v>1</v>
      </c>
      <c r="J113" s="9" t="n">
        <v>52</v>
      </c>
      <c r="K113" s="9" t="n">
        <v>52</v>
      </c>
      <c r="L113" s="6" t="s">
        <v>417</v>
      </c>
      <c r="M113" s="6" t="s">
        <v>418</v>
      </c>
      <c r="N113" s="6"/>
      <c r="O113" s="6" t="s">
        <v>23</v>
      </c>
      <c r="P113" s="6" t="s">
        <v>24</v>
      </c>
    </row>
    <row r="114" customFormat="false" ht="15.75" hidden="false" customHeight="false" outlineLevel="0" collapsed="false">
      <c r="A114" s="2" t="s">
        <v>16</v>
      </c>
      <c r="B114" s="2" t="s">
        <v>419</v>
      </c>
      <c r="C114" s="2" t="s">
        <v>420</v>
      </c>
      <c r="D114" s="2" t="s">
        <v>421</v>
      </c>
      <c r="E114" s="2" t="s">
        <v>71</v>
      </c>
      <c r="F114" s="3" t="n">
        <v>45018</v>
      </c>
      <c r="G114" s="4" t="n">
        <v>0.896058784722222</v>
      </c>
      <c r="H114" s="2" t="s">
        <v>37</v>
      </c>
      <c r="I114" s="5" t="n">
        <v>1</v>
      </c>
      <c r="J114" s="5" t="n">
        <v>52</v>
      </c>
      <c r="K114" s="5" t="n">
        <v>52</v>
      </c>
      <c r="L114" s="2" t="s">
        <v>422</v>
      </c>
      <c r="M114" s="2" t="s">
        <v>423</v>
      </c>
      <c r="N114" s="2"/>
      <c r="O114" s="2" t="s">
        <v>23</v>
      </c>
      <c r="P114" s="2" t="s">
        <v>24</v>
      </c>
    </row>
    <row r="115" customFormat="false" ht="15.75" hidden="false" customHeight="false" outlineLevel="0" collapsed="false">
      <c r="A115" s="6" t="s">
        <v>16</v>
      </c>
      <c r="B115" s="6" t="s">
        <v>424</v>
      </c>
      <c r="C115" s="6" t="s">
        <v>425</v>
      </c>
      <c r="D115" s="6" t="s">
        <v>426</v>
      </c>
      <c r="E115" s="6" t="s">
        <v>71</v>
      </c>
      <c r="F115" s="7" t="n">
        <v>45018</v>
      </c>
      <c r="G115" s="8" t="n">
        <v>0.894619722222222</v>
      </c>
      <c r="H115" s="6" t="s">
        <v>37</v>
      </c>
      <c r="I115" s="9" t="n">
        <v>1</v>
      </c>
      <c r="J115" s="9" t="n">
        <v>145</v>
      </c>
      <c r="K115" s="9" t="n">
        <v>145</v>
      </c>
      <c r="L115" s="6" t="s">
        <v>427</v>
      </c>
      <c r="M115" s="6" t="s">
        <v>428</v>
      </c>
      <c r="N115" s="6"/>
      <c r="O115" s="6" t="s">
        <v>23</v>
      </c>
      <c r="P115" s="6" t="s">
        <v>24</v>
      </c>
    </row>
    <row r="116" customFormat="false" ht="15.75" hidden="false" customHeight="false" outlineLevel="0" collapsed="false">
      <c r="A116" s="2" t="s">
        <v>16</v>
      </c>
      <c r="B116" s="2" t="s">
        <v>429</v>
      </c>
      <c r="C116" s="2" t="s">
        <v>430</v>
      </c>
      <c r="D116" s="2" t="s">
        <v>89</v>
      </c>
      <c r="E116" s="2" t="s">
        <v>431</v>
      </c>
      <c r="F116" s="3" t="n">
        <v>45019</v>
      </c>
      <c r="G116" s="4" t="n">
        <v>0.928815</v>
      </c>
      <c r="H116" s="2" t="s">
        <v>21</v>
      </c>
      <c r="I116" s="5" t="n">
        <v>1</v>
      </c>
      <c r="J116" s="5" t="n">
        <v>440</v>
      </c>
      <c r="K116" s="5" t="n">
        <v>440</v>
      </c>
      <c r="L116" s="2" t="s">
        <v>432</v>
      </c>
      <c r="M116" s="2"/>
      <c r="N116" s="2"/>
      <c r="O116" s="2" t="s">
        <v>23</v>
      </c>
      <c r="P116" s="2" t="s">
        <v>24</v>
      </c>
    </row>
    <row r="117" customFormat="false" ht="15.75" hidden="false" customHeight="false" outlineLevel="0" collapsed="false">
      <c r="A117" s="6" t="s">
        <v>16</v>
      </c>
      <c r="B117" s="6" t="s">
        <v>140</v>
      </c>
      <c r="C117" s="6" t="s">
        <v>141</v>
      </c>
      <c r="D117" s="6" t="s">
        <v>142</v>
      </c>
      <c r="E117" s="6" t="s">
        <v>28</v>
      </c>
      <c r="F117" s="7" t="n">
        <v>45019</v>
      </c>
      <c r="G117" s="8" t="n">
        <v>0.898917233796296</v>
      </c>
      <c r="H117" s="6" t="s">
        <v>37</v>
      </c>
      <c r="I117" s="9" t="n">
        <v>2</v>
      </c>
      <c r="J117" s="9" t="n">
        <v>790</v>
      </c>
      <c r="K117" s="9" t="n">
        <v>1580</v>
      </c>
      <c r="L117" s="6" t="s">
        <v>433</v>
      </c>
      <c r="M117" s="6" t="s">
        <v>434</v>
      </c>
      <c r="N117" s="6"/>
      <c r="O117" s="6" t="s">
        <v>23</v>
      </c>
      <c r="P117" s="6" t="s">
        <v>24</v>
      </c>
    </row>
    <row r="118" customFormat="false" ht="15.75" hidden="false" customHeight="false" outlineLevel="0" collapsed="false">
      <c r="A118" s="2" t="s">
        <v>16</v>
      </c>
      <c r="B118" s="2" t="s">
        <v>435</v>
      </c>
      <c r="C118" s="2" t="s">
        <v>436</v>
      </c>
      <c r="D118" s="2" t="s">
        <v>89</v>
      </c>
      <c r="E118" s="2" t="s">
        <v>431</v>
      </c>
      <c r="F118" s="3" t="n">
        <v>45019</v>
      </c>
      <c r="G118" s="4" t="n">
        <v>0.516837777777778</v>
      </c>
      <c r="H118" s="2" t="s">
        <v>37</v>
      </c>
      <c r="I118" s="5" t="n">
        <v>2</v>
      </c>
      <c r="J118" s="5" t="n">
        <v>400</v>
      </c>
      <c r="K118" s="5" t="n">
        <v>800</v>
      </c>
      <c r="L118" s="2" t="s">
        <v>437</v>
      </c>
      <c r="M118" s="2" t="s">
        <v>438</v>
      </c>
      <c r="N118" s="2"/>
      <c r="O118" s="2" t="s">
        <v>61</v>
      </c>
      <c r="P118" s="2" t="s">
        <v>62</v>
      </c>
    </row>
    <row r="119" customFormat="false" ht="15.75" hidden="false" customHeight="false" outlineLevel="0" collapsed="false">
      <c r="A119" s="6" t="s">
        <v>16</v>
      </c>
      <c r="B119" s="6" t="s">
        <v>99</v>
      </c>
      <c r="C119" s="6" t="s">
        <v>100</v>
      </c>
      <c r="D119" s="6" t="s">
        <v>101</v>
      </c>
      <c r="E119" s="6" t="s">
        <v>96</v>
      </c>
      <c r="F119" s="7" t="n">
        <v>45020</v>
      </c>
      <c r="G119" s="8" t="n">
        <v>0.9493325</v>
      </c>
      <c r="H119" s="6" t="s">
        <v>37</v>
      </c>
      <c r="I119" s="9" t="n">
        <v>1</v>
      </c>
      <c r="J119" s="9" t="n">
        <v>54.79</v>
      </c>
      <c r="K119" s="9" t="n">
        <v>54.79</v>
      </c>
      <c r="L119" s="6" t="s">
        <v>439</v>
      </c>
      <c r="M119" s="6" t="s">
        <v>440</v>
      </c>
      <c r="N119" s="6"/>
      <c r="O119" s="6" t="s">
        <v>23</v>
      </c>
      <c r="P119" s="6" t="s">
        <v>24</v>
      </c>
    </row>
    <row r="120" customFormat="false" ht="15.75" hidden="false" customHeight="false" outlineLevel="0" collapsed="false">
      <c r="A120" s="2" t="s">
        <v>16</v>
      </c>
      <c r="B120" s="2" t="s">
        <v>130</v>
      </c>
      <c r="C120" s="2" t="s">
        <v>131</v>
      </c>
      <c r="D120" s="2" t="s">
        <v>132</v>
      </c>
      <c r="E120" s="2" t="s">
        <v>96</v>
      </c>
      <c r="F120" s="3" t="n">
        <v>45020</v>
      </c>
      <c r="G120" s="4" t="n">
        <v>0.947785821759259</v>
      </c>
      <c r="H120" s="2" t="s">
        <v>37</v>
      </c>
      <c r="I120" s="5" t="n">
        <v>4</v>
      </c>
      <c r="J120" s="5" t="n">
        <v>268.2</v>
      </c>
      <c r="K120" s="5" t="n">
        <v>1072.8</v>
      </c>
      <c r="L120" s="2" t="s">
        <v>441</v>
      </c>
      <c r="M120" s="2" t="s">
        <v>442</v>
      </c>
      <c r="N120" s="2"/>
      <c r="O120" s="2" t="s">
        <v>23</v>
      </c>
      <c r="P120" s="2" t="s">
        <v>24</v>
      </c>
    </row>
    <row r="121" customFormat="false" ht="15.75" hidden="false" customHeight="false" outlineLevel="0" collapsed="false">
      <c r="A121" s="6" t="s">
        <v>16</v>
      </c>
      <c r="B121" s="6" t="s">
        <v>151</v>
      </c>
      <c r="C121" s="6" t="s">
        <v>152</v>
      </c>
      <c r="D121" s="6" t="s">
        <v>153</v>
      </c>
      <c r="E121" s="6" t="s">
        <v>148</v>
      </c>
      <c r="F121" s="7" t="n">
        <v>45021</v>
      </c>
      <c r="G121" s="8" t="n">
        <v>0.899455127314815</v>
      </c>
      <c r="H121" s="6" t="s">
        <v>29</v>
      </c>
      <c r="I121" s="9" t="n">
        <v>29</v>
      </c>
      <c r="J121" s="9" t="n">
        <v>557.67</v>
      </c>
      <c r="K121" s="9" t="n">
        <v>16172.43</v>
      </c>
      <c r="L121" s="6" t="s">
        <v>443</v>
      </c>
      <c r="M121" s="6" t="s">
        <v>444</v>
      </c>
      <c r="N121" s="6" t="s">
        <v>445</v>
      </c>
      <c r="O121" s="6" t="s">
        <v>23</v>
      </c>
      <c r="P121" s="6" t="s">
        <v>24</v>
      </c>
    </row>
    <row r="122" customFormat="false" ht="15.75" hidden="false" customHeight="false" outlineLevel="0" collapsed="false">
      <c r="A122" s="2" t="s">
        <v>16</v>
      </c>
      <c r="B122" s="2" t="s">
        <v>377</v>
      </c>
      <c r="C122" s="2" t="s">
        <v>378</v>
      </c>
      <c r="D122" s="2" t="s">
        <v>27</v>
      </c>
      <c r="E122" s="2" t="s">
        <v>28</v>
      </c>
      <c r="F122" s="3" t="n">
        <v>45021</v>
      </c>
      <c r="G122" s="4" t="n">
        <v>0.896609918981481</v>
      </c>
      <c r="H122" s="2" t="s">
        <v>29</v>
      </c>
      <c r="I122" s="5" t="n">
        <v>1</v>
      </c>
      <c r="J122" s="5" t="n">
        <v>1021</v>
      </c>
      <c r="K122" s="5" t="n">
        <v>1021</v>
      </c>
      <c r="L122" s="2" t="s">
        <v>446</v>
      </c>
      <c r="M122" s="2" t="s">
        <v>447</v>
      </c>
      <c r="N122" s="2" t="s">
        <v>448</v>
      </c>
      <c r="O122" s="2" t="s">
        <v>23</v>
      </c>
      <c r="P122" s="2" t="s">
        <v>24</v>
      </c>
    </row>
    <row r="123" customFormat="false" ht="15.75" hidden="false" customHeight="false" outlineLevel="0" collapsed="false">
      <c r="A123" s="6" t="s">
        <v>16</v>
      </c>
      <c r="B123" s="6" t="s">
        <v>248</v>
      </c>
      <c r="C123" s="6" t="s">
        <v>249</v>
      </c>
      <c r="D123" s="6" t="s">
        <v>27</v>
      </c>
      <c r="E123" s="6" t="s">
        <v>28</v>
      </c>
      <c r="F123" s="7" t="n">
        <v>45021</v>
      </c>
      <c r="G123" s="8" t="n">
        <v>0.894460729166667</v>
      </c>
      <c r="H123" s="6" t="s">
        <v>29</v>
      </c>
      <c r="I123" s="9" t="n">
        <v>6</v>
      </c>
      <c r="J123" s="9" t="n">
        <v>1130</v>
      </c>
      <c r="K123" s="9" t="n">
        <v>6780</v>
      </c>
      <c r="L123" s="6" t="s">
        <v>449</v>
      </c>
      <c r="M123" s="6" t="s">
        <v>450</v>
      </c>
      <c r="N123" s="6" t="s">
        <v>451</v>
      </c>
      <c r="O123" s="6" t="s">
        <v>23</v>
      </c>
      <c r="P123" s="6" t="s">
        <v>24</v>
      </c>
    </row>
    <row r="124" customFormat="false" ht="15.75" hidden="false" customHeight="false" outlineLevel="0" collapsed="false">
      <c r="A124" s="2" t="s">
        <v>16</v>
      </c>
      <c r="B124" s="2" t="s">
        <v>452</v>
      </c>
      <c r="C124" s="2" t="s">
        <v>453</v>
      </c>
      <c r="D124" s="2" t="s">
        <v>27</v>
      </c>
      <c r="E124" s="2" t="s">
        <v>28</v>
      </c>
      <c r="F124" s="3" t="n">
        <v>45021</v>
      </c>
      <c r="G124" s="4" t="n">
        <v>0.892140335648148</v>
      </c>
      <c r="H124" s="2" t="s">
        <v>29</v>
      </c>
      <c r="I124" s="5" t="n">
        <v>1</v>
      </c>
      <c r="J124" s="5" t="n">
        <v>1453.5</v>
      </c>
      <c r="K124" s="5" t="n">
        <v>1453.5</v>
      </c>
      <c r="L124" s="2" t="s">
        <v>454</v>
      </c>
      <c r="M124" s="2" t="s">
        <v>455</v>
      </c>
      <c r="N124" s="2" t="s">
        <v>456</v>
      </c>
      <c r="O124" s="2" t="s">
        <v>23</v>
      </c>
      <c r="P124" s="2" t="s">
        <v>24</v>
      </c>
    </row>
    <row r="125" customFormat="false" ht="15.75" hidden="false" customHeight="false" outlineLevel="0" collapsed="false">
      <c r="A125" s="6" t="s">
        <v>16</v>
      </c>
      <c r="B125" s="6" t="s">
        <v>167</v>
      </c>
      <c r="C125" s="6" t="s">
        <v>168</v>
      </c>
      <c r="D125" s="6" t="s">
        <v>27</v>
      </c>
      <c r="E125" s="6" t="s">
        <v>28</v>
      </c>
      <c r="F125" s="7" t="n">
        <v>45021</v>
      </c>
      <c r="G125" s="8" t="n">
        <v>0.841559918981482</v>
      </c>
      <c r="H125" s="6" t="s">
        <v>29</v>
      </c>
      <c r="I125" s="9" t="n">
        <v>20</v>
      </c>
      <c r="J125" s="9" t="n">
        <v>1130</v>
      </c>
      <c r="K125" s="9" t="n">
        <v>22600</v>
      </c>
      <c r="L125" s="6" t="s">
        <v>457</v>
      </c>
      <c r="M125" s="6" t="s">
        <v>458</v>
      </c>
      <c r="N125" s="6" t="s">
        <v>459</v>
      </c>
      <c r="O125" s="6" t="s">
        <v>23</v>
      </c>
      <c r="P125" s="6" t="s">
        <v>24</v>
      </c>
    </row>
    <row r="126" customFormat="false" ht="15.75" hidden="false" customHeight="false" outlineLevel="0" collapsed="false">
      <c r="A126" s="2" t="s">
        <v>16</v>
      </c>
      <c r="B126" s="2" t="s">
        <v>460</v>
      </c>
      <c r="C126" s="2" t="s">
        <v>461</v>
      </c>
      <c r="D126" s="2" t="s">
        <v>65</v>
      </c>
      <c r="E126" s="2" t="s">
        <v>66</v>
      </c>
      <c r="F126" s="3" t="n">
        <v>45021</v>
      </c>
      <c r="G126" s="4" t="n">
        <v>0.438042256944444</v>
      </c>
      <c r="H126" s="2" t="s">
        <v>29</v>
      </c>
      <c r="I126" s="5" t="n">
        <v>167</v>
      </c>
      <c r="J126" s="5" t="n">
        <v>130</v>
      </c>
      <c r="K126" s="5" t="n">
        <v>21710</v>
      </c>
      <c r="L126" s="2" t="s">
        <v>462</v>
      </c>
      <c r="M126" s="2" t="s">
        <v>463</v>
      </c>
      <c r="N126" s="2" t="s">
        <v>193</v>
      </c>
      <c r="O126" s="2" t="s">
        <v>61</v>
      </c>
      <c r="P126" s="2" t="s">
        <v>62</v>
      </c>
    </row>
    <row r="127" customFormat="false" ht="15.75" hidden="false" customHeight="false" outlineLevel="0" collapsed="false">
      <c r="A127" s="6" t="s">
        <v>16</v>
      </c>
      <c r="B127" s="6" t="s">
        <v>464</v>
      </c>
      <c r="C127" s="6" t="s">
        <v>465</v>
      </c>
      <c r="D127" s="6" t="s">
        <v>466</v>
      </c>
      <c r="E127" s="6" t="s">
        <v>96</v>
      </c>
      <c r="F127" s="7" t="n">
        <v>45023</v>
      </c>
      <c r="G127" s="8" t="n">
        <v>0.89749380787037</v>
      </c>
      <c r="H127" s="6" t="s">
        <v>21</v>
      </c>
      <c r="I127" s="9" t="n">
        <v>2</v>
      </c>
      <c r="J127" s="9" t="n">
        <v>319.19</v>
      </c>
      <c r="K127" s="9" t="n">
        <v>638.38</v>
      </c>
      <c r="L127" s="6" t="s">
        <v>467</v>
      </c>
      <c r="M127" s="6"/>
      <c r="N127" s="6"/>
      <c r="O127" s="6" t="s">
        <v>23</v>
      </c>
      <c r="P127" s="6" t="s">
        <v>24</v>
      </c>
    </row>
    <row r="128" customFormat="false" ht="15.75" hidden="false" customHeight="false" outlineLevel="0" collapsed="false">
      <c r="A128" s="2" t="s">
        <v>16</v>
      </c>
      <c r="B128" s="2" t="s">
        <v>468</v>
      </c>
      <c r="C128" s="2" t="s">
        <v>469</v>
      </c>
      <c r="D128" s="2" t="s">
        <v>230</v>
      </c>
      <c r="E128" s="2" t="s">
        <v>231</v>
      </c>
      <c r="F128" s="3" t="n">
        <v>45023</v>
      </c>
      <c r="G128" s="4" t="n">
        <v>0.842612488425926</v>
      </c>
      <c r="H128" s="2" t="s">
        <v>37</v>
      </c>
      <c r="I128" s="5" t="n">
        <v>1</v>
      </c>
      <c r="J128" s="5" t="n">
        <v>517.05</v>
      </c>
      <c r="K128" s="5" t="n">
        <v>517.05</v>
      </c>
      <c r="L128" s="2" t="s">
        <v>470</v>
      </c>
      <c r="M128" s="2" t="s">
        <v>471</v>
      </c>
      <c r="N128" s="2"/>
      <c r="O128" s="2" t="s">
        <v>23</v>
      </c>
      <c r="P128" s="2" t="s">
        <v>24</v>
      </c>
    </row>
    <row r="129" customFormat="false" ht="15.75" hidden="false" customHeight="false" outlineLevel="0" collapsed="false">
      <c r="A129" s="6" t="s">
        <v>16</v>
      </c>
      <c r="B129" s="6" t="s">
        <v>472</v>
      </c>
      <c r="C129" s="6" t="s">
        <v>473</v>
      </c>
      <c r="D129" s="6" t="s">
        <v>230</v>
      </c>
      <c r="E129" s="6" t="s">
        <v>231</v>
      </c>
      <c r="F129" s="7" t="n">
        <v>45023</v>
      </c>
      <c r="G129" s="8" t="n">
        <v>0.841265636574074</v>
      </c>
      <c r="H129" s="6" t="s">
        <v>37</v>
      </c>
      <c r="I129" s="9" t="n">
        <v>1</v>
      </c>
      <c r="J129" s="9" t="n">
        <v>517.05</v>
      </c>
      <c r="K129" s="9" t="n">
        <v>517.05</v>
      </c>
      <c r="L129" s="6" t="s">
        <v>474</v>
      </c>
      <c r="M129" s="6" t="s">
        <v>475</v>
      </c>
      <c r="N129" s="6"/>
      <c r="O129" s="6" t="s">
        <v>23</v>
      </c>
      <c r="P129" s="6" t="s">
        <v>24</v>
      </c>
    </row>
    <row r="130" customFormat="false" ht="15.75" hidden="false" customHeight="false" outlineLevel="0" collapsed="false">
      <c r="A130" s="2" t="s">
        <v>16</v>
      </c>
      <c r="B130" s="2" t="s">
        <v>476</v>
      </c>
      <c r="C130" s="2" t="s">
        <v>477</v>
      </c>
      <c r="D130" s="2" t="s">
        <v>478</v>
      </c>
      <c r="E130" s="2" t="s">
        <v>66</v>
      </c>
      <c r="F130" s="3" t="n">
        <v>45023</v>
      </c>
      <c r="G130" s="4" t="n">
        <v>0.840079710648148</v>
      </c>
      <c r="H130" s="2" t="s">
        <v>37</v>
      </c>
      <c r="I130" s="5" t="n">
        <v>1</v>
      </c>
      <c r="J130" s="5" t="n">
        <v>178.5</v>
      </c>
      <c r="K130" s="5" t="n">
        <v>178.5</v>
      </c>
      <c r="L130" s="2" t="s">
        <v>479</v>
      </c>
      <c r="M130" s="2" t="s">
        <v>480</v>
      </c>
      <c r="N130" s="2"/>
      <c r="O130" s="2" t="s">
        <v>23</v>
      </c>
      <c r="P130" s="2" t="s">
        <v>24</v>
      </c>
    </row>
    <row r="131" customFormat="false" ht="15.75" hidden="false" customHeight="false" outlineLevel="0" collapsed="false">
      <c r="A131" s="6" t="s">
        <v>16</v>
      </c>
      <c r="B131" s="6" t="s">
        <v>481</v>
      </c>
      <c r="C131" s="6" t="s">
        <v>482</v>
      </c>
      <c r="D131" s="6" t="s">
        <v>483</v>
      </c>
      <c r="E131" s="6" t="s">
        <v>148</v>
      </c>
      <c r="F131" s="7" t="n">
        <v>45023</v>
      </c>
      <c r="G131" s="8" t="n">
        <v>0.833930335648148</v>
      </c>
      <c r="H131" s="6" t="s">
        <v>21</v>
      </c>
      <c r="I131" s="9" t="n">
        <v>32</v>
      </c>
      <c r="J131" s="9" t="n">
        <v>456.67</v>
      </c>
      <c r="K131" s="9" t="n">
        <v>14613.44</v>
      </c>
      <c r="L131" s="6" t="s">
        <v>484</v>
      </c>
      <c r="M131" s="6"/>
      <c r="N131" s="6"/>
      <c r="O131" s="6" t="s">
        <v>23</v>
      </c>
      <c r="P131" s="6" t="s">
        <v>24</v>
      </c>
    </row>
    <row r="132" customFormat="false" ht="15.75" hidden="false" customHeight="false" outlineLevel="0" collapsed="false">
      <c r="A132" s="2" t="s">
        <v>16</v>
      </c>
      <c r="B132" s="2" t="s">
        <v>485</v>
      </c>
      <c r="C132" s="2" t="s">
        <v>486</v>
      </c>
      <c r="D132" s="2" t="s">
        <v>487</v>
      </c>
      <c r="E132" s="2" t="s">
        <v>333</v>
      </c>
      <c r="F132" s="3" t="n">
        <v>45025</v>
      </c>
      <c r="G132" s="4" t="n">
        <v>0.8328253125</v>
      </c>
      <c r="H132" s="2" t="s">
        <v>29</v>
      </c>
      <c r="I132" s="5" t="n">
        <v>29</v>
      </c>
      <c r="J132" s="5" t="n">
        <v>219.3</v>
      </c>
      <c r="K132" s="5" t="n">
        <v>6359.7</v>
      </c>
      <c r="L132" s="2" t="s">
        <v>488</v>
      </c>
      <c r="M132" s="2" t="s">
        <v>489</v>
      </c>
      <c r="N132" s="2" t="s">
        <v>490</v>
      </c>
      <c r="O132" s="2" t="s">
        <v>23</v>
      </c>
      <c r="P132" s="2" t="s">
        <v>24</v>
      </c>
    </row>
    <row r="133" customFormat="false" ht="15.75" hidden="false" customHeight="false" outlineLevel="0" collapsed="false">
      <c r="A133" s="6" t="s">
        <v>16</v>
      </c>
      <c r="B133" s="6" t="s">
        <v>491</v>
      </c>
      <c r="C133" s="6" t="s">
        <v>492</v>
      </c>
      <c r="D133" s="6" t="s">
        <v>487</v>
      </c>
      <c r="E133" s="6" t="s">
        <v>333</v>
      </c>
      <c r="F133" s="7" t="n">
        <v>45025</v>
      </c>
      <c r="G133" s="8" t="n">
        <v>0.821939293981481</v>
      </c>
      <c r="H133" s="6" t="s">
        <v>29</v>
      </c>
      <c r="I133" s="9" t="n">
        <v>24</v>
      </c>
      <c r="J133" s="9" t="n">
        <v>219.3</v>
      </c>
      <c r="K133" s="9" t="n">
        <v>5263.2</v>
      </c>
      <c r="L133" s="6" t="s">
        <v>493</v>
      </c>
      <c r="M133" s="6" t="s">
        <v>494</v>
      </c>
      <c r="N133" s="6" t="s">
        <v>490</v>
      </c>
      <c r="O133" s="6" t="s">
        <v>23</v>
      </c>
      <c r="P133" s="6" t="s">
        <v>24</v>
      </c>
    </row>
    <row r="134" customFormat="false" ht="15.75" hidden="false" customHeight="false" outlineLevel="0" collapsed="false">
      <c r="A134" s="2" t="s">
        <v>16</v>
      </c>
      <c r="B134" s="2" t="s">
        <v>495</v>
      </c>
      <c r="C134" s="2" t="s">
        <v>496</v>
      </c>
      <c r="D134" s="2" t="s">
        <v>497</v>
      </c>
      <c r="E134" s="2" t="s">
        <v>498</v>
      </c>
      <c r="F134" s="3" t="n">
        <v>45025</v>
      </c>
      <c r="G134" s="4" t="n">
        <v>0.0839500462962963</v>
      </c>
      <c r="H134" s="2" t="s">
        <v>21</v>
      </c>
      <c r="I134" s="5" t="n">
        <v>1</v>
      </c>
      <c r="J134" s="5" t="n">
        <v>376.5</v>
      </c>
      <c r="K134" s="5" t="n">
        <v>376.5</v>
      </c>
      <c r="L134" s="2" t="s">
        <v>499</v>
      </c>
      <c r="M134" s="2"/>
      <c r="N134" s="2"/>
      <c r="O134" s="2" t="s">
        <v>23</v>
      </c>
      <c r="P134" s="2" t="s">
        <v>24</v>
      </c>
    </row>
    <row r="135" customFormat="false" ht="15.75" hidden="false" customHeight="false" outlineLevel="0" collapsed="false">
      <c r="A135" s="6" t="s">
        <v>16</v>
      </c>
      <c r="B135" s="6" t="s">
        <v>500</v>
      </c>
      <c r="C135" s="6" t="s">
        <v>501</v>
      </c>
      <c r="D135" s="6" t="s">
        <v>89</v>
      </c>
      <c r="E135" s="6" t="s">
        <v>333</v>
      </c>
      <c r="F135" s="7" t="n">
        <v>45025</v>
      </c>
      <c r="G135" s="8" t="n">
        <v>0.0756371643518518</v>
      </c>
      <c r="H135" s="6" t="s">
        <v>21</v>
      </c>
      <c r="I135" s="9" t="n">
        <v>2</v>
      </c>
      <c r="J135" s="9" t="n">
        <v>265</v>
      </c>
      <c r="K135" s="9" t="n">
        <v>530</v>
      </c>
      <c r="L135" s="6" t="s">
        <v>502</v>
      </c>
      <c r="M135" s="6"/>
      <c r="N135" s="6"/>
      <c r="O135" s="6" t="s">
        <v>23</v>
      </c>
      <c r="P135" s="6" t="s">
        <v>24</v>
      </c>
    </row>
    <row r="136" customFormat="false" ht="15.75" hidden="false" customHeight="false" outlineLevel="0" collapsed="false">
      <c r="A136" s="2" t="s">
        <v>16</v>
      </c>
      <c r="B136" s="2" t="s">
        <v>389</v>
      </c>
      <c r="C136" s="2" t="s">
        <v>390</v>
      </c>
      <c r="D136" s="2" t="s">
        <v>19</v>
      </c>
      <c r="E136" s="2" t="s">
        <v>20</v>
      </c>
      <c r="F136" s="3" t="n">
        <v>45025</v>
      </c>
      <c r="G136" s="4" t="n">
        <v>0.0575479976851852</v>
      </c>
      <c r="H136" s="2" t="s">
        <v>37</v>
      </c>
      <c r="I136" s="5" t="n">
        <v>2</v>
      </c>
      <c r="J136" s="5" t="n">
        <v>497</v>
      </c>
      <c r="K136" s="5" t="n">
        <v>994</v>
      </c>
      <c r="L136" s="2" t="s">
        <v>503</v>
      </c>
      <c r="M136" s="2" t="s">
        <v>504</v>
      </c>
      <c r="N136" s="2"/>
      <c r="O136" s="2" t="s">
        <v>23</v>
      </c>
      <c r="P136" s="2" t="s">
        <v>24</v>
      </c>
    </row>
    <row r="137" customFormat="false" ht="15.75" hidden="false" customHeight="false" outlineLevel="0" collapsed="false">
      <c r="A137" s="6" t="s">
        <v>16</v>
      </c>
      <c r="B137" s="6" t="s">
        <v>181</v>
      </c>
      <c r="C137" s="6" t="s">
        <v>182</v>
      </c>
      <c r="D137" s="6" t="s">
        <v>95</v>
      </c>
      <c r="E137" s="6" t="s">
        <v>96</v>
      </c>
      <c r="F137" s="7" t="n">
        <v>45026</v>
      </c>
      <c r="G137" s="8" t="n">
        <v>0.876152800925926</v>
      </c>
      <c r="H137" s="6" t="s">
        <v>37</v>
      </c>
      <c r="I137" s="9" t="n">
        <v>2</v>
      </c>
      <c r="J137" s="9" t="n">
        <v>90.08</v>
      </c>
      <c r="K137" s="9" t="n">
        <v>180.16</v>
      </c>
      <c r="L137" s="6" t="s">
        <v>505</v>
      </c>
      <c r="M137" s="6" t="s">
        <v>506</v>
      </c>
      <c r="N137" s="6"/>
      <c r="O137" s="6" t="s">
        <v>23</v>
      </c>
      <c r="P137" s="6" t="s">
        <v>24</v>
      </c>
    </row>
    <row r="138" customFormat="false" ht="15.75" hidden="false" customHeight="false" outlineLevel="0" collapsed="false">
      <c r="A138" s="2" t="s">
        <v>16</v>
      </c>
      <c r="B138" s="2" t="s">
        <v>507</v>
      </c>
      <c r="C138" s="2" t="s">
        <v>508</v>
      </c>
      <c r="D138" s="2" t="s">
        <v>95</v>
      </c>
      <c r="E138" s="2" t="s">
        <v>96</v>
      </c>
      <c r="F138" s="3" t="n">
        <v>45026</v>
      </c>
      <c r="G138" s="4" t="n">
        <v>0.874888090277778</v>
      </c>
      <c r="H138" s="2" t="s">
        <v>37</v>
      </c>
      <c r="I138" s="5" t="n">
        <v>2</v>
      </c>
      <c r="J138" s="5" t="n">
        <v>45.59</v>
      </c>
      <c r="K138" s="5" t="n">
        <v>91.18</v>
      </c>
      <c r="L138" s="2" t="s">
        <v>509</v>
      </c>
      <c r="M138" s="2" t="s">
        <v>510</v>
      </c>
      <c r="N138" s="2"/>
      <c r="O138" s="2" t="s">
        <v>23</v>
      </c>
      <c r="P138" s="2" t="s">
        <v>24</v>
      </c>
    </row>
    <row r="139" customFormat="false" ht="15.75" hidden="false" customHeight="false" outlineLevel="0" collapsed="false">
      <c r="A139" s="6" t="s">
        <v>16</v>
      </c>
      <c r="B139" s="6" t="s">
        <v>491</v>
      </c>
      <c r="C139" s="6" t="s">
        <v>492</v>
      </c>
      <c r="D139" s="6" t="s">
        <v>487</v>
      </c>
      <c r="E139" s="6" t="s">
        <v>333</v>
      </c>
      <c r="F139" s="7" t="n">
        <v>45026</v>
      </c>
      <c r="G139" s="8" t="n">
        <v>0.44616318287037</v>
      </c>
      <c r="H139" s="6" t="s">
        <v>29</v>
      </c>
      <c r="I139" s="9" t="n">
        <v>22</v>
      </c>
      <c r="J139" s="9" t="n">
        <v>219.3</v>
      </c>
      <c r="K139" s="9" t="n">
        <v>4824.6</v>
      </c>
      <c r="L139" s="6" t="s">
        <v>511</v>
      </c>
      <c r="M139" s="6" t="s">
        <v>512</v>
      </c>
      <c r="N139" s="6" t="s">
        <v>513</v>
      </c>
      <c r="O139" s="6" t="s">
        <v>61</v>
      </c>
      <c r="P139" s="6" t="s">
        <v>62</v>
      </c>
    </row>
    <row r="140" customFormat="false" ht="15.75" hidden="false" customHeight="false" outlineLevel="0" collapsed="false">
      <c r="A140" s="2" t="s">
        <v>16</v>
      </c>
      <c r="B140" s="2" t="s">
        <v>514</v>
      </c>
      <c r="C140" s="2" t="s">
        <v>515</v>
      </c>
      <c r="D140" s="2" t="s">
        <v>19</v>
      </c>
      <c r="E140" s="2" t="s">
        <v>20</v>
      </c>
      <c r="F140" s="3" t="n">
        <v>45027</v>
      </c>
      <c r="G140" s="4" t="n">
        <v>0.653216516203704</v>
      </c>
      <c r="H140" s="2" t="s">
        <v>37</v>
      </c>
      <c r="I140" s="5" t="n">
        <v>6</v>
      </c>
      <c r="J140" s="5" t="n">
        <v>1682</v>
      </c>
      <c r="K140" s="5" t="n">
        <v>10092</v>
      </c>
      <c r="L140" s="2" t="s">
        <v>516</v>
      </c>
      <c r="M140" s="2" t="s">
        <v>517</v>
      </c>
      <c r="N140" s="2"/>
      <c r="O140" s="2" t="s">
        <v>61</v>
      </c>
      <c r="P140" s="2" t="s">
        <v>62</v>
      </c>
    </row>
    <row r="141" customFormat="false" ht="15.75" hidden="false" customHeight="false" outlineLevel="0" collapsed="false">
      <c r="A141" s="6" t="s">
        <v>16</v>
      </c>
      <c r="B141" s="6" t="s">
        <v>514</v>
      </c>
      <c r="C141" s="6" t="s">
        <v>515</v>
      </c>
      <c r="D141" s="6" t="s">
        <v>19</v>
      </c>
      <c r="E141" s="6" t="s">
        <v>20</v>
      </c>
      <c r="F141" s="7" t="n">
        <v>45027</v>
      </c>
      <c r="G141" s="8" t="n">
        <v>0.641359594907407</v>
      </c>
      <c r="H141" s="6" t="s">
        <v>37</v>
      </c>
      <c r="I141" s="9" t="n">
        <v>1</v>
      </c>
      <c r="J141" s="9" t="n">
        <v>1682</v>
      </c>
      <c r="K141" s="9" t="n">
        <v>1682</v>
      </c>
      <c r="L141" s="6" t="s">
        <v>518</v>
      </c>
      <c r="M141" s="6" t="s">
        <v>519</v>
      </c>
      <c r="N141" s="6"/>
      <c r="O141" s="6" t="s">
        <v>61</v>
      </c>
      <c r="P141" s="6" t="s">
        <v>62</v>
      </c>
    </row>
    <row r="142" customFormat="false" ht="15.75" hidden="false" customHeight="false" outlineLevel="0" collapsed="false">
      <c r="A142" s="2" t="s">
        <v>16</v>
      </c>
      <c r="B142" s="2" t="s">
        <v>140</v>
      </c>
      <c r="C142" s="2" t="s">
        <v>141</v>
      </c>
      <c r="D142" s="2" t="s">
        <v>142</v>
      </c>
      <c r="E142" s="2" t="s">
        <v>28</v>
      </c>
      <c r="F142" s="3" t="n">
        <v>45030</v>
      </c>
      <c r="G142" s="4" t="n">
        <v>0.650818425925926</v>
      </c>
      <c r="H142" s="2" t="s">
        <v>37</v>
      </c>
      <c r="I142" s="5" t="n">
        <v>1</v>
      </c>
      <c r="J142" s="5" t="n">
        <v>744</v>
      </c>
      <c r="K142" s="5" t="n">
        <v>744</v>
      </c>
      <c r="L142" s="2" t="s">
        <v>520</v>
      </c>
      <c r="M142" s="2" t="s">
        <v>521</v>
      </c>
      <c r="N142" s="2"/>
      <c r="O142" s="2" t="s">
        <v>23</v>
      </c>
      <c r="P142" s="2" t="s">
        <v>24</v>
      </c>
    </row>
    <row r="143" customFormat="false" ht="15.75" hidden="false" customHeight="false" outlineLevel="0" collapsed="false">
      <c r="A143" s="6" t="s">
        <v>16</v>
      </c>
      <c r="B143" s="6" t="s">
        <v>522</v>
      </c>
      <c r="C143" s="6" t="s">
        <v>523</v>
      </c>
      <c r="D143" s="6" t="s">
        <v>27</v>
      </c>
      <c r="E143" s="6" t="s">
        <v>28</v>
      </c>
      <c r="F143" s="7" t="n">
        <v>45031</v>
      </c>
      <c r="G143" s="8" t="n">
        <v>0.930616805555556</v>
      </c>
      <c r="H143" s="6" t="s">
        <v>21</v>
      </c>
      <c r="I143" s="9" t="n">
        <v>5</v>
      </c>
      <c r="J143" s="9" t="n">
        <v>674.5</v>
      </c>
      <c r="K143" s="9" t="n">
        <v>3372.5</v>
      </c>
      <c r="L143" s="6" t="s">
        <v>524</v>
      </c>
      <c r="M143" s="6"/>
      <c r="N143" s="6"/>
      <c r="O143" s="6" t="s">
        <v>23</v>
      </c>
      <c r="P143" s="6" t="s">
        <v>24</v>
      </c>
    </row>
    <row r="144" customFormat="false" ht="15.75" hidden="false" customHeight="false" outlineLevel="0" collapsed="false">
      <c r="A144" s="2" t="s">
        <v>16</v>
      </c>
      <c r="B144" s="2" t="s">
        <v>525</v>
      </c>
      <c r="C144" s="2" t="s">
        <v>526</v>
      </c>
      <c r="D144" s="2" t="s">
        <v>527</v>
      </c>
      <c r="E144" s="2" t="s">
        <v>148</v>
      </c>
      <c r="F144" s="3" t="n">
        <v>45031</v>
      </c>
      <c r="G144" s="4" t="n">
        <v>0.625385358796296</v>
      </c>
      <c r="H144" s="2" t="s">
        <v>37</v>
      </c>
      <c r="I144" s="5" t="n">
        <v>1</v>
      </c>
      <c r="J144" s="5" t="n">
        <v>70.91</v>
      </c>
      <c r="K144" s="5" t="n">
        <v>70.91</v>
      </c>
      <c r="L144" s="2" t="s">
        <v>528</v>
      </c>
      <c r="M144" s="2" t="s">
        <v>529</v>
      </c>
      <c r="N144" s="2"/>
      <c r="O144" s="2" t="s">
        <v>61</v>
      </c>
      <c r="P144" s="2" t="s">
        <v>62</v>
      </c>
    </row>
    <row r="145" customFormat="false" ht="15.75" hidden="false" customHeight="false" outlineLevel="0" collapsed="false">
      <c r="A145" s="6" t="s">
        <v>16</v>
      </c>
      <c r="B145" s="6" t="s">
        <v>530</v>
      </c>
      <c r="C145" s="6" t="s">
        <v>531</v>
      </c>
      <c r="D145" s="6" t="s">
        <v>527</v>
      </c>
      <c r="E145" s="6" t="s">
        <v>148</v>
      </c>
      <c r="F145" s="7" t="n">
        <v>45031</v>
      </c>
      <c r="G145" s="8" t="n">
        <v>0.624977083333333</v>
      </c>
      <c r="H145" s="6" t="s">
        <v>37</v>
      </c>
      <c r="I145" s="9" t="n">
        <v>1</v>
      </c>
      <c r="J145" s="9" t="n">
        <v>70.91</v>
      </c>
      <c r="K145" s="9" t="n">
        <v>70.91</v>
      </c>
      <c r="L145" s="6" t="s">
        <v>532</v>
      </c>
      <c r="M145" s="6" t="s">
        <v>533</v>
      </c>
      <c r="N145" s="6"/>
      <c r="O145" s="6" t="s">
        <v>61</v>
      </c>
      <c r="P145" s="6" t="s">
        <v>62</v>
      </c>
    </row>
    <row r="146" customFormat="false" ht="15.75" hidden="false" customHeight="false" outlineLevel="0" collapsed="false">
      <c r="A146" s="2" t="s">
        <v>16</v>
      </c>
      <c r="B146" s="2" t="s">
        <v>534</v>
      </c>
      <c r="C146" s="2" t="s">
        <v>535</v>
      </c>
      <c r="D146" s="2" t="s">
        <v>527</v>
      </c>
      <c r="E146" s="2" t="s">
        <v>148</v>
      </c>
      <c r="F146" s="3" t="n">
        <v>45031</v>
      </c>
      <c r="G146" s="4" t="n">
        <v>0.624616678240741</v>
      </c>
      <c r="H146" s="2" t="s">
        <v>37</v>
      </c>
      <c r="I146" s="5" t="n">
        <v>4</v>
      </c>
      <c r="J146" s="5" t="n">
        <v>36.81</v>
      </c>
      <c r="K146" s="5" t="n">
        <v>147.24</v>
      </c>
      <c r="L146" s="2" t="s">
        <v>536</v>
      </c>
      <c r="M146" s="2" t="s">
        <v>537</v>
      </c>
      <c r="N146" s="2"/>
      <c r="O146" s="2" t="s">
        <v>61</v>
      </c>
      <c r="P146" s="2" t="s">
        <v>62</v>
      </c>
    </row>
    <row r="147" customFormat="false" ht="15.75" hidden="false" customHeight="false" outlineLevel="0" collapsed="false">
      <c r="A147" s="6" t="s">
        <v>16</v>
      </c>
      <c r="B147" s="6" t="s">
        <v>538</v>
      </c>
      <c r="C147" s="6" t="s">
        <v>539</v>
      </c>
      <c r="D147" s="6" t="s">
        <v>527</v>
      </c>
      <c r="E147" s="6" t="s">
        <v>148</v>
      </c>
      <c r="F147" s="7" t="n">
        <v>45031</v>
      </c>
      <c r="G147" s="8" t="n">
        <v>0.623514699074074</v>
      </c>
      <c r="H147" s="6" t="s">
        <v>37</v>
      </c>
      <c r="I147" s="9" t="n">
        <v>3</v>
      </c>
      <c r="J147" s="9" t="n">
        <v>70.91</v>
      </c>
      <c r="K147" s="9" t="n">
        <v>212.73</v>
      </c>
      <c r="L147" s="6" t="s">
        <v>540</v>
      </c>
      <c r="M147" s="6" t="s">
        <v>541</v>
      </c>
      <c r="N147" s="6"/>
      <c r="O147" s="6" t="s">
        <v>61</v>
      </c>
      <c r="P147" s="6" t="s">
        <v>62</v>
      </c>
    </row>
    <row r="148" customFormat="false" ht="15.75" hidden="false" customHeight="false" outlineLevel="0" collapsed="false">
      <c r="A148" s="2" t="s">
        <v>16</v>
      </c>
      <c r="B148" s="2" t="s">
        <v>542</v>
      </c>
      <c r="C148" s="2" t="s">
        <v>543</v>
      </c>
      <c r="D148" s="2" t="s">
        <v>527</v>
      </c>
      <c r="E148" s="2" t="s">
        <v>148</v>
      </c>
      <c r="F148" s="3" t="n">
        <v>45031</v>
      </c>
      <c r="G148" s="4" t="n">
        <v>0.623090405092593</v>
      </c>
      <c r="H148" s="2" t="s">
        <v>37</v>
      </c>
      <c r="I148" s="5" t="n">
        <v>4</v>
      </c>
      <c r="J148" s="5" t="n">
        <v>36.81</v>
      </c>
      <c r="K148" s="5" t="n">
        <v>147.24</v>
      </c>
      <c r="L148" s="2" t="s">
        <v>544</v>
      </c>
      <c r="M148" s="2" t="s">
        <v>545</v>
      </c>
      <c r="N148" s="2"/>
      <c r="O148" s="2" t="s">
        <v>61</v>
      </c>
      <c r="P148" s="2" t="s">
        <v>62</v>
      </c>
    </row>
    <row r="149" customFormat="false" ht="15.75" hidden="false" customHeight="false" outlineLevel="0" collapsed="false">
      <c r="A149" s="6" t="s">
        <v>16</v>
      </c>
      <c r="B149" s="6" t="s">
        <v>546</v>
      </c>
      <c r="C149" s="6" t="s">
        <v>547</v>
      </c>
      <c r="D149" s="6" t="s">
        <v>132</v>
      </c>
      <c r="E149" s="6" t="s">
        <v>96</v>
      </c>
      <c r="F149" s="7" t="n">
        <v>45033</v>
      </c>
      <c r="G149" s="8" t="n">
        <v>0.819582199074074</v>
      </c>
      <c r="H149" s="6" t="s">
        <v>37</v>
      </c>
      <c r="I149" s="9" t="n">
        <v>1</v>
      </c>
      <c r="J149" s="9" t="n">
        <v>211.2</v>
      </c>
      <c r="K149" s="9" t="n">
        <v>211.2</v>
      </c>
      <c r="L149" s="6" t="s">
        <v>548</v>
      </c>
      <c r="M149" s="6" t="s">
        <v>549</v>
      </c>
      <c r="N149" s="6"/>
      <c r="O149" s="6" t="s">
        <v>23</v>
      </c>
      <c r="P149" s="6" t="s">
        <v>24</v>
      </c>
    </row>
    <row r="150" customFormat="false" ht="15.75" hidden="false" customHeight="false" outlineLevel="0" collapsed="false">
      <c r="A150" s="2" t="s">
        <v>16</v>
      </c>
      <c r="B150" s="2" t="s">
        <v>550</v>
      </c>
      <c r="C150" s="2" t="s">
        <v>551</v>
      </c>
      <c r="D150" s="2" t="s">
        <v>552</v>
      </c>
      <c r="E150" s="2" t="s">
        <v>553</v>
      </c>
      <c r="F150" s="3" t="n">
        <v>45033</v>
      </c>
      <c r="G150" s="4" t="n">
        <v>0.817898576388889</v>
      </c>
      <c r="H150" s="2" t="s">
        <v>37</v>
      </c>
      <c r="I150" s="5" t="n">
        <v>1</v>
      </c>
      <c r="J150" s="5" t="n">
        <v>157.92</v>
      </c>
      <c r="K150" s="5" t="n">
        <v>157.92</v>
      </c>
      <c r="L150" s="2" t="s">
        <v>554</v>
      </c>
      <c r="M150" s="2" t="s">
        <v>555</v>
      </c>
      <c r="N150" s="2"/>
      <c r="O150" s="2" t="s">
        <v>23</v>
      </c>
      <c r="P150" s="2" t="s">
        <v>24</v>
      </c>
    </row>
    <row r="151" customFormat="false" ht="15.75" hidden="false" customHeight="false" outlineLevel="0" collapsed="false">
      <c r="A151" s="6" t="s">
        <v>16</v>
      </c>
      <c r="B151" s="6" t="s">
        <v>402</v>
      </c>
      <c r="C151" s="6" t="s">
        <v>403</v>
      </c>
      <c r="D151" s="6" t="s">
        <v>230</v>
      </c>
      <c r="E151" s="6" t="s">
        <v>231</v>
      </c>
      <c r="F151" s="7" t="n">
        <v>45033</v>
      </c>
      <c r="G151" s="8" t="n">
        <v>0.00167947916666667</v>
      </c>
      <c r="H151" s="6" t="s">
        <v>37</v>
      </c>
      <c r="I151" s="9" t="n">
        <v>1</v>
      </c>
      <c r="J151" s="9" t="n">
        <v>864.4</v>
      </c>
      <c r="K151" s="9" t="n">
        <v>864.4</v>
      </c>
      <c r="L151" s="6" t="s">
        <v>556</v>
      </c>
      <c r="M151" s="6" t="s">
        <v>557</v>
      </c>
      <c r="N151" s="6"/>
      <c r="O151" s="6" t="s">
        <v>23</v>
      </c>
      <c r="P151" s="6" t="s">
        <v>24</v>
      </c>
    </row>
    <row r="152" customFormat="false" ht="15.75" hidden="false" customHeight="false" outlineLevel="0" collapsed="false">
      <c r="A152" s="2" t="s">
        <v>16</v>
      </c>
      <c r="B152" s="2" t="s">
        <v>558</v>
      </c>
      <c r="C152" s="2" t="s">
        <v>559</v>
      </c>
      <c r="D152" s="2" t="s">
        <v>560</v>
      </c>
      <c r="E152" s="2" t="s">
        <v>122</v>
      </c>
      <c r="F152" s="3" t="n">
        <v>45034</v>
      </c>
      <c r="G152" s="4" t="n">
        <v>0.0639118402777778</v>
      </c>
      <c r="H152" s="2" t="s">
        <v>37</v>
      </c>
      <c r="I152" s="5" t="n">
        <v>1</v>
      </c>
      <c r="J152" s="5" t="n">
        <v>101.2</v>
      </c>
      <c r="K152" s="5" t="n">
        <v>101.2</v>
      </c>
      <c r="L152" s="2" t="s">
        <v>561</v>
      </c>
      <c r="M152" s="2" t="s">
        <v>562</v>
      </c>
      <c r="N152" s="2"/>
      <c r="O152" s="2" t="s">
        <v>23</v>
      </c>
      <c r="P152" s="2" t="s">
        <v>24</v>
      </c>
    </row>
    <row r="153" customFormat="false" ht="15.75" hidden="false" customHeight="false" outlineLevel="0" collapsed="false">
      <c r="A153" s="6" t="s">
        <v>16</v>
      </c>
      <c r="B153" s="6" t="s">
        <v>140</v>
      </c>
      <c r="C153" s="6" t="s">
        <v>141</v>
      </c>
      <c r="D153" s="6" t="s">
        <v>142</v>
      </c>
      <c r="E153" s="6" t="s">
        <v>28</v>
      </c>
      <c r="F153" s="7" t="n">
        <v>45035</v>
      </c>
      <c r="G153" s="8" t="n">
        <v>0.0935325347222222</v>
      </c>
      <c r="H153" s="6" t="s">
        <v>37</v>
      </c>
      <c r="I153" s="9" t="n">
        <v>2</v>
      </c>
      <c r="J153" s="9" t="n">
        <v>755</v>
      </c>
      <c r="K153" s="9" t="n">
        <v>1510</v>
      </c>
      <c r="L153" s="6" t="s">
        <v>563</v>
      </c>
      <c r="M153" s="6" t="s">
        <v>564</v>
      </c>
      <c r="N153" s="6"/>
      <c r="O153" s="6" t="s">
        <v>23</v>
      </c>
      <c r="P153" s="6" t="s">
        <v>24</v>
      </c>
    </row>
    <row r="154" customFormat="false" ht="15.75" hidden="false" customHeight="false" outlineLevel="0" collapsed="false">
      <c r="A154" s="2" t="s">
        <v>16</v>
      </c>
      <c r="B154" s="2" t="s">
        <v>565</v>
      </c>
      <c r="C154" s="2" t="s">
        <v>566</v>
      </c>
      <c r="D154" s="2" t="s">
        <v>567</v>
      </c>
      <c r="E154" s="2" t="s">
        <v>568</v>
      </c>
      <c r="F154" s="3" t="n">
        <v>45041</v>
      </c>
      <c r="G154" s="4" t="n">
        <v>0.672350219907407</v>
      </c>
      <c r="H154" s="2" t="s">
        <v>37</v>
      </c>
      <c r="I154" s="5" t="n">
        <v>1</v>
      </c>
      <c r="J154" s="5" t="n">
        <v>1350</v>
      </c>
      <c r="K154" s="5" t="n">
        <v>1350</v>
      </c>
      <c r="L154" s="2" t="s">
        <v>569</v>
      </c>
      <c r="M154" s="2" t="s">
        <v>570</v>
      </c>
      <c r="N154" s="2"/>
      <c r="O154" s="2" t="s">
        <v>23</v>
      </c>
      <c r="P154" s="2" t="s">
        <v>24</v>
      </c>
    </row>
    <row r="155" customFormat="false" ht="15.75" hidden="false" customHeight="false" outlineLevel="0" collapsed="false">
      <c r="A155" s="6" t="s">
        <v>16</v>
      </c>
      <c r="B155" s="6" t="s">
        <v>571</v>
      </c>
      <c r="C155" s="6" t="s">
        <v>572</v>
      </c>
      <c r="D155" s="6" t="s">
        <v>573</v>
      </c>
      <c r="E155" s="6" t="s">
        <v>36</v>
      </c>
      <c r="F155" s="7" t="n">
        <v>45042</v>
      </c>
      <c r="G155" s="8" t="n">
        <v>0.953579189814815</v>
      </c>
      <c r="H155" s="6" t="s">
        <v>37</v>
      </c>
      <c r="I155" s="9" t="n">
        <v>1</v>
      </c>
      <c r="J155" s="9" t="n">
        <v>500</v>
      </c>
      <c r="K155" s="9" t="n">
        <v>500</v>
      </c>
      <c r="L155" s="6" t="s">
        <v>574</v>
      </c>
      <c r="M155" s="6" t="s">
        <v>575</v>
      </c>
      <c r="N155" s="6"/>
      <c r="O155" s="6" t="s">
        <v>23</v>
      </c>
      <c r="P155" s="6" t="s">
        <v>24</v>
      </c>
    </row>
    <row r="156" customFormat="false" ht="15.75" hidden="false" customHeight="false" outlineLevel="0" collapsed="false">
      <c r="A156" s="2" t="s">
        <v>16</v>
      </c>
      <c r="B156" s="2" t="s">
        <v>238</v>
      </c>
      <c r="C156" s="2" t="s">
        <v>239</v>
      </c>
      <c r="D156" s="2" t="s">
        <v>95</v>
      </c>
      <c r="E156" s="2" t="s">
        <v>96</v>
      </c>
      <c r="F156" s="3" t="n">
        <v>45043</v>
      </c>
      <c r="G156" s="4" t="n">
        <v>0.115751111111111</v>
      </c>
      <c r="H156" s="2" t="s">
        <v>37</v>
      </c>
      <c r="I156" s="5" t="n">
        <v>4</v>
      </c>
      <c r="J156" s="5" t="n">
        <v>55.38</v>
      </c>
      <c r="K156" s="5" t="n">
        <v>221.52</v>
      </c>
      <c r="L156" s="2" t="s">
        <v>576</v>
      </c>
      <c r="M156" s="2" t="s">
        <v>577</v>
      </c>
      <c r="N156" s="2"/>
      <c r="O156" s="2" t="s">
        <v>23</v>
      </c>
      <c r="P156" s="2" t="s">
        <v>24</v>
      </c>
    </row>
    <row r="157" customFormat="false" ht="15.75" hidden="false" customHeight="false" outlineLevel="0" collapsed="false">
      <c r="A157" s="6" t="s">
        <v>16</v>
      </c>
      <c r="B157" s="6" t="s">
        <v>578</v>
      </c>
      <c r="C157" s="6" t="s">
        <v>579</v>
      </c>
      <c r="D157" s="6" t="s">
        <v>580</v>
      </c>
      <c r="E157" s="6" t="s">
        <v>553</v>
      </c>
      <c r="F157" s="7" t="n">
        <v>45044</v>
      </c>
      <c r="G157" s="8" t="n">
        <v>0.713964178240741</v>
      </c>
      <c r="H157" s="6" t="s">
        <v>21</v>
      </c>
      <c r="I157" s="9" t="n">
        <v>20</v>
      </c>
      <c r="J157" s="9" t="n">
        <v>50.31</v>
      </c>
      <c r="K157" s="9" t="n">
        <v>1006.2</v>
      </c>
      <c r="L157" s="6" t="s">
        <v>581</v>
      </c>
      <c r="M157" s="6"/>
      <c r="N157" s="6"/>
      <c r="O157" s="6" t="s">
        <v>23</v>
      </c>
      <c r="P157" s="6" t="s">
        <v>24</v>
      </c>
    </row>
    <row r="158" customFormat="false" ht="15.75" hidden="false" customHeight="false" outlineLevel="0" collapsed="false">
      <c r="A158" s="2" t="s">
        <v>16</v>
      </c>
      <c r="B158" s="2" t="s">
        <v>582</v>
      </c>
      <c r="C158" s="2" t="s">
        <v>583</v>
      </c>
      <c r="D158" s="2" t="s">
        <v>308</v>
      </c>
      <c r="E158" s="2" t="s">
        <v>96</v>
      </c>
      <c r="F158" s="3" t="n">
        <v>45047</v>
      </c>
      <c r="G158" s="4" t="n">
        <v>0.797222256944445</v>
      </c>
      <c r="H158" s="2" t="s">
        <v>37</v>
      </c>
      <c r="I158" s="5" t="n">
        <v>1</v>
      </c>
      <c r="J158" s="5" t="n">
        <v>87.92</v>
      </c>
      <c r="K158" s="5" t="n">
        <v>87.92</v>
      </c>
      <c r="L158" s="2" t="s">
        <v>584</v>
      </c>
      <c r="M158" s="2" t="s">
        <v>585</v>
      </c>
      <c r="N158" s="2"/>
      <c r="O158" s="2" t="s">
        <v>23</v>
      </c>
      <c r="P158" s="2" t="s">
        <v>24</v>
      </c>
    </row>
    <row r="159" customFormat="false" ht="15.75" hidden="false" customHeight="false" outlineLevel="0" collapsed="false">
      <c r="A159" s="6" t="s">
        <v>16</v>
      </c>
      <c r="B159" s="6" t="s">
        <v>586</v>
      </c>
      <c r="C159" s="6" t="s">
        <v>587</v>
      </c>
      <c r="D159" s="6" t="s">
        <v>19</v>
      </c>
      <c r="E159" s="6" t="s">
        <v>90</v>
      </c>
      <c r="F159" s="7" t="n">
        <v>45048</v>
      </c>
      <c r="G159" s="8" t="n">
        <v>0.55869849537037</v>
      </c>
      <c r="H159" s="6" t="s">
        <v>37</v>
      </c>
      <c r="I159" s="9" t="n">
        <v>1</v>
      </c>
      <c r="J159" s="9" t="n">
        <v>195</v>
      </c>
      <c r="K159" s="9" t="n">
        <v>195</v>
      </c>
      <c r="L159" s="6" t="s">
        <v>588</v>
      </c>
      <c r="M159" s="6" t="s">
        <v>589</v>
      </c>
      <c r="N159" s="6"/>
      <c r="O159" s="6" t="s">
        <v>110</v>
      </c>
      <c r="P159" s="6" t="s">
        <v>111</v>
      </c>
    </row>
    <row r="160" customFormat="false" ht="15.75" hidden="false" customHeight="false" outlineLevel="0" collapsed="false">
      <c r="A160" s="2" t="s">
        <v>16</v>
      </c>
      <c r="B160" s="2" t="s">
        <v>472</v>
      </c>
      <c r="C160" s="2" t="s">
        <v>473</v>
      </c>
      <c r="D160" s="2" t="s">
        <v>230</v>
      </c>
      <c r="E160" s="2" t="s">
        <v>231</v>
      </c>
      <c r="F160" s="3" t="n">
        <v>45048</v>
      </c>
      <c r="G160" s="4" t="n">
        <v>0.0856207291666667</v>
      </c>
      <c r="H160" s="2" t="s">
        <v>37</v>
      </c>
      <c r="I160" s="5" t="n">
        <v>1</v>
      </c>
      <c r="J160" s="5" t="n">
        <v>517.05</v>
      </c>
      <c r="K160" s="5" t="n">
        <v>517.05</v>
      </c>
      <c r="L160" s="2" t="s">
        <v>590</v>
      </c>
      <c r="M160" s="2" t="s">
        <v>591</v>
      </c>
      <c r="N160" s="2"/>
      <c r="O160" s="2" t="s">
        <v>23</v>
      </c>
      <c r="P160" s="2" t="s">
        <v>24</v>
      </c>
    </row>
    <row r="161" customFormat="false" ht="15.75" hidden="false" customHeight="false" outlineLevel="0" collapsed="false">
      <c r="A161" s="6" t="s">
        <v>16</v>
      </c>
      <c r="B161" s="6" t="s">
        <v>435</v>
      </c>
      <c r="C161" s="6" t="s">
        <v>436</v>
      </c>
      <c r="D161" s="6" t="s">
        <v>89</v>
      </c>
      <c r="E161" s="6" t="s">
        <v>431</v>
      </c>
      <c r="F161" s="7" t="n">
        <v>45051</v>
      </c>
      <c r="G161" s="8" t="n">
        <v>0.810612881944445</v>
      </c>
      <c r="H161" s="6" t="s">
        <v>37</v>
      </c>
      <c r="I161" s="9" t="n">
        <v>2</v>
      </c>
      <c r="J161" s="9" t="n">
        <v>400</v>
      </c>
      <c r="K161" s="9" t="n">
        <v>800</v>
      </c>
      <c r="L161" s="6" t="s">
        <v>592</v>
      </c>
      <c r="M161" s="6" t="s">
        <v>593</v>
      </c>
      <c r="N161" s="6"/>
      <c r="O161" s="6" t="s">
        <v>23</v>
      </c>
      <c r="P161" s="6" t="s">
        <v>24</v>
      </c>
    </row>
    <row r="162" customFormat="false" ht="15.75" hidden="false" customHeight="false" outlineLevel="0" collapsed="false">
      <c r="A162" s="2" t="s">
        <v>16</v>
      </c>
      <c r="B162" s="2" t="s">
        <v>140</v>
      </c>
      <c r="C162" s="2" t="s">
        <v>141</v>
      </c>
      <c r="D162" s="2" t="s">
        <v>142</v>
      </c>
      <c r="E162" s="2" t="s">
        <v>28</v>
      </c>
      <c r="F162" s="3" t="n">
        <v>45052</v>
      </c>
      <c r="G162" s="4" t="n">
        <v>0.990842685185185</v>
      </c>
      <c r="H162" s="2" t="s">
        <v>37</v>
      </c>
      <c r="I162" s="5" t="n">
        <v>1</v>
      </c>
      <c r="J162" s="5" t="n">
        <v>755</v>
      </c>
      <c r="K162" s="5" t="n">
        <v>755</v>
      </c>
      <c r="L162" s="2" t="s">
        <v>594</v>
      </c>
      <c r="M162" s="2" t="s">
        <v>595</v>
      </c>
      <c r="N162" s="2"/>
      <c r="O162" s="2" t="s">
        <v>23</v>
      </c>
      <c r="P162" s="2" t="s">
        <v>24</v>
      </c>
    </row>
    <row r="163" customFormat="false" ht="15.75" hidden="false" customHeight="false" outlineLevel="0" collapsed="false">
      <c r="A163" s="6" t="s">
        <v>16</v>
      </c>
      <c r="B163" s="6" t="s">
        <v>596</v>
      </c>
      <c r="C163" s="6" t="s">
        <v>597</v>
      </c>
      <c r="D163" s="6" t="s">
        <v>19</v>
      </c>
      <c r="E163" s="6" t="s">
        <v>20</v>
      </c>
      <c r="F163" s="7" t="n">
        <v>45053</v>
      </c>
      <c r="G163" s="8" t="n">
        <v>0.946446388888889</v>
      </c>
      <c r="H163" s="6" t="s">
        <v>37</v>
      </c>
      <c r="I163" s="9" t="n">
        <v>1</v>
      </c>
      <c r="J163" s="9" t="n">
        <v>272</v>
      </c>
      <c r="K163" s="9" t="n">
        <v>272</v>
      </c>
      <c r="L163" s="6" t="s">
        <v>598</v>
      </c>
      <c r="M163" s="6" t="s">
        <v>599</v>
      </c>
      <c r="N163" s="6"/>
      <c r="O163" s="6" t="s">
        <v>23</v>
      </c>
      <c r="P163" s="6" t="s">
        <v>24</v>
      </c>
    </row>
    <row r="164" customFormat="false" ht="15.75" hidden="false" customHeight="false" outlineLevel="0" collapsed="false">
      <c r="A164" s="2" t="s">
        <v>16</v>
      </c>
      <c r="B164" s="2" t="s">
        <v>402</v>
      </c>
      <c r="C164" s="2" t="s">
        <v>403</v>
      </c>
      <c r="D164" s="2" t="s">
        <v>230</v>
      </c>
      <c r="E164" s="2" t="s">
        <v>231</v>
      </c>
      <c r="F164" s="3" t="n">
        <v>45055</v>
      </c>
      <c r="G164" s="4" t="n">
        <v>0.961909340277778</v>
      </c>
      <c r="H164" s="2" t="s">
        <v>37</v>
      </c>
      <c r="I164" s="5" t="n">
        <v>1</v>
      </c>
      <c r="J164" s="5" t="n">
        <v>864.4</v>
      </c>
      <c r="K164" s="5" t="n">
        <v>864.4</v>
      </c>
      <c r="L164" s="2" t="s">
        <v>600</v>
      </c>
      <c r="M164" s="2" t="s">
        <v>601</v>
      </c>
      <c r="N164" s="2"/>
      <c r="O164" s="2" t="s">
        <v>23</v>
      </c>
      <c r="P164" s="2" t="s">
        <v>24</v>
      </c>
    </row>
    <row r="165" customFormat="false" ht="15.75" hidden="false" customHeight="false" outlineLevel="0" collapsed="false">
      <c r="A165" s="6" t="s">
        <v>16</v>
      </c>
      <c r="B165" s="6" t="s">
        <v>602</v>
      </c>
      <c r="C165" s="6" t="s">
        <v>603</v>
      </c>
      <c r="D165" s="6" t="s">
        <v>19</v>
      </c>
      <c r="E165" s="6" t="s">
        <v>90</v>
      </c>
      <c r="F165" s="7" t="n">
        <v>45055</v>
      </c>
      <c r="G165" s="8" t="n">
        <v>0.935467303240741</v>
      </c>
      <c r="H165" s="6" t="s">
        <v>37</v>
      </c>
      <c r="I165" s="9" t="n">
        <v>12</v>
      </c>
      <c r="J165" s="9" t="n">
        <v>110</v>
      </c>
      <c r="K165" s="9" t="n">
        <v>1320</v>
      </c>
      <c r="L165" s="6" t="s">
        <v>604</v>
      </c>
      <c r="M165" s="6" t="s">
        <v>605</v>
      </c>
      <c r="N165" s="6"/>
      <c r="O165" s="6" t="s">
        <v>23</v>
      </c>
      <c r="P165" s="6" t="s">
        <v>24</v>
      </c>
    </row>
    <row r="166" customFormat="false" ht="15.75" hidden="false" customHeight="false" outlineLevel="0" collapsed="false">
      <c r="A166" s="2" t="s">
        <v>16</v>
      </c>
      <c r="B166" s="2" t="s">
        <v>606</v>
      </c>
      <c r="C166" s="2" t="s">
        <v>607</v>
      </c>
      <c r="D166" s="2" t="s">
        <v>487</v>
      </c>
      <c r="E166" s="2" t="s">
        <v>20</v>
      </c>
      <c r="F166" s="3" t="n">
        <v>45055</v>
      </c>
      <c r="G166" s="4" t="n">
        <v>0.501622662037037</v>
      </c>
      <c r="H166" s="2" t="s">
        <v>37</v>
      </c>
      <c r="I166" s="5" t="n">
        <v>6</v>
      </c>
      <c r="J166" s="5" t="n">
        <v>1150</v>
      </c>
      <c r="K166" s="5" t="n">
        <v>6900</v>
      </c>
      <c r="L166" s="2" t="s">
        <v>608</v>
      </c>
      <c r="M166" s="2" t="s">
        <v>609</v>
      </c>
      <c r="N166" s="2"/>
      <c r="O166" s="2" t="s">
        <v>61</v>
      </c>
      <c r="P166" s="2" t="s">
        <v>62</v>
      </c>
    </row>
    <row r="167" customFormat="false" ht="15.75" hidden="false" customHeight="false" outlineLevel="0" collapsed="false">
      <c r="A167" s="6" t="s">
        <v>16</v>
      </c>
      <c r="B167" s="6" t="s">
        <v>286</v>
      </c>
      <c r="C167" s="6" t="s">
        <v>287</v>
      </c>
      <c r="D167" s="6" t="s">
        <v>19</v>
      </c>
      <c r="E167" s="6" t="s">
        <v>20</v>
      </c>
      <c r="F167" s="7" t="n">
        <v>45055</v>
      </c>
      <c r="G167" s="8" t="n">
        <v>0.500874282407407</v>
      </c>
      <c r="H167" s="6" t="s">
        <v>37</v>
      </c>
      <c r="I167" s="9" t="n">
        <v>2</v>
      </c>
      <c r="J167" s="9" t="n">
        <v>2328</v>
      </c>
      <c r="K167" s="9" t="n">
        <v>4656</v>
      </c>
      <c r="L167" s="6" t="s">
        <v>610</v>
      </c>
      <c r="M167" s="6" t="s">
        <v>611</v>
      </c>
      <c r="N167" s="6"/>
      <c r="O167" s="6" t="s">
        <v>61</v>
      </c>
      <c r="P167" s="6" t="s">
        <v>62</v>
      </c>
    </row>
    <row r="168" customFormat="false" ht="15.75" hidden="false" customHeight="false" outlineLevel="0" collapsed="false">
      <c r="A168" s="2" t="s">
        <v>16</v>
      </c>
      <c r="B168" s="2" t="s">
        <v>514</v>
      </c>
      <c r="C168" s="2" t="s">
        <v>515</v>
      </c>
      <c r="D168" s="2" t="s">
        <v>19</v>
      </c>
      <c r="E168" s="2" t="s">
        <v>20</v>
      </c>
      <c r="F168" s="3" t="n">
        <v>45055</v>
      </c>
      <c r="G168" s="4" t="n">
        <v>0.500350428240741</v>
      </c>
      <c r="H168" s="2" t="s">
        <v>37</v>
      </c>
      <c r="I168" s="5" t="n">
        <v>14</v>
      </c>
      <c r="J168" s="5" t="n">
        <v>1682</v>
      </c>
      <c r="K168" s="5" t="n">
        <v>23548</v>
      </c>
      <c r="L168" s="2" t="s">
        <v>612</v>
      </c>
      <c r="M168" s="2" t="s">
        <v>613</v>
      </c>
      <c r="N168" s="2"/>
      <c r="O168" s="2" t="s">
        <v>61</v>
      </c>
      <c r="P168" s="2" t="s">
        <v>62</v>
      </c>
    </row>
    <row r="169" customFormat="false" ht="15.75" hidden="false" customHeight="false" outlineLevel="0" collapsed="false">
      <c r="A169" s="6" t="s">
        <v>16</v>
      </c>
      <c r="B169" s="6" t="s">
        <v>140</v>
      </c>
      <c r="C169" s="6" t="s">
        <v>141</v>
      </c>
      <c r="D169" s="6" t="s">
        <v>142</v>
      </c>
      <c r="E169" s="6" t="s">
        <v>28</v>
      </c>
      <c r="F169" s="7" t="n">
        <v>45056</v>
      </c>
      <c r="G169" s="8" t="n">
        <v>0.828612905092593</v>
      </c>
      <c r="H169" s="6" t="s">
        <v>37</v>
      </c>
      <c r="I169" s="9" t="n">
        <v>1</v>
      </c>
      <c r="J169" s="9" t="n">
        <v>755</v>
      </c>
      <c r="K169" s="9" t="n">
        <v>755</v>
      </c>
      <c r="L169" s="6" t="s">
        <v>614</v>
      </c>
      <c r="M169" s="6" t="s">
        <v>615</v>
      </c>
      <c r="N169" s="6"/>
      <c r="O169" s="6" t="s">
        <v>23</v>
      </c>
      <c r="P169" s="6" t="s">
        <v>24</v>
      </c>
    </row>
    <row r="170" customFormat="false" ht="15.75" hidden="false" customHeight="false" outlineLevel="0" collapsed="false">
      <c r="A170" s="2" t="s">
        <v>16</v>
      </c>
      <c r="B170" s="2" t="s">
        <v>140</v>
      </c>
      <c r="C170" s="2" t="s">
        <v>141</v>
      </c>
      <c r="D170" s="2" t="s">
        <v>142</v>
      </c>
      <c r="E170" s="2" t="s">
        <v>28</v>
      </c>
      <c r="F170" s="3" t="n">
        <v>45058</v>
      </c>
      <c r="G170" s="4" t="n">
        <v>0.739659074074074</v>
      </c>
      <c r="H170" s="2" t="s">
        <v>37</v>
      </c>
      <c r="I170" s="5" t="n">
        <v>1</v>
      </c>
      <c r="J170" s="5" t="n">
        <v>755</v>
      </c>
      <c r="K170" s="5" t="n">
        <v>755</v>
      </c>
      <c r="L170" s="2" t="s">
        <v>616</v>
      </c>
      <c r="M170" s="2" t="s">
        <v>617</v>
      </c>
      <c r="N170" s="2"/>
      <c r="O170" s="2" t="s">
        <v>23</v>
      </c>
      <c r="P170" s="2" t="s">
        <v>24</v>
      </c>
    </row>
    <row r="171" customFormat="false" ht="15.75" hidden="false" customHeight="false" outlineLevel="0" collapsed="false">
      <c r="A171" s="6" t="s">
        <v>16</v>
      </c>
      <c r="B171" s="6" t="s">
        <v>385</v>
      </c>
      <c r="C171" s="6" t="s">
        <v>386</v>
      </c>
      <c r="D171" s="6" t="s">
        <v>142</v>
      </c>
      <c r="E171" s="6" t="s">
        <v>28</v>
      </c>
      <c r="F171" s="7" t="n">
        <v>45058</v>
      </c>
      <c r="G171" s="8" t="n">
        <v>0.707958043981481</v>
      </c>
      <c r="H171" s="6" t="s">
        <v>37</v>
      </c>
      <c r="I171" s="9" t="n">
        <v>1</v>
      </c>
      <c r="J171" s="9" t="n">
        <v>1108.62</v>
      </c>
      <c r="K171" s="9" t="n">
        <v>1108.62</v>
      </c>
      <c r="L171" s="6" t="s">
        <v>618</v>
      </c>
      <c r="M171" s="6" t="s">
        <v>619</v>
      </c>
      <c r="N171" s="6"/>
      <c r="O171" s="6" t="s">
        <v>23</v>
      </c>
      <c r="P171" s="6" t="s">
        <v>24</v>
      </c>
    </row>
    <row r="172" customFormat="false" ht="15.75" hidden="false" customHeight="false" outlineLevel="0" collapsed="false">
      <c r="A172" s="2" t="s">
        <v>16</v>
      </c>
      <c r="B172" s="2" t="s">
        <v>620</v>
      </c>
      <c r="C172" s="2" t="s">
        <v>621</v>
      </c>
      <c r="D172" s="2" t="s">
        <v>622</v>
      </c>
      <c r="E172" s="2" t="s">
        <v>20</v>
      </c>
      <c r="F172" s="3" t="n">
        <v>45058</v>
      </c>
      <c r="G172" s="4" t="n">
        <v>0.545684212962963</v>
      </c>
      <c r="H172" s="2" t="s">
        <v>37</v>
      </c>
      <c r="I172" s="5" t="n">
        <v>7</v>
      </c>
      <c r="J172" s="5" t="n">
        <v>226</v>
      </c>
      <c r="K172" s="5" t="n">
        <v>1582</v>
      </c>
      <c r="L172" s="2" t="s">
        <v>623</v>
      </c>
      <c r="M172" s="2" t="s">
        <v>624</v>
      </c>
      <c r="N172" s="2"/>
      <c r="O172" s="2" t="s">
        <v>23</v>
      </c>
      <c r="P172" s="2" t="s">
        <v>24</v>
      </c>
    </row>
    <row r="173" customFormat="false" ht="15.75" hidden="false" customHeight="false" outlineLevel="0" collapsed="false">
      <c r="A173" s="6" t="s">
        <v>16</v>
      </c>
      <c r="B173" s="6" t="s">
        <v>99</v>
      </c>
      <c r="C173" s="6" t="s">
        <v>100</v>
      </c>
      <c r="D173" s="6" t="s">
        <v>101</v>
      </c>
      <c r="E173" s="6" t="s">
        <v>96</v>
      </c>
      <c r="F173" s="7" t="n">
        <v>45058</v>
      </c>
      <c r="G173" s="8" t="n">
        <v>0.513977893518519</v>
      </c>
      <c r="H173" s="6" t="s">
        <v>37</v>
      </c>
      <c r="I173" s="9" t="n">
        <v>4</v>
      </c>
      <c r="J173" s="9" t="n">
        <v>55</v>
      </c>
      <c r="K173" s="9" t="n">
        <v>220</v>
      </c>
      <c r="L173" s="6" t="s">
        <v>625</v>
      </c>
      <c r="M173" s="6" t="s">
        <v>626</v>
      </c>
      <c r="N173" s="6"/>
      <c r="O173" s="6" t="s">
        <v>23</v>
      </c>
      <c r="P173" s="6" t="s">
        <v>24</v>
      </c>
    </row>
    <row r="174" customFormat="false" ht="15.75" hidden="false" customHeight="false" outlineLevel="0" collapsed="false">
      <c r="A174" s="2" t="s">
        <v>16</v>
      </c>
      <c r="B174" s="2" t="s">
        <v>140</v>
      </c>
      <c r="C174" s="2" t="s">
        <v>141</v>
      </c>
      <c r="D174" s="2" t="s">
        <v>142</v>
      </c>
      <c r="E174" s="2" t="s">
        <v>28</v>
      </c>
      <c r="F174" s="3" t="n">
        <v>45059</v>
      </c>
      <c r="G174" s="4" t="n">
        <v>0.955222430555556</v>
      </c>
      <c r="H174" s="2" t="s">
        <v>37</v>
      </c>
      <c r="I174" s="5" t="n">
        <v>3</v>
      </c>
      <c r="J174" s="5" t="n">
        <v>755</v>
      </c>
      <c r="K174" s="5" t="n">
        <v>2265</v>
      </c>
      <c r="L174" s="2" t="s">
        <v>627</v>
      </c>
      <c r="M174" s="2" t="s">
        <v>628</v>
      </c>
      <c r="N174" s="2"/>
      <c r="O174" s="2" t="s">
        <v>23</v>
      </c>
      <c r="P174" s="2" t="s">
        <v>24</v>
      </c>
    </row>
    <row r="175" customFormat="false" ht="15.75" hidden="false" customHeight="false" outlineLevel="0" collapsed="false">
      <c r="A175" s="6" t="s">
        <v>16</v>
      </c>
      <c r="B175" s="6" t="s">
        <v>507</v>
      </c>
      <c r="C175" s="6" t="s">
        <v>508</v>
      </c>
      <c r="D175" s="6" t="s">
        <v>95</v>
      </c>
      <c r="E175" s="6" t="s">
        <v>96</v>
      </c>
      <c r="F175" s="7" t="n">
        <v>45060</v>
      </c>
      <c r="G175" s="8" t="n">
        <v>0.988999444444444</v>
      </c>
      <c r="H175" s="6" t="s">
        <v>37</v>
      </c>
      <c r="I175" s="9" t="n">
        <v>2</v>
      </c>
      <c r="J175" s="9" t="n">
        <v>45.59</v>
      </c>
      <c r="K175" s="9" t="n">
        <v>91.18</v>
      </c>
      <c r="L175" s="6" t="s">
        <v>629</v>
      </c>
      <c r="M175" s="6" t="s">
        <v>630</v>
      </c>
      <c r="N175" s="6"/>
      <c r="O175" s="6" t="s">
        <v>23</v>
      </c>
      <c r="P175" s="6" t="s">
        <v>24</v>
      </c>
    </row>
    <row r="176" customFormat="false" ht="15.75" hidden="false" customHeight="false" outlineLevel="0" collapsed="false">
      <c r="A176" s="2" t="s">
        <v>16</v>
      </c>
      <c r="B176" s="2" t="s">
        <v>631</v>
      </c>
      <c r="C176" s="2" t="s">
        <v>632</v>
      </c>
      <c r="D176" s="2" t="s">
        <v>633</v>
      </c>
      <c r="E176" s="2" t="s">
        <v>208</v>
      </c>
      <c r="F176" s="3" t="n">
        <v>45060</v>
      </c>
      <c r="G176" s="4" t="n">
        <v>0.987756921296296</v>
      </c>
      <c r="H176" s="2" t="s">
        <v>37</v>
      </c>
      <c r="I176" s="5" t="n">
        <v>1</v>
      </c>
      <c r="J176" s="5" t="n">
        <v>135</v>
      </c>
      <c r="K176" s="5" t="n">
        <v>135</v>
      </c>
      <c r="L176" s="2" t="s">
        <v>634</v>
      </c>
      <c r="M176" s="2" t="s">
        <v>635</v>
      </c>
      <c r="N176" s="2"/>
      <c r="O176" s="2" t="s">
        <v>23</v>
      </c>
      <c r="P176" s="2" t="s">
        <v>24</v>
      </c>
    </row>
    <row r="177" customFormat="false" ht="15.75" hidden="false" customHeight="false" outlineLevel="0" collapsed="false">
      <c r="A177" s="6" t="s">
        <v>16</v>
      </c>
      <c r="B177" s="6" t="s">
        <v>500</v>
      </c>
      <c r="C177" s="6" t="s">
        <v>501</v>
      </c>
      <c r="D177" s="6" t="s">
        <v>89</v>
      </c>
      <c r="E177" s="6" t="s">
        <v>333</v>
      </c>
      <c r="F177" s="7" t="n">
        <v>45060</v>
      </c>
      <c r="G177" s="8" t="n">
        <v>0.980266030092593</v>
      </c>
      <c r="H177" s="6" t="s">
        <v>21</v>
      </c>
      <c r="I177" s="9" t="n">
        <v>2</v>
      </c>
      <c r="J177" s="9" t="n">
        <v>294</v>
      </c>
      <c r="K177" s="9" t="n">
        <v>588</v>
      </c>
      <c r="L177" s="6" t="s">
        <v>636</v>
      </c>
      <c r="M177" s="6"/>
      <c r="N177" s="6"/>
      <c r="O177" s="6" t="s">
        <v>23</v>
      </c>
      <c r="P177" s="6" t="s">
        <v>24</v>
      </c>
    </row>
    <row r="178" customFormat="false" ht="15.75" hidden="false" customHeight="false" outlineLevel="0" collapsed="false">
      <c r="A178" s="2" t="s">
        <v>16</v>
      </c>
      <c r="B178" s="2" t="s">
        <v>637</v>
      </c>
      <c r="C178" s="2" t="s">
        <v>638</v>
      </c>
      <c r="D178" s="2" t="s">
        <v>19</v>
      </c>
      <c r="E178" s="2" t="s">
        <v>333</v>
      </c>
      <c r="F178" s="3" t="n">
        <v>45060</v>
      </c>
      <c r="G178" s="4" t="n">
        <v>0.915396527777778</v>
      </c>
      <c r="H178" s="2" t="s">
        <v>21</v>
      </c>
      <c r="I178" s="5" t="n">
        <v>3</v>
      </c>
      <c r="J178" s="5" t="n">
        <v>285</v>
      </c>
      <c r="K178" s="5" t="n">
        <v>855</v>
      </c>
      <c r="L178" s="2" t="s">
        <v>639</v>
      </c>
      <c r="M178" s="2"/>
      <c r="N178" s="2"/>
      <c r="O178" s="2" t="s">
        <v>23</v>
      </c>
      <c r="P178" s="2" t="s">
        <v>24</v>
      </c>
    </row>
    <row r="179" customFormat="false" ht="15.75" hidden="false" customHeight="false" outlineLevel="0" collapsed="false">
      <c r="A179" s="6" t="s">
        <v>16</v>
      </c>
      <c r="B179" s="6" t="s">
        <v>140</v>
      </c>
      <c r="C179" s="6" t="s">
        <v>141</v>
      </c>
      <c r="D179" s="6" t="s">
        <v>142</v>
      </c>
      <c r="E179" s="6" t="s">
        <v>28</v>
      </c>
      <c r="F179" s="7" t="n">
        <v>45060</v>
      </c>
      <c r="G179" s="8" t="n">
        <v>0.8790528125</v>
      </c>
      <c r="H179" s="6" t="s">
        <v>37</v>
      </c>
      <c r="I179" s="9" t="n">
        <v>2</v>
      </c>
      <c r="J179" s="9" t="n">
        <v>755</v>
      </c>
      <c r="K179" s="9" t="n">
        <v>1510</v>
      </c>
      <c r="L179" s="6" t="s">
        <v>640</v>
      </c>
      <c r="M179" s="6" t="s">
        <v>641</v>
      </c>
      <c r="N179" s="6"/>
      <c r="O179" s="6" t="s">
        <v>23</v>
      </c>
      <c r="P179" s="6" t="s">
        <v>24</v>
      </c>
    </row>
    <row r="180" customFormat="false" ht="15.75" hidden="false" customHeight="false" outlineLevel="0" collapsed="false">
      <c r="A180" s="2" t="s">
        <v>16</v>
      </c>
      <c r="B180" s="2" t="s">
        <v>642</v>
      </c>
      <c r="C180" s="2" t="s">
        <v>643</v>
      </c>
      <c r="D180" s="2" t="s">
        <v>644</v>
      </c>
      <c r="E180" s="2" t="s">
        <v>498</v>
      </c>
      <c r="F180" s="3" t="n">
        <v>45061</v>
      </c>
      <c r="G180" s="4" t="n">
        <v>0.9934046875</v>
      </c>
      <c r="H180" s="2" t="s">
        <v>21</v>
      </c>
      <c r="I180" s="5" t="n">
        <v>2</v>
      </c>
      <c r="J180" s="5" t="n">
        <v>352.79</v>
      </c>
      <c r="K180" s="5" t="n">
        <v>705.58</v>
      </c>
      <c r="L180" s="2" t="s">
        <v>645</v>
      </c>
      <c r="M180" s="2"/>
      <c r="N180" s="2"/>
      <c r="O180" s="2" t="s">
        <v>23</v>
      </c>
      <c r="P180" s="2" t="s">
        <v>24</v>
      </c>
    </row>
    <row r="181" customFormat="false" ht="15.75" hidden="false" customHeight="false" outlineLevel="0" collapsed="false">
      <c r="A181" s="6" t="s">
        <v>16</v>
      </c>
      <c r="B181" s="6" t="s">
        <v>646</v>
      </c>
      <c r="C181" s="6" t="s">
        <v>647</v>
      </c>
      <c r="D181" s="6" t="s">
        <v>308</v>
      </c>
      <c r="E181" s="6" t="s">
        <v>96</v>
      </c>
      <c r="F181" s="7" t="n">
        <v>45061</v>
      </c>
      <c r="G181" s="8" t="n">
        <v>0.957107638888889</v>
      </c>
      <c r="H181" s="6" t="s">
        <v>37</v>
      </c>
      <c r="I181" s="9" t="n">
        <v>2</v>
      </c>
      <c r="J181" s="9" t="n">
        <v>87.92</v>
      </c>
      <c r="K181" s="9" t="n">
        <v>175.84</v>
      </c>
      <c r="L181" s="6" t="s">
        <v>648</v>
      </c>
      <c r="M181" s="6" t="s">
        <v>649</v>
      </c>
      <c r="N181" s="6"/>
      <c r="O181" s="6" t="s">
        <v>23</v>
      </c>
      <c r="P181" s="6" t="s">
        <v>24</v>
      </c>
    </row>
    <row r="182" customFormat="false" ht="15.75" hidden="false" customHeight="false" outlineLevel="0" collapsed="false">
      <c r="A182" s="2" t="s">
        <v>16</v>
      </c>
      <c r="B182" s="2" t="s">
        <v>650</v>
      </c>
      <c r="C182" s="2" t="s">
        <v>651</v>
      </c>
      <c r="D182" s="2" t="s">
        <v>652</v>
      </c>
      <c r="E182" s="2" t="s">
        <v>28</v>
      </c>
      <c r="F182" s="3" t="n">
        <v>45061</v>
      </c>
      <c r="G182" s="4" t="n">
        <v>0.94932130787037</v>
      </c>
      <c r="H182" s="2" t="s">
        <v>37</v>
      </c>
      <c r="I182" s="5" t="n">
        <v>1</v>
      </c>
      <c r="J182" s="5" t="n">
        <v>607</v>
      </c>
      <c r="K182" s="5" t="n">
        <v>607</v>
      </c>
      <c r="L182" s="2" t="s">
        <v>653</v>
      </c>
      <c r="M182" s="2" t="s">
        <v>654</v>
      </c>
      <c r="N182" s="2"/>
      <c r="O182" s="2" t="s">
        <v>23</v>
      </c>
      <c r="P182" s="2" t="s">
        <v>24</v>
      </c>
    </row>
    <row r="183" customFormat="false" ht="15.75" hidden="false" customHeight="false" outlineLevel="0" collapsed="false">
      <c r="A183" s="6" t="s">
        <v>16</v>
      </c>
      <c r="B183" s="6" t="s">
        <v>140</v>
      </c>
      <c r="C183" s="6" t="s">
        <v>141</v>
      </c>
      <c r="D183" s="6" t="s">
        <v>142</v>
      </c>
      <c r="E183" s="6" t="s">
        <v>28</v>
      </c>
      <c r="F183" s="7" t="n">
        <v>45061</v>
      </c>
      <c r="G183" s="8" t="n">
        <v>0.945757638888889</v>
      </c>
      <c r="H183" s="6" t="s">
        <v>37</v>
      </c>
      <c r="I183" s="9" t="n">
        <v>1</v>
      </c>
      <c r="J183" s="9" t="n">
        <v>755</v>
      </c>
      <c r="K183" s="9" t="n">
        <v>755</v>
      </c>
      <c r="L183" s="6" t="s">
        <v>655</v>
      </c>
      <c r="M183" s="6" t="s">
        <v>656</v>
      </c>
      <c r="N183" s="6"/>
      <c r="O183" s="6" t="s">
        <v>23</v>
      </c>
      <c r="P183" s="6" t="s">
        <v>24</v>
      </c>
    </row>
    <row r="184" customFormat="false" ht="15.75" hidden="false" customHeight="false" outlineLevel="0" collapsed="false">
      <c r="A184" s="2" t="s">
        <v>16</v>
      </c>
      <c r="B184" s="2" t="s">
        <v>657</v>
      </c>
      <c r="C184" s="2" t="s">
        <v>658</v>
      </c>
      <c r="D184" s="2" t="s">
        <v>659</v>
      </c>
      <c r="E184" s="2" t="s">
        <v>28</v>
      </c>
      <c r="F184" s="3" t="n">
        <v>45062</v>
      </c>
      <c r="G184" s="4" t="n">
        <v>0.953443333333333</v>
      </c>
      <c r="H184" s="2" t="s">
        <v>37</v>
      </c>
      <c r="I184" s="5" t="n">
        <v>1</v>
      </c>
      <c r="J184" s="5" t="n">
        <v>576</v>
      </c>
      <c r="K184" s="5" t="n">
        <v>576</v>
      </c>
      <c r="L184" s="2" t="s">
        <v>660</v>
      </c>
      <c r="M184" s="2" t="s">
        <v>661</v>
      </c>
      <c r="N184" s="2"/>
      <c r="O184" s="2" t="s">
        <v>23</v>
      </c>
      <c r="P184" s="2" t="s">
        <v>24</v>
      </c>
    </row>
    <row r="185" customFormat="false" ht="15.75" hidden="false" customHeight="false" outlineLevel="0" collapsed="false">
      <c r="A185" s="6" t="s">
        <v>16</v>
      </c>
      <c r="B185" s="6" t="s">
        <v>650</v>
      </c>
      <c r="C185" s="6" t="s">
        <v>651</v>
      </c>
      <c r="D185" s="6" t="s">
        <v>652</v>
      </c>
      <c r="E185" s="6" t="s">
        <v>28</v>
      </c>
      <c r="F185" s="7" t="n">
        <v>45062</v>
      </c>
      <c r="G185" s="8" t="n">
        <v>0.952269409722222</v>
      </c>
      <c r="H185" s="6" t="s">
        <v>37</v>
      </c>
      <c r="I185" s="9" t="n">
        <v>2</v>
      </c>
      <c r="J185" s="9" t="n">
        <v>607</v>
      </c>
      <c r="K185" s="9" t="n">
        <v>1214</v>
      </c>
      <c r="L185" s="6" t="s">
        <v>662</v>
      </c>
      <c r="M185" s="6" t="s">
        <v>663</v>
      </c>
      <c r="N185" s="6"/>
      <c r="O185" s="6" t="s">
        <v>23</v>
      </c>
      <c r="P185" s="6" t="s">
        <v>24</v>
      </c>
    </row>
    <row r="186" customFormat="false" ht="15.75" hidden="false" customHeight="false" outlineLevel="0" collapsed="false">
      <c r="A186" s="2" t="s">
        <v>16</v>
      </c>
      <c r="B186" s="2" t="s">
        <v>140</v>
      </c>
      <c r="C186" s="2" t="s">
        <v>141</v>
      </c>
      <c r="D186" s="2" t="s">
        <v>142</v>
      </c>
      <c r="E186" s="2" t="s">
        <v>28</v>
      </c>
      <c r="F186" s="3" t="n">
        <v>45062</v>
      </c>
      <c r="G186" s="4" t="n">
        <v>0.950423888888889</v>
      </c>
      <c r="H186" s="2" t="s">
        <v>37</v>
      </c>
      <c r="I186" s="5" t="n">
        <v>5</v>
      </c>
      <c r="J186" s="5" t="n">
        <v>755</v>
      </c>
      <c r="K186" s="5" t="n">
        <v>3775</v>
      </c>
      <c r="L186" s="2" t="s">
        <v>664</v>
      </c>
      <c r="M186" s="2" t="s">
        <v>665</v>
      </c>
      <c r="N186" s="2"/>
      <c r="O186" s="2" t="s">
        <v>23</v>
      </c>
      <c r="P186" s="2" t="s">
        <v>24</v>
      </c>
    </row>
    <row r="187" customFormat="false" ht="15.75" hidden="false" customHeight="false" outlineLevel="0" collapsed="false">
      <c r="A187" s="6" t="s">
        <v>16</v>
      </c>
      <c r="B187" s="6" t="s">
        <v>205</v>
      </c>
      <c r="C187" s="6" t="s">
        <v>206</v>
      </c>
      <c r="D187" s="6" t="s">
        <v>207</v>
      </c>
      <c r="E187" s="6" t="s">
        <v>208</v>
      </c>
      <c r="F187" s="7" t="n">
        <v>45062</v>
      </c>
      <c r="G187" s="8" t="n">
        <v>0.9497528125</v>
      </c>
      <c r="H187" s="6" t="s">
        <v>21</v>
      </c>
      <c r="I187" s="9" t="n">
        <v>6</v>
      </c>
      <c r="J187" s="9" t="n">
        <v>513.54</v>
      </c>
      <c r="K187" s="9" t="n">
        <v>3081.24</v>
      </c>
      <c r="L187" s="6" t="s">
        <v>666</v>
      </c>
      <c r="M187" s="6"/>
      <c r="N187" s="6"/>
      <c r="O187" s="6" t="s">
        <v>23</v>
      </c>
      <c r="P187" s="6" t="s">
        <v>24</v>
      </c>
    </row>
    <row r="188" customFormat="false" ht="15.75" hidden="false" customHeight="false" outlineLevel="0" collapsed="false">
      <c r="A188" s="2" t="s">
        <v>16</v>
      </c>
      <c r="B188" s="2" t="s">
        <v>140</v>
      </c>
      <c r="C188" s="2" t="s">
        <v>141</v>
      </c>
      <c r="D188" s="2" t="s">
        <v>142</v>
      </c>
      <c r="E188" s="2" t="s">
        <v>28</v>
      </c>
      <c r="F188" s="3" t="n">
        <v>45063</v>
      </c>
      <c r="G188" s="4" t="n">
        <v>0.996459895833333</v>
      </c>
      <c r="H188" s="2" t="s">
        <v>37</v>
      </c>
      <c r="I188" s="5" t="n">
        <v>8</v>
      </c>
      <c r="J188" s="5" t="n">
        <v>755</v>
      </c>
      <c r="K188" s="5" t="n">
        <v>6040</v>
      </c>
      <c r="L188" s="2" t="s">
        <v>667</v>
      </c>
      <c r="M188" s="2" t="s">
        <v>668</v>
      </c>
      <c r="N188" s="2"/>
      <c r="O188" s="2" t="s">
        <v>23</v>
      </c>
      <c r="P188" s="2" t="s">
        <v>24</v>
      </c>
    </row>
    <row r="189" customFormat="false" ht="15.75" hidden="false" customHeight="false" outlineLevel="0" collapsed="false">
      <c r="A189" s="6" t="s">
        <v>16</v>
      </c>
      <c r="B189" s="6" t="s">
        <v>669</v>
      </c>
      <c r="C189" s="6" t="s">
        <v>670</v>
      </c>
      <c r="D189" s="6" t="s">
        <v>65</v>
      </c>
      <c r="E189" s="6" t="s">
        <v>122</v>
      </c>
      <c r="F189" s="7" t="n">
        <v>45063</v>
      </c>
      <c r="G189" s="8" t="n">
        <v>0.590170335648148</v>
      </c>
      <c r="H189" s="6" t="s">
        <v>29</v>
      </c>
      <c r="I189" s="9" t="n">
        <v>672</v>
      </c>
      <c r="J189" s="9" t="n">
        <v>153</v>
      </c>
      <c r="K189" s="9" t="n">
        <v>102816</v>
      </c>
      <c r="L189" s="6" t="s">
        <v>671</v>
      </c>
      <c r="M189" s="6" t="s">
        <v>672</v>
      </c>
      <c r="N189" s="6" t="s">
        <v>673</v>
      </c>
      <c r="O189" s="6" t="s">
        <v>61</v>
      </c>
      <c r="P189" s="6" t="s">
        <v>62</v>
      </c>
    </row>
    <row r="190" customFormat="false" ht="15.75" hidden="false" customHeight="false" outlineLevel="0" collapsed="false">
      <c r="A190" s="2" t="s">
        <v>16</v>
      </c>
      <c r="B190" s="2" t="s">
        <v>674</v>
      </c>
      <c r="C190" s="2" t="s">
        <v>675</v>
      </c>
      <c r="D190" s="2" t="s">
        <v>676</v>
      </c>
      <c r="E190" s="2" t="s">
        <v>553</v>
      </c>
      <c r="F190" s="3" t="n">
        <v>45064</v>
      </c>
      <c r="G190" s="4" t="n">
        <v>0.512479965277778</v>
      </c>
      <c r="H190" s="2" t="s">
        <v>37</v>
      </c>
      <c r="I190" s="5" t="n">
        <v>1</v>
      </c>
      <c r="J190" s="5" t="n">
        <v>323</v>
      </c>
      <c r="K190" s="5" t="n">
        <v>323</v>
      </c>
      <c r="L190" s="2" t="s">
        <v>677</v>
      </c>
      <c r="M190" s="2" t="s">
        <v>678</v>
      </c>
      <c r="N190" s="2"/>
      <c r="O190" s="2" t="s">
        <v>61</v>
      </c>
      <c r="P190" s="2" t="s">
        <v>62</v>
      </c>
    </row>
    <row r="191" customFormat="false" ht="15.75" hidden="false" customHeight="false" outlineLevel="0" collapsed="false">
      <c r="A191" s="6" t="s">
        <v>16</v>
      </c>
      <c r="B191" s="6" t="s">
        <v>679</v>
      </c>
      <c r="C191" s="6" t="s">
        <v>680</v>
      </c>
      <c r="D191" s="6" t="s">
        <v>142</v>
      </c>
      <c r="E191" s="6" t="s">
        <v>28</v>
      </c>
      <c r="F191" s="7" t="n">
        <v>45064</v>
      </c>
      <c r="G191" s="8" t="n">
        <v>0.0439024421296296</v>
      </c>
      <c r="H191" s="6" t="s">
        <v>37</v>
      </c>
      <c r="I191" s="9" t="n">
        <v>1</v>
      </c>
      <c r="J191" s="9" t="n">
        <v>773</v>
      </c>
      <c r="K191" s="9" t="n">
        <v>773</v>
      </c>
      <c r="L191" s="6" t="s">
        <v>681</v>
      </c>
      <c r="M191" s="6" t="s">
        <v>682</v>
      </c>
      <c r="N191" s="6"/>
      <c r="O191" s="6" t="s">
        <v>23</v>
      </c>
      <c r="P191" s="6" t="s">
        <v>24</v>
      </c>
    </row>
    <row r="192" customFormat="false" ht="15.75" hidden="false" customHeight="false" outlineLevel="0" collapsed="false">
      <c r="A192" s="2" t="s">
        <v>16</v>
      </c>
      <c r="B192" s="2" t="s">
        <v>140</v>
      </c>
      <c r="C192" s="2" t="s">
        <v>141</v>
      </c>
      <c r="D192" s="2" t="s">
        <v>142</v>
      </c>
      <c r="E192" s="2" t="s">
        <v>28</v>
      </c>
      <c r="F192" s="3" t="n">
        <v>45065</v>
      </c>
      <c r="G192" s="4" t="n">
        <v>0.805701990740741</v>
      </c>
      <c r="H192" s="2" t="s">
        <v>37</v>
      </c>
      <c r="I192" s="5" t="n">
        <v>2</v>
      </c>
      <c r="J192" s="5" t="n">
        <v>755</v>
      </c>
      <c r="K192" s="5" t="n">
        <v>1510</v>
      </c>
      <c r="L192" s="2" t="s">
        <v>683</v>
      </c>
      <c r="M192" s="2" t="s">
        <v>684</v>
      </c>
      <c r="N192" s="2"/>
      <c r="O192" s="2" t="s">
        <v>23</v>
      </c>
      <c r="P192" s="2" t="s">
        <v>24</v>
      </c>
    </row>
    <row r="193" customFormat="false" ht="15.75" hidden="false" customHeight="false" outlineLevel="0" collapsed="false">
      <c r="A193" s="6" t="s">
        <v>16</v>
      </c>
      <c r="B193" s="6" t="s">
        <v>140</v>
      </c>
      <c r="C193" s="6" t="s">
        <v>141</v>
      </c>
      <c r="D193" s="6" t="s">
        <v>142</v>
      </c>
      <c r="E193" s="6" t="s">
        <v>28</v>
      </c>
      <c r="F193" s="7" t="n">
        <v>45065</v>
      </c>
      <c r="G193" s="8" t="n">
        <v>0.771822094907407</v>
      </c>
      <c r="H193" s="6" t="s">
        <v>37</v>
      </c>
      <c r="I193" s="9" t="n">
        <v>3</v>
      </c>
      <c r="J193" s="9" t="n">
        <v>755</v>
      </c>
      <c r="K193" s="9" t="n">
        <v>2265</v>
      </c>
      <c r="L193" s="6" t="s">
        <v>685</v>
      </c>
      <c r="M193" s="6" t="s">
        <v>686</v>
      </c>
      <c r="N193" s="6"/>
      <c r="O193" s="6" t="s">
        <v>23</v>
      </c>
      <c r="P193" s="6" t="s">
        <v>24</v>
      </c>
    </row>
    <row r="194" customFormat="false" ht="15.75" hidden="false" customHeight="false" outlineLevel="0" collapsed="false">
      <c r="A194" s="2" t="s">
        <v>16</v>
      </c>
      <c r="B194" s="2" t="s">
        <v>687</v>
      </c>
      <c r="C194" s="2" t="s">
        <v>688</v>
      </c>
      <c r="D194" s="2" t="s">
        <v>230</v>
      </c>
      <c r="E194" s="2" t="s">
        <v>107</v>
      </c>
      <c r="F194" s="3" t="n">
        <v>45066</v>
      </c>
      <c r="G194" s="4" t="n">
        <v>0.959184664351852</v>
      </c>
      <c r="H194" s="2" t="s">
        <v>37</v>
      </c>
      <c r="I194" s="5" t="n">
        <v>1</v>
      </c>
      <c r="J194" s="5" t="n">
        <v>484.71</v>
      </c>
      <c r="K194" s="5" t="n">
        <v>484.71</v>
      </c>
      <c r="L194" s="2" t="s">
        <v>689</v>
      </c>
      <c r="M194" s="2" t="s">
        <v>690</v>
      </c>
      <c r="N194" s="2"/>
      <c r="O194" s="2" t="s">
        <v>691</v>
      </c>
      <c r="P194" s="2" t="s">
        <v>692</v>
      </c>
    </row>
    <row r="195" customFormat="false" ht="15.75" hidden="false" customHeight="false" outlineLevel="0" collapsed="false">
      <c r="A195" s="6" t="s">
        <v>16</v>
      </c>
      <c r="B195" s="6" t="s">
        <v>693</v>
      </c>
      <c r="C195" s="6" t="s">
        <v>694</v>
      </c>
      <c r="D195" s="6" t="s">
        <v>622</v>
      </c>
      <c r="E195" s="6" t="s">
        <v>20</v>
      </c>
      <c r="F195" s="7" t="n">
        <v>45066</v>
      </c>
      <c r="G195" s="8" t="n">
        <v>0.834633275462963</v>
      </c>
      <c r="H195" s="6" t="s">
        <v>37</v>
      </c>
      <c r="I195" s="9" t="n">
        <v>53</v>
      </c>
      <c r="J195" s="9" t="n">
        <v>116</v>
      </c>
      <c r="K195" s="9" t="n">
        <v>6148</v>
      </c>
      <c r="L195" s="6" t="s">
        <v>695</v>
      </c>
      <c r="M195" s="6" t="s">
        <v>696</v>
      </c>
      <c r="N195" s="6"/>
      <c r="O195" s="6" t="s">
        <v>110</v>
      </c>
      <c r="P195" s="6" t="s">
        <v>111</v>
      </c>
    </row>
    <row r="196" customFormat="false" ht="15.75" hidden="false" customHeight="false" outlineLevel="0" collapsed="false">
      <c r="A196" s="2" t="s">
        <v>16</v>
      </c>
      <c r="B196" s="2" t="s">
        <v>140</v>
      </c>
      <c r="C196" s="2" t="s">
        <v>141</v>
      </c>
      <c r="D196" s="2" t="s">
        <v>142</v>
      </c>
      <c r="E196" s="2" t="s">
        <v>28</v>
      </c>
      <c r="F196" s="3" t="n">
        <v>45068</v>
      </c>
      <c r="G196" s="4" t="n">
        <v>0.898247407407407</v>
      </c>
      <c r="H196" s="2" t="s">
        <v>37</v>
      </c>
      <c r="I196" s="5" t="n">
        <v>1</v>
      </c>
      <c r="J196" s="5" t="n">
        <v>755</v>
      </c>
      <c r="K196" s="5" t="n">
        <v>755</v>
      </c>
      <c r="L196" s="2" t="s">
        <v>697</v>
      </c>
      <c r="M196" s="2" t="s">
        <v>698</v>
      </c>
      <c r="N196" s="2"/>
      <c r="O196" s="2" t="s">
        <v>23</v>
      </c>
      <c r="P196" s="2" t="s">
        <v>24</v>
      </c>
    </row>
    <row r="197" customFormat="false" ht="15.75" hidden="false" customHeight="false" outlineLevel="0" collapsed="false">
      <c r="A197" s="6" t="s">
        <v>16</v>
      </c>
      <c r="B197" s="6" t="s">
        <v>140</v>
      </c>
      <c r="C197" s="6" t="s">
        <v>141</v>
      </c>
      <c r="D197" s="6" t="s">
        <v>142</v>
      </c>
      <c r="E197" s="6" t="s">
        <v>28</v>
      </c>
      <c r="F197" s="7" t="n">
        <v>45069</v>
      </c>
      <c r="G197" s="8" t="n">
        <v>0.879882824074074</v>
      </c>
      <c r="H197" s="6" t="s">
        <v>37</v>
      </c>
      <c r="I197" s="9" t="n">
        <v>2</v>
      </c>
      <c r="J197" s="9" t="n">
        <v>755</v>
      </c>
      <c r="K197" s="9" t="n">
        <v>1510</v>
      </c>
      <c r="L197" s="6" t="s">
        <v>699</v>
      </c>
      <c r="M197" s="6" t="s">
        <v>700</v>
      </c>
      <c r="N197" s="6"/>
      <c r="O197" s="6" t="s">
        <v>23</v>
      </c>
      <c r="P197" s="6" t="s">
        <v>24</v>
      </c>
    </row>
    <row r="198" customFormat="false" ht="15.75" hidden="false" customHeight="false" outlineLevel="0" collapsed="false">
      <c r="A198" s="2" t="s">
        <v>16</v>
      </c>
      <c r="B198" s="2" t="s">
        <v>78</v>
      </c>
      <c r="C198" s="2" t="s">
        <v>79</v>
      </c>
      <c r="D198" s="2" t="s">
        <v>80</v>
      </c>
      <c r="E198" s="2" t="s">
        <v>28</v>
      </c>
      <c r="F198" s="3" t="n">
        <v>45069</v>
      </c>
      <c r="G198" s="4" t="n">
        <v>0.878743171296296</v>
      </c>
      <c r="H198" s="2" t="s">
        <v>37</v>
      </c>
      <c r="I198" s="5" t="n">
        <v>1</v>
      </c>
      <c r="J198" s="5" t="n">
        <v>170</v>
      </c>
      <c r="K198" s="5" t="n">
        <v>170</v>
      </c>
      <c r="L198" s="2" t="s">
        <v>701</v>
      </c>
      <c r="M198" s="2" t="s">
        <v>702</v>
      </c>
      <c r="N198" s="2"/>
      <c r="O198" s="2" t="s">
        <v>23</v>
      </c>
      <c r="P198" s="2" t="s">
        <v>24</v>
      </c>
    </row>
    <row r="199" customFormat="false" ht="15.75" hidden="false" customHeight="false" outlineLevel="0" collapsed="false">
      <c r="A199" s="6" t="s">
        <v>16</v>
      </c>
      <c r="B199" s="6" t="s">
        <v>507</v>
      </c>
      <c r="C199" s="6" t="s">
        <v>508</v>
      </c>
      <c r="D199" s="6" t="s">
        <v>95</v>
      </c>
      <c r="E199" s="6" t="s">
        <v>96</v>
      </c>
      <c r="F199" s="7" t="n">
        <v>45070</v>
      </c>
      <c r="G199" s="8" t="n">
        <v>0.935947037037037</v>
      </c>
      <c r="H199" s="6" t="s">
        <v>37</v>
      </c>
      <c r="I199" s="9" t="n">
        <v>2</v>
      </c>
      <c r="J199" s="9" t="n">
        <v>45.59</v>
      </c>
      <c r="K199" s="9" t="n">
        <v>91.18</v>
      </c>
      <c r="L199" s="6" t="s">
        <v>703</v>
      </c>
      <c r="M199" s="6" t="s">
        <v>704</v>
      </c>
      <c r="N199" s="6"/>
      <c r="O199" s="6" t="s">
        <v>23</v>
      </c>
      <c r="P199" s="6" t="s">
        <v>24</v>
      </c>
    </row>
    <row r="200" customFormat="false" ht="15.75" hidden="false" customHeight="false" outlineLevel="0" collapsed="false">
      <c r="A200" s="2" t="s">
        <v>16</v>
      </c>
      <c r="B200" s="2" t="s">
        <v>140</v>
      </c>
      <c r="C200" s="2" t="s">
        <v>141</v>
      </c>
      <c r="D200" s="2" t="s">
        <v>142</v>
      </c>
      <c r="E200" s="2" t="s">
        <v>28</v>
      </c>
      <c r="F200" s="3" t="n">
        <v>45070</v>
      </c>
      <c r="G200" s="4" t="n">
        <v>0.913605023148148</v>
      </c>
      <c r="H200" s="2" t="s">
        <v>37</v>
      </c>
      <c r="I200" s="5" t="n">
        <v>1</v>
      </c>
      <c r="J200" s="5" t="n">
        <v>755</v>
      </c>
      <c r="K200" s="5" t="n">
        <v>755</v>
      </c>
      <c r="L200" s="2" t="s">
        <v>705</v>
      </c>
      <c r="M200" s="2" t="s">
        <v>706</v>
      </c>
      <c r="N200" s="2"/>
      <c r="O200" s="2" t="s">
        <v>23</v>
      </c>
      <c r="P200" s="2" t="s">
        <v>24</v>
      </c>
    </row>
    <row r="201" customFormat="false" ht="15.75" hidden="false" customHeight="false" outlineLevel="0" collapsed="false">
      <c r="A201" s="6" t="s">
        <v>16</v>
      </c>
      <c r="B201" s="6" t="s">
        <v>707</v>
      </c>
      <c r="C201" s="6" t="s">
        <v>708</v>
      </c>
      <c r="D201" s="6" t="s">
        <v>337</v>
      </c>
      <c r="E201" s="6" t="s">
        <v>208</v>
      </c>
      <c r="F201" s="7" t="n">
        <v>45070</v>
      </c>
      <c r="G201" s="8" t="n">
        <v>0.709110555555556</v>
      </c>
      <c r="H201" s="6" t="s">
        <v>37</v>
      </c>
      <c r="I201" s="9" t="n">
        <v>1</v>
      </c>
      <c r="J201" s="9" t="n">
        <v>239.66</v>
      </c>
      <c r="K201" s="9" t="n">
        <v>239.66</v>
      </c>
      <c r="L201" s="6" t="s">
        <v>709</v>
      </c>
      <c r="M201" s="6" t="s">
        <v>710</v>
      </c>
      <c r="N201" s="6"/>
      <c r="O201" s="6" t="s">
        <v>61</v>
      </c>
      <c r="P201" s="6" t="s">
        <v>62</v>
      </c>
    </row>
    <row r="202" customFormat="false" ht="15.75" hidden="false" customHeight="false" outlineLevel="0" collapsed="false">
      <c r="A202" s="2" t="s">
        <v>16</v>
      </c>
      <c r="B202" s="2" t="s">
        <v>140</v>
      </c>
      <c r="C202" s="2" t="s">
        <v>141</v>
      </c>
      <c r="D202" s="2" t="s">
        <v>142</v>
      </c>
      <c r="E202" s="2" t="s">
        <v>28</v>
      </c>
      <c r="F202" s="3" t="n">
        <v>45072</v>
      </c>
      <c r="G202" s="4" t="n">
        <v>0.777374710648148</v>
      </c>
      <c r="H202" s="2" t="s">
        <v>37</v>
      </c>
      <c r="I202" s="5" t="n">
        <v>2</v>
      </c>
      <c r="J202" s="5" t="n">
        <v>755</v>
      </c>
      <c r="K202" s="5" t="n">
        <v>1510</v>
      </c>
      <c r="L202" s="2" t="s">
        <v>711</v>
      </c>
      <c r="M202" s="2" t="s">
        <v>712</v>
      </c>
      <c r="N202" s="2"/>
      <c r="O202" s="2" t="s">
        <v>23</v>
      </c>
      <c r="P202" s="2" t="s">
        <v>24</v>
      </c>
    </row>
    <row r="203" customFormat="false" ht="15.75" hidden="false" customHeight="false" outlineLevel="0" collapsed="false">
      <c r="A203" s="6" t="s">
        <v>16</v>
      </c>
      <c r="B203" s="6" t="s">
        <v>140</v>
      </c>
      <c r="C203" s="6" t="s">
        <v>141</v>
      </c>
      <c r="D203" s="6" t="s">
        <v>142</v>
      </c>
      <c r="E203" s="6" t="s">
        <v>28</v>
      </c>
      <c r="F203" s="7" t="n">
        <v>45072</v>
      </c>
      <c r="G203" s="8" t="n">
        <v>0.472055509259259</v>
      </c>
      <c r="H203" s="6" t="s">
        <v>37</v>
      </c>
      <c r="I203" s="9" t="n">
        <v>3</v>
      </c>
      <c r="J203" s="9" t="n">
        <v>755</v>
      </c>
      <c r="K203" s="9" t="n">
        <v>2265</v>
      </c>
      <c r="L203" s="6" t="s">
        <v>713</v>
      </c>
      <c r="M203" s="6" t="s">
        <v>714</v>
      </c>
      <c r="N203" s="6"/>
      <c r="O203" s="6" t="s">
        <v>23</v>
      </c>
      <c r="P203" s="6" t="s">
        <v>24</v>
      </c>
    </row>
    <row r="204" customFormat="false" ht="15.75" hidden="false" customHeight="false" outlineLevel="0" collapsed="false">
      <c r="A204" s="2" t="s">
        <v>16</v>
      </c>
      <c r="B204" s="2" t="s">
        <v>715</v>
      </c>
      <c r="C204" s="2" t="s">
        <v>716</v>
      </c>
      <c r="D204" s="2" t="s">
        <v>487</v>
      </c>
      <c r="E204" s="2" t="s">
        <v>333</v>
      </c>
      <c r="F204" s="3" t="n">
        <v>45073</v>
      </c>
      <c r="G204" s="4" t="n">
        <v>0.959635590277778</v>
      </c>
      <c r="H204" s="2" t="s">
        <v>37</v>
      </c>
      <c r="I204" s="5" t="n">
        <v>2</v>
      </c>
      <c r="J204" s="5" t="n">
        <v>1200</v>
      </c>
      <c r="K204" s="5" t="n">
        <v>2400</v>
      </c>
      <c r="L204" s="2" t="s">
        <v>717</v>
      </c>
      <c r="M204" s="2" t="s">
        <v>718</v>
      </c>
      <c r="N204" s="2"/>
      <c r="O204" s="2" t="s">
        <v>23</v>
      </c>
      <c r="P204" s="2" t="s">
        <v>24</v>
      </c>
    </row>
    <row r="205" customFormat="false" ht="15.75" hidden="false" customHeight="false" outlineLevel="0" collapsed="false">
      <c r="A205" s="6" t="s">
        <v>16</v>
      </c>
      <c r="B205" s="6" t="s">
        <v>719</v>
      </c>
      <c r="C205" s="6" t="s">
        <v>720</v>
      </c>
      <c r="D205" s="6" t="s">
        <v>19</v>
      </c>
      <c r="E205" s="6" t="s">
        <v>20</v>
      </c>
      <c r="F205" s="7" t="n">
        <v>45073</v>
      </c>
      <c r="G205" s="8" t="n">
        <v>0.520634722222222</v>
      </c>
      <c r="H205" s="6" t="s">
        <v>37</v>
      </c>
      <c r="I205" s="9" t="n">
        <v>2</v>
      </c>
      <c r="J205" s="9" t="n">
        <v>1800</v>
      </c>
      <c r="K205" s="9" t="n">
        <v>3600</v>
      </c>
      <c r="L205" s="6" t="s">
        <v>721</v>
      </c>
      <c r="M205" s="6" t="s">
        <v>722</v>
      </c>
      <c r="N205" s="6"/>
      <c r="O205" s="6" t="s">
        <v>61</v>
      </c>
      <c r="P205" s="6" t="s">
        <v>62</v>
      </c>
    </row>
    <row r="206" customFormat="false" ht="15.75" hidden="false" customHeight="false" outlineLevel="0" collapsed="false">
      <c r="A206" s="2" t="s">
        <v>16</v>
      </c>
      <c r="B206" s="2" t="s">
        <v>723</v>
      </c>
      <c r="C206" s="2" t="s">
        <v>724</v>
      </c>
      <c r="D206" s="2" t="s">
        <v>19</v>
      </c>
      <c r="E206" s="2" t="s">
        <v>20</v>
      </c>
      <c r="F206" s="3" t="n">
        <v>45073</v>
      </c>
      <c r="G206" s="4" t="n">
        <v>0.520312118055556</v>
      </c>
      <c r="H206" s="2" t="s">
        <v>37</v>
      </c>
      <c r="I206" s="5" t="n">
        <v>1</v>
      </c>
      <c r="J206" s="5" t="n">
        <v>195</v>
      </c>
      <c r="K206" s="5" t="n">
        <v>195</v>
      </c>
      <c r="L206" s="2" t="s">
        <v>725</v>
      </c>
      <c r="M206" s="2" t="s">
        <v>726</v>
      </c>
      <c r="N206" s="2"/>
      <c r="O206" s="2" t="s">
        <v>61</v>
      </c>
      <c r="P206" s="2" t="s">
        <v>62</v>
      </c>
    </row>
    <row r="207" customFormat="false" ht="15.75" hidden="false" customHeight="false" outlineLevel="0" collapsed="false">
      <c r="A207" s="6" t="s">
        <v>16</v>
      </c>
      <c r="B207" s="6" t="s">
        <v>727</v>
      </c>
      <c r="C207" s="6" t="s">
        <v>728</v>
      </c>
      <c r="D207" s="6" t="s">
        <v>19</v>
      </c>
      <c r="E207" s="6" t="s">
        <v>20</v>
      </c>
      <c r="F207" s="7" t="n">
        <v>45073</v>
      </c>
      <c r="G207" s="8" t="n">
        <v>0.519871759259259</v>
      </c>
      <c r="H207" s="6" t="s">
        <v>37</v>
      </c>
      <c r="I207" s="9" t="n">
        <v>1</v>
      </c>
      <c r="J207" s="9" t="n">
        <v>569</v>
      </c>
      <c r="K207" s="9" t="n">
        <v>569</v>
      </c>
      <c r="L207" s="6" t="s">
        <v>729</v>
      </c>
      <c r="M207" s="6" t="s">
        <v>730</v>
      </c>
      <c r="N207" s="6"/>
      <c r="O207" s="6" t="s">
        <v>61</v>
      </c>
      <c r="P207" s="6" t="s">
        <v>62</v>
      </c>
    </row>
    <row r="208" customFormat="false" ht="15.75" hidden="false" customHeight="false" outlineLevel="0" collapsed="false">
      <c r="A208" s="2" t="s">
        <v>16</v>
      </c>
      <c r="B208" s="2" t="s">
        <v>286</v>
      </c>
      <c r="C208" s="2" t="s">
        <v>287</v>
      </c>
      <c r="D208" s="2" t="s">
        <v>19</v>
      </c>
      <c r="E208" s="2" t="s">
        <v>20</v>
      </c>
      <c r="F208" s="3" t="n">
        <v>45073</v>
      </c>
      <c r="G208" s="4" t="n">
        <v>0.517900023148148</v>
      </c>
      <c r="H208" s="2" t="s">
        <v>37</v>
      </c>
      <c r="I208" s="5" t="n">
        <v>1</v>
      </c>
      <c r="J208" s="5" t="n">
        <v>2500</v>
      </c>
      <c r="K208" s="5" t="n">
        <v>2500</v>
      </c>
      <c r="L208" s="2" t="s">
        <v>731</v>
      </c>
      <c r="M208" s="2" t="s">
        <v>732</v>
      </c>
      <c r="N208" s="2"/>
      <c r="O208" s="2" t="s">
        <v>61</v>
      </c>
      <c r="P208" s="2" t="s">
        <v>62</v>
      </c>
    </row>
    <row r="209" customFormat="false" ht="15.75" hidden="false" customHeight="false" outlineLevel="0" collapsed="false">
      <c r="A209" s="6" t="s">
        <v>16</v>
      </c>
      <c r="B209" s="6" t="s">
        <v>733</v>
      </c>
      <c r="C209" s="6" t="s">
        <v>734</v>
      </c>
      <c r="D209" s="6" t="s">
        <v>735</v>
      </c>
      <c r="E209" s="6" t="s">
        <v>736</v>
      </c>
      <c r="F209" s="7" t="n">
        <v>45073</v>
      </c>
      <c r="G209" s="8" t="n">
        <v>0.477019675925926</v>
      </c>
      <c r="H209" s="6" t="s">
        <v>37</v>
      </c>
      <c r="I209" s="9" t="n">
        <v>1</v>
      </c>
      <c r="J209" s="9" t="n">
        <v>3214.33</v>
      </c>
      <c r="K209" s="9" t="n">
        <v>3214.33</v>
      </c>
      <c r="L209" s="6" t="s">
        <v>737</v>
      </c>
      <c r="M209" s="6" t="s">
        <v>738</v>
      </c>
      <c r="N209" s="6"/>
      <c r="O209" s="6" t="s">
        <v>61</v>
      </c>
      <c r="P209" s="6" t="s">
        <v>62</v>
      </c>
    </row>
    <row r="210" customFormat="false" ht="15.75" hidden="false" customHeight="false" outlineLevel="0" collapsed="false">
      <c r="A210" s="2" t="s">
        <v>16</v>
      </c>
      <c r="B210" s="2" t="s">
        <v>238</v>
      </c>
      <c r="C210" s="2" t="s">
        <v>239</v>
      </c>
      <c r="D210" s="2" t="s">
        <v>95</v>
      </c>
      <c r="E210" s="2" t="s">
        <v>96</v>
      </c>
      <c r="F210" s="3" t="n">
        <v>45074</v>
      </c>
      <c r="G210" s="4" t="n">
        <v>0.96523849537037</v>
      </c>
      <c r="H210" s="2" t="s">
        <v>37</v>
      </c>
      <c r="I210" s="5" t="n">
        <v>6</v>
      </c>
      <c r="J210" s="5" t="n">
        <v>55.25</v>
      </c>
      <c r="K210" s="5" t="n">
        <v>331.5</v>
      </c>
      <c r="L210" s="2" t="s">
        <v>739</v>
      </c>
      <c r="M210" s="2" t="s">
        <v>740</v>
      </c>
      <c r="N210" s="2"/>
      <c r="O210" s="2" t="s">
        <v>23</v>
      </c>
      <c r="P210" s="2" t="s">
        <v>24</v>
      </c>
    </row>
    <row r="211" customFormat="false" ht="15.75" hidden="false" customHeight="false" outlineLevel="0" collapsed="false">
      <c r="A211" s="6" t="s">
        <v>16</v>
      </c>
      <c r="B211" s="6" t="s">
        <v>210</v>
      </c>
      <c r="C211" s="6" t="s">
        <v>211</v>
      </c>
      <c r="D211" s="6" t="s">
        <v>212</v>
      </c>
      <c r="E211" s="6" t="s">
        <v>96</v>
      </c>
      <c r="F211" s="7" t="n">
        <v>45074</v>
      </c>
      <c r="G211" s="8" t="n">
        <v>0.964724259259259</v>
      </c>
      <c r="H211" s="6" t="s">
        <v>37</v>
      </c>
      <c r="I211" s="9" t="n">
        <v>4</v>
      </c>
      <c r="J211" s="9" t="n">
        <v>107.91</v>
      </c>
      <c r="K211" s="9" t="n">
        <v>431.64</v>
      </c>
      <c r="L211" s="6" t="s">
        <v>741</v>
      </c>
      <c r="M211" s="6" t="s">
        <v>742</v>
      </c>
      <c r="N211" s="6"/>
      <c r="O211" s="6" t="s">
        <v>23</v>
      </c>
      <c r="P211" s="6" t="s">
        <v>24</v>
      </c>
    </row>
    <row r="212" customFormat="false" ht="15.75" hidden="false" customHeight="false" outlineLevel="0" collapsed="false">
      <c r="A212" s="2" t="s">
        <v>16</v>
      </c>
      <c r="B212" s="2" t="s">
        <v>507</v>
      </c>
      <c r="C212" s="2" t="s">
        <v>508</v>
      </c>
      <c r="D212" s="2" t="s">
        <v>95</v>
      </c>
      <c r="E212" s="2" t="s">
        <v>96</v>
      </c>
      <c r="F212" s="3" t="n">
        <v>45074</v>
      </c>
      <c r="G212" s="4" t="n">
        <v>0.963978090277778</v>
      </c>
      <c r="H212" s="2" t="s">
        <v>37</v>
      </c>
      <c r="I212" s="5" t="n">
        <v>1</v>
      </c>
      <c r="J212" s="5" t="n">
        <v>45.59</v>
      </c>
      <c r="K212" s="5" t="n">
        <v>45.59</v>
      </c>
      <c r="L212" s="2" t="s">
        <v>743</v>
      </c>
      <c r="M212" s="2" t="s">
        <v>744</v>
      </c>
      <c r="N212" s="2"/>
      <c r="O212" s="2" t="s">
        <v>23</v>
      </c>
      <c r="P212" s="2" t="s">
        <v>24</v>
      </c>
    </row>
    <row r="213" customFormat="false" ht="15.75" hidden="false" customHeight="false" outlineLevel="0" collapsed="false">
      <c r="A213" s="6" t="s">
        <v>16</v>
      </c>
      <c r="B213" s="6" t="s">
        <v>745</v>
      </c>
      <c r="C213" s="6" t="s">
        <v>746</v>
      </c>
      <c r="D213" s="6" t="s">
        <v>747</v>
      </c>
      <c r="E213" s="6" t="s">
        <v>90</v>
      </c>
      <c r="F213" s="7" t="n">
        <v>45074</v>
      </c>
      <c r="G213" s="8" t="n">
        <v>0.839860462962963</v>
      </c>
      <c r="H213" s="6" t="s">
        <v>37</v>
      </c>
      <c r="I213" s="9" t="n">
        <v>1</v>
      </c>
      <c r="J213" s="9" t="n">
        <v>790.5</v>
      </c>
      <c r="K213" s="9" t="n">
        <v>790.5</v>
      </c>
      <c r="L213" s="6" t="s">
        <v>748</v>
      </c>
      <c r="M213" s="6" t="s">
        <v>749</v>
      </c>
      <c r="N213" s="6"/>
      <c r="O213" s="6" t="s">
        <v>23</v>
      </c>
      <c r="P213" s="6" t="s">
        <v>24</v>
      </c>
    </row>
    <row r="214" customFormat="false" ht="15.75" hidden="false" customHeight="false" outlineLevel="0" collapsed="false">
      <c r="A214" s="2" t="s">
        <v>16</v>
      </c>
      <c r="B214" s="2" t="s">
        <v>385</v>
      </c>
      <c r="C214" s="2" t="s">
        <v>386</v>
      </c>
      <c r="D214" s="2" t="s">
        <v>142</v>
      </c>
      <c r="E214" s="2" t="s">
        <v>28</v>
      </c>
      <c r="F214" s="3" t="n">
        <v>45074</v>
      </c>
      <c r="G214" s="4" t="n">
        <v>0.830230046296296</v>
      </c>
      <c r="H214" s="2" t="s">
        <v>37</v>
      </c>
      <c r="I214" s="5" t="n">
        <v>1</v>
      </c>
      <c r="J214" s="5" t="n">
        <v>1155</v>
      </c>
      <c r="K214" s="5" t="n">
        <v>1155</v>
      </c>
      <c r="L214" s="2" t="s">
        <v>750</v>
      </c>
      <c r="M214" s="2" t="s">
        <v>751</v>
      </c>
      <c r="N214" s="2"/>
      <c r="O214" s="2" t="s">
        <v>23</v>
      </c>
      <c r="P214" s="2" t="s">
        <v>24</v>
      </c>
    </row>
    <row r="215" customFormat="false" ht="15.75" hidden="false" customHeight="false" outlineLevel="0" collapsed="false">
      <c r="A215" s="6" t="s">
        <v>16</v>
      </c>
      <c r="B215" s="6" t="s">
        <v>752</v>
      </c>
      <c r="C215" s="6" t="s">
        <v>753</v>
      </c>
      <c r="D215" s="6" t="s">
        <v>754</v>
      </c>
      <c r="E215" s="6" t="s">
        <v>208</v>
      </c>
      <c r="F215" s="7" t="n">
        <v>45075</v>
      </c>
      <c r="G215" s="8" t="n">
        <v>0.919885509259259</v>
      </c>
      <c r="H215" s="6" t="s">
        <v>21</v>
      </c>
      <c r="I215" s="9" t="n">
        <v>6</v>
      </c>
      <c r="J215" s="9" t="n">
        <v>864.58</v>
      </c>
      <c r="K215" s="9" t="n">
        <v>5187.48</v>
      </c>
      <c r="L215" s="6" t="s">
        <v>755</v>
      </c>
      <c r="M215" s="6"/>
      <c r="N215" s="6"/>
      <c r="O215" s="6" t="s">
        <v>23</v>
      </c>
      <c r="P215" s="6" t="s">
        <v>24</v>
      </c>
    </row>
    <row r="216" customFormat="false" ht="15.75" hidden="false" customHeight="false" outlineLevel="0" collapsed="false">
      <c r="A216" s="2" t="s">
        <v>16</v>
      </c>
      <c r="B216" s="2" t="s">
        <v>756</v>
      </c>
      <c r="C216" s="2" t="s">
        <v>757</v>
      </c>
      <c r="D216" s="2" t="s">
        <v>758</v>
      </c>
      <c r="E216" s="2" t="s">
        <v>122</v>
      </c>
      <c r="F216" s="3" t="n">
        <v>45076</v>
      </c>
      <c r="G216" s="4" t="n">
        <v>0.951699305555556</v>
      </c>
      <c r="H216" s="2" t="s">
        <v>21</v>
      </c>
      <c r="I216" s="5" t="n">
        <v>3</v>
      </c>
      <c r="J216" s="5" t="n">
        <v>216</v>
      </c>
      <c r="K216" s="5" t="n">
        <v>648</v>
      </c>
      <c r="L216" s="2" t="s">
        <v>759</v>
      </c>
      <c r="M216" s="2"/>
      <c r="N216" s="2"/>
      <c r="O216" s="2" t="s">
        <v>23</v>
      </c>
      <c r="P216" s="2" t="s">
        <v>24</v>
      </c>
    </row>
    <row r="217" customFormat="false" ht="15.75" hidden="false" customHeight="false" outlineLevel="0" collapsed="false">
      <c r="A217" s="6" t="s">
        <v>16</v>
      </c>
      <c r="B217" s="6" t="s">
        <v>760</v>
      </c>
      <c r="C217" s="6" t="s">
        <v>761</v>
      </c>
      <c r="D217" s="6" t="s">
        <v>762</v>
      </c>
      <c r="E217" s="6" t="s">
        <v>736</v>
      </c>
      <c r="F217" s="7" t="n">
        <v>45076</v>
      </c>
      <c r="G217" s="8" t="n">
        <v>0.814601064814815</v>
      </c>
      <c r="H217" s="6" t="s">
        <v>21</v>
      </c>
      <c r="I217" s="9" t="n">
        <v>16</v>
      </c>
      <c r="J217" s="9" t="n">
        <v>1536.23</v>
      </c>
      <c r="K217" s="9" t="n">
        <v>24579.68</v>
      </c>
      <c r="L217" s="6" t="s">
        <v>763</v>
      </c>
      <c r="M217" s="6"/>
      <c r="N217" s="6"/>
      <c r="O217" s="6" t="s">
        <v>23</v>
      </c>
      <c r="P217" s="6" t="s">
        <v>24</v>
      </c>
    </row>
    <row r="218" customFormat="false" ht="15.75" hidden="false" customHeight="false" outlineLevel="0" collapsed="false">
      <c r="A218" s="2" t="s">
        <v>16</v>
      </c>
      <c r="B218" s="2" t="s">
        <v>764</v>
      </c>
      <c r="C218" s="2" t="s">
        <v>765</v>
      </c>
      <c r="D218" s="2" t="s">
        <v>85</v>
      </c>
      <c r="E218" s="2" t="s">
        <v>28</v>
      </c>
      <c r="F218" s="3" t="n">
        <v>45077</v>
      </c>
      <c r="G218" s="4" t="n">
        <v>0.81227119212963</v>
      </c>
      <c r="H218" s="2" t="s">
        <v>37</v>
      </c>
      <c r="I218" s="5" t="n">
        <v>1</v>
      </c>
      <c r="J218" s="5" t="n">
        <v>576</v>
      </c>
      <c r="K218" s="5" t="n">
        <v>576</v>
      </c>
      <c r="L218" s="2" t="s">
        <v>766</v>
      </c>
      <c r="M218" s="2" t="s">
        <v>767</v>
      </c>
      <c r="N218" s="2"/>
      <c r="O218" s="2" t="s">
        <v>23</v>
      </c>
      <c r="P218" s="2" t="s">
        <v>24</v>
      </c>
    </row>
    <row r="219" customFormat="false" ht="15.75" hidden="false" customHeight="false" outlineLevel="0" collapsed="false">
      <c r="A219" s="6" t="s">
        <v>16</v>
      </c>
      <c r="B219" s="6" t="s">
        <v>768</v>
      </c>
      <c r="C219" s="6" t="s">
        <v>769</v>
      </c>
      <c r="D219" s="6" t="s">
        <v>659</v>
      </c>
      <c r="E219" s="6" t="s">
        <v>28</v>
      </c>
      <c r="F219" s="7" t="n">
        <v>45077</v>
      </c>
      <c r="G219" s="8" t="n">
        <v>0.811155451388889</v>
      </c>
      <c r="H219" s="6" t="s">
        <v>37</v>
      </c>
      <c r="I219" s="9" t="n">
        <v>1</v>
      </c>
      <c r="J219" s="9" t="n">
        <v>726</v>
      </c>
      <c r="K219" s="9" t="n">
        <v>726</v>
      </c>
      <c r="L219" s="6" t="s">
        <v>770</v>
      </c>
      <c r="M219" s="6" t="s">
        <v>771</v>
      </c>
      <c r="N219" s="6"/>
      <c r="O219" s="6" t="s">
        <v>23</v>
      </c>
      <c r="P219" s="6" t="s">
        <v>24</v>
      </c>
    </row>
    <row r="220" customFormat="false" ht="15.75" hidden="false" customHeight="false" outlineLevel="0" collapsed="false">
      <c r="A220" s="2" t="s">
        <v>16</v>
      </c>
      <c r="B220" s="2" t="s">
        <v>772</v>
      </c>
      <c r="C220" s="2" t="s">
        <v>773</v>
      </c>
      <c r="D220" s="2" t="s">
        <v>747</v>
      </c>
      <c r="E220" s="2" t="s">
        <v>90</v>
      </c>
      <c r="F220" s="3" t="n">
        <v>45078</v>
      </c>
      <c r="G220" s="4" t="n">
        <v>0.535605821759259</v>
      </c>
      <c r="H220" s="2" t="s">
        <v>29</v>
      </c>
      <c r="I220" s="5" t="n">
        <v>278</v>
      </c>
      <c r="J220" s="5" t="n">
        <v>2200</v>
      </c>
      <c r="K220" s="5" t="n">
        <v>611600</v>
      </c>
      <c r="L220" s="2" t="s">
        <v>774</v>
      </c>
      <c r="M220" s="2" t="s">
        <v>775</v>
      </c>
      <c r="N220" s="2" t="s">
        <v>776</v>
      </c>
      <c r="O220" s="2" t="s">
        <v>61</v>
      </c>
      <c r="P220" s="2" t="s">
        <v>62</v>
      </c>
    </row>
    <row r="221" customFormat="false" ht="15.75" hidden="false" customHeight="false" outlineLevel="0" collapsed="false">
      <c r="A221" s="6" t="s">
        <v>16</v>
      </c>
      <c r="B221" s="6" t="s">
        <v>777</v>
      </c>
      <c r="C221" s="6" t="s">
        <v>778</v>
      </c>
      <c r="D221" s="6" t="s">
        <v>779</v>
      </c>
      <c r="E221" s="6" t="s">
        <v>28</v>
      </c>
      <c r="F221" s="7" t="n">
        <v>45080</v>
      </c>
      <c r="G221" s="8" t="n">
        <v>0.993037349537037</v>
      </c>
      <c r="H221" s="6" t="s">
        <v>21</v>
      </c>
      <c r="I221" s="9" t="n">
        <v>1</v>
      </c>
      <c r="J221" s="9" t="n">
        <v>960</v>
      </c>
      <c r="K221" s="9" t="n">
        <v>960</v>
      </c>
      <c r="L221" s="6" t="s">
        <v>780</v>
      </c>
      <c r="M221" s="6"/>
      <c r="N221" s="6"/>
      <c r="O221" s="6" t="s">
        <v>23</v>
      </c>
      <c r="P221" s="6" t="s">
        <v>24</v>
      </c>
    </row>
    <row r="222" customFormat="false" ht="15.75" hidden="false" customHeight="false" outlineLevel="0" collapsed="false">
      <c r="A222" s="2" t="s">
        <v>16</v>
      </c>
      <c r="B222" s="2" t="s">
        <v>781</v>
      </c>
      <c r="C222" s="2" t="s">
        <v>782</v>
      </c>
      <c r="D222" s="2" t="s">
        <v>783</v>
      </c>
      <c r="E222" s="2" t="s">
        <v>28</v>
      </c>
      <c r="F222" s="3" t="n">
        <v>45080</v>
      </c>
      <c r="G222" s="4" t="n">
        <v>0.787124456018519</v>
      </c>
      <c r="H222" s="2" t="s">
        <v>37</v>
      </c>
      <c r="I222" s="5" t="n">
        <v>1</v>
      </c>
      <c r="J222" s="5" t="n">
        <v>511</v>
      </c>
      <c r="K222" s="5" t="n">
        <v>511</v>
      </c>
      <c r="L222" s="2" t="s">
        <v>784</v>
      </c>
      <c r="M222" s="2" t="s">
        <v>785</v>
      </c>
      <c r="N222" s="2"/>
      <c r="O222" s="2" t="s">
        <v>23</v>
      </c>
      <c r="P222" s="2" t="s">
        <v>24</v>
      </c>
    </row>
    <row r="223" customFormat="false" ht="15.75" hidden="false" customHeight="false" outlineLevel="0" collapsed="false">
      <c r="A223" s="6" t="s">
        <v>16</v>
      </c>
      <c r="B223" s="6" t="s">
        <v>514</v>
      </c>
      <c r="C223" s="6" t="s">
        <v>515</v>
      </c>
      <c r="D223" s="6" t="s">
        <v>19</v>
      </c>
      <c r="E223" s="6" t="s">
        <v>20</v>
      </c>
      <c r="F223" s="7" t="n">
        <v>45081</v>
      </c>
      <c r="G223" s="8" t="n">
        <v>0.428590104166667</v>
      </c>
      <c r="H223" s="6" t="s">
        <v>37</v>
      </c>
      <c r="I223" s="9" t="n">
        <v>3</v>
      </c>
      <c r="J223" s="9" t="n">
        <v>2180</v>
      </c>
      <c r="K223" s="9" t="n">
        <v>6540</v>
      </c>
      <c r="L223" s="6" t="s">
        <v>786</v>
      </c>
      <c r="M223" s="6" t="s">
        <v>787</v>
      </c>
      <c r="N223" s="6"/>
      <c r="O223" s="6" t="s">
        <v>61</v>
      </c>
      <c r="P223" s="6" t="s">
        <v>62</v>
      </c>
    </row>
    <row r="224" customFormat="false" ht="15.75" hidden="false" customHeight="false" outlineLevel="0" collapsed="false">
      <c r="A224" s="2" t="s">
        <v>16</v>
      </c>
      <c r="B224" s="2" t="s">
        <v>719</v>
      </c>
      <c r="C224" s="2" t="s">
        <v>720</v>
      </c>
      <c r="D224" s="2" t="s">
        <v>19</v>
      </c>
      <c r="E224" s="2" t="s">
        <v>20</v>
      </c>
      <c r="F224" s="3" t="n">
        <v>45081</v>
      </c>
      <c r="G224" s="4" t="n">
        <v>0.426500497685185</v>
      </c>
      <c r="H224" s="2" t="s">
        <v>37</v>
      </c>
      <c r="I224" s="5" t="n">
        <v>4</v>
      </c>
      <c r="J224" s="5" t="n">
        <v>1800</v>
      </c>
      <c r="K224" s="5" t="n">
        <v>7200</v>
      </c>
      <c r="L224" s="2" t="s">
        <v>788</v>
      </c>
      <c r="M224" s="2" t="s">
        <v>789</v>
      </c>
      <c r="N224" s="2"/>
      <c r="O224" s="2" t="s">
        <v>61</v>
      </c>
      <c r="P224" s="2" t="s">
        <v>62</v>
      </c>
    </row>
    <row r="225" customFormat="false" ht="15.75" hidden="false" customHeight="false" outlineLevel="0" collapsed="false">
      <c r="A225" s="6" t="s">
        <v>16</v>
      </c>
      <c r="B225" s="6" t="s">
        <v>790</v>
      </c>
      <c r="C225" s="6" t="s">
        <v>791</v>
      </c>
      <c r="D225" s="6" t="s">
        <v>792</v>
      </c>
      <c r="E225" s="6" t="s">
        <v>107</v>
      </c>
      <c r="F225" s="7" t="n">
        <v>45081</v>
      </c>
      <c r="G225" s="8" t="n">
        <v>0.425783101851852</v>
      </c>
      <c r="H225" s="6" t="s">
        <v>37</v>
      </c>
      <c r="I225" s="9" t="n">
        <v>1</v>
      </c>
      <c r="J225" s="9" t="n">
        <v>17.41</v>
      </c>
      <c r="K225" s="9" t="n">
        <v>17.41</v>
      </c>
      <c r="L225" s="6" t="s">
        <v>793</v>
      </c>
      <c r="M225" s="6" t="s">
        <v>794</v>
      </c>
      <c r="N225" s="6"/>
      <c r="O225" s="6" t="s">
        <v>61</v>
      </c>
      <c r="P225" s="6" t="s">
        <v>62</v>
      </c>
    </row>
    <row r="226" customFormat="false" ht="15.75" hidden="false" customHeight="false" outlineLevel="0" collapsed="false">
      <c r="A226" s="2" t="s">
        <v>16</v>
      </c>
      <c r="B226" s="2" t="s">
        <v>795</v>
      </c>
      <c r="C226" s="2" t="s">
        <v>796</v>
      </c>
      <c r="D226" s="2" t="s">
        <v>758</v>
      </c>
      <c r="E226" s="2" t="s">
        <v>122</v>
      </c>
      <c r="F226" s="3" t="n">
        <v>45082</v>
      </c>
      <c r="G226" s="4" t="n">
        <v>0.904552476851852</v>
      </c>
      <c r="H226" s="2" t="s">
        <v>21</v>
      </c>
      <c r="I226" s="5" t="n">
        <v>14</v>
      </c>
      <c r="J226" s="5" t="n">
        <v>269.97</v>
      </c>
      <c r="K226" s="5" t="n">
        <v>3779.58</v>
      </c>
      <c r="L226" s="2" t="s">
        <v>797</v>
      </c>
      <c r="M226" s="2"/>
      <c r="N226" s="2"/>
      <c r="O226" s="2" t="s">
        <v>23</v>
      </c>
      <c r="P226" s="2" t="s">
        <v>24</v>
      </c>
    </row>
    <row r="227" customFormat="false" ht="15.75" hidden="false" customHeight="false" outlineLevel="0" collapsed="false">
      <c r="A227" s="6" t="s">
        <v>16</v>
      </c>
      <c r="B227" s="6" t="s">
        <v>596</v>
      </c>
      <c r="C227" s="6" t="s">
        <v>597</v>
      </c>
      <c r="D227" s="6" t="s">
        <v>19</v>
      </c>
      <c r="E227" s="6" t="s">
        <v>20</v>
      </c>
      <c r="F227" s="7" t="n">
        <v>45082</v>
      </c>
      <c r="G227" s="8" t="n">
        <v>0.870015173611111</v>
      </c>
      <c r="H227" s="6" t="s">
        <v>37</v>
      </c>
      <c r="I227" s="9" t="n">
        <v>1</v>
      </c>
      <c r="J227" s="9" t="n">
        <v>272</v>
      </c>
      <c r="K227" s="9" t="n">
        <v>272</v>
      </c>
      <c r="L227" s="6" t="s">
        <v>798</v>
      </c>
      <c r="M227" s="6" t="s">
        <v>799</v>
      </c>
      <c r="N227" s="6"/>
      <c r="O227" s="6" t="s">
        <v>23</v>
      </c>
      <c r="P227" s="6" t="s">
        <v>24</v>
      </c>
    </row>
    <row r="228" customFormat="false" ht="15.75" hidden="false" customHeight="false" outlineLevel="0" collapsed="false">
      <c r="A228" s="2" t="s">
        <v>16</v>
      </c>
      <c r="B228" s="2" t="s">
        <v>415</v>
      </c>
      <c r="C228" s="2" t="s">
        <v>416</v>
      </c>
      <c r="D228" s="2" t="s">
        <v>70</v>
      </c>
      <c r="E228" s="2" t="s">
        <v>71</v>
      </c>
      <c r="F228" s="3" t="n">
        <v>45082</v>
      </c>
      <c r="G228" s="4" t="n">
        <v>0.784257962962963</v>
      </c>
      <c r="H228" s="2" t="s">
        <v>37</v>
      </c>
      <c r="I228" s="5" t="n">
        <v>11</v>
      </c>
      <c r="J228" s="5" t="n">
        <v>52.7</v>
      </c>
      <c r="K228" s="5" t="n">
        <v>579.7</v>
      </c>
      <c r="L228" s="2" t="s">
        <v>800</v>
      </c>
      <c r="M228" s="2" t="s">
        <v>801</v>
      </c>
      <c r="N228" s="2"/>
      <c r="O228" s="2" t="s">
        <v>23</v>
      </c>
      <c r="P228" s="2" t="s">
        <v>24</v>
      </c>
    </row>
    <row r="229" customFormat="false" ht="15.75" hidden="false" customHeight="false" outlineLevel="0" collapsed="false">
      <c r="A229" s="6" t="s">
        <v>16</v>
      </c>
      <c r="B229" s="6" t="s">
        <v>802</v>
      </c>
      <c r="C229" s="6" t="s">
        <v>803</v>
      </c>
      <c r="D229" s="6" t="s">
        <v>70</v>
      </c>
      <c r="E229" s="6" t="s">
        <v>71</v>
      </c>
      <c r="F229" s="7" t="n">
        <v>45082</v>
      </c>
      <c r="G229" s="8" t="n">
        <v>0.783231666666667</v>
      </c>
      <c r="H229" s="6" t="s">
        <v>37</v>
      </c>
      <c r="I229" s="9" t="n">
        <v>3</v>
      </c>
      <c r="J229" s="9" t="n">
        <v>52.7</v>
      </c>
      <c r="K229" s="9" t="n">
        <v>158.1</v>
      </c>
      <c r="L229" s="6" t="s">
        <v>804</v>
      </c>
      <c r="M229" s="6" t="s">
        <v>805</v>
      </c>
      <c r="N229" s="6"/>
      <c r="O229" s="6" t="s">
        <v>23</v>
      </c>
      <c r="P229" s="6" t="s">
        <v>24</v>
      </c>
    </row>
    <row r="230" customFormat="false" ht="15.75" hidden="false" customHeight="false" outlineLevel="0" collapsed="false">
      <c r="A230" s="2" t="s">
        <v>16</v>
      </c>
      <c r="B230" s="2" t="s">
        <v>806</v>
      </c>
      <c r="C230" s="2" t="s">
        <v>807</v>
      </c>
      <c r="D230" s="2" t="s">
        <v>121</v>
      </c>
      <c r="E230" s="2" t="s">
        <v>66</v>
      </c>
      <c r="F230" s="3" t="n">
        <v>45083</v>
      </c>
      <c r="G230" s="4" t="n">
        <v>0.861500590277778</v>
      </c>
      <c r="H230" s="2" t="s">
        <v>37</v>
      </c>
      <c r="I230" s="5" t="n">
        <v>1</v>
      </c>
      <c r="J230" s="5" t="n">
        <v>129.6</v>
      </c>
      <c r="K230" s="5" t="n">
        <v>129.6</v>
      </c>
      <c r="L230" s="2" t="s">
        <v>808</v>
      </c>
      <c r="M230" s="2" t="s">
        <v>809</v>
      </c>
      <c r="N230" s="2"/>
      <c r="O230" s="2" t="s">
        <v>23</v>
      </c>
      <c r="P230" s="2" t="s">
        <v>24</v>
      </c>
    </row>
    <row r="231" customFormat="false" ht="15.75" hidden="false" customHeight="false" outlineLevel="0" collapsed="false">
      <c r="A231" s="6" t="s">
        <v>16</v>
      </c>
      <c r="B231" s="6" t="s">
        <v>39</v>
      </c>
      <c r="C231" s="6" t="s">
        <v>40</v>
      </c>
      <c r="D231" s="6" t="s">
        <v>35</v>
      </c>
      <c r="E231" s="6" t="s">
        <v>36</v>
      </c>
      <c r="F231" s="7" t="n">
        <v>45083</v>
      </c>
      <c r="G231" s="8" t="n">
        <v>0.859882511574074</v>
      </c>
      <c r="H231" s="6" t="s">
        <v>37</v>
      </c>
      <c r="I231" s="9" t="n">
        <v>2</v>
      </c>
      <c r="J231" s="9" t="n">
        <v>126.67</v>
      </c>
      <c r="K231" s="9" t="n">
        <v>253.34</v>
      </c>
      <c r="L231" s="6" t="s">
        <v>810</v>
      </c>
      <c r="M231" s="6" t="s">
        <v>811</v>
      </c>
      <c r="N231" s="6"/>
      <c r="O231" s="6" t="s">
        <v>23</v>
      </c>
      <c r="P231" s="6" t="s">
        <v>24</v>
      </c>
    </row>
    <row r="232" customFormat="false" ht="15.75" hidden="false" customHeight="false" outlineLevel="0" collapsed="false">
      <c r="A232" s="2" t="s">
        <v>16</v>
      </c>
      <c r="B232" s="2" t="s">
        <v>812</v>
      </c>
      <c r="C232" s="2" t="s">
        <v>813</v>
      </c>
      <c r="D232" s="2" t="s">
        <v>106</v>
      </c>
      <c r="E232" s="2" t="s">
        <v>122</v>
      </c>
      <c r="F232" s="3" t="n">
        <v>45083</v>
      </c>
      <c r="G232" s="4" t="n">
        <v>0.516256990740741</v>
      </c>
      <c r="H232" s="2" t="s">
        <v>29</v>
      </c>
      <c r="I232" s="5" t="n">
        <v>80</v>
      </c>
      <c r="J232" s="5" t="n">
        <v>159.8</v>
      </c>
      <c r="K232" s="5" t="n">
        <v>12784</v>
      </c>
      <c r="L232" s="2" t="s">
        <v>814</v>
      </c>
      <c r="M232" s="2" t="s">
        <v>815</v>
      </c>
      <c r="N232" s="2" t="s">
        <v>816</v>
      </c>
      <c r="O232" s="2" t="s">
        <v>61</v>
      </c>
      <c r="P232" s="2" t="s">
        <v>62</v>
      </c>
    </row>
    <row r="233" customFormat="false" ht="15.75" hidden="false" customHeight="false" outlineLevel="0" collapsed="false">
      <c r="A233" s="6" t="s">
        <v>16</v>
      </c>
      <c r="B233" s="6" t="s">
        <v>817</v>
      </c>
      <c r="C233" s="6" t="s">
        <v>818</v>
      </c>
      <c r="D233" s="6" t="s">
        <v>819</v>
      </c>
      <c r="E233" s="6" t="s">
        <v>90</v>
      </c>
      <c r="F233" s="7" t="n">
        <v>45084</v>
      </c>
      <c r="G233" s="8" t="n">
        <v>0.912403136574074</v>
      </c>
      <c r="H233" s="6" t="s">
        <v>37</v>
      </c>
      <c r="I233" s="9" t="n">
        <v>21</v>
      </c>
      <c r="J233" s="9" t="n">
        <v>1680</v>
      </c>
      <c r="K233" s="9" t="n">
        <v>35280</v>
      </c>
      <c r="L233" s="6" t="s">
        <v>820</v>
      </c>
      <c r="M233" s="6" t="s">
        <v>821</v>
      </c>
      <c r="N233" s="6"/>
      <c r="O233" s="6" t="s">
        <v>23</v>
      </c>
      <c r="P233" s="6" t="s">
        <v>24</v>
      </c>
    </row>
    <row r="234" customFormat="false" ht="15.75" hidden="false" customHeight="false" outlineLevel="0" collapsed="false">
      <c r="A234" s="2" t="s">
        <v>16</v>
      </c>
      <c r="B234" s="2" t="s">
        <v>822</v>
      </c>
      <c r="C234" s="2" t="s">
        <v>823</v>
      </c>
      <c r="D234" s="2" t="s">
        <v>622</v>
      </c>
      <c r="E234" s="2" t="s">
        <v>20</v>
      </c>
      <c r="F234" s="3" t="n">
        <v>45084</v>
      </c>
      <c r="G234" s="4" t="n">
        <v>0.540494189814815</v>
      </c>
      <c r="H234" s="2" t="s">
        <v>37</v>
      </c>
      <c r="I234" s="5" t="n">
        <v>2</v>
      </c>
      <c r="J234" s="5" t="n">
        <v>234</v>
      </c>
      <c r="K234" s="5" t="n">
        <v>468</v>
      </c>
      <c r="L234" s="2" t="s">
        <v>824</v>
      </c>
      <c r="M234" s="2" t="s">
        <v>825</v>
      </c>
      <c r="N234" s="2"/>
      <c r="O234" s="2" t="s">
        <v>61</v>
      </c>
      <c r="P234" s="2" t="s">
        <v>62</v>
      </c>
    </row>
    <row r="235" customFormat="false" ht="15.75" hidden="false" customHeight="false" outlineLevel="0" collapsed="false">
      <c r="A235" s="6" t="s">
        <v>16</v>
      </c>
      <c r="B235" s="6" t="s">
        <v>826</v>
      </c>
      <c r="C235" s="6" t="s">
        <v>827</v>
      </c>
      <c r="D235" s="6" t="s">
        <v>19</v>
      </c>
      <c r="E235" s="6" t="s">
        <v>20</v>
      </c>
      <c r="F235" s="7" t="n">
        <v>45084</v>
      </c>
      <c r="G235" s="8" t="n">
        <v>0.539576377314815</v>
      </c>
      <c r="H235" s="6" t="s">
        <v>37</v>
      </c>
      <c r="I235" s="9" t="n">
        <v>8</v>
      </c>
      <c r="J235" s="9" t="n">
        <v>1190</v>
      </c>
      <c r="K235" s="9" t="n">
        <v>9520</v>
      </c>
      <c r="L235" s="6" t="s">
        <v>828</v>
      </c>
      <c r="M235" s="6" t="s">
        <v>829</v>
      </c>
      <c r="N235" s="6"/>
      <c r="O235" s="6" t="s">
        <v>61</v>
      </c>
      <c r="P235" s="6" t="s">
        <v>62</v>
      </c>
    </row>
    <row r="236" customFormat="false" ht="15.75" hidden="false" customHeight="false" outlineLevel="0" collapsed="false">
      <c r="A236" s="2" t="s">
        <v>16</v>
      </c>
      <c r="B236" s="2" t="s">
        <v>830</v>
      </c>
      <c r="C236" s="2" t="s">
        <v>831</v>
      </c>
      <c r="D236" s="2" t="s">
        <v>832</v>
      </c>
      <c r="E236" s="2" t="s">
        <v>90</v>
      </c>
      <c r="F236" s="3" t="n">
        <v>45085</v>
      </c>
      <c r="G236" s="4" t="n">
        <v>0.420089386574074</v>
      </c>
      <c r="H236" s="2" t="s">
        <v>29</v>
      </c>
      <c r="I236" s="5" t="n">
        <v>3</v>
      </c>
      <c r="J236" s="5" t="n">
        <v>1825</v>
      </c>
      <c r="K236" s="5" t="n">
        <v>5475</v>
      </c>
      <c r="L236" s="2" t="s">
        <v>833</v>
      </c>
      <c r="M236" s="2" t="s">
        <v>834</v>
      </c>
      <c r="N236" s="2" t="s">
        <v>835</v>
      </c>
      <c r="O236" s="2" t="s">
        <v>61</v>
      </c>
      <c r="P236" s="2" t="s">
        <v>62</v>
      </c>
    </row>
    <row r="237" customFormat="false" ht="15.75" hidden="false" customHeight="false" outlineLevel="0" collapsed="false">
      <c r="A237" s="6" t="s">
        <v>16</v>
      </c>
      <c r="B237" s="6" t="s">
        <v>399</v>
      </c>
      <c r="C237" s="6" t="s">
        <v>400</v>
      </c>
      <c r="D237" s="6" t="s">
        <v>230</v>
      </c>
      <c r="E237" s="6" t="s">
        <v>231</v>
      </c>
      <c r="F237" s="7" t="n">
        <v>45086</v>
      </c>
      <c r="G237" s="8" t="n">
        <v>0.718477025462963</v>
      </c>
      <c r="H237" s="6" t="s">
        <v>37</v>
      </c>
      <c r="I237" s="9" t="n">
        <v>1</v>
      </c>
      <c r="J237" s="9" t="n">
        <v>987.91</v>
      </c>
      <c r="K237" s="9" t="n">
        <v>987.91</v>
      </c>
      <c r="L237" s="6" t="s">
        <v>836</v>
      </c>
      <c r="M237" s="6" t="s">
        <v>837</v>
      </c>
      <c r="N237" s="6"/>
      <c r="O237" s="6" t="s">
        <v>23</v>
      </c>
      <c r="P237" s="6" t="s">
        <v>24</v>
      </c>
    </row>
    <row r="238" customFormat="false" ht="15.75" hidden="false" customHeight="false" outlineLevel="0" collapsed="false">
      <c r="A238" s="2" t="s">
        <v>16</v>
      </c>
      <c r="B238" s="2" t="s">
        <v>596</v>
      </c>
      <c r="C238" s="2" t="s">
        <v>597</v>
      </c>
      <c r="D238" s="2" t="s">
        <v>19</v>
      </c>
      <c r="E238" s="2" t="s">
        <v>20</v>
      </c>
      <c r="F238" s="3" t="n">
        <v>45086</v>
      </c>
      <c r="G238" s="4" t="n">
        <v>0.7170209375</v>
      </c>
      <c r="H238" s="2" t="s">
        <v>37</v>
      </c>
      <c r="I238" s="5" t="n">
        <v>1</v>
      </c>
      <c r="J238" s="5" t="n">
        <v>272</v>
      </c>
      <c r="K238" s="5" t="n">
        <v>272</v>
      </c>
      <c r="L238" s="2" t="s">
        <v>838</v>
      </c>
      <c r="M238" s="2" t="s">
        <v>839</v>
      </c>
      <c r="N238" s="2"/>
      <c r="O238" s="2" t="s">
        <v>23</v>
      </c>
      <c r="P238" s="2" t="s">
        <v>24</v>
      </c>
    </row>
    <row r="239" customFormat="false" ht="15.75" hidden="false" customHeight="false" outlineLevel="0" collapsed="false">
      <c r="A239" s="6" t="s">
        <v>16</v>
      </c>
      <c r="B239" s="6" t="s">
        <v>840</v>
      </c>
      <c r="C239" s="6" t="s">
        <v>841</v>
      </c>
      <c r="D239" s="6" t="s">
        <v>842</v>
      </c>
      <c r="E239" s="6" t="s">
        <v>28</v>
      </c>
      <c r="F239" s="7" t="n">
        <v>45086</v>
      </c>
      <c r="G239" s="8" t="n">
        <v>0.674516759259259</v>
      </c>
      <c r="H239" s="6" t="s">
        <v>37</v>
      </c>
      <c r="I239" s="9" t="n">
        <v>1</v>
      </c>
      <c r="J239" s="9" t="n">
        <v>669.6</v>
      </c>
      <c r="K239" s="9" t="n">
        <v>669.6</v>
      </c>
      <c r="L239" s="6" t="s">
        <v>843</v>
      </c>
      <c r="M239" s="6" t="s">
        <v>844</v>
      </c>
      <c r="N239" s="6"/>
      <c r="O239" s="6" t="s">
        <v>23</v>
      </c>
      <c r="P239" s="6" t="s">
        <v>24</v>
      </c>
    </row>
    <row r="240" customFormat="false" ht="15.75" hidden="false" customHeight="false" outlineLevel="0" collapsed="false">
      <c r="A240" s="2" t="s">
        <v>16</v>
      </c>
      <c r="B240" s="2" t="s">
        <v>845</v>
      </c>
      <c r="C240" s="2" t="s">
        <v>846</v>
      </c>
      <c r="D240" s="2" t="s">
        <v>121</v>
      </c>
      <c r="E240" s="2" t="s">
        <v>122</v>
      </c>
      <c r="F240" s="3" t="n">
        <v>45087</v>
      </c>
      <c r="G240" s="4" t="n">
        <v>0.925562615740741</v>
      </c>
      <c r="H240" s="2" t="s">
        <v>21</v>
      </c>
      <c r="I240" s="5" t="n">
        <v>34</v>
      </c>
      <c r="J240" s="5" t="n">
        <v>129.6</v>
      </c>
      <c r="K240" s="5" t="n">
        <v>4406.4</v>
      </c>
      <c r="L240" s="2" t="s">
        <v>847</v>
      </c>
      <c r="M240" s="2"/>
      <c r="N240" s="2"/>
      <c r="O240" s="2" t="s">
        <v>23</v>
      </c>
      <c r="P240" s="2" t="s">
        <v>24</v>
      </c>
    </row>
    <row r="241" customFormat="false" ht="15.75" hidden="false" customHeight="false" outlineLevel="0" collapsed="false">
      <c r="A241" s="6" t="s">
        <v>16</v>
      </c>
      <c r="B241" s="6" t="s">
        <v>848</v>
      </c>
      <c r="C241" s="6" t="s">
        <v>849</v>
      </c>
      <c r="D241" s="6" t="s">
        <v>850</v>
      </c>
      <c r="E241" s="6" t="s">
        <v>66</v>
      </c>
      <c r="F241" s="7" t="n">
        <v>45089</v>
      </c>
      <c r="G241" s="8" t="n">
        <v>0.93387775462963</v>
      </c>
      <c r="H241" s="6" t="s">
        <v>21</v>
      </c>
      <c r="I241" s="9" t="n">
        <v>5</v>
      </c>
      <c r="J241" s="9" t="n">
        <v>152.86</v>
      </c>
      <c r="K241" s="9" t="n">
        <v>764.3</v>
      </c>
      <c r="L241" s="6" t="s">
        <v>851</v>
      </c>
      <c r="M241" s="6"/>
      <c r="N241" s="6"/>
      <c r="O241" s="6" t="s">
        <v>23</v>
      </c>
      <c r="P241" s="6" t="s">
        <v>24</v>
      </c>
    </row>
    <row r="242" customFormat="false" ht="15.75" hidden="false" customHeight="false" outlineLevel="0" collapsed="false">
      <c r="A242" s="2" t="s">
        <v>16</v>
      </c>
      <c r="B242" s="2" t="s">
        <v>852</v>
      </c>
      <c r="C242" s="2" t="s">
        <v>853</v>
      </c>
      <c r="D242" s="2" t="s">
        <v>854</v>
      </c>
      <c r="E242" s="2" t="s">
        <v>231</v>
      </c>
      <c r="F242" s="3" t="n">
        <v>45089</v>
      </c>
      <c r="G242" s="4" t="n">
        <v>0.814050208333333</v>
      </c>
      <c r="H242" s="2" t="s">
        <v>37</v>
      </c>
      <c r="I242" s="5" t="n">
        <v>1</v>
      </c>
      <c r="J242" s="5" t="n">
        <v>571.67</v>
      </c>
      <c r="K242" s="5" t="n">
        <v>571.67</v>
      </c>
      <c r="L242" s="2" t="s">
        <v>855</v>
      </c>
      <c r="M242" s="2" t="s">
        <v>856</v>
      </c>
      <c r="N242" s="2"/>
      <c r="O242" s="2" t="s">
        <v>23</v>
      </c>
      <c r="P242" s="2" t="s">
        <v>24</v>
      </c>
    </row>
    <row r="243" customFormat="false" ht="15.75" hidden="false" customHeight="false" outlineLevel="0" collapsed="false">
      <c r="A243" s="6" t="s">
        <v>16</v>
      </c>
      <c r="B243" s="6" t="s">
        <v>679</v>
      </c>
      <c r="C243" s="6" t="s">
        <v>680</v>
      </c>
      <c r="D243" s="6" t="s">
        <v>142</v>
      </c>
      <c r="E243" s="6" t="s">
        <v>28</v>
      </c>
      <c r="F243" s="7" t="n">
        <v>45089</v>
      </c>
      <c r="G243" s="8" t="n">
        <v>0.812744548611111</v>
      </c>
      <c r="H243" s="6" t="s">
        <v>37</v>
      </c>
      <c r="I243" s="9" t="n">
        <v>2</v>
      </c>
      <c r="J243" s="9" t="n">
        <v>839</v>
      </c>
      <c r="K243" s="9" t="n">
        <v>1678</v>
      </c>
      <c r="L243" s="6" t="s">
        <v>857</v>
      </c>
      <c r="M243" s="6" t="s">
        <v>858</v>
      </c>
      <c r="N243" s="6"/>
      <c r="O243" s="6" t="s">
        <v>23</v>
      </c>
      <c r="P243" s="6" t="s">
        <v>24</v>
      </c>
    </row>
    <row r="244" customFormat="false" ht="15.75" hidden="false" customHeight="false" outlineLevel="0" collapsed="false">
      <c r="A244" s="2" t="s">
        <v>16</v>
      </c>
      <c r="B244" s="2" t="s">
        <v>859</v>
      </c>
      <c r="C244" s="2" t="s">
        <v>860</v>
      </c>
      <c r="D244" s="2" t="s">
        <v>308</v>
      </c>
      <c r="E244" s="2" t="s">
        <v>96</v>
      </c>
      <c r="F244" s="3" t="n">
        <v>45090</v>
      </c>
      <c r="G244" s="4" t="n">
        <v>0.952468321759259</v>
      </c>
      <c r="H244" s="2" t="s">
        <v>37</v>
      </c>
      <c r="I244" s="5" t="n">
        <v>3</v>
      </c>
      <c r="J244" s="5" t="n">
        <v>184.17</v>
      </c>
      <c r="K244" s="5" t="n">
        <v>552.51</v>
      </c>
      <c r="L244" s="2" t="s">
        <v>861</v>
      </c>
      <c r="M244" s="2" t="s">
        <v>862</v>
      </c>
      <c r="N244" s="2"/>
      <c r="O244" s="2" t="s">
        <v>23</v>
      </c>
      <c r="P244" s="2" t="s">
        <v>24</v>
      </c>
    </row>
    <row r="245" customFormat="false" ht="15.75" hidden="false" customHeight="false" outlineLevel="0" collapsed="false">
      <c r="A245" s="6" t="s">
        <v>16</v>
      </c>
      <c r="B245" s="6" t="s">
        <v>863</v>
      </c>
      <c r="C245" s="6" t="s">
        <v>864</v>
      </c>
      <c r="D245" s="6" t="s">
        <v>308</v>
      </c>
      <c r="E245" s="6" t="s">
        <v>96</v>
      </c>
      <c r="F245" s="7" t="n">
        <v>45090</v>
      </c>
      <c r="G245" s="8" t="n">
        <v>0.951193298611111</v>
      </c>
      <c r="H245" s="6" t="s">
        <v>37</v>
      </c>
      <c r="I245" s="9" t="n">
        <v>1</v>
      </c>
      <c r="J245" s="9" t="n">
        <v>184.17</v>
      </c>
      <c r="K245" s="9" t="n">
        <v>184.17</v>
      </c>
      <c r="L245" s="6" t="s">
        <v>865</v>
      </c>
      <c r="M245" s="6" t="s">
        <v>866</v>
      </c>
      <c r="N245" s="6"/>
      <c r="O245" s="6" t="s">
        <v>23</v>
      </c>
      <c r="P245" s="6" t="s">
        <v>24</v>
      </c>
    </row>
    <row r="246" customFormat="false" ht="15.75" hidden="false" customHeight="false" outlineLevel="0" collapsed="false">
      <c r="A246" s="2" t="s">
        <v>16</v>
      </c>
      <c r="B246" s="2" t="s">
        <v>867</v>
      </c>
      <c r="C246" s="2" t="s">
        <v>868</v>
      </c>
      <c r="D246" s="2" t="s">
        <v>633</v>
      </c>
      <c r="E246" s="2" t="s">
        <v>208</v>
      </c>
      <c r="F246" s="3" t="n">
        <v>45090</v>
      </c>
      <c r="G246" s="4" t="n">
        <v>0.950039386574074</v>
      </c>
      <c r="H246" s="2" t="s">
        <v>37</v>
      </c>
      <c r="I246" s="5" t="n">
        <v>2</v>
      </c>
      <c r="J246" s="5" t="n">
        <v>135</v>
      </c>
      <c r="K246" s="5" t="n">
        <v>270</v>
      </c>
      <c r="L246" s="2" t="s">
        <v>869</v>
      </c>
      <c r="M246" s="2" t="s">
        <v>870</v>
      </c>
      <c r="N246" s="2"/>
      <c r="O246" s="2" t="s">
        <v>23</v>
      </c>
      <c r="P246" s="2" t="s">
        <v>24</v>
      </c>
    </row>
    <row r="247" customFormat="false" ht="15.75" hidden="false" customHeight="false" outlineLevel="0" collapsed="false">
      <c r="A247" s="6" t="s">
        <v>16</v>
      </c>
      <c r="B247" s="6" t="s">
        <v>631</v>
      </c>
      <c r="C247" s="6" t="s">
        <v>632</v>
      </c>
      <c r="D247" s="6" t="s">
        <v>633</v>
      </c>
      <c r="E247" s="6" t="s">
        <v>208</v>
      </c>
      <c r="F247" s="7" t="n">
        <v>45090</v>
      </c>
      <c r="G247" s="8" t="n">
        <v>0.948170335648148</v>
      </c>
      <c r="H247" s="6" t="s">
        <v>37</v>
      </c>
      <c r="I247" s="9" t="n">
        <v>1</v>
      </c>
      <c r="J247" s="9" t="n">
        <v>135</v>
      </c>
      <c r="K247" s="9" t="n">
        <v>135</v>
      </c>
      <c r="L247" s="6" t="s">
        <v>871</v>
      </c>
      <c r="M247" s="6" t="s">
        <v>872</v>
      </c>
      <c r="N247" s="6"/>
      <c r="O247" s="6" t="s">
        <v>23</v>
      </c>
      <c r="P247" s="6" t="s">
        <v>24</v>
      </c>
    </row>
    <row r="248" customFormat="false" ht="15.75" hidden="false" customHeight="false" outlineLevel="0" collapsed="false">
      <c r="A248" s="2" t="s">
        <v>16</v>
      </c>
      <c r="B248" s="2" t="s">
        <v>873</v>
      </c>
      <c r="C248" s="2" t="s">
        <v>874</v>
      </c>
      <c r="D248" s="2" t="s">
        <v>106</v>
      </c>
      <c r="E248" s="2" t="s">
        <v>148</v>
      </c>
      <c r="F248" s="3" t="n">
        <v>45090</v>
      </c>
      <c r="G248" s="4" t="n">
        <v>0.638944652777778</v>
      </c>
      <c r="H248" s="2" t="s">
        <v>37</v>
      </c>
      <c r="I248" s="5" t="n">
        <v>6</v>
      </c>
      <c r="J248" s="5" t="n">
        <v>519.82</v>
      </c>
      <c r="K248" s="5" t="n">
        <v>3118.92</v>
      </c>
      <c r="L248" s="2" t="s">
        <v>875</v>
      </c>
      <c r="M248" s="2" t="s">
        <v>876</v>
      </c>
      <c r="N248" s="2"/>
      <c r="O248" s="2" t="s">
        <v>61</v>
      </c>
      <c r="P248" s="2" t="s">
        <v>62</v>
      </c>
    </row>
    <row r="249" customFormat="false" ht="15.75" hidden="false" customHeight="false" outlineLevel="0" collapsed="false">
      <c r="A249" s="6" t="s">
        <v>16</v>
      </c>
      <c r="B249" s="6" t="s">
        <v>873</v>
      </c>
      <c r="C249" s="6" t="s">
        <v>874</v>
      </c>
      <c r="D249" s="6" t="s">
        <v>106</v>
      </c>
      <c r="E249" s="6" t="s">
        <v>148</v>
      </c>
      <c r="F249" s="7" t="n">
        <v>45090</v>
      </c>
      <c r="G249" s="8" t="n">
        <v>0.63790099537037</v>
      </c>
      <c r="H249" s="6" t="s">
        <v>29</v>
      </c>
      <c r="I249" s="9" t="n">
        <v>3</v>
      </c>
      <c r="J249" s="9" t="n">
        <v>519.82</v>
      </c>
      <c r="K249" s="9" t="n">
        <v>1559.46</v>
      </c>
      <c r="L249" s="6" t="s">
        <v>877</v>
      </c>
      <c r="M249" s="6" t="s">
        <v>878</v>
      </c>
      <c r="N249" s="6" t="s">
        <v>879</v>
      </c>
      <c r="O249" s="6" t="s">
        <v>61</v>
      </c>
      <c r="P249" s="6" t="s">
        <v>62</v>
      </c>
    </row>
    <row r="250" customFormat="false" ht="15.75" hidden="false" customHeight="false" outlineLevel="0" collapsed="false">
      <c r="A250" s="2" t="s">
        <v>16</v>
      </c>
      <c r="B250" s="2" t="s">
        <v>873</v>
      </c>
      <c r="C250" s="2" t="s">
        <v>874</v>
      </c>
      <c r="D250" s="2" t="s">
        <v>106</v>
      </c>
      <c r="E250" s="2" t="s">
        <v>148</v>
      </c>
      <c r="F250" s="3" t="n">
        <v>45090</v>
      </c>
      <c r="G250" s="4" t="n">
        <v>0.637308148148148</v>
      </c>
      <c r="H250" s="2" t="s">
        <v>29</v>
      </c>
      <c r="I250" s="5" t="n">
        <v>5</v>
      </c>
      <c r="J250" s="5" t="n">
        <v>519.82</v>
      </c>
      <c r="K250" s="5" t="n">
        <v>2599.1</v>
      </c>
      <c r="L250" s="2" t="s">
        <v>880</v>
      </c>
      <c r="M250" s="2" t="s">
        <v>881</v>
      </c>
      <c r="N250" s="2" t="s">
        <v>882</v>
      </c>
      <c r="O250" s="2" t="s">
        <v>61</v>
      </c>
      <c r="P250" s="2" t="s">
        <v>62</v>
      </c>
    </row>
    <row r="251" customFormat="false" ht="15.75" hidden="false" customHeight="false" outlineLevel="0" collapsed="false">
      <c r="A251" s="6" t="s">
        <v>16</v>
      </c>
      <c r="B251" s="6" t="s">
        <v>883</v>
      </c>
      <c r="C251" s="6" t="s">
        <v>884</v>
      </c>
      <c r="D251" s="6" t="s">
        <v>230</v>
      </c>
      <c r="E251" s="6" t="s">
        <v>231</v>
      </c>
      <c r="F251" s="7" t="n">
        <v>45091</v>
      </c>
      <c r="G251" s="8" t="n">
        <v>0.907469398148148</v>
      </c>
      <c r="H251" s="6" t="s">
        <v>37</v>
      </c>
      <c r="I251" s="9" t="n">
        <v>1</v>
      </c>
      <c r="J251" s="9" t="n">
        <v>540.66</v>
      </c>
      <c r="K251" s="9" t="n">
        <v>540.66</v>
      </c>
      <c r="L251" s="6" t="s">
        <v>885</v>
      </c>
      <c r="M251" s="6" t="s">
        <v>886</v>
      </c>
      <c r="N251" s="6"/>
      <c r="O251" s="6" t="s">
        <v>23</v>
      </c>
      <c r="P251" s="6" t="s">
        <v>24</v>
      </c>
    </row>
    <row r="252" customFormat="false" ht="15.75" hidden="false" customHeight="false" outlineLevel="0" collapsed="false">
      <c r="A252" s="2" t="s">
        <v>16</v>
      </c>
      <c r="B252" s="2" t="s">
        <v>424</v>
      </c>
      <c r="C252" s="2" t="s">
        <v>425</v>
      </c>
      <c r="D252" s="2" t="s">
        <v>426</v>
      </c>
      <c r="E252" s="2" t="s">
        <v>71</v>
      </c>
      <c r="F252" s="3" t="n">
        <v>45093</v>
      </c>
      <c r="G252" s="4" t="n">
        <v>0.755747280092593</v>
      </c>
      <c r="H252" s="2" t="s">
        <v>37</v>
      </c>
      <c r="I252" s="5" t="n">
        <v>4</v>
      </c>
      <c r="J252" s="5" t="n">
        <v>143.67</v>
      </c>
      <c r="K252" s="5" t="n">
        <v>574.68</v>
      </c>
      <c r="L252" s="2" t="s">
        <v>887</v>
      </c>
      <c r="M252" s="2" t="s">
        <v>888</v>
      </c>
      <c r="N252" s="2"/>
      <c r="O252" s="2" t="s">
        <v>23</v>
      </c>
      <c r="P252" s="2" t="s">
        <v>24</v>
      </c>
    </row>
    <row r="253" customFormat="false" ht="15.75" hidden="false" customHeight="false" outlineLevel="0" collapsed="false">
      <c r="A253" s="6" t="s">
        <v>16</v>
      </c>
      <c r="B253" s="6" t="s">
        <v>822</v>
      </c>
      <c r="C253" s="6" t="s">
        <v>823</v>
      </c>
      <c r="D253" s="6" t="s">
        <v>622</v>
      </c>
      <c r="E253" s="6" t="s">
        <v>20</v>
      </c>
      <c r="F253" s="7" t="n">
        <v>45093</v>
      </c>
      <c r="G253" s="8" t="n">
        <v>0.751482060185185</v>
      </c>
      <c r="H253" s="6" t="s">
        <v>37</v>
      </c>
      <c r="I253" s="9" t="n">
        <v>3</v>
      </c>
      <c r="J253" s="9" t="n">
        <v>234</v>
      </c>
      <c r="K253" s="9" t="n">
        <v>702</v>
      </c>
      <c r="L253" s="6" t="s">
        <v>889</v>
      </c>
      <c r="M253" s="6" t="s">
        <v>890</v>
      </c>
      <c r="N253" s="6"/>
      <c r="O253" s="6" t="s">
        <v>23</v>
      </c>
      <c r="P253" s="6" t="s">
        <v>24</v>
      </c>
    </row>
    <row r="254" customFormat="false" ht="15.75" hidden="false" customHeight="false" outlineLevel="0" collapsed="false">
      <c r="A254" s="2" t="s">
        <v>16</v>
      </c>
      <c r="B254" s="2" t="s">
        <v>657</v>
      </c>
      <c r="C254" s="2" t="s">
        <v>658</v>
      </c>
      <c r="D254" s="2" t="s">
        <v>659</v>
      </c>
      <c r="E254" s="2" t="s">
        <v>28</v>
      </c>
      <c r="F254" s="3" t="n">
        <v>45094</v>
      </c>
      <c r="G254" s="4" t="n">
        <v>0.884680810185185</v>
      </c>
      <c r="H254" s="2" t="s">
        <v>37</v>
      </c>
      <c r="I254" s="5" t="n">
        <v>1</v>
      </c>
      <c r="J254" s="5" t="n">
        <v>576</v>
      </c>
      <c r="K254" s="5" t="n">
        <v>576</v>
      </c>
      <c r="L254" s="2" t="s">
        <v>891</v>
      </c>
      <c r="M254" s="2" t="s">
        <v>892</v>
      </c>
      <c r="N254" s="2"/>
      <c r="O254" s="2" t="s">
        <v>23</v>
      </c>
      <c r="P254" s="2" t="s">
        <v>24</v>
      </c>
    </row>
    <row r="255" customFormat="false" ht="15.75" hidden="false" customHeight="false" outlineLevel="0" collapsed="false">
      <c r="A255" s="6" t="s">
        <v>16</v>
      </c>
      <c r="B255" s="6" t="s">
        <v>893</v>
      </c>
      <c r="C255" s="6" t="s">
        <v>894</v>
      </c>
      <c r="D255" s="6" t="s">
        <v>895</v>
      </c>
      <c r="E255" s="6" t="s">
        <v>66</v>
      </c>
      <c r="F255" s="7" t="n">
        <v>45095</v>
      </c>
      <c r="G255" s="8" t="n">
        <v>0.9411259375</v>
      </c>
      <c r="H255" s="6" t="s">
        <v>21</v>
      </c>
      <c r="I255" s="9" t="n">
        <v>4</v>
      </c>
      <c r="J255" s="9" t="n">
        <v>148.56</v>
      </c>
      <c r="K255" s="9" t="n">
        <v>594.24</v>
      </c>
      <c r="L255" s="6" t="s">
        <v>896</v>
      </c>
      <c r="M255" s="6"/>
      <c r="N255" s="6"/>
      <c r="O255" s="6" t="s">
        <v>23</v>
      </c>
      <c r="P255" s="6" t="s">
        <v>24</v>
      </c>
    </row>
    <row r="256" customFormat="false" ht="15.75" hidden="false" customHeight="false" outlineLevel="0" collapsed="false">
      <c r="A256" s="2" t="s">
        <v>16</v>
      </c>
      <c r="B256" s="2" t="s">
        <v>897</v>
      </c>
      <c r="C256" s="2" t="s">
        <v>898</v>
      </c>
      <c r="D256" s="2" t="s">
        <v>854</v>
      </c>
      <c r="E256" s="2" t="s">
        <v>107</v>
      </c>
      <c r="F256" s="3" t="n">
        <v>45095</v>
      </c>
      <c r="G256" s="4" t="n">
        <v>0.93914724537037</v>
      </c>
      <c r="H256" s="2" t="s">
        <v>37</v>
      </c>
      <c r="I256" s="5" t="n">
        <v>1</v>
      </c>
      <c r="J256" s="5" t="n">
        <v>242.5</v>
      </c>
      <c r="K256" s="5" t="n">
        <v>242.5</v>
      </c>
      <c r="L256" s="2" t="s">
        <v>899</v>
      </c>
      <c r="M256" s="2" t="s">
        <v>900</v>
      </c>
      <c r="N256" s="2"/>
      <c r="O256" s="2" t="s">
        <v>23</v>
      </c>
      <c r="P256" s="2" t="s">
        <v>24</v>
      </c>
    </row>
    <row r="257" customFormat="false" ht="15.75" hidden="false" customHeight="false" outlineLevel="0" collapsed="false">
      <c r="A257" s="6" t="s">
        <v>16</v>
      </c>
      <c r="B257" s="6" t="s">
        <v>901</v>
      </c>
      <c r="C257" s="6" t="s">
        <v>902</v>
      </c>
      <c r="D257" s="6" t="s">
        <v>487</v>
      </c>
      <c r="E257" s="6" t="s">
        <v>333</v>
      </c>
      <c r="F257" s="7" t="n">
        <v>45095</v>
      </c>
      <c r="G257" s="8" t="n">
        <v>0.937896585648148</v>
      </c>
      <c r="H257" s="6" t="s">
        <v>21</v>
      </c>
      <c r="I257" s="9" t="n">
        <v>8</v>
      </c>
      <c r="J257" s="9" t="n">
        <v>85</v>
      </c>
      <c r="K257" s="9" t="n">
        <v>680</v>
      </c>
      <c r="L257" s="6" t="s">
        <v>903</v>
      </c>
      <c r="M257" s="6"/>
      <c r="N257" s="6"/>
      <c r="O257" s="6" t="s">
        <v>23</v>
      </c>
      <c r="P257" s="6" t="s">
        <v>24</v>
      </c>
    </row>
    <row r="258" customFormat="false" ht="15.75" hidden="false" customHeight="false" outlineLevel="0" collapsed="false">
      <c r="A258" s="2" t="s">
        <v>16</v>
      </c>
      <c r="B258" s="2" t="s">
        <v>385</v>
      </c>
      <c r="C258" s="2" t="s">
        <v>386</v>
      </c>
      <c r="D258" s="2" t="s">
        <v>142</v>
      </c>
      <c r="E258" s="2" t="s">
        <v>28</v>
      </c>
      <c r="F258" s="3" t="n">
        <v>45096</v>
      </c>
      <c r="G258" s="4" t="n">
        <v>0.838093194444444</v>
      </c>
      <c r="H258" s="2" t="s">
        <v>37</v>
      </c>
      <c r="I258" s="5" t="n">
        <v>1</v>
      </c>
      <c r="J258" s="5" t="n">
        <v>1176</v>
      </c>
      <c r="K258" s="5" t="n">
        <v>1176</v>
      </c>
      <c r="L258" s="2" t="s">
        <v>904</v>
      </c>
      <c r="M258" s="2" t="s">
        <v>905</v>
      </c>
      <c r="N258" s="2"/>
      <c r="O258" s="2" t="s">
        <v>23</v>
      </c>
      <c r="P258" s="2" t="s">
        <v>24</v>
      </c>
    </row>
    <row r="259" customFormat="false" ht="15.75" hidden="false" customHeight="false" outlineLevel="0" collapsed="false">
      <c r="A259" s="6" t="s">
        <v>16</v>
      </c>
      <c r="B259" s="6" t="s">
        <v>210</v>
      </c>
      <c r="C259" s="6" t="s">
        <v>211</v>
      </c>
      <c r="D259" s="6" t="s">
        <v>212</v>
      </c>
      <c r="E259" s="6" t="s">
        <v>96</v>
      </c>
      <c r="F259" s="7" t="n">
        <v>45097</v>
      </c>
      <c r="G259" s="8" t="n">
        <v>0.883016261574074</v>
      </c>
      <c r="H259" s="6" t="s">
        <v>37</v>
      </c>
      <c r="I259" s="9" t="n">
        <v>2</v>
      </c>
      <c r="J259" s="9" t="n">
        <v>107.91</v>
      </c>
      <c r="K259" s="9" t="n">
        <v>215.82</v>
      </c>
      <c r="L259" s="6" t="s">
        <v>906</v>
      </c>
      <c r="M259" s="6" t="s">
        <v>907</v>
      </c>
      <c r="N259" s="6"/>
      <c r="O259" s="6" t="s">
        <v>23</v>
      </c>
      <c r="P259" s="6" t="s">
        <v>24</v>
      </c>
    </row>
    <row r="260" customFormat="false" ht="15.75" hidden="false" customHeight="false" outlineLevel="0" collapsed="false">
      <c r="A260" s="2" t="s">
        <v>16</v>
      </c>
      <c r="B260" s="2" t="s">
        <v>908</v>
      </c>
      <c r="C260" s="2" t="s">
        <v>909</v>
      </c>
      <c r="D260" s="2" t="s">
        <v>95</v>
      </c>
      <c r="E260" s="2" t="s">
        <v>96</v>
      </c>
      <c r="F260" s="3" t="n">
        <v>45097</v>
      </c>
      <c r="G260" s="4" t="n">
        <v>0.875764340277778</v>
      </c>
      <c r="H260" s="2" t="s">
        <v>37</v>
      </c>
      <c r="I260" s="5" t="n">
        <v>1</v>
      </c>
      <c r="J260" s="5" t="n">
        <v>45.71</v>
      </c>
      <c r="K260" s="5" t="n">
        <v>45.71</v>
      </c>
      <c r="L260" s="2" t="s">
        <v>910</v>
      </c>
      <c r="M260" s="2" t="s">
        <v>911</v>
      </c>
      <c r="N260" s="2"/>
      <c r="O260" s="2" t="s">
        <v>23</v>
      </c>
      <c r="P260" s="2" t="s">
        <v>24</v>
      </c>
    </row>
    <row r="261" customFormat="false" ht="15.75" hidden="false" customHeight="false" outlineLevel="0" collapsed="false">
      <c r="A261" s="6" t="s">
        <v>16</v>
      </c>
      <c r="B261" s="6" t="s">
        <v>238</v>
      </c>
      <c r="C261" s="6" t="s">
        <v>239</v>
      </c>
      <c r="D261" s="6" t="s">
        <v>95</v>
      </c>
      <c r="E261" s="6" t="s">
        <v>96</v>
      </c>
      <c r="F261" s="7" t="n">
        <v>45097</v>
      </c>
      <c r="G261" s="8" t="n">
        <v>0.874719664351852</v>
      </c>
      <c r="H261" s="6" t="s">
        <v>37</v>
      </c>
      <c r="I261" s="9" t="n">
        <v>1</v>
      </c>
      <c r="J261" s="9" t="n">
        <v>54.99</v>
      </c>
      <c r="K261" s="9" t="n">
        <v>54.99</v>
      </c>
      <c r="L261" s="6" t="s">
        <v>912</v>
      </c>
      <c r="M261" s="6" t="s">
        <v>913</v>
      </c>
      <c r="N261" s="6"/>
      <c r="O261" s="6" t="s">
        <v>23</v>
      </c>
      <c r="P261" s="6" t="s">
        <v>24</v>
      </c>
    </row>
    <row r="262" customFormat="false" ht="15.75" hidden="false" customHeight="false" outlineLevel="0" collapsed="false">
      <c r="A262" s="2" t="s">
        <v>16</v>
      </c>
      <c r="B262" s="2" t="s">
        <v>366</v>
      </c>
      <c r="C262" s="2" t="s">
        <v>367</v>
      </c>
      <c r="D262" s="2" t="s">
        <v>142</v>
      </c>
      <c r="E262" s="2" t="s">
        <v>28</v>
      </c>
      <c r="F262" s="3" t="n">
        <v>45098</v>
      </c>
      <c r="G262" s="4" t="n">
        <v>0.947511608796296</v>
      </c>
      <c r="H262" s="2" t="s">
        <v>37</v>
      </c>
      <c r="I262" s="5" t="n">
        <v>1</v>
      </c>
      <c r="J262" s="5" t="n">
        <v>672</v>
      </c>
      <c r="K262" s="5" t="n">
        <v>672</v>
      </c>
      <c r="L262" s="2" t="s">
        <v>914</v>
      </c>
      <c r="M262" s="2" t="s">
        <v>915</v>
      </c>
      <c r="N262" s="2"/>
      <c r="O262" s="2" t="s">
        <v>23</v>
      </c>
      <c r="P262" s="2" t="s">
        <v>24</v>
      </c>
    </row>
    <row r="263" customFormat="false" ht="15.75" hidden="false" customHeight="false" outlineLevel="0" collapsed="false">
      <c r="A263" s="6" t="s">
        <v>16</v>
      </c>
      <c r="B263" s="6" t="s">
        <v>916</v>
      </c>
      <c r="C263" s="6" t="s">
        <v>917</v>
      </c>
      <c r="D263" s="6" t="s">
        <v>202</v>
      </c>
      <c r="E263" s="6" t="s">
        <v>122</v>
      </c>
      <c r="F263" s="7" t="n">
        <v>45098</v>
      </c>
      <c r="G263" s="8" t="n">
        <v>0.946062314814815</v>
      </c>
      <c r="H263" s="6" t="s">
        <v>29</v>
      </c>
      <c r="I263" s="9" t="n">
        <v>11</v>
      </c>
      <c r="J263" s="9" t="n">
        <v>148.14</v>
      </c>
      <c r="K263" s="9" t="n">
        <v>1629.54</v>
      </c>
      <c r="L263" s="6" t="s">
        <v>918</v>
      </c>
      <c r="M263" s="6" t="s">
        <v>919</v>
      </c>
      <c r="N263" s="6" t="s">
        <v>920</v>
      </c>
      <c r="O263" s="6" t="s">
        <v>23</v>
      </c>
      <c r="P263" s="6" t="s">
        <v>24</v>
      </c>
    </row>
    <row r="264" customFormat="false" ht="15.75" hidden="false" customHeight="false" outlineLevel="0" collapsed="false">
      <c r="A264" s="2" t="s">
        <v>16</v>
      </c>
      <c r="B264" s="2" t="s">
        <v>921</v>
      </c>
      <c r="C264" s="2" t="s">
        <v>922</v>
      </c>
      <c r="D264" s="2" t="s">
        <v>923</v>
      </c>
      <c r="E264" s="2" t="s">
        <v>924</v>
      </c>
      <c r="F264" s="3" t="n">
        <v>45099</v>
      </c>
      <c r="G264" s="4" t="n">
        <v>0.741545335648148</v>
      </c>
      <c r="H264" s="2" t="s">
        <v>37</v>
      </c>
      <c r="I264" s="5" t="n">
        <v>555</v>
      </c>
      <c r="J264" s="5" t="n">
        <v>191.67</v>
      </c>
      <c r="K264" s="5" t="n">
        <v>106376.85</v>
      </c>
      <c r="L264" s="2" t="s">
        <v>925</v>
      </c>
      <c r="M264" s="2" t="s">
        <v>926</v>
      </c>
      <c r="N264" s="2"/>
      <c r="O264" s="2" t="s">
        <v>61</v>
      </c>
      <c r="P264" s="2" t="s">
        <v>62</v>
      </c>
    </row>
    <row r="265" customFormat="false" ht="15.75" hidden="false" customHeight="false" outlineLevel="0" collapsed="false">
      <c r="A265" s="6" t="s">
        <v>16</v>
      </c>
      <c r="B265" s="6" t="s">
        <v>140</v>
      </c>
      <c r="C265" s="6" t="s">
        <v>141</v>
      </c>
      <c r="D265" s="6" t="s">
        <v>142</v>
      </c>
      <c r="E265" s="6" t="s">
        <v>28</v>
      </c>
      <c r="F265" s="7" t="n">
        <v>45100</v>
      </c>
      <c r="G265" s="8" t="n">
        <v>0.741748240740741</v>
      </c>
      <c r="H265" s="6" t="s">
        <v>37</v>
      </c>
      <c r="I265" s="9" t="n">
        <v>2</v>
      </c>
      <c r="J265" s="9" t="n">
        <v>847</v>
      </c>
      <c r="K265" s="9" t="n">
        <v>1694</v>
      </c>
      <c r="L265" s="6" t="s">
        <v>927</v>
      </c>
      <c r="M265" s="6" t="s">
        <v>928</v>
      </c>
      <c r="N265" s="6"/>
      <c r="O265" s="6" t="s">
        <v>23</v>
      </c>
      <c r="P265" s="6" t="s">
        <v>24</v>
      </c>
    </row>
    <row r="266" customFormat="false" ht="15.75" hidden="false" customHeight="false" outlineLevel="0" collapsed="false">
      <c r="A266" s="2" t="s">
        <v>16</v>
      </c>
      <c r="B266" s="2" t="s">
        <v>929</v>
      </c>
      <c r="C266" s="2" t="s">
        <v>930</v>
      </c>
      <c r="D266" s="2" t="s">
        <v>832</v>
      </c>
      <c r="E266" s="2" t="s">
        <v>90</v>
      </c>
      <c r="F266" s="3" t="n">
        <v>45101</v>
      </c>
      <c r="G266" s="4" t="n">
        <v>0.426222048611111</v>
      </c>
      <c r="H266" s="2" t="s">
        <v>37</v>
      </c>
      <c r="I266" s="5" t="n">
        <v>370</v>
      </c>
      <c r="J266" s="5" t="n">
        <v>2100</v>
      </c>
      <c r="K266" s="5" t="n">
        <v>777000</v>
      </c>
      <c r="L266" s="2" t="s">
        <v>931</v>
      </c>
      <c r="M266" s="2" t="s">
        <v>932</v>
      </c>
      <c r="N266" s="2"/>
      <c r="O266" s="2" t="s">
        <v>61</v>
      </c>
      <c r="P266" s="2" t="s">
        <v>62</v>
      </c>
    </row>
    <row r="267" customFormat="false" ht="15.75" hidden="false" customHeight="false" outlineLevel="0" collapsed="false">
      <c r="A267" s="6" t="s">
        <v>16</v>
      </c>
      <c r="B267" s="6" t="s">
        <v>921</v>
      </c>
      <c r="C267" s="6" t="s">
        <v>922</v>
      </c>
      <c r="D267" s="6" t="s">
        <v>923</v>
      </c>
      <c r="E267" s="6" t="s">
        <v>924</v>
      </c>
      <c r="F267" s="7" t="n">
        <v>45101</v>
      </c>
      <c r="G267" s="8" t="n">
        <v>0.422748113425926</v>
      </c>
      <c r="H267" s="6" t="s">
        <v>37</v>
      </c>
      <c r="I267" s="9" t="n">
        <v>555</v>
      </c>
      <c r="J267" s="9" t="n">
        <v>191.67</v>
      </c>
      <c r="K267" s="9" t="n">
        <v>106376.85</v>
      </c>
      <c r="L267" s="6" t="s">
        <v>933</v>
      </c>
      <c r="M267" s="6" t="s">
        <v>934</v>
      </c>
      <c r="N267" s="6"/>
      <c r="O267" s="6" t="s">
        <v>61</v>
      </c>
      <c r="P267" s="6" t="s">
        <v>62</v>
      </c>
    </row>
    <row r="268" customFormat="false" ht="15.75" hidden="false" customHeight="false" outlineLevel="0" collapsed="false">
      <c r="A268" s="2" t="s">
        <v>16</v>
      </c>
      <c r="B268" s="2" t="s">
        <v>935</v>
      </c>
      <c r="C268" s="2" t="s">
        <v>936</v>
      </c>
      <c r="D268" s="2" t="s">
        <v>937</v>
      </c>
      <c r="E268" s="2" t="s">
        <v>71</v>
      </c>
      <c r="F268" s="3" t="n">
        <v>45102</v>
      </c>
      <c r="G268" s="4" t="n">
        <v>0.0425655902777778</v>
      </c>
      <c r="H268" s="2" t="s">
        <v>21</v>
      </c>
      <c r="I268" s="5" t="n">
        <v>1</v>
      </c>
      <c r="J268" s="5" t="n">
        <v>278.15</v>
      </c>
      <c r="K268" s="5" t="n">
        <v>278.15</v>
      </c>
      <c r="L268" s="2" t="s">
        <v>938</v>
      </c>
      <c r="M268" s="2"/>
      <c r="N268" s="2"/>
      <c r="O268" s="2" t="s">
        <v>23</v>
      </c>
      <c r="P268" s="2" t="s">
        <v>24</v>
      </c>
    </row>
    <row r="269" customFormat="false" ht="15.75" hidden="false" customHeight="false" outlineLevel="0" collapsed="false">
      <c r="A269" s="6" t="s">
        <v>16</v>
      </c>
      <c r="B269" s="6" t="s">
        <v>650</v>
      </c>
      <c r="C269" s="6" t="s">
        <v>651</v>
      </c>
      <c r="D269" s="6" t="s">
        <v>652</v>
      </c>
      <c r="E269" s="6" t="s">
        <v>28</v>
      </c>
      <c r="F269" s="7" t="n">
        <v>45102</v>
      </c>
      <c r="G269" s="8" t="n">
        <v>0.0254548958333333</v>
      </c>
      <c r="H269" s="6" t="s">
        <v>37</v>
      </c>
      <c r="I269" s="9" t="n">
        <v>1</v>
      </c>
      <c r="J269" s="9" t="n">
        <v>672</v>
      </c>
      <c r="K269" s="9" t="n">
        <v>672</v>
      </c>
      <c r="L269" s="6" t="s">
        <v>939</v>
      </c>
      <c r="M269" s="6" t="s">
        <v>940</v>
      </c>
      <c r="N269" s="6"/>
      <c r="O269" s="6" t="s">
        <v>23</v>
      </c>
      <c r="P269" s="6" t="s">
        <v>24</v>
      </c>
    </row>
    <row r="270" customFormat="false" ht="15.75" hidden="false" customHeight="false" outlineLevel="0" collapsed="false">
      <c r="A270" s="2" t="s">
        <v>16</v>
      </c>
      <c r="B270" s="2" t="s">
        <v>941</v>
      </c>
      <c r="C270" s="2" t="s">
        <v>942</v>
      </c>
      <c r="D270" s="2" t="s">
        <v>652</v>
      </c>
      <c r="E270" s="2" t="s">
        <v>28</v>
      </c>
      <c r="F270" s="3" t="n">
        <v>45102</v>
      </c>
      <c r="G270" s="4" t="n">
        <v>0.0231460185185185</v>
      </c>
      <c r="H270" s="2" t="s">
        <v>37</v>
      </c>
      <c r="I270" s="5" t="n">
        <v>1</v>
      </c>
      <c r="J270" s="5" t="n">
        <v>813</v>
      </c>
      <c r="K270" s="5" t="n">
        <v>813</v>
      </c>
      <c r="L270" s="2" t="s">
        <v>943</v>
      </c>
      <c r="M270" s="2" t="s">
        <v>944</v>
      </c>
      <c r="N270" s="2"/>
      <c r="O270" s="2" t="s">
        <v>23</v>
      </c>
      <c r="P270" s="2" t="s">
        <v>24</v>
      </c>
    </row>
    <row r="271" customFormat="false" ht="15.75" hidden="false" customHeight="false" outlineLevel="0" collapsed="false">
      <c r="A271" s="6" t="s">
        <v>16</v>
      </c>
      <c r="B271" s="6" t="s">
        <v>140</v>
      </c>
      <c r="C271" s="6" t="s">
        <v>141</v>
      </c>
      <c r="D271" s="6" t="s">
        <v>142</v>
      </c>
      <c r="E271" s="6" t="s">
        <v>28</v>
      </c>
      <c r="F271" s="7" t="n">
        <v>45102</v>
      </c>
      <c r="G271" s="8" t="n">
        <v>0.0220006481481481</v>
      </c>
      <c r="H271" s="6" t="s">
        <v>37</v>
      </c>
      <c r="I271" s="9" t="n">
        <v>2</v>
      </c>
      <c r="J271" s="9" t="n">
        <v>813</v>
      </c>
      <c r="K271" s="9" t="n">
        <v>1626</v>
      </c>
      <c r="L271" s="6" t="s">
        <v>945</v>
      </c>
      <c r="M271" s="6" t="s">
        <v>946</v>
      </c>
      <c r="N271" s="6"/>
      <c r="O271" s="6" t="s">
        <v>23</v>
      </c>
      <c r="P271" s="6" t="s">
        <v>24</v>
      </c>
    </row>
    <row r="272" customFormat="false" ht="15.75" hidden="false" customHeight="false" outlineLevel="0" collapsed="false">
      <c r="A272" s="2" t="s">
        <v>16</v>
      </c>
      <c r="B272" s="2" t="s">
        <v>947</v>
      </c>
      <c r="C272" s="2" t="s">
        <v>948</v>
      </c>
      <c r="D272" s="2" t="s">
        <v>949</v>
      </c>
      <c r="E272" s="2" t="s">
        <v>28</v>
      </c>
      <c r="F272" s="3" t="n">
        <v>45102</v>
      </c>
      <c r="G272" s="4" t="n">
        <v>0.0209813078703704</v>
      </c>
      <c r="H272" s="2" t="s">
        <v>37</v>
      </c>
      <c r="I272" s="5" t="n">
        <v>1</v>
      </c>
      <c r="J272" s="5" t="n">
        <v>520</v>
      </c>
      <c r="K272" s="5" t="n">
        <v>520</v>
      </c>
      <c r="L272" s="2" t="s">
        <v>950</v>
      </c>
      <c r="M272" s="2" t="s">
        <v>951</v>
      </c>
      <c r="N272" s="2"/>
      <c r="O272" s="2" t="s">
        <v>23</v>
      </c>
      <c r="P272" s="2" t="s">
        <v>24</v>
      </c>
    </row>
    <row r="273" customFormat="false" ht="15.75" hidden="false" customHeight="false" outlineLevel="0" collapsed="false">
      <c r="A273" s="6" t="s">
        <v>16</v>
      </c>
      <c r="B273" s="6" t="s">
        <v>947</v>
      </c>
      <c r="C273" s="6" t="s">
        <v>948</v>
      </c>
      <c r="D273" s="6" t="s">
        <v>949</v>
      </c>
      <c r="E273" s="6" t="s">
        <v>28</v>
      </c>
      <c r="F273" s="7" t="n">
        <v>45103</v>
      </c>
      <c r="G273" s="8" t="n">
        <v>0.051127650462963</v>
      </c>
      <c r="H273" s="6" t="s">
        <v>21</v>
      </c>
      <c r="I273" s="9" t="n">
        <v>1</v>
      </c>
      <c r="J273" s="9" t="n">
        <v>520</v>
      </c>
      <c r="K273" s="9" t="n">
        <v>520</v>
      </c>
      <c r="L273" s="6" t="s">
        <v>952</v>
      </c>
      <c r="M273" s="6"/>
      <c r="N273" s="6"/>
      <c r="O273" s="6" t="s">
        <v>23</v>
      </c>
      <c r="P273" s="6" t="s">
        <v>24</v>
      </c>
    </row>
    <row r="274" customFormat="false" ht="15.75" hidden="false" customHeight="false" outlineLevel="0" collapsed="false">
      <c r="A274" s="2" t="s">
        <v>16</v>
      </c>
      <c r="B274" s="2" t="s">
        <v>883</v>
      </c>
      <c r="C274" s="2" t="s">
        <v>884</v>
      </c>
      <c r="D274" s="2" t="s">
        <v>230</v>
      </c>
      <c r="E274" s="2" t="s">
        <v>231</v>
      </c>
      <c r="F274" s="3" t="n">
        <v>45103</v>
      </c>
      <c r="G274" s="4" t="n">
        <v>0.0182868171296296</v>
      </c>
      <c r="H274" s="2" t="s">
        <v>37</v>
      </c>
      <c r="I274" s="5" t="n">
        <v>1</v>
      </c>
      <c r="J274" s="5" t="n">
        <v>540.66</v>
      </c>
      <c r="K274" s="5" t="n">
        <v>540.66</v>
      </c>
      <c r="L274" s="2" t="s">
        <v>953</v>
      </c>
      <c r="M274" s="2" t="s">
        <v>954</v>
      </c>
      <c r="N274" s="2"/>
      <c r="O274" s="2" t="s">
        <v>23</v>
      </c>
      <c r="P274" s="2" t="s">
        <v>24</v>
      </c>
    </row>
    <row r="275" customFormat="false" ht="15.75" hidden="false" customHeight="false" outlineLevel="0" collapsed="false">
      <c r="A275" s="6" t="s">
        <v>16</v>
      </c>
      <c r="B275" s="6" t="s">
        <v>472</v>
      </c>
      <c r="C275" s="6" t="s">
        <v>473</v>
      </c>
      <c r="D275" s="6" t="s">
        <v>230</v>
      </c>
      <c r="E275" s="6" t="s">
        <v>231</v>
      </c>
      <c r="F275" s="7" t="n">
        <v>45103</v>
      </c>
      <c r="G275" s="8" t="n">
        <v>0.0162060185185185</v>
      </c>
      <c r="H275" s="6" t="s">
        <v>37</v>
      </c>
      <c r="I275" s="9" t="n">
        <v>1</v>
      </c>
      <c r="J275" s="9" t="n">
        <v>614.12</v>
      </c>
      <c r="K275" s="9" t="n">
        <v>614.12</v>
      </c>
      <c r="L275" s="6" t="s">
        <v>955</v>
      </c>
      <c r="M275" s="6" t="s">
        <v>956</v>
      </c>
      <c r="N275" s="6"/>
      <c r="O275" s="6" t="s">
        <v>23</v>
      </c>
      <c r="P275" s="6" t="s">
        <v>24</v>
      </c>
    </row>
    <row r="276" customFormat="false" ht="15.75" hidden="false" customHeight="false" outlineLevel="0" collapsed="false">
      <c r="A276" s="2" t="s">
        <v>16</v>
      </c>
      <c r="B276" s="2" t="s">
        <v>650</v>
      </c>
      <c r="C276" s="2" t="s">
        <v>651</v>
      </c>
      <c r="D276" s="2" t="s">
        <v>652</v>
      </c>
      <c r="E276" s="2" t="s">
        <v>28</v>
      </c>
      <c r="F276" s="3" t="n">
        <v>45103</v>
      </c>
      <c r="G276" s="4" t="n">
        <v>0.0150900115740741</v>
      </c>
      <c r="H276" s="2" t="s">
        <v>37</v>
      </c>
      <c r="I276" s="5" t="n">
        <v>1</v>
      </c>
      <c r="J276" s="5" t="n">
        <v>672</v>
      </c>
      <c r="K276" s="5" t="n">
        <v>672</v>
      </c>
      <c r="L276" s="2" t="s">
        <v>957</v>
      </c>
      <c r="M276" s="2" t="s">
        <v>958</v>
      </c>
      <c r="N276" s="2"/>
      <c r="O276" s="2" t="s">
        <v>23</v>
      </c>
      <c r="P276" s="2" t="s">
        <v>24</v>
      </c>
    </row>
    <row r="277" customFormat="false" ht="15.75" hidden="false" customHeight="false" outlineLevel="0" collapsed="false">
      <c r="A277" s="6" t="s">
        <v>16</v>
      </c>
      <c r="B277" s="6" t="s">
        <v>941</v>
      </c>
      <c r="C277" s="6" t="s">
        <v>942</v>
      </c>
      <c r="D277" s="6" t="s">
        <v>652</v>
      </c>
      <c r="E277" s="6" t="s">
        <v>28</v>
      </c>
      <c r="F277" s="7" t="n">
        <v>45103</v>
      </c>
      <c r="G277" s="8" t="n">
        <v>0.0144387962962963</v>
      </c>
      <c r="H277" s="6" t="s">
        <v>37</v>
      </c>
      <c r="I277" s="9" t="n">
        <v>1</v>
      </c>
      <c r="J277" s="9" t="n">
        <v>813</v>
      </c>
      <c r="K277" s="9" t="n">
        <v>813</v>
      </c>
      <c r="L277" s="6" t="s">
        <v>959</v>
      </c>
      <c r="M277" s="6" t="s">
        <v>960</v>
      </c>
      <c r="N277" s="6"/>
      <c r="O277" s="6" t="s">
        <v>23</v>
      </c>
      <c r="P277" s="6" t="s">
        <v>24</v>
      </c>
    </row>
    <row r="278" customFormat="false" ht="15.75" hidden="false" customHeight="false" outlineLevel="0" collapsed="false">
      <c r="A278" s="2" t="s">
        <v>16</v>
      </c>
      <c r="B278" s="2" t="s">
        <v>140</v>
      </c>
      <c r="C278" s="2" t="s">
        <v>141</v>
      </c>
      <c r="D278" s="2" t="s">
        <v>142</v>
      </c>
      <c r="E278" s="2" t="s">
        <v>28</v>
      </c>
      <c r="F278" s="3" t="n">
        <v>45103</v>
      </c>
      <c r="G278" s="4" t="n">
        <v>0.013660625</v>
      </c>
      <c r="H278" s="2" t="s">
        <v>37</v>
      </c>
      <c r="I278" s="5" t="n">
        <v>2</v>
      </c>
      <c r="J278" s="5" t="n">
        <v>813</v>
      </c>
      <c r="K278" s="5" t="n">
        <v>1626</v>
      </c>
      <c r="L278" s="2" t="s">
        <v>961</v>
      </c>
      <c r="M278" s="2" t="s">
        <v>962</v>
      </c>
      <c r="N278" s="2"/>
      <c r="O278" s="2" t="s">
        <v>23</v>
      </c>
      <c r="P278" s="2" t="s">
        <v>24</v>
      </c>
    </row>
    <row r="279" customFormat="false" ht="15.75" hidden="false" customHeight="false" outlineLevel="0" collapsed="false">
      <c r="A279" s="6" t="s">
        <v>16</v>
      </c>
      <c r="B279" s="6" t="s">
        <v>963</v>
      </c>
      <c r="C279" s="6" t="s">
        <v>964</v>
      </c>
      <c r="D279" s="6" t="s">
        <v>567</v>
      </c>
      <c r="E279" s="6" t="s">
        <v>568</v>
      </c>
      <c r="F279" s="7" t="n">
        <v>45104</v>
      </c>
      <c r="G279" s="8" t="n">
        <v>0.994976006944444</v>
      </c>
      <c r="H279" s="6" t="s">
        <v>37</v>
      </c>
      <c r="I279" s="9" t="n">
        <v>1</v>
      </c>
      <c r="J279" s="9" t="n">
        <v>2690</v>
      </c>
      <c r="K279" s="9" t="n">
        <v>2690</v>
      </c>
      <c r="L279" s="6" t="s">
        <v>965</v>
      </c>
      <c r="M279" s="6" t="s">
        <v>966</v>
      </c>
      <c r="N279" s="6"/>
      <c r="O279" s="6" t="s">
        <v>23</v>
      </c>
      <c r="P279" s="6" t="s">
        <v>24</v>
      </c>
    </row>
    <row r="280" customFormat="false" ht="15.75" hidden="false" customHeight="false" outlineLevel="0" collapsed="false">
      <c r="A280" s="2" t="s">
        <v>16</v>
      </c>
      <c r="B280" s="2" t="s">
        <v>967</v>
      </c>
      <c r="C280" s="2" t="s">
        <v>968</v>
      </c>
      <c r="D280" s="2" t="s">
        <v>832</v>
      </c>
      <c r="E280" s="2" t="s">
        <v>90</v>
      </c>
      <c r="F280" s="3" t="n">
        <v>45104</v>
      </c>
      <c r="G280" s="4" t="n">
        <v>0.353449050925926</v>
      </c>
      <c r="H280" s="2" t="s">
        <v>29</v>
      </c>
      <c r="I280" s="5" t="n">
        <v>3</v>
      </c>
      <c r="J280" s="5" t="n">
        <v>1450</v>
      </c>
      <c r="K280" s="5" t="n">
        <v>4350</v>
      </c>
      <c r="L280" s="2" t="s">
        <v>969</v>
      </c>
      <c r="M280" s="2" t="s">
        <v>970</v>
      </c>
      <c r="N280" s="2" t="s">
        <v>971</v>
      </c>
      <c r="O280" s="2" t="s">
        <v>61</v>
      </c>
      <c r="P280" s="2" t="s">
        <v>62</v>
      </c>
    </row>
    <row r="281" customFormat="false" ht="15.75" hidden="false" customHeight="false" outlineLevel="0" collapsed="false">
      <c r="A281" s="6" t="s">
        <v>16</v>
      </c>
      <c r="B281" s="6" t="s">
        <v>972</v>
      </c>
      <c r="C281" s="6" t="s">
        <v>973</v>
      </c>
      <c r="D281" s="6" t="s">
        <v>974</v>
      </c>
      <c r="E281" s="6" t="s">
        <v>568</v>
      </c>
      <c r="F281" s="7" t="n">
        <v>45104</v>
      </c>
      <c r="G281" s="8" t="n">
        <v>0.0332824305555556</v>
      </c>
      <c r="H281" s="6" t="s">
        <v>37</v>
      </c>
      <c r="I281" s="9" t="n">
        <v>1</v>
      </c>
      <c r="J281" s="9" t="n">
        <v>870</v>
      </c>
      <c r="K281" s="9" t="n">
        <v>870</v>
      </c>
      <c r="L281" s="6" t="s">
        <v>975</v>
      </c>
      <c r="M281" s="6" t="s">
        <v>976</v>
      </c>
      <c r="N281" s="6"/>
      <c r="O281" s="6" t="s">
        <v>23</v>
      </c>
      <c r="P281" s="6" t="s">
        <v>24</v>
      </c>
    </row>
    <row r="282" customFormat="false" ht="15.75" hidden="false" customHeight="false" outlineLevel="0" collapsed="false">
      <c r="A282" s="2" t="s">
        <v>16</v>
      </c>
      <c r="B282" s="2" t="s">
        <v>140</v>
      </c>
      <c r="C282" s="2" t="s">
        <v>141</v>
      </c>
      <c r="D282" s="2" t="s">
        <v>142</v>
      </c>
      <c r="E282" s="2" t="s">
        <v>28</v>
      </c>
      <c r="F282" s="3" t="n">
        <v>45104</v>
      </c>
      <c r="G282" s="4" t="n">
        <v>0.0315817939814815</v>
      </c>
      <c r="H282" s="2" t="s">
        <v>37</v>
      </c>
      <c r="I282" s="5" t="n">
        <v>1</v>
      </c>
      <c r="J282" s="5" t="n">
        <v>813</v>
      </c>
      <c r="K282" s="5" t="n">
        <v>813</v>
      </c>
      <c r="L282" s="2" t="s">
        <v>977</v>
      </c>
      <c r="M282" s="2" t="s">
        <v>978</v>
      </c>
      <c r="N282" s="2"/>
      <c r="O282" s="2" t="s">
        <v>23</v>
      </c>
      <c r="P282" s="2" t="s">
        <v>24</v>
      </c>
    </row>
    <row r="283" customFormat="false" ht="15.75" hidden="false" customHeight="false" outlineLevel="0" collapsed="false">
      <c r="A283" s="6" t="s">
        <v>16</v>
      </c>
      <c r="B283" s="6" t="s">
        <v>941</v>
      </c>
      <c r="C283" s="6" t="s">
        <v>942</v>
      </c>
      <c r="D283" s="6" t="s">
        <v>652</v>
      </c>
      <c r="E283" s="6" t="s">
        <v>28</v>
      </c>
      <c r="F283" s="7" t="n">
        <v>45104</v>
      </c>
      <c r="G283" s="8" t="n">
        <v>0.0294287962962963</v>
      </c>
      <c r="H283" s="6" t="s">
        <v>37</v>
      </c>
      <c r="I283" s="9" t="n">
        <v>1</v>
      </c>
      <c r="J283" s="9" t="n">
        <v>813</v>
      </c>
      <c r="K283" s="9" t="n">
        <v>813</v>
      </c>
      <c r="L283" s="6" t="s">
        <v>979</v>
      </c>
      <c r="M283" s="6" t="s">
        <v>980</v>
      </c>
      <c r="N283" s="6"/>
      <c r="O283" s="6" t="s">
        <v>23</v>
      </c>
      <c r="P283" s="6" t="s">
        <v>24</v>
      </c>
    </row>
    <row r="284" customFormat="false" ht="15.75" hidden="false" customHeight="false" outlineLevel="0" collapsed="false">
      <c r="A284" s="2" t="s">
        <v>16</v>
      </c>
      <c r="B284" s="2" t="s">
        <v>481</v>
      </c>
      <c r="C284" s="2" t="s">
        <v>482</v>
      </c>
      <c r="D284" s="2" t="s">
        <v>483</v>
      </c>
      <c r="E284" s="2" t="s">
        <v>148</v>
      </c>
      <c r="F284" s="3" t="n">
        <v>45104</v>
      </c>
      <c r="G284" s="4" t="n">
        <v>0.00740525462962963</v>
      </c>
      <c r="H284" s="2" t="s">
        <v>21</v>
      </c>
      <c r="I284" s="5" t="n">
        <v>32</v>
      </c>
      <c r="J284" s="5" t="n">
        <v>428.4</v>
      </c>
      <c r="K284" s="5" t="n">
        <v>13708.8</v>
      </c>
      <c r="L284" s="2" t="s">
        <v>129</v>
      </c>
      <c r="M284" s="2"/>
      <c r="N284" s="2"/>
      <c r="O284" s="2" t="s">
        <v>23</v>
      </c>
      <c r="P284" s="2" t="s">
        <v>24</v>
      </c>
    </row>
    <row r="285" customFormat="false" ht="15.75" hidden="false" customHeight="false" outlineLevel="0" collapsed="false">
      <c r="A285" s="6" t="s">
        <v>16</v>
      </c>
      <c r="B285" s="6" t="s">
        <v>650</v>
      </c>
      <c r="C285" s="6" t="s">
        <v>651</v>
      </c>
      <c r="D285" s="6" t="s">
        <v>652</v>
      </c>
      <c r="E285" s="6" t="s">
        <v>28</v>
      </c>
      <c r="F285" s="7" t="n">
        <v>45105</v>
      </c>
      <c r="G285" s="8" t="n">
        <v>0.0932780324074074</v>
      </c>
      <c r="H285" s="6" t="s">
        <v>37</v>
      </c>
      <c r="I285" s="9" t="n">
        <v>1</v>
      </c>
      <c r="J285" s="9" t="n">
        <v>672</v>
      </c>
      <c r="K285" s="9" t="n">
        <v>672</v>
      </c>
      <c r="L285" s="6" t="s">
        <v>981</v>
      </c>
      <c r="M285" s="6" t="s">
        <v>982</v>
      </c>
      <c r="N285" s="6"/>
      <c r="O285" s="6" t="s">
        <v>23</v>
      </c>
      <c r="P285" s="6" t="s">
        <v>24</v>
      </c>
    </row>
    <row r="286" customFormat="false" ht="15.75" hidden="false" customHeight="false" outlineLevel="0" collapsed="false">
      <c r="A286" s="2" t="s">
        <v>16</v>
      </c>
      <c r="B286" s="2" t="s">
        <v>385</v>
      </c>
      <c r="C286" s="2" t="s">
        <v>386</v>
      </c>
      <c r="D286" s="2" t="s">
        <v>142</v>
      </c>
      <c r="E286" s="2" t="s">
        <v>28</v>
      </c>
      <c r="F286" s="3" t="n">
        <v>45105</v>
      </c>
      <c r="G286" s="4" t="n">
        <v>0.0925543287037037</v>
      </c>
      <c r="H286" s="2" t="s">
        <v>37</v>
      </c>
      <c r="I286" s="5" t="n">
        <v>1</v>
      </c>
      <c r="J286" s="5" t="n">
        <v>1196</v>
      </c>
      <c r="K286" s="5" t="n">
        <v>1196</v>
      </c>
      <c r="L286" s="2" t="s">
        <v>983</v>
      </c>
      <c r="M286" s="2" t="s">
        <v>984</v>
      </c>
      <c r="N286" s="2"/>
      <c r="O286" s="2" t="s">
        <v>23</v>
      </c>
      <c r="P286" s="2" t="s">
        <v>24</v>
      </c>
    </row>
    <row r="287" customFormat="false" ht="15.75" hidden="false" customHeight="false" outlineLevel="0" collapsed="false">
      <c r="A287" s="6" t="s">
        <v>16</v>
      </c>
      <c r="B287" s="6" t="s">
        <v>985</v>
      </c>
      <c r="C287" s="6" t="s">
        <v>986</v>
      </c>
      <c r="D287" s="6" t="s">
        <v>854</v>
      </c>
      <c r="E287" s="6" t="s">
        <v>107</v>
      </c>
      <c r="F287" s="7" t="n">
        <v>45105</v>
      </c>
      <c r="G287" s="8" t="n">
        <v>0.0555539467592593</v>
      </c>
      <c r="H287" s="6" t="s">
        <v>37</v>
      </c>
      <c r="I287" s="9" t="n">
        <v>1</v>
      </c>
      <c r="J287" s="9" t="n">
        <v>142.08</v>
      </c>
      <c r="K287" s="9" t="n">
        <v>142.08</v>
      </c>
      <c r="L287" s="6" t="s">
        <v>987</v>
      </c>
      <c r="M287" s="6" t="s">
        <v>988</v>
      </c>
      <c r="N287" s="6"/>
      <c r="O287" s="6" t="s">
        <v>23</v>
      </c>
      <c r="P287" s="6" t="s">
        <v>24</v>
      </c>
    </row>
    <row r="288" customFormat="false" ht="15.75" hidden="false" customHeight="false" outlineLevel="0" collapsed="false">
      <c r="A288" s="2" t="s">
        <v>16</v>
      </c>
      <c r="B288" s="2" t="s">
        <v>985</v>
      </c>
      <c r="C288" s="2" t="s">
        <v>986</v>
      </c>
      <c r="D288" s="2" t="s">
        <v>854</v>
      </c>
      <c r="E288" s="2" t="s">
        <v>107</v>
      </c>
      <c r="F288" s="3" t="n">
        <v>45105</v>
      </c>
      <c r="G288" s="4" t="n">
        <v>0.0533157407407407</v>
      </c>
      <c r="H288" s="2" t="s">
        <v>37</v>
      </c>
      <c r="I288" s="5" t="n">
        <v>1</v>
      </c>
      <c r="J288" s="5" t="n">
        <v>142.08</v>
      </c>
      <c r="K288" s="5" t="n">
        <v>142.08</v>
      </c>
      <c r="L288" s="2" t="s">
        <v>989</v>
      </c>
      <c r="M288" s="2" t="s">
        <v>990</v>
      </c>
      <c r="N288" s="2"/>
      <c r="O288" s="2" t="s">
        <v>23</v>
      </c>
      <c r="P288" s="2" t="s">
        <v>24</v>
      </c>
    </row>
    <row r="289" customFormat="false" ht="15.75" hidden="false" customHeight="false" outlineLevel="0" collapsed="false">
      <c r="A289" s="6" t="s">
        <v>16</v>
      </c>
      <c r="B289" s="6" t="s">
        <v>897</v>
      </c>
      <c r="C289" s="6" t="s">
        <v>898</v>
      </c>
      <c r="D289" s="6" t="s">
        <v>854</v>
      </c>
      <c r="E289" s="6" t="s">
        <v>107</v>
      </c>
      <c r="F289" s="7" t="n">
        <v>45109</v>
      </c>
      <c r="G289" s="8" t="n">
        <v>0.918009791666667</v>
      </c>
      <c r="H289" s="6" t="s">
        <v>37</v>
      </c>
      <c r="I289" s="9" t="n">
        <v>1</v>
      </c>
      <c r="J289" s="9" t="n">
        <v>242.5</v>
      </c>
      <c r="K289" s="9" t="n">
        <v>242.5</v>
      </c>
      <c r="L289" s="6" t="s">
        <v>991</v>
      </c>
      <c r="M289" s="6" t="s">
        <v>992</v>
      </c>
      <c r="N289" s="6"/>
      <c r="O289" s="6" t="s">
        <v>23</v>
      </c>
      <c r="P289" s="6" t="s">
        <v>24</v>
      </c>
    </row>
    <row r="290" customFormat="false" ht="15.75" hidden="false" customHeight="false" outlineLevel="0" collapsed="false">
      <c r="A290" s="2" t="s">
        <v>16</v>
      </c>
      <c r="B290" s="2" t="s">
        <v>993</v>
      </c>
      <c r="C290" s="2" t="s">
        <v>994</v>
      </c>
      <c r="D290" s="2" t="s">
        <v>132</v>
      </c>
      <c r="E290" s="2" t="s">
        <v>96</v>
      </c>
      <c r="F290" s="3" t="n">
        <v>45110</v>
      </c>
      <c r="G290" s="4" t="n">
        <v>0.875133402777778</v>
      </c>
      <c r="H290" s="2" t="s">
        <v>37</v>
      </c>
      <c r="I290" s="5" t="n">
        <v>1</v>
      </c>
      <c r="J290" s="5" t="n">
        <v>289.5</v>
      </c>
      <c r="K290" s="5" t="n">
        <v>289.5</v>
      </c>
      <c r="L290" s="2" t="s">
        <v>995</v>
      </c>
      <c r="M290" s="2" t="s">
        <v>996</v>
      </c>
      <c r="N290" s="2"/>
      <c r="O290" s="2" t="s">
        <v>23</v>
      </c>
      <c r="P290" s="2" t="s">
        <v>24</v>
      </c>
    </row>
    <row r="291" customFormat="false" ht="15.75" hidden="false" customHeight="false" outlineLevel="0" collapsed="false">
      <c r="A291" s="6" t="s">
        <v>16</v>
      </c>
      <c r="B291" s="6" t="s">
        <v>997</v>
      </c>
      <c r="C291" s="6" t="s">
        <v>998</v>
      </c>
      <c r="D291" s="6" t="s">
        <v>999</v>
      </c>
      <c r="E291" s="6" t="s">
        <v>96</v>
      </c>
      <c r="F291" s="7" t="n">
        <v>45110</v>
      </c>
      <c r="G291" s="8" t="n">
        <v>0.870953784722222</v>
      </c>
      <c r="H291" s="6" t="s">
        <v>37</v>
      </c>
      <c r="I291" s="9" t="n">
        <v>2</v>
      </c>
      <c r="J291" s="9" t="n">
        <v>399.79</v>
      </c>
      <c r="K291" s="9" t="n">
        <v>799.58</v>
      </c>
      <c r="L291" s="6" t="s">
        <v>1000</v>
      </c>
      <c r="M291" s="6" t="s">
        <v>1001</v>
      </c>
      <c r="N291" s="6"/>
      <c r="O291" s="6" t="s">
        <v>23</v>
      </c>
      <c r="P291" s="6" t="s">
        <v>24</v>
      </c>
    </row>
    <row r="292" customFormat="false" ht="15.75" hidden="false" customHeight="false" outlineLevel="0" collapsed="false">
      <c r="A292" s="2" t="s">
        <v>16</v>
      </c>
      <c r="B292" s="2" t="s">
        <v>1002</v>
      </c>
      <c r="C292" s="2" t="s">
        <v>1003</v>
      </c>
      <c r="D292" s="2" t="s">
        <v>1004</v>
      </c>
      <c r="E292" s="2" t="s">
        <v>96</v>
      </c>
      <c r="F292" s="3" t="n">
        <v>45110</v>
      </c>
      <c r="G292" s="4" t="n">
        <v>0.868793599537037</v>
      </c>
      <c r="H292" s="2" t="s">
        <v>37</v>
      </c>
      <c r="I292" s="5" t="n">
        <v>1</v>
      </c>
      <c r="J292" s="5" t="n">
        <v>119</v>
      </c>
      <c r="K292" s="5" t="n">
        <v>119</v>
      </c>
      <c r="L292" s="2" t="s">
        <v>1005</v>
      </c>
      <c r="M292" s="2" t="s">
        <v>1006</v>
      </c>
      <c r="N292" s="2"/>
      <c r="O292" s="2" t="s">
        <v>23</v>
      </c>
      <c r="P292" s="2" t="s">
        <v>24</v>
      </c>
    </row>
    <row r="293" customFormat="false" ht="15.75" hidden="false" customHeight="false" outlineLevel="0" collapsed="false">
      <c r="A293" s="6" t="s">
        <v>16</v>
      </c>
      <c r="B293" s="6" t="s">
        <v>1007</v>
      </c>
      <c r="C293" s="6" t="s">
        <v>1008</v>
      </c>
      <c r="D293" s="6" t="s">
        <v>70</v>
      </c>
      <c r="E293" s="6" t="s">
        <v>71</v>
      </c>
      <c r="F293" s="7" t="n">
        <v>45110</v>
      </c>
      <c r="G293" s="8" t="n">
        <v>0.862046087962963</v>
      </c>
      <c r="H293" s="6" t="s">
        <v>37</v>
      </c>
      <c r="I293" s="9" t="n">
        <v>1</v>
      </c>
      <c r="J293" s="9" t="n">
        <v>189.3</v>
      </c>
      <c r="K293" s="9" t="n">
        <v>189.3</v>
      </c>
      <c r="L293" s="6" t="s">
        <v>1009</v>
      </c>
      <c r="M293" s="6" t="s">
        <v>1010</v>
      </c>
      <c r="N293" s="6"/>
      <c r="O293" s="6" t="s">
        <v>23</v>
      </c>
      <c r="P293" s="6" t="s">
        <v>24</v>
      </c>
    </row>
    <row r="294" customFormat="false" ht="15.75" hidden="false" customHeight="false" outlineLevel="0" collapsed="false">
      <c r="A294" s="2" t="s">
        <v>16</v>
      </c>
      <c r="B294" s="2" t="s">
        <v>385</v>
      </c>
      <c r="C294" s="2" t="s">
        <v>386</v>
      </c>
      <c r="D294" s="2" t="s">
        <v>142</v>
      </c>
      <c r="E294" s="2" t="s">
        <v>28</v>
      </c>
      <c r="F294" s="3" t="n">
        <v>45110</v>
      </c>
      <c r="G294" s="4" t="n">
        <v>0.797594398148148</v>
      </c>
      <c r="H294" s="2" t="s">
        <v>37</v>
      </c>
      <c r="I294" s="5" t="n">
        <v>1</v>
      </c>
      <c r="J294" s="5" t="n">
        <v>1196</v>
      </c>
      <c r="K294" s="5" t="n">
        <v>1196</v>
      </c>
      <c r="L294" s="2" t="s">
        <v>1011</v>
      </c>
      <c r="M294" s="2" t="s">
        <v>1012</v>
      </c>
      <c r="N294" s="2"/>
      <c r="O294" s="2" t="s">
        <v>23</v>
      </c>
      <c r="P294" s="2" t="s">
        <v>24</v>
      </c>
    </row>
    <row r="295" customFormat="false" ht="15.75" hidden="false" customHeight="false" outlineLevel="0" collapsed="false">
      <c r="A295" s="6" t="s">
        <v>16</v>
      </c>
      <c r="B295" s="6" t="s">
        <v>606</v>
      </c>
      <c r="C295" s="6" t="s">
        <v>607</v>
      </c>
      <c r="D295" s="6" t="s">
        <v>487</v>
      </c>
      <c r="E295" s="6" t="s">
        <v>20</v>
      </c>
      <c r="F295" s="7" t="n">
        <v>45110</v>
      </c>
      <c r="G295" s="8" t="n">
        <v>0.779273761574074</v>
      </c>
      <c r="H295" s="6" t="s">
        <v>37</v>
      </c>
      <c r="I295" s="9" t="n">
        <v>6</v>
      </c>
      <c r="J295" s="9" t="n">
        <v>1150</v>
      </c>
      <c r="K295" s="9" t="n">
        <v>6900</v>
      </c>
      <c r="L295" s="6" t="s">
        <v>1013</v>
      </c>
      <c r="M295" s="6" t="s">
        <v>1014</v>
      </c>
      <c r="N295" s="6"/>
      <c r="O295" s="6" t="s">
        <v>110</v>
      </c>
      <c r="P295" s="6" t="s">
        <v>111</v>
      </c>
    </row>
    <row r="296" customFormat="false" ht="15.75" hidden="false" customHeight="false" outlineLevel="0" collapsed="false">
      <c r="A296" s="2" t="s">
        <v>16</v>
      </c>
      <c r="B296" s="2" t="s">
        <v>1015</v>
      </c>
      <c r="C296" s="2" t="s">
        <v>1016</v>
      </c>
      <c r="D296" s="2" t="s">
        <v>762</v>
      </c>
      <c r="E296" s="2" t="s">
        <v>736</v>
      </c>
      <c r="F296" s="3" t="n">
        <v>45110</v>
      </c>
      <c r="G296" s="4" t="n">
        <v>0.769055231481481</v>
      </c>
      <c r="H296" s="2" t="s">
        <v>37</v>
      </c>
      <c r="I296" s="5" t="n">
        <v>1</v>
      </c>
      <c r="J296" s="5" t="n">
        <v>2430.16</v>
      </c>
      <c r="K296" s="5" t="n">
        <v>2430.16</v>
      </c>
      <c r="L296" s="2" t="s">
        <v>1017</v>
      </c>
      <c r="M296" s="2" t="s">
        <v>1018</v>
      </c>
      <c r="N296" s="2"/>
      <c r="O296" s="2" t="s">
        <v>110</v>
      </c>
      <c r="P296" s="2" t="s">
        <v>111</v>
      </c>
    </row>
    <row r="297" customFormat="false" ht="15.75" hidden="false" customHeight="false" outlineLevel="0" collapsed="false">
      <c r="A297" s="6" t="s">
        <v>16</v>
      </c>
      <c r="B297" s="6" t="s">
        <v>1019</v>
      </c>
      <c r="C297" s="6" t="s">
        <v>1020</v>
      </c>
      <c r="D297" s="6" t="s">
        <v>758</v>
      </c>
      <c r="E297" s="6" t="s">
        <v>122</v>
      </c>
      <c r="F297" s="7" t="n">
        <v>45111</v>
      </c>
      <c r="G297" s="8" t="n">
        <v>0.96576255787037</v>
      </c>
      <c r="H297" s="6" t="s">
        <v>21</v>
      </c>
      <c r="I297" s="9" t="n">
        <v>2</v>
      </c>
      <c r="J297" s="9" t="n">
        <v>215.98</v>
      </c>
      <c r="K297" s="9" t="n">
        <v>431.96</v>
      </c>
      <c r="L297" s="6" t="s">
        <v>1021</v>
      </c>
      <c r="M297" s="6"/>
      <c r="N297" s="6"/>
      <c r="O297" s="6" t="s">
        <v>23</v>
      </c>
      <c r="P297" s="6" t="s">
        <v>24</v>
      </c>
    </row>
    <row r="298" customFormat="false" ht="15.75" hidden="false" customHeight="false" outlineLevel="0" collapsed="false">
      <c r="A298" s="2" t="s">
        <v>16</v>
      </c>
      <c r="B298" s="2" t="s">
        <v>1022</v>
      </c>
      <c r="C298" s="2" t="s">
        <v>1023</v>
      </c>
      <c r="D298" s="2" t="s">
        <v>230</v>
      </c>
      <c r="E298" s="2" t="s">
        <v>231</v>
      </c>
      <c r="F298" s="3" t="n">
        <v>45111</v>
      </c>
      <c r="G298" s="4" t="n">
        <v>0.894642777777778</v>
      </c>
      <c r="H298" s="2" t="s">
        <v>37</v>
      </c>
      <c r="I298" s="5" t="n">
        <v>1</v>
      </c>
      <c r="J298" s="5" t="n">
        <v>188.49</v>
      </c>
      <c r="K298" s="5" t="n">
        <v>188.49</v>
      </c>
      <c r="L298" s="2" t="s">
        <v>1024</v>
      </c>
      <c r="M298" s="2" t="s">
        <v>1025</v>
      </c>
      <c r="N298" s="2"/>
      <c r="O298" s="2" t="s">
        <v>23</v>
      </c>
      <c r="P298" s="2" t="s">
        <v>24</v>
      </c>
    </row>
    <row r="299" customFormat="false" ht="15.75" hidden="false" customHeight="false" outlineLevel="0" collapsed="false">
      <c r="A299" s="6" t="s">
        <v>16</v>
      </c>
      <c r="B299" s="6" t="s">
        <v>389</v>
      </c>
      <c r="C299" s="6" t="s">
        <v>390</v>
      </c>
      <c r="D299" s="6" t="s">
        <v>19</v>
      </c>
      <c r="E299" s="6" t="s">
        <v>20</v>
      </c>
      <c r="F299" s="7" t="n">
        <v>45111</v>
      </c>
      <c r="G299" s="8" t="n">
        <v>0.860856261574074</v>
      </c>
      <c r="H299" s="6" t="s">
        <v>37</v>
      </c>
      <c r="I299" s="9" t="n">
        <v>11</v>
      </c>
      <c r="J299" s="9" t="n">
        <v>497</v>
      </c>
      <c r="K299" s="9" t="n">
        <v>5467</v>
      </c>
      <c r="L299" s="6" t="s">
        <v>1026</v>
      </c>
      <c r="M299" s="6" t="s">
        <v>1027</v>
      </c>
      <c r="N299" s="6"/>
      <c r="O299" s="6" t="s">
        <v>23</v>
      </c>
      <c r="P299" s="6" t="s">
        <v>24</v>
      </c>
    </row>
    <row r="300" customFormat="false" ht="15.75" hidden="false" customHeight="false" outlineLevel="0" collapsed="false">
      <c r="A300" s="2" t="s">
        <v>16</v>
      </c>
      <c r="B300" s="2" t="s">
        <v>719</v>
      </c>
      <c r="C300" s="2" t="s">
        <v>720</v>
      </c>
      <c r="D300" s="2" t="s">
        <v>19</v>
      </c>
      <c r="E300" s="2" t="s">
        <v>20</v>
      </c>
      <c r="F300" s="3" t="n">
        <v>45111</v>
      </c>
      <c r="G300" s="4" t="n">
        <v>0.360914351851852</v>
      </c>
      <c r="H300" s="2" t="s">
        <v>37</v>
      </c>
      <c r="I300" s="5" t="n">
        <v>1</v>
      </c>
      <c r="J300" s="5" t="n">
        <v>1843</v>
      </c>
      <c r="K300" s="5" t="n">
        <v>1843</v>
      </c>
      <c r="L300" s="2" t="s">
        <v>1028</v>
      </c>
      <c r="M300" s="2" t="s">
        <v>1029</v>
      </c>
      <c r="N300" s="2"/>
      <c r="O300" s="2" t="s">
        <v>61</v>
      </c>
      <c r="P300" s="2" t="s">
        <v>62</v>
      </c>
    </row>
    <row r="301" customFormat="false" ht="15.75" hidden="false" customHeight="false" outlineLevel="0" collapsed="false">
      <c r="A301" s="6" t="s">
        <v>16</v>
      </c>
      <c r="B301" s="6" t="s">
        <v>1030</v>
      </c>
      <c r="C301" s="6" t="s">
        <v>1031</v>
      </c>
      <c r="D301" s="6" t="s">
        <v>1032</v>
      </c>
      <c r="E301" s="6" t="s">
        <v>71</v>
      </c>
      <c r="F301" s="7" t="n">
        <v>45112</v>
      </c>
      <c r="G301" s="8" t="n">
        <v>0.899363113425926</v>
      </c>
      <c r="H301" s="6" t="s">
        <v>37</v>
      </c>
      <c r="I301" s="9" t="n">
        <v>1</v>
      </c>
      <c r="J301" s="9" t="n">
        <v>191.25</v>
      </c>
      <c r="K301" s="9" t="n">
        <v>191.25</v>
      </c>
      <c r="L301" s="6" t="s">
        <v>1033</v>
      </c>
      <c r="M301" s="6" t="s">
        <v>1034</v>
      </c>
      <c r="N301" s="6"/>
      <c r="O301" s="6" t="s">
        <v>23</v>
      </c>
      <c r="P301" s="6" t="s">
        <v>24</v>
      </c>
    </row>
    <row r="302" customFormat="false" ht="15.75" hidden="false" customHeight="false" outlineLevel="0" collapsed="false">
      <c r="A302" s="2" t="s">
        <v>16</v>
      </c>
      <c r="B302" s="2" t="s">
        <v>342</v>
      </c>
      <c r="C302" s="2" t="s">
        <v>343</v>
      </c>
      <c r="D302" s="2" t="s">
        <v>230</v>
      </c>
      <c r="E302" s="2" t="s">
        <v>231</v>
      </c>
      <c r="F302" s="3" t="n">
        <v>45112</v>
      </c>
      <c r="G302" s="4" t="n">
        <v>0.649570185185185</v>
      </c>
      <c r="H302" s="2" t="s">
        <v>29</v>
      </c>
      <c r="I302" s="5" t="n">
        <v>576</v>
      </c>
      <c r="J302" s="5" t="n">
        <v>188.49</v>
      </c>
      <c r="K302" s="5" t="n">
        <v>108570.24</v>
      </c>
      <c r="L302" s="2" t="s">
        <v>1035</v>
      </c>
      <c r="M302" s="2" t="s">
        <v>1036</v>
      </c>
      <c r="N302" s="2" t="s">
        <v>1037</v>
      </c>
      <c r="O302" s="2" t="s">
        <v>61</v>
      </c>
      <c r="P302" s="2" t="s">
        <v>62</v>
      </c>
    </row>
    <row r="303" customFormat="false" ht="15.75" hidden="false" customHeight="false" outlineLevel="0" collapsed="false">
      <c r="A303" s="6" t="s">
        <v>16</v>
      </c>
      <c r="B303" s="6" t="s">
        <v>1038</v>
      </c>
      <c r="C303" s="6" t="s">
        <v>1039</v>
      </c>
      <c r="D303" s="6" t="s">
        <v>106</v>
      </c>
      <c r="E303" s="6" t="s">
        <v>122</v>
      </c>
      <c r="F303" s="7" t="n">
        <v>45113</v>
      </c>
      <c r="G303" s="8" t="n">
        <v>0.655101273148148</v>
      </c>
      <c r="H303" s="6" t="s">
        <v>29</v>
      </c>
      <c r="I303" s="9" t="n">
        <v>69</v>
      </c>
      <c r="J303" s="9" t="n">
        <v>159.8</v>
      </c>
      <c r="K303" s="9" t="n">
        <v>11026.2</v>
      </c>
      <c r="L303" s="6" t="s">
        <v>1040</v>
      </c>
      <c r="M303" s="6" t="s">
        <v>1041</v>
      </c>
      <c r="N303" s="6" t="s">
        <v>1042</v>
      </c>
      <c r="O303" s="6" t="s">
        <v>61</v>
      </c>
      <c r="P303" s="6" t="s">
        <v>62</v>
      </c>
    </row>
    <row r="304" customFormat="false" ht="15.75" hidden="false" customHeight="false" outlineLevel="0" collapsed="false">
      <c r="A304" s="2" t="s">
        <v>16</v>
      </c>
      <c r="B304" s="2" t="s">
        <v>1043</v>
      </c>
      <c r="C304" s="2" t="s">
        <v>1044</v>
      </c>
      <c r="D304" s="2" t="s">
        <v>854</v>
      </c>
      <c r="E304" s="2" t="s">
        <v>107</v>
      </c>
      <c r="F304" s="3" t="n">
        <v>45114</v>
      </c>
      <c r="G304" s="4" t="n">
        <v>0.75510068287037</v>
      </c>
      <c r="H304" s="2" t="s">
        <v>37</v>
      </c>
      <c r="I304" s="5" t="n">
        <v>1</v>
      </c>
      <c r="J304" s="5" t="n">
        <v>242.5</v>
      </c>
      <c r="K304" s="5" t="n">
        <v>242.5</v>
      </c>
      <c r="L304" s="2" t="s">
        <v>1045</v>
      </c>
      <c r="M304" s="2" t="s">
        <v>1046</v>
      </c>
      <c r="N304" s="2"/>
      <c r="O304" s="2" t="s">
        <v>23</v>
      </c>
      <c r="P304" s="2" t="s">
        <v>24</v>
      </c>
    </row>
    <row r="305" customFormat="false" ht="15.75" hidden="false" customHeight="false" outlineLevel="0" collapsed="false">
      <c r="A305" s="6" t="s">
        <v>16</v>
      </c>
      <c r="B305" s="6" t="s">
        <v>1047</v>
      </c>
      <c r="C305" s="6" t="s">
        <v>1048</v>
      </c>
      <c r="D305" s="6" t="s">
        <v>659</v>
      </c>
      <c r="E305" s="6" t="s">
        <v>28</v>
      </c>
      <c r="F305" s="7" t="n">
        <v>45114</v>
      </c>
      <c r="G305" s="8" t="n">
        <v>0.673474849537037</v>
      </c>
      <c r="H305" s="6" t="s">
        <v>37</v>
      </c>
      <c r="I305" s="9" t="n">
        <v>1</v>
      </c>
      <c r="J305" s="9" t="n">
        <v>576</v>
      </c>
      <c r="K305" s="9" t="n">
        <v>576</v>
      </c>
      <c r="L305" s="6" t="s">
        <v>1049</v>
      </c>
      <c r="M305" s="6" t="s">
        <v>1050</v>
      </c>
      <c r="N305" s="6"/>
      <c r="O305" s="6" t="s">
        <v>23</v>
      </c>
      <c r="P305" s="6" t="s">
        <v>24</v>
      </c>
    </row>
    <row r="306" customFormat="false" ht="15.75" hidden="false" customHeight="false" outlineLevel="0" collapsed="false">
      <c r="A306" s="2" t="s">
        <v>16</v>
      </c>
      <c r="B306" s="2" t="s">
        <v>650</v>
      </c>
      <c r="C306" s="2" t="s">
        <v>651</v>
      </c>
      <c r="D306" s="2" t="s">
        <v>652</v>
      </c>
      <c r="E306" s="2" t="s">
        <v>28</v>
      </c>
      <c r="F306" s="3" t="n">
        <v>45115</v>
      </c>
      <c r="G306" s="4" t="n">
        <v>0.887904953703704</v>
      </c>
      <c r="H306" s="2" t="s">
        <v>37</v>
      </c>
      <c r="I306" s="5" t="n">
        <v>1</v>
      </c>
      <c r="J306" s="5" t="n">
        <v>677.4</v>
      </c>
      <c r="K306" s="5" t="n">
        <v>677.4</v>
      </c>
      <c r="L306" s="2" t="s">
        <v>1051</v>
      </c>
      <c r="M306" s="2" t="s">
        <v>1052</v>
      </c>
      <c r="N306" s="2"/>
      <c r="O306" s="2" t="s">
        <v>23</v>
      </c>
      <c r="P306" s="2" t="s">
        <v>24</v>
      </c>
    </row>
    <row r="307" customFormat="false" ht="15.75" hidden="false" customHeight="false" outlineLevel="0" collapsed="false">
      <c r="A307" s="6" t="s">
        <v>16</v>
      </c>
      <c r="B307" s="6" t="s">
        <v>140</v>
      </c>
      <c r="C307" s="6" t="s">
        <v>141</v>
      </c>
      <c r="D307" s="6" t="s">
        <v>142</v>
      </c>
      <c r="E307" s="6" t="s">
        <v>28</v>
      </c>
      <c r="F307" s="7" t="n">
        <v>45115</v>
      </c>
      <c r="G307" s="8" t="n">
        <v>0.887265925925926</v>
      </c>
      <c r="H307" s="6" t="s">
        <v>37</v>
      </c>
      <c r="I307" s="9" t="n">
        <v>1</v>
      </c>
      <c r="J307" s="9" t="n">
        <v>872</v>
      </c>
      <c r="K307" s="9" t="n">
        <v>872</v>
      </c>
      <c r="L307" s="6" t="s">
        <v>1053</v>
      </c>
      <c r="M307" s="6" t="s">
        <v>1054</v>
      </c>
      <c r="N307" s="6"/>
      <c r="O307" s="6" t="s">
        <v>23</v>
      </c>
      <c r="P307" s="6" t="s">
        <v>24</v>
      </c>
    </row>
    <row r="308" customFormat="false" ht="15.75" hidden="false" customHeight="false" outlineLevel="0" collapsed="false">
      <c r="A308" s="2" t="s">
        <v>16</v>
      </c>
      <c r="B308" s="2" t="s">
        <v>1047</v>
      </c>
      <c r="C308" s="2" t="s">
        <v>1048</v>
      </c>
      <c r="D308" s="2" t="s">
        <v>659</v>
      </c>
      <c r="E308" s="2" t="s">
        <v>28</v>
      </c>
      <c r="F308" s="3" t="n">
        <v>45115</v>
      </c>
      <c r="G308" s="4" t="n">
        <v>0.886173298611111</v>
      </c>
      <c r="H308" s="2" t="s">
        <v>37</v>
      </c>
      <c r="I308" s="5" t="n">
        <v>1</v>
      </c>
      <c r="J308" s="5" t="n">
        <v>576</v>
      </c>
      <c r="K308" s="5" t="n">
        <v>576</v>
      </c>
      <c r="L308" s="2" t="s">
        <v>1055</v>
      </c>
      <c r="M308" s="2" t="s">
        <v>1056</v>
      </c>
      <c r="N308" s="2"/>
      <c r="O308" s="2" t="s">
        <v>23</v>
      </c>
      <c r="P308" s="2" t="s">
        <v>24</v>
      </c>
    </row>
    <row r="309" customFormat="false" ht="15.75" hidden="false" customHeight="false" outlineLevel="0" collapsed="false">
      <c r="A309" s="6" t="s">
        <v>16</v>
      </c>
      <c r="B309" s="6" t="s">
        <v>1057</v>
      </c>
      <c r="C309" s="6" t="s">
        <v>1058</v>
      </c>
      <c r="D309" s="6" t="s">
        <v>89</v>
      </c>
      <c r="E309" s="6" t="s">
        <v>431</v>
      </c>
      <c r="F309" s="7" t="n">
        <v>45116</v>
      </c>
      <c r="G309" s="8" t="n">
        <v>0.942694155092593</v>
      </c>
      <c r="H309" s="6" t="s">
        <v>21</v>
      </c>
      <c r="I309" s="9" t="n">
        <v>2</v>
      </c>
      <c r="J309" s="9" t="n">
        <v>300</v>
      </c>
      <c r="K309" s="9" t="n">
        <v>600</v>
      </c>
      <c r="L309" s="6" t="s">
        <v>1059</v>
      </c>
      <c r="M309" s="6"/>
      <c r="N309" s="6"/>
      <c r="O309" s="6" t="s">
        <v>23</v>
      </c>
      <c r="P309" s="6" t="s">
        <v>24</v>
      </c>
    </row>
    <row r="310" customFormat="false" ht="15.75" hidden="false" customHeight="false" outlineLevel="0" collapsed="false">
      <c r="A310" s="2" t="s">
        <v>16</v>
      </c>
      <c r="B310" s="2" t="s">
        <v>1060</v>
      </c>
      <c r="C310" s="2" t="s">
        <v>1061</v>
      </c>
      <c r="D310" s="2" t="s">
        <v>1062</v>
      </c>
      <c r="E310" s="2" t="s">
        <v>28</v>
      </c>
      <c r="F310" s="3" t="n">
        <v>45116</v>
      </c>
      <c r="G310" s="4" t="n">
        <v>0.848528587962963</v>
      </c>
      <c r="H310" s="2" t="s">
        <v>37</v>
      </c>
      <c r="I310" s="5" t="n">
        <v>1</v>
      </c>
      <c r="J310" s="5" t="n">
        <v>994.35</v>
      </c>
      <c r="K310" s="5" t="n">
        <v>994.35</v>
      </c>
      <c r="L310" s="2" t="s">
        <v>1063</v>
      </c>
      <c r="M310" s="2" t="s">
        <v>1064</v>
      </c>
      <c r="N310" s="2"/>
      <c r="O310" s="2" t="s">
        <v>23</v>
      </c>
      <c r="P310" s="2" t="s">
        <v>24</v>
      </c>
    </row>
    <row r="311" customFormat="false" ht="15.75" hidden="false" customHeight="false" outlineLevel="0" collapsed="false">
      <c r="A311" s="6" t="s">
        <v>16</v>
      </c>
      <c r="B311" s="6" t="s">
        <v>1065</v>
      </c>
      <c r="C311" s="6" t="s">
        <v>1066</v>
      </c>
      <c r="D311" s="6" t="s">
        <v>106</v>
      </c>
      <c r="E311" s="6" t="s">
        <v>122</v>
      </c>
      <c r="F311" s="7" t="n">
        <v>45116</v>
      </c>
      <c r="G311" s="8" t="n">
        <v>0.742285497685185</v>
      </c>
      <c r="H311" s="6" t="s">
        <v>29</v>
      </c>
      <c r="I311" s="9" t="n">
        <v>203</v>
      </c>
      <c r="J311" s="9" t="n">
        <v>159.81</v>
      </c>
      <c r="K311" s="9" t="n">
        <v>32441.43</v>
      </c>
      <c r="L311" s="6" t="s">
        <v>1067</v>
      </c>
      <c r="M311" s="6" t="s">
        <v>1068</v>
      </c>
      <c r="N311" s="6" t="s">
        <v>1069</v>
      </c>
      <c r="O311" s="6" t="s">
        <v>61</v>
      </c>
      <c r="P311" s="6" t="s">
        <v>62</v>
      </c>
    </row>
    <row r="312" customFormat="false" ht="15.75" hidden="false" customHeight="false" outlineLevel="0" collapsed="false">
      <c r="A312" s="2" t="s">
        <v>16</v>
      </c>
      <c r="B312" s="2" t="s">
        <v>210</v>
      </c>
      <c r="C312" s="2" t="s">
        <v>211</v>
      </c>
      <c r="D312" s="2" t="s">
        <v>212</v>
      </c>
      <c r="E312" s="2" t="s">
        <v>96</v>
      </c>
      <c r="F312" s="3" t="n">
        <v>45116</v>
      </c>
      <c r="G312" s="4" t="n">
        <v>0.00119193287037037</v>
      </c>
      <c r="H312" s="2" t="s">
        <v>37</v>
      </c>
      <c r="I312" s="5" t="n">
        <v>1</v>
      </c>
      <c r="J312" s="5" t="n">
        <v>107.91</v>
      </c>
      <c r="K312" s="5" t="n">
        <v>107.91</v>
      </c>
      <c r="L312" s="2" t="s">
        <v>1070</v>
      </c>
      <c r="M312" s="2" t="s">
        <v>1071</v>
      </c>
      <c r="N312" s="2"/>
      <c r="O312" s="2" t="s">
        <v>23</v>
      </c>
      <c r="P312" s="2" t="s">
        <v>24</v>
      </c>
    </row>
    <row r="313" customFormat="false" ht="15.75" hidden="false" customHeight="false" outlineLevel="0" collapsed="false">
      <c r="A313" s="6" t="s">
        <v>16</v>
      </c>
      <c r="B313" s="6" t="s">
        <v>908</v>
      </c>
      <c r="C313" s="6" t="s">
        <v>909</v>
      </c>
      <c r="D313" s="6" t="s">
        <v>95</v>
      </c>
      <c r="E313" s="6" t="s">
        <v>96</v>
      </c>
      <c r="F313" s="7" t="n">
        <v>45116</v>
      </c>
      <c r="G313" s="8" t="n">
        <v>0.000227314814814815</v>
      </c>
      <c r="H313" s="6" t="s">
        <v>37</v>
      </c>
      <c r="I313" s="9" t="n">
        <v>2</v>
      </c>
      <c r="J313" s="9" t="n">
        <v>45.59</v>
      </c>
      <c r="K313" s="9" t="n">
        <v>91.18</v>
      </c>
      <c r="L313" s="6" t="s">
        <v>1072</v>
      </c>
      <c r="M313" s="6" t="s">
        <v>1073</v>
      </c>
      <c r="N313" s="6"/>
      <c r="O313" s="6" t="s">
        <v>23</v>
      </c>
      <c r="P313" s="6" t="s">
        <v>24</v>
      </c>
    </row>
    <row r="314" customFormat="false" ht="15.75" hidden="false" customHeight="false" outlineLevel="0" collapsed="false">
      <c r="A314" s="2" t="s">
        <v>16</v>
      </c>
      <c r="B314" s="2" t="s">
        <v>1074</v>
      </c>
      <c r="C314" s="2" t="s">
        <v>1075</v>
      </c>
      <c r="D314" s="2" t="s">
        <v>895</v>
      </c>
      <c r="E314" s="2" t="s">
        <v>66</v>
      </c>
      <c r="F314" s="3" t="n">
        <v>45117</v>
      </c>
      <c r="G314" s="4" t="n">
        <v>0.980320115740741</v>
      </c>
      <c r="H314" s="2" t="s">
        <v>21</v>
      </c>
      <c r="I314" s="5" t="n">
        <v>1</v>
      </c>
      <c r="J314" s="5" t="n">
        <v>148.55</v>
      </c>
      <c r="K314" s="5" t="n">
        <v>148.55</v>
      </c>
      <c r="L314" s="2" t="s">
        <v>1076</v>
      </c>
      <c r="M314" s="2"/>
      <c r="N314" s="2"/>
      <c r="O314" s="2" t="s">
        <v>23</v>
      </c>
      <c r="P314" s="2" t="s">
        <v>24</v>
      </c>
    </row>
    <row r="315" customFormat="false" ht="15.75" hidden="false" customHeight="false" outlineLevel="0" collapsed="false">
      <c r="A315" s="6" t="s">
        <v>16</v>
      </c>
      <c r="B315" s="6" t="s">
        <v>620</v>
      </c>
      <c r="C315" s="6" t="s">
        <v>621</v>
      </c>
      <c r="D315" s="6" t="s">
        <v>622</v>
      </c>
      <c r="E315" s="6" t="s">
        <v>20</v>
      </c>
      <c r="F315" s="7" t="n">
        <v>45117</v>
      </c>
      <c r="G315" s="8" t="n">
        <v>0.976897743055556</v>
      </c>
      <c r="H315" s="6" t="s">
        <v>37</v>
      </c>
      <c r="I315" s="9" t="n">
        <v>6</v>
      </c>
      <c r="J315" s="9" t="n">
        <v>246</v>
      </c>
      <c r="K315" s="9" t="n">
        <v>1476</v>
      </c>
      <c r="L315" s="6" t="s">
        <v>1077</v>
      </c>
      <c r="M315" s="6" t="s">
        <v>1078</v>
      </c>
      <c r="N315" s="6"/>
      <c r="O315" s="6" t="s">
        <v>23</v>
      </c>
      <c r="P315" s="6" t="s">
        <v>24</v>
      </c>
    </row>
    <row r="316" customFormat="false" ht="15.75" hidden="false" customHeight="false" outlineLevel="0" collapsed="false">
      <c r="A316" s="2" t="s">
        <v>16</v>
      </c>
      <c r="B316" s="2" t="s">
        <v>1079</v>
      </c>
      <c r="C316" s="2" t="s">
        <v>1080</v>
      </c>
      <c r="D316" s="2" t="s">
        <v>622</v>
      </c>
      <c r="E316" s="2" t="s">
        <v>20</v>
      </c>
      <c r="F316" s="3" t="n">
        <v>45117</v>
      </c>
      <c r="G316" s="4" t="n">
        <v>0.97179162037037</v>
      </c>
      <c r="H316" s="2" t="s">
        <v>37</v>
      </c>
      <c r="I316" s="5" t="n">
        <v>6</v>
      </c>
      <c r="J316" s="5" t="n">
        <v>500</v>
      </c>
      <c r="K316" s="5" t="n">
        <v>3000</v>
      </c>
      <c r="L316" s="2" t="s">
        <v>1081</v>
      </c>
      <c r="M316" s="2" t="s">
        <v>1082</v>
      </c>
      <c r="N316" s="2"/>
      <c r="O316" s="2" t="s">
        <v>23</v>
      </c>
      <c r="P316" s="2" t="s">
        <v>24</v>
      </c>
    </row>
    <row r="317" customFormat="false" ht="15.75" hidden="false" customHeight="false" outlineLevel="0" collapsed="false">
      <c r="A317" s="6" t="s">
        <v>16</v>
      </c>
      <c r="B317" s="6" t="s">
        <v>140</v>
      </c>
      <c r="C317" s="6" t="s">
        <v>141</v>
      </c>
      <c r="D317" s="6" t="s">
        <v>142</v>
      </c>
      <c r="E317" s="6" t="s">
        <v>28</v>
      </c>
      <c r="F317" s="7" t="n">
        <v>45117</v>
      </c>
      <c r="G317" s="8" t="n">
        <v>0.906717604166667</v>
      </c>
      <c r="H317" s="6" t="s">
        <v>37</v>
      </c>
      <c r="I317" s="9" t="n">
        <v>1</v>
      </c>
      <c r="J317" s="9" t="n">
        <v>856</v>
      </c>
      <c r="K317" s="9" t="n">
        <v>856</v>
      </c>
      <c r="L317" s="6" t="s">
        <v>1083</v>
      </c>
      <c r="M317" s="6" t="s">
        <v>1084</v>
      </c>
      <c r="N317" s="6"/>
      <c r="O317" s="6" t="s">
        <v>23</v>
      </c>
      <c r="P317" s="6" t="s">
        <v>24</v>
      </c>
    </row>
    <row r="318" customFormat="false" ht="15.75" hidden="false" customHeight="false" outlineLevel="0" collapsed="false">
      <c r="A318" s="2" t="s">
        <v>16</v>
      </c>
      <c r="B318" s="2" t="s">
        <v>1085</v>
      </c>
      <c r="C318" s="2" t="s">
        <v>1086</v>
      </c>
      <c r="D318" s="2" t="s">
        <v>19</v>
      </c>
      <c r="E318" s="2" t="s">
        <v>20</v>
      </c>
      <c r="F318" s="3" t="n">
        <v>45117</v>
      </c>
      <c r="G318" s="4" t="n">
        <v>0.781304421296296</v>
      </c>
      <c r="H318" s="2" t="s">
        <v>37</v>
      </c>
      <c r="I318" s="5" t="n">
        <v>14</v>
      </c>
      <c r="J318" s="5" t="n">
        <v>225</v>
      </c>
      <c r="K318" s="5" t="n">
        <v>3150</v>
      </c>
      <c r="L318" s="2" t="s">
        <v>1087</v>
      </c>
      <c r="M318" s="2" t="s">
        <v>1088</v>
      </c>
      <c r="N318" s="2"/>
      <c r="O318" s="2" t="s">
        <v>23</v>
      </c>
      <c r="P318" s="2" t="s">
        <v>24</v>
      </c>
    </row>
    <row r="319" customFormat="false" ht="15.75" hidden="false" customHeight="false" outlineLevel="0" collapsed="false">
      <c r="A319" s="6" t="s">
        <v>16</v>
      </c>
      <c r="B319" s="6" t="s">
        <v>1089</v>
      </c>
      <c r="C319" s="6" t="s">
        <v>1090</v>
      </c>
      <c r="D319" s="6" t="s">
        <v>85</v>
      </c>
      <c r="E319" s="6" t="s">
        <v>28</v>
      </c>
      <c r="F319" s="7" t="n">
        <v>45117</v>
      </c>
      <c r="G319" s="8" t="n">
        <v>0.48799443287037</v>
      </c>
      <c r="H319" s="6" t="s">
        <v>29</v>
      </c>
      <c r="I319" s="9" t="n">
        <v>264</v>
      </c>
      <c r="J319" s="9" t="n">
        <v>520</v>
      </c>
      <c r="K319" s="9" t="n">
        <v>137280</v>
      </c>
      <c r="L319" s="6" t="s">
        <v>1091</v>
      </c>
      <c r="M319" s="6" t="s">
        <v>1092</v>
      </c>
      <c r="N319" s="6" t="s">
        <v>1093</v>
      </c>
      <c r="O319" s="6" t="s">
        <v>61</v>
      </c>
      <c r="P319" s="6" t="s">
        <v>62</v>
      </c>
    </row>
    <row r="320" customFormat="false" ht="15.75" hidden="false" customHeight="false" outlineLevel="0" collapsed="false">
      <c r="A320" s="2" t="s">
        <v>16</v>
      </c>
      <c r="B320" s="2" t="s">
        <v>1094</v>
      </c>
      <c r="C320" s="2" t="s">
        <v>1095</v>
      </c>
      <c r="D320" s="2" t="s">
        <v>758</v>
      </c>
      <c r="E320" s="2" t="s">
        <v>122</v>
      </c>
      <c r="F320" s="3" t="n">
        <v>45117</v>
      </c>
      <c r="G320" s="4" t="n">
        <v>0.402296851851852</v>
      </c>
      <c r="H320" s="2" t="s">
        <v>29</v>
      </c>
      <c r="I320" s="5" t="n">
        <v>39</v>
      </c>
      <c r="J320" s="5" t="n">
        <v>216</v>
      </c>
      <c r="K320" s="5" t="n">
        <v>8424</v>
      </c>
      <c r="L320" s="2" t="s">
        <v>1096</v>
      </c>
      <c r="M320" s="2" t="s">
        <v>1097</v>
      </c>
      <c r="N320" s="2" t="s">
        <v>1093</v>
      </c>
      <c r="O320" s="2" t="s">
        <v>61</v>
      </c>
      <c r="P320" s="2" t="s">
        <v>62</v>
      </c>
    </row>
    <row r="321" customFormat="false" ht="15.75" hidden="false" customHeight="false" outlineLevel="0" collapsed="false">
      <c r="A321" s="6" t="s">
        <v>16</v>
      </c>
      <c r="B321" s="6" t="s">
        <v>941</v>
      </c>
      <c r="C321" s="6" t="s">
        <v>942</v>
      </c>
      <c r="D321" s="6" t="s">
        <v>652</v>
      </c>
      <c r="E321" s="6" t="s">
        <v>28</v>
      </c>
      <c r="F321" s="7" t="n">
        <v>45118</v>
      </c>
      <c r="G321" s="8" t="n">
        <v>0.979033032407407</v>
      </c>
      <c r="H321" s="6" t="s">
        <v>37</v>
      </c>
      <c r="I321" s="9" t="n">
        <v>1</v>
      </c>
      <c r="J321" s="9" t="n">
        <v>856</v>
      </c>
      <c r="K321" s="9" t="n">
        <v>856</v>
      </c>
      <c r="L321" s="6" t="s">
        <v>1098</v>
      </c>
      <c r="M321" s="6" t="s">
        <v>1099</v>
      </c>
      <c r="N321" s="6"/>
      <c r="O321" s="6" t="s">
        <v>23</v>
      </c>
      <c r="P321" s="6" t="s">
        <v>24</v>
      </c>
    </row>
    <row r="322" customFormat="false" ht="15.75" hidden="false" customHeight="false" outlineLevel="0" collapsed="false">
      <c r="A322" s="2" t="s">
        <v>16</v>
      </c>
      <c r="B322" s="2" t="s">
        <v>1100</v>
      </c>
      <c r="C322" s="2" t="s">
        <v>1101</v>
      </c>
      <c r="D322" s="2" t="s">
        <v>19</v>
      </c>
      <c r="E322" s="2" t="s">
        <v>20</v>
      </c>
      <c r="F322" s="3" t="n">
        <v>45118</v>
      </c>
      <c r="G322" s="4" t="n">
        <v>0.529663888888889</v>
      </c>
      <c r="H322" s="2" t="s">
        <v>37</v>
      </c>
      <c r="I322" s="5" t="n">
        <v>1</v>
      </c>
      <c r="J322" s="5" t="n">
        <v>1357</v>
      </c>
      <c r="K322" s="5" t="n">
        <v>1357</v>
      </c>
      <c r="L322" s="2" t="s">
        <v>1102</v>
      </c>
      <c r="M322" s="2" t="s">
        <v>1103</v>
      </c>
      <c r="N322" s="2"/>
      <c r="O322" s="2" t="s">
        <v>61</v>
      </c>
      <c r="P322" s="2" t="s">
        <v>62</v>
      </c>
    </row>
    <row r="323" customFormat="false" ht="15.75" hidden="false" customHeight="false" outlineLevel="0" collapsed="false">
      <c r="A323" s="6" t="s">
        <v>16</v>
      </c>
      <c r="B323" s="6" t="s">
        <v>286</v>
      </c>
      <c r="C323" s="6" t="s">
        <v>287</v>
      </c>
      <c r="D323" s="6" t="s">
        <v>19</v>
      </c>
      <c r="E323" s="6" t="s">
        <v>20</v>
      </c>
      <c r="F323" s="7" t="n">
        <v>45118</v>
      </c>
      <c r="G323" s="8" t="n">
        <v>0.529286712962963</v>
      </c>
      <c r="H323" s="6" t="s">
        <v>37</v>
      </c>
      <c r="I323" s="9" t="n">
        <v>4</v>
      </c>
      <c r="J323" s="9" t="n">
        <v>2432</v>
      </c>
      <c r="K323" s="9" t="n">
        <v>9728</v>
      </c>
      <c r="L323" s="6" t="s">
        <v>1104</v>
      </c>
      <c r="M323" s="6" t="s">
        <v>1105</v>
      </c>
      <c r="N323" s="6"/>
      <c r="O323" s="6" t="s">
        <v>61</v>
      </c>
      <c r="P323" s="6" t="s">
        <v>62</v>
      </c>
    </row>
    <row r="324" customFormat="false" ht="15.75" hidden="false" customHeight="false" outlineLevel="0" collapsed="false">
      <c r="A324" s="2" t="s">
        <v>16</v>
      </c>
      <c r="B324" s="2" t="s">
        <v>723</v>
      </c>
      <c r="C324" s="2" t="s">
        <v>724</v>
      </c>
      <c r="D324" s="2" t="s">
        <v>19</v>
      </c>
      <c r="E324" s="2" t="s">
        <v>20</v>
      </c>
      <c r="F324" s="3" t="n">
        <v>45118</v>
      </c>
      <c r="G324" s="4" t="n">
        <v>0.528183564814815</v>
      </c>
      <c r="H324" s="2" t="s">
        <v>37</v>
      </c>
      <c r="I324" s="5" t="n">
        <v>1</v>
      </c>
      <c r="J324" s="5" t="n">
        <v>190</v>
      </c>
      <c r="K324" s="5" t="n">
        <v>190</v>
      </c>
      <c r="L324" s="2" t="s">
        <v>1106</v>
      </c>
      <c r="M324" s="2" t="s">
        <v>1107</v>
      </c>
      <c r="N324" s="2"/>
      <c r="O324" s="2" t="s">
        <v>61</v>
      </c>
      <c r="P324" s="2" t="s">
        <v>62</v>
      </c>
    </row>
    <row r="325" customFormat="false" ht="15.75" hidden="false" customHeight="false" outlineLevel="0" collapsed="false">
      <c r="A325" s="6" t="s">
        <v>16</v>
      </c>
      <c r="B325" s="6" t="s">
        <v>514</v>
      </c>
      <c r="C325" s="6" t="s">
        <v>515</v>
      </c>
      <c r="D325" s="6" t="s">
        <v>19</v>
      </c>
      <c r="E325" s="6" t="s">
        <v>20</v>
      </c>
      <c r="F325" s="7" t="n">
        <v>45118</v>
      </c>
      <c r="G325" s="8" t="n">
        <v>0.52750662037037</v>
      </c>
      <c r="H325" s="6" t="s">
        <v>37</v>
      </c>
      <c r="I325" s="9" t="n">
        <v>2</v>
      </c>
      <c r="J325" s="9" t="n">
        <v>2180</v>
      </c>
      <c r="K325" s="9" t="n">
        <v>4360</v>
      </c>
      <c r="L325" s="6" t="s">
        <v>1108</v>
      </c>
      <c r="M325" s="6" t="s">
        <v>1109</v>
      </c>
      <c r="N325" s="6"/>
      <c r="O325" s="6" t="s">
        <v>61</v>
      </c>
      <c r="P325" s="6" t="s">
        <v>62</v>
      </c>
    </row>
    <row r="326" customFormat="false" ht="15.75" hidden="false" customHeight="false" outlineLevel="0" collapsed="false">
      <c r="A326" s="2" t="s">
        <v>16</v>
      </c>
      <c r="B326" s="2" t="s">
        <v>822</v>
      </c>
      <c r="C326" s="2" t="s">
        <v>823</v>
      </c>
      <c r="D326" s="2" t="s">
        <v>622</v>
      </c>
      <c r="E326" s="2" t="s">
        <v>20</v>
      </c>
      <c r="F326" s="3" t="n">
        <v>45118</v>
      </c>
      <c r="G326" s="4" t="n">
        <v>0.526723229166667</v>
      </c>
      <c r="H326" s="2" t="s">
        <v>37</v>
      </c>
      <c r="I326" s="5" t="n">
        <v>181</v>
      </c>
      <c r="J326" s="5" t="n">
        <v>234</v>
      </c>
      <c r="K326" s="5" t="n">
        <v>42354</v>
      </c>
      <c r="L326" s="2" t="s">
        <v>1110</v>
      </c>
      <c r="M326" s="2" t="s">
        <v>1111</v>
      </c>
      <c r="N326" s="2"/>
      <c r="O326" s="2" t="s">
        <v>61</v>
      </c>
      <c r="P326" s="2" t="s">
        <v>62</v>
      </c>
    </row>
    <row r="327" customFormat="false" ht="15.75" hidden="false" customHeight="false" outlineLevel="0" collapsed="false">
      <c r="A327" s="6" t="s">
        <v>16</v>
      </c>
      <c r="B327" s="6" t="s">
        <v>210</v>
      </c>
      <c r="C327" s="6" t="s">
        <v>211</v>
      </c>
      <c r="D327" s="6" t="s">
        <v>212</v>
      </c>
      <c r="E327" s="6" t="s">
        <v>96</v>
      </c>
      <c r="F327" s="7" t="n">
        <v>45119</v>
      </c>
      <c r="G327" s="8" t="n">
        <v>0.946235335648148</v>
      </c>
      <c r="H327" s="6" t="s">
        <v>37</v>
      </c>
      <c r="I327" s="9" t="n">
        <v>2</v>
      </c>
      <c r="J327" s="9" t="n">
        <v>107.91</v>
      </c>
      <c r="K327" s="9" t="n">
        <v>215.82</v>
      </c>
      <c r="L327" s="6" t="s">
        <v>1112</v>
      </c>
      <c r="M327" s="6" t="s">
        <v>1113</v>
      </c>
      <c r="N327" s="6"/>
      <c r="O327" s="6" t="s">
        <v>23</v>
      </c>
      <c r="P327" s="6" t="s">
        <v>24</v>
      </c>
    </row>
    <row r="328" customFormat="false" ht="15.75" hidden="false" customHeight="false" outlineLevel="0" collapsed="false">
      <c r="A328" s="2" t="s">
        <v>16</v>
      </c>
      <c r="B328" s="2" t="s">
        <v>1114</v>
      </c>
      <c r="C328" s="2" t="s">
        <v>1115</v>
      </c>
      <c r="D328" s="2" t="s">
        <v>101</v>
      </c>
      <c r="E328" s="2" t="s">
        <v>96</v>
      </c>
      <c r="F328" s="3" t="n">
        <v>45119</v>
      </c>
      <c r="G328" s="4" t="n">
        <v>0.9453096875</v>
      </c>
      <c r="H328" s="2" t="s">
        <v>37</v>
      </c>
      <c r="I328" s="5" t="n">
        <v>1</v>
      </c>
      <c r="J328" s="5" t="n">
        <v>274.5</v>
      </c>
      <c r="K328" s="5" t="n">
        <v>274.5</v>
      </c>
      <c r="L328" s="2" t="s">
        <v>1116</v>
      </c>
      <c r="M328" s="2" t="s">
        <v>1117</v>
      </c>
      <c r="N328" s="2"/>
      <c r="O328" s="2" t="s">
        <v>23</v>
      </c>
      <c r="P328" s="2" t="s">
        <v>24</v>
      </c>
    </row>
    <row r="329" customFormat="false" ht="15.75" hidden="false" customHeight="false" outlineLevel="0" collapsed="false">
      <c r="A329" s="6" t="s">
        <v>16</v>
      </c>
      <c r="B329" s="6" t="s">
        <v>1118</v>
      </c>
      <c r="C329" s="6" t="s">
        <v>1119</v>
      </c>
      <c r="D329" s="6" t="s">
        <v>101</v>
      </c>
      <c r="E329" s="6" t="s">
        <v>96</v>
      </c>
      <c r="F329" s="7" t="n">
        <v>45119</v>
      </c>
      <c r="G329" s="8" t="n">
        <v>0.941715844907407</v>
      </c>
      <c r="H329" s="6" t="s">
        <v>37</v>
      </c>
      <c r="I329" s="9" t="n">
        <v>8</v>
      </c>
      <c r="J329" s="9" t="n">
        <v>111</v>
      </c>
      <c r="K329" s="9" t="n">
        <v>888</v>
      </c>
      <c r="L329" s="6" t="s">
        <v>1120</v>
      </c>
      <c r="M329" s="6" t="s">
        <v>1121</v>
      </c>
      <c r="N329" s="6"/>
      <c r="O329" s="6" t="s">
        <v>23</v>
      </c>
      <c r="P329" s="6" t="s">
        <v>24</v>
      </c>
    </row>
    <row r="330" customFormat="false" ht="15.75" hidden="false" customHeight="false" outlineLevel="0" collapsed="false">
      <c r="A330" s="2" t="s">
        <v>16</v>
      </c>
      <c r="B330" s="2" t="s">
        <v>657</v>
      </c>
      <c r="C330" s="2" t="s">
        <v>658</v>
      </c>
      <c r="D330" s="2" t="s">
        <v>659</v>
      </c>
      <c r="E330" s="2" t="s">
        <v>28</v>
      </c>
      <c r="F330" s="3" t="n">
        <v>45119</v>
      </c>
      <c r="G330" s="4" t="n">
        <v>0.920185173611111</v>
      </c>
      <c r="H330" s="2" t="s">
        <v>37</v>
      </c>
      <c r="I330" s="5" t="n">
        <v>1</v>
      </c>
      <c r="J330" s="5" t="n">
        <v>576</v>
      </c>
      <c r="K330" s="5" t="n">
        <v>576</v>
      </c>
      <c r="L330" s="2" t="s">
        <v>1122</v>
      </c>
      <c r="M330" s="2" t="s">
        <v>1123</v>
      </c>
      <c r="N330" s="2"/>
      <c r="O330" s="2" t="s">
        <v>23</v>
      </c>
      <c r="P330" s="2" t="s">
        <v>24</v>
      </c>
    </row>
    <row r="331" customFormat="false" ht="15.75" hidden="false" customHeight="false" outlineLevel="0" collapsed="false">
      <c r="A331" s="6" t="s">
        <v>16</v>
      </c>
      <c r="B331" s="6" t="s">
        <v>650</v>
      </c>
      <c r="C331" s="6" t="s">
        <v>651</v>
      </c>
      <c r="D331" s="6" t="s">
        <v>652</v>
      </c>
      <c r="E331" s="6" t="s">
        <v>28</v>
      </c>
      <c r="F331" s="7" t="n">
        <v>45122</v>
      </c>
      <c r="G331" s="8" t="n">
        <v>0.968928009259259</v>
      </c>
      <c r="H331" s="6" t="s">
        <v>37</v>
      </c>
      <c r="I331" s="9" t="n">
        <v>1</v>
      </c>
      <c r="J331" s="9" t="n">
        <v>670</v>
      </c>
      <c r="K331" s="9" t="n">
        <v>670</v>
      </c>
      <c r="L331" s="6" t="s">
        <v>1124</v>
      </c>
      <c r="M331" s="6" t="s">
        <v>1125</v>
      </c>
      <c r="N331" s="6"/>
      <c r="O331" s="6" t="s">
        <v>23</v>
      </c>
      <c r="P331" s="6" t="s">
        <v>24</v>
      </c>
    </row>
    <row r="332" customFormat="false" ht="15.75" hidden="false" customHeight="false" outlineLevel="0" collapsed="false">
      <c r="A332" s="2" t="s">
        <v>16</v>
      </c>
      <c r="B332" s="2" t="s">
        <v>650</v>
      </c>
      <c r="C332" s="2" t="s">
        <v>651</v>
      </c>
      <c r="D332" s="2" t="s">
        <v>652</v>
      </c>
      <c r="E332" s="2" t="s">
        <v>28</v>
      </c>
      <c r="F332" s="3" t="n">
        <v>45122</v>
      </c>
      <c r="G332" s="4" t="n">
        <v>0.968925393518518</v>
      </c>
      <c r="H332" s="2" t="s">
        <v>37</v>
      </c>
      <c r="I332" s="5" t="n">
        <v>1</v>
      </c>
      <c r="J332" s="5" t="n">
        <v>670</v>
      </c>
      <c r="K332" s="5" t="n">
        <v>670</v>
      </c>
      <c r="L332" s="2" t="s">
        <v>1124</v>
      </c>
      <c r="M332" s="2" t="s">
        <v>1125</v>
      </c>
      <c r="N332" s="2"/>
      <c r="O332" s="2" t="s">
        <v>23</v>
      </c>
      <c r="P332" s="2" t="s">
        <v>24</v>
      </c>
    </row>
    <row r="333" customFormat="false" ht="15.75" hidden="false" customHeight="false" outlineLevel="0" collapsed="false">
      <c r="A333" s="6" t="s">
        <v>16</v>
      </c>
      <c r="B333" s="6" t="s">
        <v>140</v>
      </c>
      <c r="C333" s="6" t="s">
        <v>141</v>
      </c>
      <c r="D333" s="6" t="s">
        <v>142</v>
      </c>
      <c r="E333" s="6" t="s">
        <v>28</v>
      </c>
      <c r="F333" s="7" t="n">
        <v>45122</v>
      </c>
      <c r="G333" s="8" t="n">
        <v>0.967591828703704</v>
      </c>
      <c r="H333" s="6" t="s">
        <v>37</v>
      </c>
      <c r="I333" s="9" t="n">
        <v>3</v>
      </c>
      <c r="J333" s="9" t="n">
        <v>885</v>
      </c>
      <c r="K333" s="9" t="n">
        <v>2655</v>
      </c>
      <c r="L333" s="6" t="s">
        <v>1126</v>
      </c>
      <c r="M333" s="6" t="s">
        <v>1127</v>
      </c>
      <c r="N333" s="6"/>
      <c r="O333" s="6" t="s">
        <v>23</v>
      </c>
      <c r="P333" s="6" t="s">
        <v>24</v>
      </c>
    </row>
    <row r="334" customFormat="false" ht="15.75" hidden="false" customHeight="false" outlineLevel="0" collapsed="false">
      <c r="A334" s="2" t="s">
        <v>16</v>
      </c>
      <c r="B334" s="2" t="s">
        <v>1128</v>
      </c>
      <c r="C334" s="2" t="s">
        <v>1129</v>
      </c>
      <c r="D334" s="2" t="s">
        <v>652</v>
      </c>
      <c r="E334" s="2" t="s">
        <v>28</v>
      </c>
      <c r="F334" s="3" t="n">
        <v>45122</v>
      </c>
      <c r="G334" s="4" t="n">
        <v>0.914099583333333</v>
      </c>
      <c r="H334" s="2" t="s">
        <v>37</v>
      </c>
      <c r="I334" s="5" t="n">
        <v>1</v>
      </c>
      <c r="J334" s="5" t="n">
        <v>1206</v>
      </c>
      <c r="K334" s="5" t="n">
        <v>1206</v>
      </c>
      <c r="L334" s="2" t="s">
        <v>1130</v>
      </c>
      <c r="M334" s="2" t="s">
        <v>1131</v>
      </c>
      <c r="N334" s="2"/>
      <c r="O334" s="2" t="s">
        <v>23</v>
      </c>
      <c r="P334" s="2" t="s">
        <v>24</v>
      </c>
    </row>
    <row r="335" customFormat="false" ht="15.75" hidden="false" customHeight="false" outlineLevel="0" collapsed="false">
      <c r="A335" s="6" t="s">
        <v>16</v>
      </c>
      <c r="B335" s="6" t="s">
        <v>385</v>
      </c>
      <c r="C335" s="6" t="s">
        <v>386</v>
      </c>
      <c r="D335" s="6" t="s">
        <v>142</v>
      </c>
      <c r="E335" s="6" t="s">
        <v>28</v>
      </c>
      <c r="F335" s="7" t="n">
        <v>45122</v>
      </c>
      <c r="G335" s="8" t="n">
        <v>0.859877175925926</v>
      </c>
      <c r="H335" s="6" t="s">
        <v>37</v>
      </c>
      <c r="I335" s="9" t="n">
        <v>1</v>
      </c>
      <c r="J335" s="9" t="n">
        <v>1226</v>
      </c>
      <c r="K335" s="9" t="n">
        <v>1226</v>
      </c>
      <c r="L335" s="6" t="s">
        <v>1132</v>
      </c>
      <c r="M335" s="6" t="s">
        <v>1133</v>
      </c>
      <c r="N335" s="6"/>
      <c r="O335" s="6" t="s">
        <v>23</v>
      </c>
      <c r="P335" s="6" t="s">
        <v>24</v>
      </c>
    </row>
    <row r="336" customFormat="false" ht="15.75" hidden="false" customHeight="false" outlineLevel="0" collapsed="false">
      <c r="A336" s="2" t="s">
        <v>16</v>
      </c>
      <c r="B336" s="2" t="s">
        <v>908</v>
      </c>
      <c r="C336" s="2" t="s">
        <v>909</v>
      </c>
      <c r="D336" s="2" t="s">
        <v>95</v>
      </c>
      <c r="E336" s="2" t="s">
        <v>96</v>
      </c>
      <c r="F336" s="3" t="n">
        <v>45123</v>
      </c>
      <c r="G336" s="4" t="n">
        <v>0.918979849537037</v>
      </c>
      <c r="H336" s="2" t="s">
        <v>37</v>
      </c>
      <c r="I336" s="5" t="n">
        <v>1</v>
      </c>
      <c r="J336" s="5" t="n">
        <v>45.59</v>
      </c>
      <c r="K336" s="5" t="n">
        <v>45.59</v>
      </c>
      <c r="L336" s="2" t="s">
        <v>1134</v>
      </c>
      <c r="M336" s="2" t="s">
        <v>1135</v>
      </c>
      <c r="N336" s="2"/>
      <c r="O336" s="2" t="s">
        <v>23</v>
      </c>
      <c r="P336" s="2" t="s">
        <v>24</v>
      </c>
    </row>
    <row r="337" customFormat="false" ht="15.75" hidden="false" customHeight="false" outlineLevel="0" collapsed="false">
      <c r="A337" s="6" t="s">
        <v>16</v>
      </c>
      <c r="B337" s="6" t="s">
        <v>1136</v>
      </c>
      <c r="C337" s="6" t="s">
        <v>1137</v>
      </c>
      <c r="D337" s="6" t="s">
        <v>95</v>
      </c>
      <c r="E337" s="6" t="s">
        <v>96</v>
      </c>
      <c r="F337" s="7" t="n">
        <v>45123</v>
      </c>
      <c r="G337" s="8" t="n">
        <v>0.918111574074074</v>
      </c>
      <c r="H337" s="6" t="s">
        <v>37</v>
      </c>
      <c r="I337" s="9" t="n">
        <v>1</v>
      </c>
      <c r="J337" s="9" t="n">
        <v>201.18</v>
      </c>
      <c r="K337" s="9" t="n">
        <v>201.18</v>
      </c>
      <c r="L337" s="6" t="s">
        <v>1138</v>
      </c>
      <c r="M337" s="6" t="s">
        <v>1139</v>
      </c>
      <c r="N337" s="6"/>
      <c r="O337" s="6" t="s">
        <v>23</v>
      </c>
      <c r="P337" s="6" t="s">
        <v>24</v>
      </c>
    </row>
    <row r="338" customFormat="false" ht="15.75" hidden="false" customHeight="false" outlineLevel="0" collapsed="false">
      <c r="A338" s="2" t="s">
        <v>16</v>
      </c>
      <c r="B338" s="2" t="s">
        <v>1140</v>
      </c>
      <c r="C338" s="2" t="s">
        <v>1141</v>
      </c>
      <c r="D338" s="2" t="s">
        <v>1142</v>
      </c>
      <c r="E338" s="2" t="s">
        <v>28</v>
      </c>
      <c r="F338" s="3" t="n">
        <v>45123</v>
      </c>
      <c r="G338" s="4" t="n">
        <v>0.916867997685185</v>
      </c>
      <c r="H338" s="2" t="s">
        <v>37</v>
      </c>
      <c r="I338" s="5" t="n">
        <v>1</v>
      </c>
      <c r="J338" s="5" t="n">
        <v>556</v>
      </c>
      <c r="K338" s="5" t="n">
        <v>556</v>
      </c>
      <c r="L338" s="2" t="s">
        <v>1143</v>
      </c>
      <c r="M338" s="2" t="s">
        <v>1144</v>
      </c>
      <c r="N338" s="2"/>
      <c r="O338" s="2" t="s">
        <v>23</v>
      </c>
      <c r="P338" s="2" t="s">
        <v>24</v>
      </c>
    </row>
    <row r="339" customFormat="false" ht="15.75" hidden="false" customHeight="false" outlineLevel="0" collapsed="false">
      <c r="A339" s="6" t="s">
        <v>16</v>
      </c>
      <c r="B339" s="6" t="s">
        <v>140</v>
      </c>
      <c r="C339" s="6" t="s">
        <v>141</v>
      </c>
      <c r="D339" s="6" t="s">
        <v>142</v>
      </c>
      <c r="E339" s="6" t="s">
        <v>28</v>
      </c>
      <c r="F339" s="7" t="n">
        <v>45124</v>
      </c>
      <c r="G339" s="8" t="n">
        <v>0.869458599537037</v>
      </c>
      <c r="H339" s="6" t="s">
        <v>37</v>
      </c>
      <c r="I339" s="9" t="n">
        <v>2</v>
      </c>
      <c r="J339" s="9" t="n">
        <v>885</v>
      </c>
      <c r="K339" s="9" t="n">
        <v>1770</v>
      </c>
      <c r="L339" s="6" t="s">
        <v>1145</v>
      </c>
      <c r="M339" s="6" t="s">
        <v>1146</v>
      </c>
      <c r="N339" s="6"/>
      <c r="O339" s="6" t="s">
        <v>23</v>
      </c>
      <c r="P339" s="6" t="s">
        <v>24</v>
      </c>
    </row>
    <row r="340" customFormat="false" ht="15.75" hidden="false" customHeight="false" outlineLevel="0" collapsed="false">
      <c r="A340" s="2" t="s">
        <v>16</v>
      </c>
      <c r="B340" s="2" t="s">
        <v>366</v>
      </c>
      <c r="C340" s="2" t="s">
        <v>367</v>
      </c>
      <c r="D340" s="2" t="s">
        <v>142</v>
      </c>
      <c r="E340" s="2" t="s">
        <v>28</v>
      </c>
      <c r="F340" s="3" t="n">
        <v>45125</v>
      </c>
      <c r="G340" s="4" t="n">
        <v>0.861169513888889</v>
      </c>
      <c r="H340" s="2" t="s">
        <v>37</v>
      </c>
      <c r="I340" s="5" t="n">
        <v>1</v>
      </c>
      <c r="J340" s="5" t="n">
        <v>698</v>
      </c>
      <c r="K340" s="5" t="n">
        <v>698</v>
      </c>
      <c r="L340" s="2" t="s">
        <v>1147</v>
      </c>
      <c r="M340" s="2" t="s">
        <v>1148</v>
      </c>
      <c r="N340" s="2"/>
      <c r="O340" s="2" t="s">
        <v>23</v>
      </c>
      <c r="P340" s="2" t="s">
        <v>24</v>
      </c>
    </row>
    <row r="341" customFormat="false" ht="15.75" hidden="false" customHeight="false" outlineLevel="0" collapsed="false">
      <c r="A341" s="6" t="s">
        <v>16</v>
      </c>
      <c r="B341" s="6" t="s">
        <v>1149</v>
      </c>
      <c r="C341" s="6" t="s">
        <v>1150</v>
      </c>
      <c r="D341" s="6" t="s">
        <v>65</v>
      </c>
      <c r="E341" s="6" t="s">
        <v>122</v>
      </c>
      <c r="F341" s="7" t="n">
        <v>45126</v>
      </c>
      <c r="G341" s="8" t="n">
        <v>0.891685532407407</v>
      </c>
      <c r="H341" s="6" t="s">
        <v>37</v>
      </c>
      <c r="I341" s="9" t="n">
        <v>3</v>
      </c>
      <c r="J341" s="9" t="n">
        <v>213</v>
      </c>
      <c r="K341" s="9" t="n">
        <v>639</v>
      </c>
      <c r="L341" s="6" t="s">
        <v>1151</v>
      </c>
      <c r="M341" s="6" t="s">
        <v>1152</v>
      </c>
      <c r="N341" s="6"/>
      <c r="O341" s="6" t="s">
        <v>23</v>
      </c>
      <c r="P341" s="6" t="s">
        <v>24</v>
      </c>
    </row>
    <row r="342" customFormat="false" ht="15.75" hidden="false" customHeight="false" outlineLevel="0" collapsed="false">
      <c r="A342" s="2" t="s">
        <v>16</v>
      </c>
      <c r="B342" s="2" t="s">
        <v>1153</v>
      </c>
      <c r="C342" s="2" t="s">
        <v>1154</v>
      </c>
      <c r="D342" s="2" t="s">
        <v>74</v>
      </c>
      <c r="E342" s="2" t="s">
        <v>66</v>
      </c>
      <c r="F342" s="3" t="n">
        <v>45126</v>
      </c>
      <c r="G342" s="4" t="n">
        <v>0.8892521875</v>
      </c>
      <c r="H342" s="2" t="s">
        <v>37</v>
      </c>
      <c r="I342" s="5" t="n">
        <v>1</v>
      </c>
      <c r="J342" s="5" t="n">
        <v>119.41</v>
      </c>
      <c r="K342" s="5" t="n">
        <v>119.41</v>
      </c>
      <c r="L342" s="2" t="s">
        <v>1155</v>
      </c>
      <c r="M342" s="2" t="s">
        <v>1156</v>
      </c>
      <c r="N342" s="2"/>
      <c r="O342" s="2" t="s">
        <v>23</v>
      </c>
      <c r="P342" s="2" t="s">
        <v>24</v>
      </c>
    </row>
    <row r="343" customFormat="false" ht="15.75" hidden="false" customHeight="false" outlineLevel="0" collapsed="false">
      <c r="A343" s="6" t="s">
        <v>16</v>
      </c>
      <c r="B343" s="6" t="s">
        <v>1157</v>
      </c>
      <c r="C343" s="6" t="s">
        <v>1158</v>
      </c>
      <c r="D343" s="6" t="s">
        <v>1159</v>
      </c>
      <c r="E343" s="6" t="s">
        <v>208</v>
      </c>
      <c r="F343" s="7" t="n">
        <v>45126</v>
      </c>
      <c r="G343" s="8" t="n">
        <v>0.616849027777778</v>
      </c>
      <c r="H343" s="6" t="s">
        <v>37</v>
      </c>
      <c r="I343" s="9" t="n">
        <v>1</v>
      </c>
      <c r="J343" s="9" t="n">
        <v>184</v>
      </c>
      <c r="K343" s="9" t="n">
        <v>184</v>
      </c>
      <c r="L343" s="6" t="s">
        <v>1160</v>
      </c>
      <c r="M343" s="6" t="s">
        <v>1161</v>
      </c>
      <c r="N343" s="6"/>
      <c r="O343" s="6" t="s">
        <v>61</v>
      </c>
      <c r="P343" s="6" t="s">
        <v>62</v>
      </c>
    </row>
    <row r="344" customFormat="false" ht="15.75" hidden="false" customHeight="false" outlineLevel="0" collapsed="false">
      <c r="A344" s="2" t="s">
        <v>16</v>
      </c>
      <c r="B344" s="2" t="s">
        <v>646</v>
      </c>
      <c r="C344" s="2" t="s">
        <v>647</v>
      </c>
      <c r="D344" s="2" t="s">
        <v>308</v>
      </c>
      <c r="E344" s="2" t="s">
        <v>96</v>
      </c>
      <c r="F344" s="3" t="n">
        <v>45128</v>
      </c>
      <c r="G344" s="4" t="n">
        <v>0.76110630787037</v>
      </c>
      <c r="H344" s="2" t="s">
        <v>37</v>
      </c>
      <c r="I344" s="5" t="n">
        <v>1</v>
      </c>
      <c r="J344" s="5" t="n">
        <v>90.42</v>
      </c>
      <c r="K344" s="5" t="n">
        <v>90.42</v>
      </c>
      <c r="L344" s="2" t="s">
        <v>1162</v>
      </c>
      <c r="M344" s="2" t="s">
        <v>1163</v>
      </c>
      <c r="N344" s="2"/>
      <c r="O344" s="2" t="s">
        <v>23</v>
      </c>
      <c r="P344" s="2" t="s">
        <v>24</v>
      </c>
    </row>
    <row r="345" customFormat="false" ht="15.75" hidden="false" customHeight="false" outlineLevel="0" collapsed="false">
      <c r="A345" s="6" t="s">
        <v>16</v>
      </c>
      <c r="B345" s="6" t="s">
        <v>99</v>
      </c>
      <c r="C345" s="6" t="s">
        <v>100</v>
      </c>
      <c r="D345" s="6" t="s">
        <v>101</v>
      </c>
      <c r="E345" s="6" t="s">
        <v>96</v>
      </c>
      <c r="F345" s="7" t="n">
        <v>45128</v>
      </c>
      <c r="G345" s="8" t="n">
        <v>0.759723206018519</v>
      </c>
      <c r="H345" s="6" t="s">
        <v>37</v>
      </c>
      <c r="I345" s="9" t="n">
        <v>4</v>
      </c>
      <c r="J345" s="9" t="n">
        <v>55.21</v>
      </c>
      <c r="K345" s="9" t="n">
        <v>220.84</v>
      </c>
      <c r="L345" s="6" t="s">
        <v>1164</v>
      </c>
      <c r="M345" s="6" t="s">
        <v>1165</v>
      </c>
      <c r="N345" s="6"/>
      <c r="O345" s="6" t="s">
        <v>23</v>
      </c>
      <c r="P345" s="6" t="s">
        <v>24</v>
      </c>
    </row>
    <row r="346" customFormat="false" ht="15.75" hidden="false" customHeight="false" outlineLevel="0" collapsed="false">
      <c r="A346" s="2" t="s">
        <v>16</v>
      </c>
      <c r="B346" s="2" t="s">
        <v>1166</v>
      </c>
      <c r="C346" s="2" t="s">
        <v>1167</v>
      </c>
      <c r="D346" s="2" t="s">
        <v>1168</v>
      </c>
      <c r="E346" s="2" t="s">
        <v>90</v>
      </c>
      <c r="F346" s="3" t="n">
        <v>45128</v>
      </c>
      <c r="G346" s="4" t="n">
        <v>0.697580416666667</v>
      </c>
      <c r="H346" s="2" t="s">
        <v>37</v>
      </c>
      <c r="I346" s="5" t="n">
        <v>43</v>
      </c>
      <c r="J346" s="5" t="n">
        <v>1330</v>
      </c>
      <c r="K346" s="5" t="n">
        <v>57190</v>
      </c>
      <c r="L346" s="2" t="s">
        <v>1169</v>
      </c>
      <c r="M346" s="2" t="s">
        <v>1170</v>
      </c>
      <c r="N346" s="2"/>
      <c r="O346" s="2" t="s">
        <v>23</v>
      </c>
      <c r="P346" s="2" t="s">
        <v>24</v>
      </c>
    </row>
    <row r="347" customFormat="false" ht="15.75" hidden="false" customHeight="false" outlineLevel="0" collapsed="false">
      <c r="A347" s="6" t="s">
        <v>16</v>
      </c>
      <c r="B347" s="6" t="s">
        <v>1171</v>
      </c>
      <c r="C347" s="6" t="s">
        <v>1172</v>
      </c>
      <c r="D347" s="6" t="s">
        <v>1173</v>
      </c>
      <c r="E347" s="6" t="s">
        <v>90</v>
      </c>
      <c r="F347" s="7" t="n">
        <v>45128</v>
      </c>
      <c r="G347" s="8" t="n">
        <v>0.620522233796296</v>
      </c>
      <c r="H347" s="6" t="s">
        <v>37</v>
      </c>
      <c r="I347" s="9" t="n">
        <v>143</v>
      </c>
      <c r="J347" s="9" t="n">
        <v>2050</v>
      </c>
      <c r="K347" s="9" t="n">
        <v>293150</v>
      </c>
      <c r="L347" s="6" t="s">
        <v>1174</v>
      </c>
      <c r="M347" s="6" t="s">
        <v>1175</v>
      </c>
      <c r="N347" s="6"/>
      <c r="O347" s="6" t="s">
        <v>23</v>
      </c>
      <c r="P347" s="6" t="s">
        <v>24</v>
      </c>
    </row>
    <row r="348" customFormat="false" ht="15.75" hidden="false" customHeight="false" outlineLevel="0" collapsed="false">
      <c r="A348" s="2" t="s">
        <v>16</v>
      </c>
      <c r="B348" s="2" t="s">
        <v>1176</v>
      </c>
      <c r="C348" s="2" t="s">
        <v>1177</v>
      </c>
      <c r="D348" s="2" t="s">
        <v>1178</v>
      </c>
      <c r="E348" s="2" t="s">
        <v>90</v>
      </c>
      <c r="F348" s="3" t="n">
        <v>45128</v>
      </c>
      <c r="G348" s="4" t="n">
        <v>0.619372835648148</v>
      </c>
      <c r="H348" s="2" t="s">
        <v>37</v>
      </c>
      <c r="I348" s="5" t="n">
        <v>92</v>
      </c>
      <c r="J348" s="5" t="n">
        <v>690</v>
      </c>
      <c r="K348" s="5" t="n">
        <v>63480</v>
      </c>
      <c r="L348" s="2" t="s">
        <v>1179</v>
      </c>
      <c r="M348" s="2" t="s">
        <v>1180</v>
      </c>
      <c r="N348" s="2"/>
      <c r="O348" s="2" t="s">
        <v>23</v>
      </c>
      <c r="P348" s="2" t="s">
        <v>24</v>
      </c>
    </row>
    <row r="349" customFormat="false" ht="15.75" hidden="false" customHeight="false" outlineLevel="0" collapsed="false">
      <c r="A349" s="6" t="s">
        <v>16</v>
      </c>
      <c r="B349" s="6" t="s">
        <v>1181</v>
      </c>
      <c r="C349" s="6" t="s">
        <v>1182</v>
      </c>
      <c r="D349" s="6" t="s">
        <v>1183</v>
      </c>
      <c r="E349" s="6" t="s">
        <v>71</v>
      </c>
      <c r="F349" s="7" t="n">
        <v>45129</v>
      </c>
      <c r="G349" s="8" t="n">
        <v>0.861695856481481</v>
      </c>
      <c r="H349" s="6" t="s">
        <v>37</v>
      </c>
      <c r="I349" s="9" t="n">
        <v>1</v>
      </c>
      <c r="J349" s="9" t="n">
        <v>395</v>
      </c>
      <c r="K349" s="9" t="n">
        <v>395</v>
      </c>
      <c r="L349" s="6" t="s">
        <v>1184</v>
      </c>
      <c r="M349" s="6" t="s">
        <v>1185</v>
      </c>
      <c r="N349" s="6"/>
      <c r="O349" s="6" t="s">
        <v>23</v>
      </c>
      <c r="P349" s="6" t="s">
        <v>24</v>
      </c>
    </row>
    <row r="350" customFormat="false" ht="15.75" hidden="false" customHeight="false" outlineLevel="0" collapsed="false">
      <c r="A350" s="2" t="s">
        <v>16</v>
      </c>
      <c r="B350" s="2" t="s">
        <v>1186</v>
      </c>
      <c r="C350" s="2" t="s">
        <v>1187</v>
      </c>
      <c r="D350" s="2" t="s">
        <v>89</v>
      </c>
      <c r="E350" s="2" t="s">
        <v>333</v>
      </c>
      <c r="F350" s="3" t="n">
        <v>45129</v>
      </c>
      <c r="G350" s="4" t="n">
        <v>0.41632130787037</v>
      </c>
      <c r="H350" s="2" t="s">
        <v>37</v>
      </c>
      <c r="I350" s="5" t="n">
        <v>13</v>
      </c>
      <c r="J350" s="5" t="n">
        <v>1510</v>
      </c>
      <c r="K350" s="5" t="n">
        <v>19630</v>
      </c>
      <c r="L350" s="2" t="s">
        <v>1188</v>
      </c>
      <c r="M350" s="2" t="s">
        <v>1189</v>
      </c>
      <c r="N350" s="2"/>
      <c r="O350" s="2" t="s">
        <v>61</v>
      </c>
      <c r="P350" s="2" t="s">
        <v>62</v>
      </c>
    </row>
    <row r="351" customFormat="false" ht="15.75" hidden="false" customHeight="false" outlineLevel="0" collapsed="false">
      <c r="A351" s="6" t="s">
        <v>16</v>
      </c>
      <c r="B351" s="6" t="s">
        <v>1190</v>
      </c>
      <c r="C351" s="6" t="s">
        <v>1191</v>
      </c>
      <c r="D351" s="6" t="s">
        <v>89</v>
      </c>
      <c r="E351" s="6" t="s">
        <v>333</v>
      </c>
      <c r="F351" s="7" t="n">
        <v>45129</v>
      </c>
      <c r="G351" s="8" t="n">
        <v>0.415784444444445</v>
      </c>
      <c r="H351" s="6" t="s">
        <v>37</v>
      </c>
      <c r="I351" s="9" t="n">
        <v>14</v>
      </c>
      <c r="J351" s="9" t="n">
        <v>540</v>
      </c>
      <c r="K351" s="9" t="n">
        <v>7560</v>
      </c>
      <c r="L351" s="6" t="s">
        <v>1192</v>
      </c>
      <c r="M351" s="6" t="s">
        <v>1193</v>
      </c>
      <c r="N351" s="6"/>
      <c r="O351" s="6" t="s">
        <v>61</v>
      </c>
      <c r="P351" s="6" t="s">
        <v>62</v>
      </c>
    </row>
    <row r="352" customFormat="false" ht="15.75" hidden="false" customHeight="false" outlineLevel="0" collapsed="false">
      <c r="A352" s="2" t="s">
        <v>16</v>
      </c>
      <c r="B352" s="2" t="s">
        <v>1194</v>
      </c>
      <c r="C352" s="2" t="s">
        <v>1195</v>
      </c>
      <c r="D352" s="2" t="s">
        <v>89</v>
      </c>
      <c r="E352" s="2" t="s">
        <v>333</v>
      </c>
      <c r="F352" s="3" t="n">
        <v>45129</v>
      </c>
      <c r="G352" s="4" t="n">
        <v>0.41543068287037</v>
      </c>
      <c r="H352" s="2" t="s">
        <v>37</v>
      </c>
      <c r="I352" s="5" t="n">
        <v>13</v>
      </c>
      <c r="J352" s="5" t="n">
        <v>165</v>
      </c>
      <c r="K352" s="5" t="n">
        <v>2145</v>
      </c>
      <c r="L352" s="2" t="s">
        <v>1196</v>
      </c>
      <c r="M352" s="2" t="s">
        <v>1197</v>
      </c>
      <c r="N352" s="2"/>
      <c r="O352" s="2" t="s">
        <v>61</v>
      </c>
      <c r="P352" s="2" t="s">
        <v>62</v>
      </c>
    </row>
    <row r="353" customFormat="false" ht="15.75" hidden="false" customHeight="false" outlineLevel="0" collapsed="false">
      <c r="A353" s="6" t="s">
        <v>16</v>
      </c>
      <c r="B353" s="6" t="s">
        <v>1198</v>
      </c>
      <c r="C353" s="6" t="s">
        <v>1199</v>
      </c>
      <c r="D353" s="6" t="s">
        <v>895</v>
      </c>
      <c r="E353" s="6" t="s">
        <v>66</v>
      </c>
      <c r="F353" s="7" t="n">
        <v>45130</v>
      </c>
      <c r="G353" s="8" t="n">
        <v>0.947899467592593</v>
      </c>
      <c r="H353" s="6" t="s">
        <v>21</v>
      </c>
      <c r="I353" s="9" t="n">
        <v>36</v>
      </c>
      <c r="J353" s="9" t="n">
        <v>93.93</v>
      </c>
      <c r="K353" s="9" t="n">
        <v>3381.48</v>
      </c>
      <c r="L353" s="6" t="s">
        <v>1200</v>
      </c>
      <c r="M353" s="6"/>
      <c r="N353" s="6"/>
      <c r="O353" s="6" t="s">
        <v>23</v>
      </c>
      <c r="P353" s="6" t="s">
        <v>24</v>
      </c>
    </row>
    <row r="354" customFormat="false" ht="15.75" hidden="false" customHeight="false" outlineLevel="0" collapsed="false">
      <c r="A354" s="2" t="s">
        <v>16</v>
      </c>
      <c r="B354" s="2" t="s">
        <v>1201</v>
      </c>
      <c r="C354" s="2" t="s">
        <v>1202</v>
      </c>
      <c r="D354" s="2" t="s">
        <v>65</v>
      </c>
      <c r="E354" s="2" t="s">
        <v>122</v>
      </c>
      <c r="F354" s="3" t="n">
        <v>45130</v>
      </c>
      <c r="G354" s="4" t="n">
        <v>0.933104444444444</v>
      </c>
      <c r="H354" s="2" t="s">
        <v>37</v>
      </c>
      <c r="I354" s="5" t="n">
        <v>1</v>
      </c>
      <c r="J354" s="5" t="n">
        <v>211.5</v>
      </c>
      <c r="K354" s="5" t="n">
        <v>211.5</v>
      </c>
      <c r="L354" s="2" t="s">
        <v>1203</v>
      </c>
      <c r="M354" s="2" t="s">
        <v>1204</v>
      </c>
      <c r="N354" s="2"/>
      <c r="O354" s="2" t="s">
        <v>23</v>
      </c>
      <c r="P354" s="2" t="s">
        <v>24</v>
      </c>
    </row>
    <row r="355" customFormat="false" ht="15.75" hidden="false" customHeight="false" outlineLevel="0" collapsed="false">
      <c r="A355" s="6" t="s">
        <v>16</v>
      </c>
      <c r="B355" s="6" t="s">
        <v>867</v>
      </c>
      <c r="C355" s="6" t="s">
        <v>868</v>
      </c>
      <c r="D355" s="6" t="s">
        <v>633</v>
      </c>
      <c r="E355" s="6" t="s">
        <v>208</v>
      </c>
      <c r="F355" s="7" t="n">
        <v>45130</v>
      </c>
      <c r="G355" s="8" t="n">
        <v>0.917942962962963</v>
      </c>
      <c r="H355" s="6" t="s">
        <v>37</v>
      </c>
      <c r="I355" s="9" t="n">
        <v>1</v>
      </c>
      <c r="J355" s="9" t="n">
        <v>135</v>
      </c>
      <c r="K355" s="9" t="n">
        <v>135</v>
      </c>
      <c r="L355" s="6" t="s">
        <v>1205</v>
      </c>
      <c r="M355" s="6" t="s">
        <v>1206</v>
      </c>
      <c r="N355" s="6"/>
      <c r="O355" s="6" t="s">
        <v>23</v>
      </c>
      <c r="P355" s="6" t="s">
        <v>24</v>
      </c>
    </row>
    <row r="356" customFormat="false" ht="15.75" hidden="false" customHeight="false" outlineLevel="0" collapsed="false">
      <c r="A356" s="2" t="s">
        <v>16</v>
      </c>
      <c r="B356" s="2" t="s">
        <v>1207</v>
      </c>
      <c r="C356" s="2" t="s">
        <v>1208</v>
      </c>
      <c r="D356" s="2" t="s">
        <v>27</v>
      </c>
      <c r="E356" s="2" t="s">
        <v>28</v>
      </c>
      <c r="F356" s="3" t="n">
        <v>45131</v>
      </c>
      <c r="G356" s="4" t="n">
        <v>0.86414306712963</v>
      </c>
      <c r="H356" s="2" t="s">
        <v>37</v>
      </c>
      <c r="I356" s="5" t="n">
        <v>1</v>
      </c>
      <c r="J356" s="5" t="n">
        <v>456</v>
      </c>
      <c r="K356" s="5" t="n">
        <v>456</v>
      </c>
      <c r="L356" s="2" t="s">
        <v>1209</v>
      </c>
      <c r="M356" s="2" t="s">
        <v>1210</v>
      </c>
      <c r="N356" s="2"/>
      <c r="O356" s="2" t="s">
        <v>23</v>
      </c>
      <c r="P356" s="2" t="s">
        <v>24</v>
      </c>
    </row>
    <row r="357" customFormat="false" ht="15.75" hidden="false" customHeight="false" outlineLevel="0" collapsed="false">
      <c r="A357" s="6" t="s">
        <v>16</v>
      </c>
      <c r="B357" s="6" t="s">
        <v>1211</v>
      </c>
      <c r="C357" s="6" t="s">
        <v>1212</v>
      </c>
      <c r="D357" s="6" t="s">
        <v>854</v>
      </c>
      <c r="E357" s="6" t="s">
        <v>231</v>
      </c>
      <c r="F357" s="7" t="n">
        <v>45131</v>
      </c>
      <c r="G357" s="8" t="n">
        <v>0.546454699074074</v>
      </c>
      <c r="H357" s="6" t="s">
        <v>37</v>
      </c>
      <c r="I357" s="9" t="n">
        <v>1</v>
      </c>
      <c r="J357" s="9" t="n">
        <v>263.33</v>
      </c>
      <c r="K357" s="9" t="n">
        <v>263.33</v>
      </c>
      <c r="L357" s="6" t="s">
        <v>1213</v>
      </c>
      <c r="M357" s="6" t="s">
        <v>357</v>
      </c>
      <c r="N357" s="6"/>
      <c r="O357" s="6" t="s">
        <v>61</v>
      </c>
      <c r="P357" s="6" t="s">
        <v>62</v>
      </c>
    </row>
    <row r="358" customFormat="false" ht="15.75" hidden="false" customHeight="false" outlineLevel="0" collapsed="false">
      <c r="A358" s="2" t="s">
        <v>16</v>
      </c>
      <c r="B358" s="2" t="s">
        <v>1214</v>
      </c>
      <c r="C358" s="2" t="s">
        <v>1215</v>
      </c>
      <c r="D358" s="2" t="s">
        <v>567</v>
      </c>
      <c r="E358" s="2" t="s">
        <v>568</v>
      </c>
      <c r="F358" s="3" t="n">
        <v>45132</v>
      </c>
      <c r="G358" s="4" t="n">
        <v>0.535988055555556</v>
      </c>
      <c r="H358" s="2" t="s">
        <v>29</v>
      </c>
      <c r="I358" s="5" t="n">
        <v>56</v>
      </c>
      <c r="J358" s="5" t="n">
        <v>1520</v>
      </c>
      <c r="K358" s="5" t="n">
        <v>85120</v>
      </c>
      <c r="L358" s="2" t="s">
        <v>1216</v>
      </c>
      <c r="M358" s="2" t="s">
        <v>1217</v>
      </c>
      <c r="N358" s="2" t="s">
        <v>1218</v>
      </c>
      <c r="O358" s="2" t="s">
        <v>61</v>
      </c>
      <c r="P358" s="2" t="s">
        <v>62</v>
      </c>
    </row>
    <row r="359" customFormat="false" ht="15.75" hidden="false" customHeight="false" outlineLevel="0" collapsed="false">
      <c r="A359" s="6" t="s">
        <v>16</v>
      </c>
      <c r="B359" s="6" t="s">
        <v>985</v>
      </c>
      <c r="C359" s="6" t="s">
        <v>986</v>
      </c>
      <c r="D359" s="6" t="s">
        <v>854</v>
      </c>
      <c r="E359" s="6" t="s">
        <v>107</v>
      </c>
      <c r="F359" s="7" t="n">
        <v>45133</v>
      </c>
      <c r="G359" s="8" t="n">
        <v>0.979854606481482</v>
      </c>
      <c r="H359" s="6" t="s">
        <v>37</v>
      </c>
      <c r="I359" s="9" t="n">
        <v>1</v>
      </c>
      <c r="J359" s="9" t="n">
        <v>145.83</v>
      </c>
      <c r="K359" s="9" t="n">
        <v>145.83</v>
      </c>
      <c r="L359" s="6" t="s">
        <v>1219</v>
      </c>
      <c r="M359" s="6" t="s">
        <v>1220</v>
      </c>
      <c r="N359" s="6"/>
      <c r="O359" s="6" t="s">
        <v>23</v>
      </c>
      <c r="P359" s="6" t="s">
        <v>24</v>
      </c>
    </row>
    <row r="360" customFormat="false" ht="15.75" hidden="false" customHeight="false" outlineLevel="0" collapsed="false">
      <c r="A360" s="2" t="s">
        <v>16</v>
      </c>
      <c r="B360" s="2" t="s">
        <v>1221</v>
      </c>
      <c r="C360" s="2" t="s">
        <v>1222</v>
      </c>
      <c r="D360" s="2" t="s">
        <v>1159</v>
      </c>
      <c r="E360" s="2" t="s">
        <v>71</v>
      </c>
      <c r="F360" s="3" t="n">
        <v>45133</v>
      </c>
      <c r="G360" s="4" t="n">
        <v>0.962524224537037</v>
      </c>
      <c r="H360" s="2" t="s">
        <v>37</v>
      </c>
      <c r="I360" s="5" t="n">
        <v>1</v>
      </c>
      <c r="J360" s="5" t="n">
        <v>174</v>
      </c>
      <c r="K360" s="5" t="n">
        <v>174</v>
      </c>
      <c r="L360" s="2" t="s">
        <v>1223</v>
      </c>
      <c r="M360" s="2" t="s">
        <v>1224</v>
      </c>
      <c r="N360" s="2"/>
      <c r="O360" s="2" t="s">
        <v>23</v>
      </c>
      <c r="P360" s="2" t="s">
        <v>24</v>
      </c>
    </row>
    <row r="361" customFormat="false" ht="15.75" hidden="false" customHeight="false" outlineLevel="0" collapsed="false">
      <c r="A361" s="6" t="s">
        <v>16</v>
      </c>
      <c r="B361" s="6" t="s">
        <v>620</v>
      </c>
      <c r="C361" s="6" t="s">
        <v>621</v>
      </c>
      <c r="D361" s="6" t="s">
        <v>622</v>
      </c>
      <c r="E361" s="6" t="s">
        <v>20</v>
      </c>
      <c r="F361" s="7" t="n">
        <v>45133</v>
      </c>
      <c r="G361" s="8" t="n">
        <v>0.055288587962963</v>
      </c>
      <c r="H361" s="6" t="s">
        <v>21</v>
      </c>
      <c r="I361" s="9" t="n">
        <v>5</v>
      </c>
      <c r="J361" s="9" t="n">
        <v>252</v>
      </c>
      <c r="K361" s="9" t="n">
        <v>1260</v>
      </c>
      <c r="L361" s="6" t="s">
        <v>1225</v>
      </c>
      <c r="M361" s="6"/>
      <c r="N361" s="6"/>
      <c r="O361" s="6" t="s">
        <v>23</v>
      </c>
      <c r="P361" s="6" t="s">
        <v>24</v>
      </c>
    </row>
    <row r="362" customFormat="false" ht="15.75" hidden="false" customHeight="false" outlineLevel="0" collapsed="false">
      <c r="A362" s="2" t="s">
        <v>16</v>
      </c>
      <c r="B362" s="2" t="s">
        <v>1226</v>
      </c>
      <c r="C362" s="2" t="s">
        <v>1227</v>
      </c>
      <c r="D362" s="2" t="s">
        <v>832</v>
      </c>
      <c r="E362" s="2" t="s">
        <v>90</v>
      </c>
      <c r="F362" s="3" t="n">
        <v>45134</v>
      </c>
      <c r="G362" s="4" t="n">
        <v>0.615314652777778</v>
      </c>
      <c r="H362" s="2" t="s">
        <v>29</v>
      </c>
      <c r="I362" s="5" t="n">
        <v>45</v>
      </c>
      <c r="J362" s="5" t="n">
        <v>1310</v>
      </c>
      <c r="K362" s="5" t="n">
        <v>58950</v>
      </c>
      <c r="L362" s="2" t="s">
        <v>1228</v>
      </c>
      <c r="M362" s="2" t="s">
        <v>1229</v>
      </c>
      <c r="N362" s="2" t="s">
        <v>1230</v>
      </c>
      <c r="O362" s="2" t="s">
        <v>61</v>
      </c>
      <c r="P362" s="2" t="s">
        <v>62</v>
      </c>
    </row>
    <row r="363" customFormat="false" ht="15.75" hidden="false" customHeight="false" outlineLevel="0" collapsed="false">
      <c r="A363" s="6" t="s">
        <v>16</v>
      </c>
      <c r="B363" s="6" t="s">
        <v>967</v>
      </c>
      <c r="C363" s="6" t="s">
        <v>968</v>
      </c>
      <c r="D363" s="6" t="s">
        <v>832</v>
      </c>
      <c r="E363" s="6" t="s">
        <v>90</v>
      </c>
      <c r="F363" s="7" t="n">
        <v>45134</v>
      </c>
      <c r="G363" s="8" t="n">
        <v>0.588351666666667</v>
      </c>
      <c r="H363" s="6" t="s">
        <v>29</v>
      </c>
      <c r="I363" s="9" t="n">
        <v>3</v>
      </c>
      <c r="J363" s="9" t="n">
        <v>1450</v>
      </c>
      <c r="K363" s="9" t="n">
        <v>4350</v>
      </c>
      <c r="L363" s="6" t="s">
        <v>1231</v>
      </c>
      <c r="M363" s="6" t="s">
        <v>1232</v>
      </c>
      <c r="N363" s="6" t="s">
        <v>1233</v>
      </c>
      <c r="O363" s="6" t="s">
        <v>61</v>
      </c>
      <c r="P363" s="6" t="s">
        <v>62</v>
      </c>
    </row>
    <row r="364" customFormat="false" ht="15.75" hidden="false" customHeight="false" outlineLevel="0" collapsed="false">
      <c r="A364" s="2" t="s">
        <v>16</v>
      </c>
      <c r="B364" s="2" t="s">
        <v>1234</v>
      </c>
      <c r="C364" s="2" t="s">
        <v>1235</v>
      </c>
      <c r="D364" s="2" t="s">
        <v>832</v>
      </c>
      <c r="E364" s="2" t="s">
        <v>90</v>
      </c>
      <c r="F364" s="3" t="n">
        <v>45134</v>
      </c>
      <c r="G364" s="4" t="n">
        <v>0.58788400462963</v>
      </c>
      <c r="H364" s="2" t="s">
        <v>29</v>
      </c>
      <c r="I364" s="5" t="n">
        <v>58</v>
      </c>
      <c r="J364" s="5" t="n">
        <v>660</v>
      </c>
      <c r="K364" s="5" t="n">
        <v>38280</v>
      </c>
      <c r="L364" s="2" t="s">
        <v>1236</v>
      </c>
      <c r="M364" s="2" t="s">
        <v>1237</v>
      </c>
      <c r="N364" s="2" t="s">
        <v>1233</v>
      </c>
      <c r="O364" s="2" t="s">
        <v>61</v>
      </c>
      <c r="P364" s="2" t="s">
        <v>62</v>
      </c>
    </row>
    <row r="365" customFormat="false" ht="15.75" hidden="false" customHeight="false" outlineLevel="0" collapsed="false">
      <c r="A365" s="6" t="s">
        <v>16</v>
      </c>
      <c r="B365" s="6" t="s">
        <v>1238</v>
      </c>
      <c r="C365" s="6" t="s">
        <v>1239</v>
      </c>
      <c r="D365" s="6" t="s">
        <v>832</v>
      </c>
      <c r="E365" s="6" t="s">
        <v>90</v>
      </c>
      <c r="F365" s="7" t="n">
        <v>45134</v>
      </c>
      <c r="G365" s="8" t="n">
        <v>0.58726412037037</v>
      </c>
      <c r="H365" s="6" t="s">
        <v>29</v>
      </c>
      <c r="I365" s="9" t="n">
        <v>25</v>
      </c>
      <c r="J365" s="9" t="n">
        <v>215</v>
      </c>
      <c r="K365" s="9" t="n">
        <v>5375</v>
      </c>
      <c r="L365" s="6" t="s">
        <v>1240</v>
      </c>
      <c r="M365" s="6" t="s">
        <v>1241</v>
      </c>
      <c r="N365" s="6" t="s">
        <v>1242</v>
      </c>
      <c r="O365" s="6" t="s">
        <v>61</v>
      </c>
      <c r="P365" s="6" t="s">
        <v>62</v>
      </c>
    </row>
    <row r="366" customFormat="false" ht="15.75" hidden="false" customHeight="false" outlineLevel="0" collapsed="false">
      <c r="A366" s="2" t="s">
        <v>16</v>
      </c>
      <c r="B366" s="2" t="s">
        <v>366</v>
      </c>
      <c r="C366" s="2" t="s">
        <v>367</v>
      </c>
      <c r="D366" s="2" t="s">
        <v>142</v>
      </c>
      <c r="E366" s="2" t="s">
        <v>28</v>
      </c>
      <c r="F366" s="3" t="n">
        <v>45137</v>
      </c>
      <c r="G366" s="4" t="n">
        <v>0.950766180555556</v>
      </c>
      <c r="H366" s="2" t="s">
        <v>37</v>
      </c>
      <c r="I366" s="5" t="n">
        <v>1</v>
      </c>
      <c r="J366" s="5" t="n">
        <v>708</v>
      </c>
      <c r="K366" s="5" t="n">
        <v>708</v>
      </c>
      <c r="L366" s="2" t="s">
        <v>1243</v>
      </c>
      <c r="M366" s="2" t="s">
        <v>1244</v>
      </c>
      <c r="N366" s="2"/>
      <c r="O366" s="2" t="s">
        <v>23</v>
      </c>
      <c r="P366" s="2" t="s">
        <v>24</v>
      </c>
    </row>
    <row r="367" customFormat="false" ht="15.75" hidden="false" customHeight="false" outlineLevel="0" collapsed="false">
      <c r="A367" s="6" t="s">
        <v>16</v>
      </c>
      <c r="B367" s="6" t="s">
        <v>1245</v>
      </c>
      <c r="C367" s="6" t="s">
        <v>1246</v>
      </c>
      <c r="D367" s="6" t="s">
        <v>1247</v>
      </c>
      <c r="E367" s="6" t="s">
        <v>36</v>
      </c>
      <c r="F367" s="7" t="n">
        <v>45137</v>
      </c>
      <c r="G367" s="8" t="n">
        <v>0.820513263888889</v>
      </c>
      <c r="H367" s="6" t="s">
        <v>29</v>
      </c>
      <c r="I367" s="9" t="n">
        <v>16</v>
      </c>
      <c r="J367" s="9" t="n">
        <v>1230</v>
      </c>
      <c r="K367" s="9" t="n">
        <v>19680</v>
      </c>
      <c r="L367" s="6" t="s">
        <v>1248</v>
      </c>
      <c r="M367" s="6" t="s">
        <v>1249</v>
      </c>
      <c r="N367" s="6" t="s">
        <v>1250</v>
      </c>
      <c r="O367" s="6" t="s">
        <v>61</v>
      </c>
      <c r="P367" s="6" t="s">
        <v>62</v>
      </c>
    </row>
    <row r="368" customFormat="false" ht="15.75" hidden="false" customHeight="false" outlineLevel="0" collapsed="false">
      <c r="A368" s="2" t="s">
        <v>16</v>
      </c>
      <c r="B368" s="2" t="s">
        <v>1245</v>
      </c>
      <c r="C368" s="2" t="s">
        <v>1246</v>
      </c>
      <c r="D368" s="2" t="s">
        <v>1247</v>
      </c>
      <c r="E368" s="2" t="s">
        <v>36</v>
      </c>
      <c r="F368" s="3" t="n">
        <v>45137</v>
      </c>
      <c r="G368" s="4" t="n">
        <v>0.515801608796296</v>
      </c>
      <c r="H368" s="2" t="s">
        <v>29</v>
      </c>
      <c r="I368" s="5" t="n">
        <v>30</v>
      </c>
      <c r="J368" s="5" t="n">
        <v>1230</v>
      </c>
      <c r="K368" s="5" t="n">
        <v>36900</v>
      </c>
      <c r="L368" s="2" t="s">
        <v>1251</v>
      </c>
      <c r="M368" s="2" t="s">
        <v>1252</v>
      </c>
      <c r="N368" s="2" t="s">
        <v>1250</v>
      </c>
      <c r="O368" s="2" t="s">
        <v>61</v>
      </c>
      <c r="P368" s="2" t="s">
        <v>62</v>
      </c>
    </row>
    <row r="369" customFormat="false" ht="15.75" hidden="false" customHeight="false" outlineLevel="0" collapsed="false">
      <c r="A369" s="6" t="s">
        <v>16</v>
      </c>
      <c r="B369" s="6" t="s">
        <v>650</v>
      </c>
      <c r="C369" s="6" t="s">
        <v>651</v>
      </c>
      <c r="D369" s="6" t="s">
        <v>652</v>
      </c>
      <c r="E369" s="6" t="s">
        <v>28</v>
      </c>
      <c r="F369" s="7" t="n">
        <v>45138</v>
      </c>
      <c r="G369" s="8" t="n">
        <v>0.929586805555556</v>
      </c>
      <c r="H369" s="6" t="s">
        <v>37</v>
      </c>
      <c r="I369" s="9" t="n">
        <v>1</v>
      </c>
      <c r="J369" s="9" t="n">
        <v>708</v>
      </c>
      <c r="K369" s="9" t="n">
        <v>708</v>
      </c>
      <c r="L369" s="6" t="s">
        <v>1253</v>
      </c>
      <c r="M369" s="6" t="s">
        <v>1254</v>
      </c>
      <c r="N369" s="6"/>
      <c r="O369" s="6" t="s">
        <v>23</v>
      </c>
      <c r="P369" s="6" t="s">
        <v>24</v>
      </c>
    </row>
    <row r="370" customFormat="false" ht="15.75" hidden="false" customHeight="false" outlineLevel="0" collapsed="false">
      <c r="A370" s="2" t="s">
        <v>16</v>
      </c>
      <c r="B370" s="2" t="s">
        <v>1255</v>
      </c>
      <c r="C370" s="2" t="s">
        <v>1256</v>
      </c>
      <c r="D370" s="2" t="s">
        <v>779</v>
      </c>
      <c r="E370" s="2" t="s">
        <v>28</v>
      </c>
      <c r="F370" s="3" t="n">
        <v>45138</v>
      </c>
      <c r="G370" s="4" t="n">
        <v>0.92835130787037</v>
      </c>
      <c r="H370" s="2" t="s">
        <v>37</v>
      </c>
      <c r="I370" s="5" t="n">
        <v>1</v>
      </c>
      <c r="J370" s="5" t="n">
        <v>920</v>
      </c>
      <c r="K370" s="5" t="n">
        <v>920</v>
      </c>
      <c r="L370" s="2" t="s">
        <v>1257</v>
      </c>
      <c r="M370" s="2" t="s">
        <v>1258</v>
      </c>
      <c r="N370" s="2"/>
      <c r="O370" s="2" t="s">
        <v>23</v>
      </c>
      <c r="P370" s="2" t="s">
        <v>24</v>
      </c>
    </row>
    <row r="371" customFormat="false" ht="15.75" hidden="false" customHeight="false" outlineLevel="0" collapsed="false">
      <c r="A371" s="6" t="s">
        <v>16</v>
      </c>
      <c r="B371" s="6" t="s">
        <v>1259</v>
      </c>
      <c r="C371" s="6" t="s">
        <v>1260</v>
      </c>
      <c r="D371" s="6" t="s">
        <v>1247</v>
      </c>
      <c r="E371" s="6" t="s">
        <v>36</v>
      </c>
      <c r="F371" s="7" t="n">
        <v>45138</v>
      </c>
      <c r="G371" s="8" t="n">
        <v>0.791135486111111</v>
      </c>
      <c r="H371" s="6" t="s">
        <v>29</v>
      </c>
      <c r="I371" s="9" t="n">
        <v>1349</v>
      </c>
      <c r="J371" s="9" t="n">
        <v>291.35</v>
      </c>
      <c r="K371" s="9" t="n">
        <v>393031.15</v>
      </c>
      <c r="L371" s="6" t="s">
        <v>1261</v>
      </c>
      <c r="M371" s="6" t="s">
        <v>1262</v>
      </c>
      <c r="N371" s="6" t="s">
        <v>1263</v>
      </c>
      <c r="O371" s="6" t="s">
        <v>61</v>
      </c>
      <c r="P371" s="6" t="s">
        <v>62</v>
      </c>
    </row>
    <row r="372" customFormat="false" ht="15.75" hidden="false" customHeight="false" outlineLevel="0" collapsed="false">
      <c r="A372" s="2" t="s">
        <v>16</v>
      </c>
      <c r="B372" s="2" t="s">
        <v>1264</v>
      </c>
      <c r="C372" s="2" t="s">
        <v>1265</v>
      </c>
      <c r="D372" s="2" t="s">
        <v>923</v>
      </c>
      <c r="E372" s="2" t="s">
        <v>924</v>
      </c>
      <c r="F372" s="3" t="n">
        <v>45138</v>
      </c>
      <c r="G372" s="4" t="n">
        <v>0.396387430555556</v>
      </c>
      <c r="H372" s="2" t="s">
        <v>37</v>
      </c>
      <c r="I372" s="5" t="n">
        <v>20</v>
      </c>
      <c r="J372" s="5" t="n">
        <v>247.74</v>
      </c>
      <c r="K372" s="5" t="n">
        <v>4954.8</v>
      </c>
      <c r="L372" s="2" t="s">
        <v>1266</v>
      </c>
      <c r="M372" s="2" t="s">
        <v>1267</v>
      </c>
      <c r="N372" s="2"/>
      <c r="O372" s="2" t="s">
        <v>61</v>
      </c>
      <c r="P372" s="2" t="s">
        <v>62</v>
      </c>
    </row>
    <row r="373" customFormat="false" ht="15.75" hidden="false" customHeight="false" outlineLevel="0" collapsed="false">
      <c r="A373" s="6" t="s">
        <v>16</v>
      </c>
      <c r="B373" s="6" t="s">
        <v>1268</v>
      </c>
      <c r="C373" s="6" t="s">
        <v>1269</v>
      </c>
      <c r="D373" s="6" t="s">
        <v>923</v>
      </c>
      <c r="E373" s="6" t="s">
        <v>924</v>
      </c>
      <c r="F373" s="7" t="n">
        <v>45138</v>
      </c>
      <c r="G373" s="8" t="n">
        <v>0.395963541666667</v>
      </c>
      <c r="H373" s="6" t="s">
        <v>37</v>
      </c>
      <c r="I373" s="9" t="n">
        <v>8</v>
      </c>
      <c r="J373" s="9" t="n">
        <v>1903.5</v>
      </c>
      <c r="K373" s="9" t="n">
        <v>15228</v>
      </c>
      <c r="L373" s="6" t="s">
        <v>1270</v>
      </c>
      <c r="M373" s="6" t="s">
        <v>1271</v>
      </c>
      <c r="N373" s="6"/>
      <c r="O373" s="6" t="s">
        <v>61</v>
      </c>
      <c r="P373" s="6" t="s">
        <v>62</v>
      </c>
    </row>
    <row r="374" customFormat="false" ht="15.75" hidden="false" customHeight="false" outlineLevel="0" collapsed="false">
      <c r="A374" s="2" t="s">
        <v>16</v>
      </c>
      <c r="B374" s="2" t="s">
        <v>1272</v>
      </c>
      <c r="C374" s="2" t="s">
        <v>1273</v>
      </c>
      <c r="D374" s="2" t="s">
        <v>1274</v>
      </c>
      <c r="E374" s="2" t="s">
        <v>924</v>
      </c>
      <c r="F374" s="3" t="n">
        <v>45138</v>
      </c>
      <c r="G374" s="4" t="n">
        <v>0.38894931712963</v>
      </c>
      <c r="H374" s="2" t="s">
        <v>37</v>
      </c>
      <c r="I374" s="5" t="n">
        <v>5</v>
      </c>
      <c r="J374" s="5" t="n">
        <v>1781.25</v>
      </c>
      <c r="K374" s="5" t="n">
        <v>8906.25</v>
      </c>
      <c r="L374" s="2" t="s">
        <v>1275</v>
      </c>
      <c r="M374" s="2" t="s">
        <v>1276</v>
      </c>
      <c r="N374" s="2"/>
      <c r="O374" s="2" t="s">
        <v>61</v>
      </c>
      <c r="P374" s="2" t="s">
        <v>62</v>
      </c>
    </row>
    <row r="375" customFormat="false" ht="15.75" hidden="false" customHeight="false" outlineLevel="0" collapsed="false">
      <c r="A375" s="6" t="s">
        <v>16</v>
      </c>
      <c r="B375" s="6" t="s">
        <v>1277</v>
      </c>
      <c r="C375" s="6" t="s">
        <v>1278</v>
      </c>
      <c r="D375" s="6" t="s">
        <v>923</v>
      </c>
      <c r="E375" s="6" t="s">
        <v>924</v>
      </c>
      <c r="F375" s="7" t="n">
        <v>45138</v>
      </c>
      <c r="G375" s="8" t="n">
        <v>0.387911087962963</v>
      </c>
      <c r="H375" s="6" t="s">
        <v>37</v>
      </c>
      <c r="I375" s="9" t="n">
        <v>2</v>
      </c>
      <c r="J375" s="9" t="n">
        <v>1272.75</v>
      </c>
      <c r="K375" s="9" t="n">
        <v>2545.5</v>
      </c>
      <c r="L375" s="6" t="s">
        <v>1279</v>
      </c>
      <c r="M375" s="6" t="s">
        <v>1280</v>
      </c>
      <c r="N375" s="6"/>
      <c r="O375" s="6" t="s">
        <v>61</v>
      </c>
      <c r="P375" s="6" t="s">
        <v>62</v>
      </c>
    </row>
    <row r="376" customFormat="false" ht="15.75" hidden="false" customHeight="false" outlineLevel="0" collapsed="false">
      <c r="A376" s="2" t="s">
        <v>16</v>
      </c>
      <c r="B376" s="2" t="s">
        <v>1281</v>
      </c>
      <c r="C376" s="2" t="s">
        <v>1282</v>
      </c>
      <c r="D376" s="2" t="s">
        <v>1142</v>
      </c>
      <c r="E376" s="2" t="s">
        <v>28</v>
      </c>
      <c r="F376" s="3" t="n">
        <v>45139</v>
      </c>
      <c r="G376" s="4" t="n">
        <v>0.968335486111111</v>
      </c>
      <c r="H376" s="2" t="s">
        <v>37</v>
      </c>
      <c r="I376" s="5" t="n">
        <v>1</v>
      </c>
      <c r="J376" s="5" t="n">
        <v>726</v>
      </c>
      <c r="K376" s="5" t="n">
        <v>726</v>
      </c>
      <c r="L376" s="2" t="s">
        <v>1283</v>
      </c>
      <c r="M376" s="2" t="s">
        <v>1284</v>
      </c>
      <c r="N376" s="2"/>
      <c r="O376" s="2" t="s">
        <v>23</v>
      </c>
      <c r="P376" s="2" t="s">
        <v>24</v>
      </c>
    </row>
    <row r="377" customFormat="false" ht="15.75" hidden="false" customHeight="false" outlineLevel="0" collapsed="false">
      <c r="A377" s="6" t="s">
        <v>16</v>
      </c>
      <c r="B377" s="6" t="s">
        <v>1285</v>
      </c>
      <c r="C377" s="6" t="s">
        <v>1286</v>
      </c>
      <c r="D377" s="6" t="s">
        <v>1142</v>
      </c>
      <c r="E377" s="6" t="s">
        <v>28</v>
      </c>
      <c r="F377" s="7" t="n">
        <v>45139</v>
      </c>
      <c r="G377" s="8" t="n">
        <v>0.964287199074074</v>
      </c>
      <c r="H377" s="6" t="s">
        <v>21</v>
      </c>
      <c r="I377" s="9" t="n">
        <v>2</v>
      </c>
      <c r="J377" s="9" t="n">
        <v>576</v>
      </c>
      <c r="K377" s="9" t="n">
        <v>1152</v>
      </c>
      <c r="L377" s="6" t="s">
        <v>1287</v>
      </c>
      <c r="M377" s="6"/>
      <c r="N377" s="6"/>
      <c r="O377" s="6" t="s">
        <v>23</v>
      </c>
      <c r="P377" s="6" t="s">
        <v>24</v>
      </c>
    </row>
    <row r="378" customFormat="false" ht="15.75" hidden="false" customHeight="false" outlineLevel="0" collapsed="false">
      <c r="A378" s="2" t="s">
        <v>16</v>
      </c>
      <c r="B378" s="2" t="s">
        <v>1285</v>
      </c>
      <c r="C378" s="2" t="s">
        <v>1286</v>
      </c>
      <c r="D378" s="2" t="s">
        <v>1142</v>
      </c>
      <c r="E378" s="2" t="s">
        <v>28</v>
      </c>
      <c r="F378" s="3" t="n">
        <v>45139</v>
      </c>
      <c r="G378" s="4" t="n">
        <v>0.96323837962963</v>
      </c>
      <c r="H378" s="2" t="s">
        <v>37</v>
      </c>
      <c r="I378" s="5" t="n">
        <v>3</v>
      </c>
      <c r="J378" s="5" t="n">
        <v>576</v>
      </c>
      <c r="K378" s="5" t="n">
        <v>1728</v>
      </c>
      <c r="L378" s="2" t="s">
        <v>1288</v>
      </c>
      <c r="M378" s="2" t="s">
        <v>1289</v>
      </c>
      <c r="N378" s="2"/>
      <c r="O378" s="2" t="s">
        <v>23</v>
      </c>
      <c r="P378" s="2" t="s">
        <v>24</v>
      </c>
    </row>
    <row r="379" customFormat="false" ht="15.75" hidden="false" customHeight="false" outlineLevel="0" collapsed="false">
      <c r="A379" s="6" t="s">
        <v>16</v>
      </c>
      <c r="B379" s="6" t="s">
        <v>1290</v>
      </c>
      <c r="C379" s="6" t="s">
        <v>1291</v>
      </c>
      <c r="D379" s="6" t="s">
        <v>19</v>
      </c>
      <c r="E379" s="6" t="s">
        <v>333</v>
      </c>
      <c r="F379" s="7" t="n">
        <v>45140</v>
      </c>
      <c r="G379" s="8" t="n">
        <v>0.955426203703704</v>
      </c>
      <c r="H379" s="6" t="s">
        <v>21</v>
      </c>
      <c r="I379" s="9" t="n">
        <v>1</v>
      </c>
      <c r="J379" s="9" t="n">
        <v>94</v>
      </c>
      <c r="K379" s="9" t="n">
        <v>94</v>
      </c>
      <c r="L379" s="6" t="s">
        <v>1292</v>
      </c>
      <c r="M379" s="6"/>
      <c r="N379" s="6"/>
      <c r="O379" s="6" t="s">
        <v>23</v>
      </c>
      <c r="P379" s="6" t="s">
        <v>24</v>
      </c>
    </row>
    <row r="380" customFormat="false" ht="15.75" hidden="false" customHeight="false" outlineLevel="0" collapsed="false">
      <c r="A380" s="2" t="s">
        <v>16</v>
      </c>
      <c r="B380" s="2" t="s">
        <v>1293</v>
      </c>
      <c r="C380" s="2" t="s">
        <v>1294</v>
      </c>
      <c r="D380" s="2" t="s">
        <v>106</v>
      </c>
      <c r="E380" s="2" t="s">
        <v>107</v>
      </c>
      <c r="F380" s="3" t="n">
        <v>45142</v>
      </c>
      <c r="G380" s="4" t="n">
        <v>0.825190821759259</v>
      </c>
      <c r="H380" s="2" t="s">
        <v>21</v>
      </c>
      <c r="I380" s="5" t="n">
        <v>1</v>
      </c>
      <c r="J380" s="5" t="n">
        <v>507.83</v>
      </c>
      <c r="K380" s="5" t="n">
        <v>507.83</v>
      </c>
      <c r="L380" s="2" t="s">
        <v>1295</v>
      </c>
      <c r="M380" s="2"/>
      <c r="N380" s="2"/>
      <c r="O380" s="2" t="s">
        <v>23</v>
      </c>
      <c r="P380" s="2" t="s">
        <v>24</v>
      </c>
    </row>
    <row r="381" customFormat="false" ht="15.75" hidden="false" customHeight="false" outlineLevel="0" collapsed="false">
      <c r="A381" s="6" t="s">
        <v>16</v>
      </c>
      <c r="B381" s="6" t="s">
        <v>1296</v>
      </c>
      <c r="C381" s="6" t="s">
        <v>1297</v>
      </c>
      <c r="D381" s="6" t="s">
        <v>552</v>
      </c>
      <c r="E381" s="6" t="s">
        <v>553</v>
      </c>
      <c r="F381" s="7" t="n">
        <v>45142</v>
      </c>
      <c r="G381" s="8" t="n">
        <v>0.8225803125</v>
      </c>
      <c r="H381" s="6" t="s">
        <v>21</v>
      </c>
      <c r="I381" s="9" t="n">
        <v>24</v>
      </c>
      <c r="J381" s="9" t="n">
        <v>515</v>
      </c>
      <c r="K381" s="9" t="n">
        <v>12360</v>
      </c>
      <c r="L381" s="6" t="s">
        <v>1298</v>
      </c>
      <c r="M381" s="6"/>
      <c r="N381" s="6"/>
      <c r="O381" s="6" t="s">
        <v>23</v>
      </c>
      <c r="P381" s="6" t="s">
        <v>24</v>
      </c>
    </row>
    <row r="382" customFormat="false" ht="15.75" hidden="false" customHeight="false" outlineLevel="0" collapsed="false">
      <c r="A382" s="2" t="s">
        <v>16</v>
      </c>
      <c r="B382" s="2" t="s">
        <v>1299</v>
      </c>
      <c r="C382" s="2" t="s">
        <v>1300</v>
      </c>
      <c r="D382" s="2" t="s">
        <v>850</v>
      </c>
      <c r="E382" s="2" t="s">
        <v>66</v>
      </c>
      <c r="F382" s="3" t="n">
        <v>45142</v>
      </c>
      <c r="G382" s="4" t="n">
        <v>0.656198900462963</v>
      </c>
      <c r="H382" s="2" t="s">
        <v>37</v>
      </c>
      <c r="I382" s="5" t="n">
        <v>120</v>
      </c>
      <c r="J382" s="5" t="n">
        <v>199.69</v>
      </c>
      <c r="K382" s="5" t="n">
        <v>23962.8</v>
      </c>
      <c r="L382" s="2" t="s">
        <v>1301</v>
      </c>
      <c r="M382" s="2"/>
      <c r="N382" s="2"/>
      <c r="O382" s="2" t="s">
        <v>1302</v>
      </c>
      <c r="P382" s="2" t="s">
        <v>1303</v>
      </c>
    </row>
    <row r="383" customFormat="false" ht="15.75" hidden="false" customHeight="false" outlineLevel="0" collapsed="false">
      <c r="A383" s="6" t="s">
        <v>16</v>
      </c>
      <c r="B383" s="6" t="s">
        <v>1304</v>
      </c>
      <c r="C383" s="6" t="s">
        <v>1305</v>
      </c>
      <c r="D383" s="6" t="s">
        <v>487</v>
      </c>
      <c r="E383" s="6" t="s">
        <v>333</v>
      </c>
      <c r="F383" s="7" t="n">
        <v>45143</v>
      </c>
      <c r="G383" s="8" t="n">
        <v>0.97930943287037</v>
      </c>
      <c r="H383" s="6" t="s">
        <v>29</v>
      </c>
      <c r="I383" s="9" t="n">
        <v>1</v>
      </c>
      <c r="J383" s="9" t="n">
        <v>2750</v>
      </c>
      <c r="K383" s="9" t="n">
        <v>2750</v>
      </c>
      <c r="L383" s="6" t="s">
        <v>1306</v>
      </c>
      <c r="M383" s="6" t="s">
        <v>1307</v>
      </c>
      <c r="N383" s="6" t="s">
        <v>1308</v>
      </c>
      <c r="O383" s="6" t="s">
        <v>23</v>
      </c>
      <c r="P383" s="6" t="s">
        <v>24</v>
      </c>
    </row>
    <row r="384" customFormat="false" ht="15.75" hidden="false" customHeight="false" outlineLevel="0" collapsed="false">
      <c r="A384" s="2" t="s">
        <v>16</v>
      </c>
      <c r="B384" s="2" t="s">
        <v>78</v>
      </c>
      <c r="C384" s="2" t="s">
        <v>79</v>
      </c>
      <c r="D384" s="2" t="s">
        <v>80</v>
      </c>
      <c r="E384" s="2" t="s">
        <v>28</v>
      </c>
      <c r="F384" s="3" t="n">
        <v>45143</v>
      </c>
      <c r="G384" s="4" t="n">
        <v>0.863720972222222</v>
      </c>
      <c r="H384" s="2" t="s">
        <v>37</v>
      </c>
      <c r="I384" s="5" t="n">
        <v>1</v>
      </c>
      <c r="J384" s="5" t="n">
        <v>175</v>
      </c>
      <c r="K384" s="5" t="n">
        <v>175</v>
      </c>
      <c r="L384" s="2" t="s">
        <v>1309</v>
      </c>
      <c r="M384" s="2" t="s">
        <v>1310</v>
      </c>
      <c r="N384" s="2"/>
      <c r="O384" s="2" t="s">
        <v>23</v>
      </c>
      <c r="P384" s="2" t="s">
        <v>24</v>
      </c>
    </row>
    <row r="385" customFormat="false" ht="15.75" hidden="false" customHeight="false" outlineLevel="0" collapsed="false">
      <c r="A385" s="6" t="s">
        <v>16</v>
      </c>
      <c r="B385" s="6" t="s">
        <v>1311</v>
      </c>
      <c r="C385" s="6" t="s">
        <v>1312</v>
      </c>
      <c r="D385" s="6" t="s">
        <v>1313</v>
      </c>
      <c r="E385" s="6" t="s">
        <v>553</v>
      </c>
      <c r="F385" s="7" t="n">
        <v>45144</v>
      </c>
      <c r="G385" s="8" t="n">
        <v>0.954081666666667</v>
      </c>
      <c r="H385" s="6" t="s">
        <v>21</v>
      </c>
      <c r="I385" s="9" t="n">
        <v>1</v>
      </c>
      <c r="J385" s="9" t="n">
        <v>220</v>
      </c>
      <c r="K385" s="9" t="n">
        <v>220</v>
      </c>
      <c r="L385" s="6" t="s">
        <v>1295</v>
      </c>
      <c r="M385" s="6"/>
      <c r="N385" s="6"/>
      <c r="O385" s="6" t="s">
        <v>23</v>
      </c>
      <c r="P385" s="6" t="s">
        <v>24</v>
      </c>
    </row>
    <row r="386" customFormat="false" ht="15.75" hidden="false" customHeight="false" outlineLevel="0" collapsed="false">
      <c r="A386" s="2" t="s">
        <v>16</v>
      </c>
      <c r="B386" s="2" t="s">
        <v>1314</v>
      </c>
      <c r="C386" s="2" t="s">
        <v>1315</v>
      </c>
      <c r="D386" s="2" t="s">
        <v>1316</v>
      </c>
      <c r="E386" s="2" t="s">
        <v>28</v>
      </c>
      <c r="F386" s="3" t="n">
        <v>45144</v>
      </c>
      <c r="G386" s="4" t="n">
        <v>0.938166064814815</v>
      </c>
      <c r="H386" s="2" t="s">
        <v>37</v>
      </c>
      <c r="I386" s="5" t="n">
        <v>1</v>
      </c>
      <c r="J386" s="5" t="n">
        <v>425</v>
      </c>
      <c r="K386" s="5" t="n">
        <v>425</v>
      </c>
      <c r="L386" s="2" t="s">
        <v>1317</v>
      </c>
      <c r="M386" s="2" t="s">
        <v>1318</v>
      </c>
      <c r="N386" s="2"/>
      <c r="O386" s="2" t="s">
        <v>23</v>
      </c>
      <c r="P386" s="2" t="s">
        <v>24</v>
      </c>
    </row>
    <row r="387" customFormat="false" ht="15.75" hidden="false" customHeight="false" outlineLevel="0" collapsed="false">
      <c r="A387" s="6" t="s">
        <v>16</v>
      </c>
      <c r="B387" s="6" t="s">
        <v>1319</v>
      </c>
      <c r="C387" s="6" t="s">
        <v>1320</v>
      </c>
      <c r="D387" s="6" t="s">
        <v>74</v>
      </c>
      <c r="E387" s="6" t="s">
        <v>66</v>
      </c>
      <c r="F387" s="7" t="n">
        <v>45144</v>
      </c>
      <c r="G387" s="8" t="n">
        <v>0.823554780092593</v>
      </c>
      <c r="H387" s="6" t="s">
        <v>37</v>
      </c>
      <c r="I387" s="9" t="n">
        <v>1</v>
      </c>
      <c r="J387" s="9" t="n">
        <v>122.67</v>
      </c>
      <c r="K387" s="9" t="n">
        <v>122.67</v>
      </c>
      <c r="L387" s="6" t="s">
        <v>1321</v>
      </c>
      <c r="M387" s="6" t="s">
        <v>1322</v>
      </c>
      <c r="N387" s="6"/>
      <c r="O387" s="6" t="s">
        <v>23</v>
      </c>
      <c r="P387" s="6" t="s">
        <v>24</v>
      </c>
    </row>
    <row r="388" customFormat="false" ht="15.75" hidden="false" customHeight="false" outlineLevel="0" collapsed="false">
      <c r="A388" s="2" t="s">
        <v>16</v>
      </c>
      <c r="B388" s="2" t="s">
        <v>468</v>
      </c>
      <c r="C388" s="2" t="s">
        <v>469</v>
      </c>
      <c r="D388" s="2" t="s">
        <v>230</v>
      </c>
      <c r="E388" s="2" t="s">
        <v>231</v>
      </c>
      <c r="F388" s="3" t="n">
        <v>45145</v>
      </c>
      <c r="G388" s="4" t="n">
        <v>0.910086655092593</v>
      </c>
      <c r="H388" s="2" t="s">
        <v>37</v>
      </c>
      <c r="I388" s="5" t="n">
        <v>1</v>
      </c>
      <c r="J388" s="5" t="n">
        <v>614.12</v>
      </c>
      <c r="K388" s="5" t="n">
        <v>614.12</v>
      </c>
      <c r="L388" s="2" t="s">
        <v>1323</v>
      </c>
      <c r="M388" s="2" t="s">
        <v>1324</v>
      </c>
      <c r="N388" s="2"/>
      <c r="O388" s="2" t="s">
        <v>23</v>
      </c>
      <c r="P388" s="2" t="s">
        <v>24</v>
      </c>
    </row>
    <row r="389" customFormat="false" ht="15.75" hidden="false" customHeight="false" outlineLevel="0" collapsed="false">
      <c r="A389" s="6" t="s">
        <v>16</v>
      </c>
      <c r="B389" s="6" t="s">
        <v>582</v>
      </c>
      <c r="C389" s="6" t="s">
        <v>583</v>
      </c>
      <c r="D389" s="6" t="s">
        <v>308</v>
      </c>
      <c r="E389" s="6" t="s">
        <v>96</v>
      </c>
      <c r="F389" s="7" t="n">
        <v>45145</v>
      </c>
      <c r="G389" s="8" t="n">
        <v>0.909060127314815</v>
      </c>
      <c r="H389" s="6" t="s">
        <v>37</v>
      </c>
      <c r="I389" s="9" t="n">
        <v>1</v>
      </c>
      <c r="J389" s="9" t="n">
        <v>91.5</v>
      </c>
      <c r="K389" s="9" t="n">
        <v>91.5</v>
      </c>
      <c r="L389" s="6" t="s">
        <v>1325</v>
      </c>
      <c r="M389" s="6" t="s">
        <v>1326</v>
      </c>
      <c r="N389" s="6"/>
      <c r="O389" s="6" t="s">
        <v>23</v>
      </c>
      <c r="P389" s="6" t="s">
        <v>24</v>
      </c>
    </row>
    <row r="390" customFormat="false" ht="15.75" hidden="false" customHeight="false" outlineLevel="0" collapsed="false">
      <c r="A390" s="2" t="s">
        <v>16</v>
      </c>
      <c r="B390" s="2" t="s">
        <v>99</v>
      </c>
      <c r="C390" s="2" t="s">
        <v>100</v>
      </c>
      <c r="D390" s="2" t="s">
        <v>101</v>
      </c>
      <c r="E390" s="2" t="s">
        <v>96</v>
      </c>
      <c r="F390" s="3" t="n">
        <v>45145</v>
      </c>
      <c r="G390" s="4" t="n">
        <v>0.907988229166667</v>
      </c>
      <c r="H390" s="2" t="s">
        <v>37</v>
      </c>
      <c r="I390" s="5" t="n">
        <v>2</v>
      </c>
      <c r="J390" s="5" t="n">
        <v>55.21</v>
      </c>
      <c r="K390" s="5" t="n">
        <v>110.42</v>
      </c>
      <c r="L390" s="2" t="s">
        <v>1327</v>
      </c>
      <c r="M390" s="2" t="s">
        <v>1328</v>
      </c>
      <c r="N390" s="2"/>
      <c r="O390" s="2" t="s">
        <v>23</v>
      </c>
      <c r="P390" s="2" t="s">
        <v>24</v>
      </c>
    </row>
    <row r="391" customFormat="false" ht="15.75" hidden="false" customHeight="false" outlineLevel="0" collapsed="false">
      <c r="A391" s="6" t="s">
        <v>16</v>
      </c>
      <c r="B391" s="6" t="s">
        <v>817</v>
      </c>
      <c r="C391" s="6" t="s">
        <v>818</v>
      </c>
      <c r="D391" s="6" t="s">
        <v>819</v>
      </c>
      <c r="E391" s="6" t="s">
        <v>90</v>
      </c>
      <c r="F391" s="7" t="n">
        <v>45147</v>
      </c>
      <c r="G391" s="8" t="n">
        <v>0.9470921875</v>
      </c>
      <c r="H391" s="6" t="s">
        <v>37</v>
      </c>
      <c r="I391" s="9" t="n">
        <v>1</v>
      </c>
      <c r="J391" s="9" t="n">
        <v>2100</v>
      </c>
      <c r="K391" s="9" t="n">
        <v>2100</v>
      </c>
      <c r="L391" s="6" t="s">
        <v>1329</v>
      </c>
      <c r="M391" s="6" t="s">
        <v>1330</v>
      </c>
      <c r="N391" s="6"/>
      <c r="O391" s="6" t="s">
        <v>23</v>
      </c>
      <c r="P391" s="6" t="s">
        <v>24</v>
      </c>
    </row>
    <row r="392" customFormat="false" ht="15.75" hidden="false" customHeight="false" outlineLevel="0" collapsed="false">
      <c r="A392" s="2" t="s">
        <v>16</v>
      </c>
      <c r="B392" s="2" t="s">
        <v>1331</v>
      </c>
      <c r="C392" s="2" t="s">
        <v>1332</v>
      </c>
      <c r="D392" s="2" t="s">
        <v>937</v>
      </c>
      <c r="E392" s="2" t="s">
        <v>71</v>
      </c>
      <c r="F392" s="3" t="n">
        <v>45147</v>
      </c>
      <c r="G392" s="4" t="n">
        <v>0.931431851851852</v>
      </c>
      <c r="H392" s="2" t="s">
        <v>21</v>
      </c>
      <c r="I392" s="5" t="n">
        <v>1</v>
      </c>
      <c r="J392" s="5" t="n">
        <v>489.07</v>
      </c>
      <c r="K392" s="5" t="n">
        <v>489.07</v>
      </c>
      <c r="L392" s="2" t="s">
        <v>1333</v>
      </c>
      <c r="M392" s="2"/>
      <c r="N392" s="2"/>
      <c r="O392" s="2" t="s">
        <v>23</v>
      </c>
      <c r="P392" s="2" t="s">
        <v>24</v>
      </c>
    </row>
    <row r="393" customFormat="false" ht="15.75" hidden="false" customHeight="false" outlineLevel="0" collapsed="false">
      <c r="A393" s="6" t="s">
        <v>16</v>
      </c>
      <c r="B393" s="6" t="s">
        <v>1334</v>
      </c>
      <c r="C393" s="6" t="s">
        <v>1335</v>
      </c>
      <c r="D393" s="6" t="s">
        <v>19</v>
      </c>
      <c r="E393" s="6" t="s">
        <v>333</v>
      </c>
      <c r="F393" s="7" t="n">
        <v>45147</v>
      </c>
      <c r="G393" s="8" t="n">
        <v>0.732521273148148</v>
      </c>
      <c r="H393" s="6" t="s">
        <v>29</v>
      </c>
      <c r="I393" s="9" t="n">
        <v>13</v>
      </c>
      <c r="J393" s="9" t="n">
        <v>104</v>
      </c>
      <c r="K393" s="9" t="n">
        <v>1352</v>
      </c>
      <c r="L393" s="6" t="s">
        <v>1336</v>
      </c>
      <c r="M393" s="6" t="s">
        <v>1337</v>
      </c>
      <c r="N393" s="6" t="s">
        <v>1338</v>
      </c>
      <c r="O393" s="6" t="s">
        <v>61</v>
      </c>
      <c r="P393" s="6" t="s">
        <v>62</v>
      </c>
    </row>
    <row r="394" customFormat="false" ht="15.75" hidden="false" customHeight="false" outlineLevel="0" collapsed="false">
      <c r="A394" s="2" t="s">
        <v>16</v>
      </c>
      <c r="B394" s="2" t="s">
        <v>514</v>
      </c>
      <c r="C394" s="2" t="s">
        <v>515</v>
      </c>
      <c r="D394" s="2" t="s">
        <v>19</v>
      </c>
      <c r="E394" s="2" t="s">
        <v>20</v>
      </c>
      <c r="F394" s="3" t="n">
        <v>45147</v>
      </c>
      <c r="G394" s="4" t="n">
        <v>0.716053761574074</v>
      </c>
      <c r="H394" s="2" t="s">
        <v>29</v>
      </c>
      <c r="I394" s="5" t="n">
        <v>1</v>
      </c>
      <c r="J394" s="5" t="n">
        <v>2045</v>
      </c>
      <c r="K394" s="5" t="n">
        <v>2045</v>
      </c>
      <c r="L394" s="2" t="s">
        <v>1339</v>
      </c>
      <c r="M394" s="2" t="s">
        <v>1340</v>
      </c>
      <c r="N394" s="2" t="s">
        <v>1341</v>
      </c>
      <c r="O394" s="2" t="s">
        <v>61</v>
      </c>
      <c r="P394" s="2" t="s">
        <v>62</v>
      </c>
    </row>
    <row r="395" customFormat="false" ht="15.75" hidden="false" customHeight="false" outlineLevel="0" collapsed="false">
      <c r="A395" s="6" t="s">
        <v>16</v>
      </c>
      <c r="B395" s="6" t="s">
        <v>1342</v>
      </c>
      <c r="C395" s="6" t="s">
        <v>1343</v>
      </c>
      <c r="D395" s="6" t="s">
        <v>19</v>
      </c>
      <c r="E395" s="6" t="s">
        <v>333</v>
      </c>
      <c r="F395" s="7" t="n">
        <v>45147</v>
      </c>
      <c r="G395" s="8" t="n">
        <v>0.715397835648148</v>
      </c>
      <c r="H395" s="6" t="s">
        <v>29</v>
      </c>
      <c r="I395" s="9" t="n">
        <v>15</v>
      </c>
      <c r="J395" s="9" t="n">
        <v>400</v>
      </c>
      <c r="K395" s="9" t="n">
        <v>6000</v>
      </c>
      <c r="L395" s="6" t="s">
        <v>1344</v>
      </c>
      <c r="M395" s="6" t="s">
        <v>1345</v>
      </c>
      <c r="N395" s="6" t="s">
        <v>1338</v>
      </c>
      <c r="O395" s="6" t="s">
        <v>61</v>
      </c>
      <c r="P395" s="6" t="s">
        <v>62</v>
      </c>
    </row>
    <row r="396" customFormat="false" ht="15.75" hidden="false" customHeight="false" outlineLevel="0" collapsed="false">
      <c r="A396" s="2" t="s">
        <v>16</v>
      </c>
      <c r="B396" s="2" t="s">
        <v>1346</v>
      </c>
      <c r="C396" s="2" t="s">
        <v>1347</v>
      </c>
      <c r="D396" s="2" t="s">
        <v>19</v>
      </c>
      <c r="E396" s="2" t="s">
        <v>333</v>
      </c>
      <c r="F396" s="3" t="n">
        <v>45147</v>
      </c>
      <c r="G396" s="4" t="n">
        <v>0.714822835648148</v>
      </c>
      <c r="H396" s="2" t="s">
        <v>29</v>
      </c>
      <c r="I396" s="5" t="n">
        <v>7</v>
      </c>
      <c r="J396" s="5" t="n">
        <v>740</v>
      </c>
      <c r="K396" s="5" t="n">
        <v>5180</v>
      </c>
      <c r="L396" s="2" t="s">
        <v>1348</v>
      </c>
      <c r="M396" s="2" t="s">
        <v>1349</v>
      </c>
      <c r="N396" s="2" t="s">
        <v>1341</v>
      </c>
      <c r="O396" s="2" t="s">
        <v>61</v>
      </c>
      <c r="P396" s="2" t="s">
        <v>62</v>
      </c>
    </row>
    <row r="397" customFormat="false" ht="15.75" hidden="false" customHeight="false" outlineLevel="0" collapsed="false">
      <c r="A397" s="6" t="s">
        <v>16</v>
      </c>
      <c r="B397" s="6" t="s">
        <v>1350</v>
      </c>
      <c r="C397" s="6" t="s">
        <v>1351</v>
      </c>
      <c r="D397" s="6" t="s">
        <v>19</v>
      </c>
      <c r="E397" s="6" t="s">
        <v>20</v>
      </c>
      <c r="F397" s="7" t="n">
        <v>45147</v>
      </c>
      <c r="G397" s="8" t="n">
        <v>0.713911261574074</v>
      </c>
      <c r="H397" s="6" t="s">
        <v>29</v>
      </c>
      <c r="I397" s="9" t="n">
        <v>3</v>
      </c>
      <c r="J397" s="9" t="n">
        <v>2737</v>
      </c>
      <c r="K397" s="9" t="n">
        <v>8211</v>
      </c>
      <c r="L397" s="6" t="s">
        <v>1352</v>
      </c>
      <c r="M397" s="6" t="s">
        <v>1353</v>
      </c>
      <c r="N397" s="6" t="s">
        <v>1338</v>
      </c>
      <c r="O397" s="6" t="s">
        <v>61</v>
      </c>
      <c r="P397" s="6" t="s">
        <v>62</v>
      </c>
    </row>
    <row r="398" customFormat="false" ht="15.75" hidden="false" customHeight="false" outlineLevel="0" collapsed="false">
      <c r="A398" s="2" t="s">
        <v>16</v>
      </c>
      <c r="B398" s="2" t="s">
        <v>1354</v>
      </c>
      <c r="C398" s="2" t="s">
        <v>1355</v>
      </c>
      <c r="D398" s="2" t="s">
        <v>19</v>
      </c>
      <c r="E398" s="2" t="s">
        <v>20</v>
      </c>
      <c r="F398" s="3" t="n">
        <v>45147</v>
      </c>
      <c r="G398" s="4" t="n">
        <v>0.7126128125</v>
      </c>
      <c r="H398" s="2" t="s">
        <v>29</v>
      </c>
      <c r="I398" s="5" t="n">
        <v>5</v>
      </c>
      <c r="J398" s="5" t="n">
        <v>2021</v>
      </c>
      <c r="K398" s="5" t="n">
        <v>10105</v>
      </c>
      <c r="L398" s="2" t="s">
        <v>1356</v>
      </c>
      <c r="M398" s="2" t="s">
        <v>1357</v>
      </c>
      <c r="N398" s="2" t="s">
        <v>1358</v>
      </c>
      <c r="O398" s="2" t="s">
        <v>61</v>
      </c>
      <c r="P398" s="2" t="s">
        <v>62</v>
      </c>
    </row>
    <row r="399" customFormat="false" ht="15.75" hidden="false" customHeight="false" outlineLevel="0" collapsed="false">
      <c r="A399" s="6" t="s">
        <v>16</v>
      </c>
      <c r="B399" s="6" t="s">
        <v>1359</v>
      </c>
      <c r="C399" s="6" t="s">
        <v>1360</v>
      </c>
      <c r="D399" s="6" t="s">
        <v>89</v>
      </c>
      <c r="E399" s="6" t="s">
        <v>20</v>
      </c>
      <c r="F399" s="7" t="n">
        <v>45148</v>
      </c>
      <c r="G399" s="8" t="n">
        <v>0.481909328703704</v>
      </c>
      <c r="H399" s="6" t="s">
        <v>37</v>
      </c>
      <c r="I399" s="9" t="n">
        <v>3</v>
      </c>
      <c r="J399" s="9" t="n">
        <v>4470</v>
      </c>
      <c r="K399" s="9" t="n">
        <v>13410</v>
      </c>
      <c r="L399" s="6" t="s">
        <v>1361</v>
      </c>
      <c r="M399" s="6" t="s">
        <v>1362</v>
      </c>
      <c r="N399" s="6"/>
      <c r="O399" s="6" t="s">
        <v>61</v>
      </c>
      <c r="P399" s="6" t="s">
        <v>62</v>
      </c>
    </row>
    <row r="400" customFormat="false" ht="15.75" hidden="false" customHeight="false" outlineLevel="0" collapsed="false">
      <c r="A400" s="2" t="s">
        <v>16</v>
      </c>
      <c r="B400" s="2" t="s">
        <v>650</v>
      </c>
      <c r="C400" s="2" t="s">
        <v>651</v>
      </c>
      <c r="D400" s="2" t="s">
        <v>652</v>
      </c>
      <c r="E400" s="2" t="s">
        <v>28</v>
      </c>
      <c r="F400" s="3" t="n">
        <v>45149</v>
      </c>
      <c r="G400" s="4" t="n">
        <v>0.784529409722222</v>
      </c>
      <c r="H400" s="2" t="s">
        <v>21</v>
      </c>
      <c r="I400" s="5" t="n">
        <v>1</v>
      </c>
      <c r="J400" s="5" t="n">
        <v>708</v>
      </c>
      <c r="K400" s="5" t="n">
        <v>708</v>
      </c>
      <c r="L400" s="2" t="s">
        <v>1363</v>
      </c>
      <c r="M400" s="2"/>
      <c r="N400" s="2"/>
      <c r="O400" s="2" t="s">
        <v>23</v>
      </c>
      <c r="P400" s="2" t="s">
        <v>24</v>
      </c>
    </row>
    <row r="401" customFormat="false" ht="15.75" hidden="false" customHeight="false" outlineLevel="0" collapsed="false">
      <c r="A401" s="6" t="s">
        <v>16</v>
      </c>
      <c r="B401" s="6" t="s">
        <v>1364</v>
      </c>
      <c r="C401" s="6" t="s">
        <v>1365</v>
      </c>
      <c r="D401" s="6" t="s">
        <v>1142</v>
      </c>
      <c r="E401" s="6" t="s">
        <v>28</v>
      </c>
      <c r="F401" s="7" t="n">
        <v>45149</v>
      </c>
      <c r="G401" s="8" t="n">
        <v>0.658931400462963</v>
      </c>
      <c r="H401" s="6" t="s">
        <v>37</v>
      </c>
      <c r="I401" s="9" t="n">
        <v>1</v>
      </c>
      <c r="J401" s="9" t="n">
        <v>730</v>
      </c>
      <c r="K401" s="9" t="n">
        <v>730</v>
      </c>
      <c r="L401" s="6" t="s">
        <v>1366</v>
      </c>
      <c r="M401" s="6" t="s">
        <v>1367</v>
      </c>
      <c r="N401" s="6"/>
      <c r="O401" s="6" t="s">
        <v>23</v>
      </c>
      <c r="P401" s="6" t="s">
        <v>24</v>
      </c>
    </row>
    <row r="402" customFormat="false" ht="15.75" hidden="false" customHeight="false" outlineLevel="0" collapsed="false">
      <c r="A402" s="2" t="s">
        <v>16</v>
      </c>
      <c r="B402" s="2" t="s">
        <v>631</v>
      </c>
      <c r="C402" s="2" t="s">
        <v>632</v>
      </c>
      <c r="D402" s="2" t="s">
        <v>633</v>
      </c>
      <c r="E402" s="2" t="s">
        <v>208</v>
      </c>
      <c r="F402" s="3" t="n">
        <v>45150</v>
      </c>
      <c r="G402" s="4" t="n">
        <v>0.980018148148148</v>
      </c>
      <c r="H402" s="2" t="s">
        <v>37</v>
      </c>
      <c r="I402" s="5" t="n">
        <v>1</v>
      </c>
      <c r="J402" s="5" t="n">
        <v>135</v>
      </c>
      <c r="K402" s="5" t="n">
        <v>135</v>
      </c>
      <c r="L402" s="2" t="s">
        <v>1368</v>
      </c>
      <c r="M402" s="2" t="s">
        <v>1369</v>
      </c>
      <c r="N402" s="2"/>
      <c r="O402" s="2" t="s">
        <v>23</v>
      </c>
      <c r="P402" s="2" t="s">
        <v>24</v>
      </c>
    </row>
    <row r="403" customFormat="false" ht="15.75" hidden="false" customHeight="false" outlineLevel="0" collapsed="false">
      <c r="A403" s="6" t="s">
        <v>16</v>
      </c>
      <c r="B403" s="6" t="s">
        <v>1047</v>
      </c>
      <c r="C403" s="6" t="s">
        <v>1048</v>
      </c>
      <c r="D403" s="6" t="s">
        <v>659</v>
      </c>
      <c r="E403" s="6" t="s">
        <v>28</v>
      </c>
      <c r="F403" s="7" t="n">
        <v>45150</v>
      </c>
      <c r="G403" s="8" t="n">
        <v>0.961012465277778</v>
      </c>
      <c r="H403" s="6" t="s">
        <v>37</v>
      </c>
      <c r="I403" s="9" t="n">
        <v>1</v>
      </c>
      <c r="J403" s="9" t="n">
        <v>595</v>
      </c>
      <c r="K403" s="9" t="n">
        <v>595</v>
      </c>
      <c r="L403" s="6" t="s">
        <v>1370</v>
      </c>
      <c r="M403" s="6" t="s">
        <v>1371</v>
      </c>
      <c r="N403" s="6"/>
      <c r="O403" s="6" t="s">
        <v>23</v>
      </c>
      <c r="P403" s="6" t="s">
        <v>24</v>
      </c>
    </row>
    <row r="404" customFormat="false" ht="15.75" hidden="false" customHeight="false" outlineLevel="0" collapsed="false">
      <c r="A404" s="2" t="s">
        <v>16</v>
      </c>
      <c r="B404" s="2" t="s">
        <v>1372</v>
      </c>
      <c r="C404" s="2" t="s">
        <v>1373</v>
      </c>
      <c r="D404" s="2" t="s">
        <v>527</v>
      </c>
      <c r="E404" s="2" t="s">
        <v>148</v>
      </c>
      <c r="F404" s="3" t="n">
        <v>45150</v>
      </c>
      <c r="G404" s="4" t="n">
        <v>0.96015412037037</v>
      </c>
      <c r="H404" s="2" t="s">
        <v>37</v>
      </c>
      <c r="I404" s="5" t="n">
        <v>1</v>
      </c>
      <c r="J404" s="5" t="n">
        <v>70.91</v>
      </c>
      <c r="K404" s="5" t="n">
        <v>70.91</v>
      </c>
      <c r="L404" s="2" t="s">
        <v>1374</v>
      </c>
      <c r="M404" s="2" t="s">
        <v>1375</v>
      </c>
      <c r="N404" s="2"/>
      <c r="O404" s="2" t="s">
        <v>23</v>
      </c>
      <c r="P404" s="2" t="s">
        <v>24</v>
      </c>
    </row>
    <row r="405" customFormat="false" ht="15.75" hidden="false" customHeight="false" outlineLevel="0" collapsed="false">
      <c r="A405" s="6" t="s">
        <v>16</v>
      </c>
      <c r="B405" s="6" t="s">
        <v>817</v>
      </c>
      <c r="C405" s="6" t="s">
        <v>818</v>
      </c>
      <c r="D405" s="6" t="s">
        <v>819</v>
      </c>
      <c r="E405" s="6" t="s">
        <v>90</v>
      </c>
      <c r="F405" s="7" t="n">
        <v>45150</v>
      </c>
      <c r="G405" s="8" t="n">
        <v>0.639446134259259</v>
      </c>
      <c r="H405" s="6" t="s">
        <v>37</v>
      </c>
      <c r="I405" s="9" t="n">
        <v>59</v>
      </c>
      <c r="J405" s="9" t="n">
        <v>2100</v>
      </c>
      <c r="K405" s="9" t="n">
        <v>123900</v>
      </c>
      <c r="L405" s="6" t="s">
        <v>1376</v>
      </c>
      <c r="M405" s="6" t="s">
        <v>1377</v>
      </c>
      <c r="N405" s="6"/>
      <c r="O405" s="6" t="s">
        <v>61</v>
      </c>
      <c r="P405" s="6" t="s">
        <v>62</v>
      </c>
    </row>
    <row r="406" customFormat="false" ht="15.75" hidden="false" customHeight="false" outlineLevel="0" collapsed="false">
      <c r="A406" s="2" t="s">
        <v>16</v>
      </c>
      <c r="B406" s="2" t="s">
        <v>1359</v>
      </c>
      <c r="C406" s="2" t="s">
        <v>1360</v>
      </c>
      <c r="D406" s="2" t="s">
        <v>89</v>
      </c>
      <c r="E406" s="2" t="s">
        <v>20</v>
      </c>
      <c r="F406" s="3" t="n">
        <v>45150</v>
      </c>
      <c r="G406" s="4" t="n">
        <v>0.375026423611111</v>
      </c>
      <c r="H406" s="2" t="s">
        <v>37</v>
      </c>
      <c r="I406" s="5" t="n">
        <v>4</v>
      </c>
      <c r="J406" s="5" t="n">
        <v>4470</v>
      </c>
      <c r="K406" s="5" t="n">
        <v>17880</v>
      </c>
      <c r="L406" s="2" t="s">
        <v>1378</v>
      </c>
      <c r="M406" s="2" t="s">
        <v>1379</v>
      </c>
      <c r="N406" s="2"/>
      <c r="O406" s="2" t="s">
        <v>61</v>
      </c>
      <c r="P406" s="2" t="s">
        <v>62</v>
      </c>
    </row>
    <row r="407" customFormat="false" ht="15.75" hidden="false" customHeight="false" outlineLevel="0" collapsed="false">
      <c r="A407" s="6" t="s">
        <v>16</v>
      </c>
      <c r="B407" s="6" t="s">
        <v>1380</v>
      </c>
      <c r="C407" s="6" t="s">
        <v>1381</v>
      </c>
      <c r="D407" s="6" t="s">
        <v>949</v>
      </c>
      <c r="E407" s="6" t="s">
        <v>28</v>
      </c>
      <c r="F407" s="7" t="n">
        <v>45152</v>
      </c>
      <c r="G407" s="8" t="n">
        <v>0.970821666666667</v>
      </c>
      <c r="H407" s="6" t="s">
        <v>37</v>
      </c>
      <c r="I407" s="9" t="n">
        <v>1</v>
      </c>
      <c r="J407" s="9" t="n">
        <v>595</v>
      </c>
      <c r="K407" s="9" t="n">
        <v>595</v>
      </c>
      <c r="L407" s="6" t="s">
        <v>1382</v>
      </c>
      <c r="M407" s="6" t="s">
        <v>1267</v>
      </c>
      <c r="N407" s="6"/>
      <c r="O407" s="6" t="s">
        <v>23</v>
      </c>
      <c r="P407" s="6" t="s">
        <v>24</v>
      </c>
    </row>
    <row r="408" customFormat="false" ht="15.75" hidden="false" customHeight="false" outlineLevel="0" collapsed="false">
      <c r="A408" s="2" t="s">
        <v>16</v>
      </c>
      <c r="B408" s="2" t="s">
        <v>840</v>
      </c>
      <c r="C408" s="2" t="s">
        <v>841</v>
      </c>
      <c r="D408" s="2" t="s">
        <v>842</v>
      </c>
      <c r="E408" s="2" t="s">
        <v>28</v>
      </c>
      <c r="F408" s="3" t="n">
        <v>45153</v>
      </c>
      <c r="G408" s="4" t="n">
        <v>0.870129282407407</v>
      </c>
      <c r="H408" s="2" t="s">
        <v>37</v>
      </c>
      <c r="I408" s="5" t="n">
        <v>1</v>
      </c>
      <c r="J408" s="5" t="n">
        <v>669.6</v>
      </c>
      <c r="K408" s="5" t="n">
        <v>669.6</v>
      </c>
      <c r="L408" s="2" t="s">
        <v>1383</v>
      </c>
      <c r="M408" s="2" t="s">
        <v>1384</v>
      </c>
      <c r="N408" s="2"/>
      <c r="O408" s="2" t="s">
        <v>23</v>
      </c>
      <c r="P408" s="2" t="s">
        <v>24</v>
      </c>
    </row>
    <row r="409" customFormat="false" ht="15.75" hidden="false" customHeight="false" outlineLevel="0" collapsed="false">
      <c r="A409" s="6" t="s">
        <v>16</v>
      </c>
      <c r="B409" s="6" t="s">
        <v>342</v>
      </c>
      <c r="C409" s="6" t="s">
        <v>343</v>
      </c>
      <c r="D409" s="6" t="s">
        <v>230</v>
      </c>
      <c r="E409" s="6" t="s">
        <v>231</v>
      </c>
      <c r="F409" s="7" t="n">
        <v>45153</v>
      </c>
      <c r="G409" s="8" t="n">
        <v>0.868468796296296</v>
      </c>
      <c r="H409" s="6" t="s">
        <v>37</v>
      </c>
      <c r="I409" s="9" t="n">
        <v>1</v>
      </c>
      <c r="J409" s="9" t="n">
        <v>188.49</v>
      </c>
      <c r="K409" s="9" t="n">
        <v>188.49</v>
      </c>
      <c r="L409" s="6" t="s">
        <v>1385</v>
      </c>
      <c r="M409" s="6" t="s">
        <v>1386</v>
      </c>
      <c r="N409" s="6"/>
      <c r="O409" s="6" t="s">
        <v>23</v>
      </c>
      <c r="P409" s="6" t="s">
        <v>24</v>
      </c>
    </row>
    <row r="410" customFormat="false" ht="15.75" hidden="false" customHeight="false" outlineLevel="0" collapsed="false">
      <c r="A410" s="2" t="s">
        <v>16</v>
      </c>
      <c r="B410" s="2" t="s">
        <v>522</v>
      </c>
      <c r="C410" s="2" t="s">
        <v>523</v>
      </c>
      <c r="D410" s="2" t="s">
        <v>27</v>
      </c>
      <c r="E410" s="2" t="s">
        <v>28</v>
      </c>
      <c r="F410" s="3" t="n">
        <v>45153</v>
      </c>
      <c r="G410" s="4" t="n">
        <v>0.866527997685185</v>
      </c>
      <c r="H410" s="2" t="s">
        <v>37</v>
      </c>
      <c r="I410" s="5" t="n">
        <v>1</v>
      </c>
      <c r="J410" s="5" t="n">
        <v>726.75</v>
      </c>
      <c r="K410" s="5" t="n">
        <v>726.75</v>
      </c>
      <c r="L410" s="2" t="s">
        <v>1387</v>
      </c>
      <c r="M410" s="2" t="s">
        <v>1388</v>
      </c>
      <c r="N410" s="2"/>
      <c r="O410" s="2" t="s">
        <v>23</v>
      </c>
      <c r="P410" s="2" t="s">
        <v>24</v>
      </c>
    </row>
    <row r="411" customFormat="false" ht="15.75" hidden="false" customHeight="false" outlineLevel="0" collapsed="false">
      <c r="A411" s="6" t="s">
        <v>16</v>
      </c>
      <c r="B411" s="6" t="s">
        <v>1389</v>
      </c>
      <c r="C411" s="6" t="s">
        <v>1390</v>
      </c>
      <c r="D411" s="6" t="s">
        <v>1391</v>
      </c>
      <c r="E411" s="6" t="s">
        <v>107</v>
      </c>
      <c r="F411" s="7" t="n">
        <v>45154</v>
      </c>
      <c r="G411" s="8" t="n">
        <v>0.9264115625</v>
      </c>
      <c r="H411" s="6" t="s">
        <v>21</v>
      </c>
      <c r="I411" s="9" t="n">
        <v>1</v>
      </c>
      <c r="J411" s="9" t="n">
        <v>140</v>
      </c>
      <c r="K411" s="9" t="n">
        <v>140</v>
      </c>
      <c r="L411" s="6" t="s">
        <v>1392</v>
      </c>
      <c r="M411" s="6"/>
      <c r="N411" s="6"/>
      <c r="O411" s="6" t="s">
        <v>23</v>
      </c>
      <c r="P411" s="6" t="s">
        <v>24</v>
      </c>
    </row>
    <row r="412" customFormat="false" ht="15.75" hidden="false" customHeight="false" outlineLevel="0" collapsed="false">
      <c r="A412" s="2" t="s">
        <v>16</v>
      </c>
      <c r="B412" s="2" t="s">
        <v>1393</v>
      </c>
      <c r="C412" s="2" t="s">
        <v>1394</v>
      </c>
      <c r="D412" s="2" t="s">
        <v>1159</v>
      </c>
      <c r="E412" s="2" t="s">
        <v>208</v>
      </c>
      <c r="F412" s="3" t="n">
        <v>45154</v>
      </c>
      <c r="G412" s="4" t="n">
        <v>0.883958645833333</v>
      </c>
      <c r="H412" s="2" t="s">
        <v>37</v>
      </c>
      <c r="I412" s="5" t="n">
        <v>4</v>
      </c>
      <c r="J412" s="5" t="n">
        <v>31</v>
      </c>
      <c r="K412" s="5" t="n">
        <v>124</v>
      </c>
      <c r="L412" s="2" t="s">
        <v>1395</v>
      </c>
      <c r="M412" s="2" t="s">
        <v>1396</v>
      </c>
      <c r="N412" s="2"/>
      <c r="O412" s="2" t="s">
        <v>23</v>
      </c>
      <c r="P412" s="2" t="s">
        <v>24</v>
      </c>
    </row>
    <row r="413" customFormat="false" ht="15.75" hidden="false" customHeight="false" outlineLevel="0" collapsed="false">
      <c r="A413" s="6" t="s">
        <v>16</v>
      </c>
      <c r="B413" s="6" t="s">
        <v>140</v>
      </c>
      <c r="C413" s="6" t="s">
        <v>141</v>
      </c>
      <c r="D413" s="6" t="s">
        <v>142</v>
      </c>
      <c r="E413" s="6" t="s">
        <v>28</v>
      </c>
      <c r="F413" s="7" t="n">
        <v>45156</v>
      </c>
      <c r="G413" s="8" t="n">
        <v>0.714865011574074</v>
      </c>
      <c r="H413" s="6" t="s">
        <v>37</v>
      </c>
      <c r="I413" s="9" t="n">
        <v>1</v>
      </c>
      <c r="J413" s="9" t="n">
        <v>859.79</v>
      </c>
      <c r="K413" s="9" t="n">
        <v>859.79</v>
      </c>
      <c r="L413" s="6" t="s">
        <v>1397</v>
      </c>
      <c r="M413" s="6" t="s">
        <v>1398</v>
      </c>
      <c r="N413" s="6"/>
      <c r="O413" s="6" t="s">
        <v>23</v>
      </c>
      <c r="P413" s="6" t="s">
        <v>24</v>
      </c>
    </row>
    <row r="414" customFormat="false" ht="15.75" hidden="false" customHeight="false" outlineLevel="0" collapsed="false">
      <c r="A414" s="2" t="s">
        <v>16</v>
      </c>
      <c r="B414" s="2" t="s">
        <v>1399</v>
      </c>
      <c r="C414" s="2" t="s">
        <v>1400</v>
      </c>
      <c r="D414" s="2" t="s">
        <v>268</v>
      </c>
      <c r="E414" s="2" t="s">
        <v>269</v>
      </c>
      <c r="F414" s="3" t="n">
        <v>45156</v>
      </c>
      <c r="G414" s="4" t="n">
        <v>0.701689895833333</v>
      </c>
      <c r="H414" s="2" t="s">
        <v>37</v>
      </c>
      <c r="I414" s="5" t="n">
        <v>1</v>
      </c>
      <c r="J414" s="5" t="n">
        <v>247.42</v>
      </c>
      <c r="K414" s="5" t="n">
        <v>247.42</v>
      </c>
      <c r="L414" s="2" t="s">
        <v>1401</v>
      </c>
      <c r="M414" s="2" t="s">
        <v>1402</v>
      </c>
      <c r="N414" s="2"/>
      <c r="O414" s="2" t="s">
        <v>23</v>
      </c>
      <c r="P414" s="2" t="s">
        <v>24</v>
      </c>
    </row>
    <row r="415" customFormat="false" ht="15.75" hidden="false" customHeight="false" outlineLevel="0" collapsed="false">
      <c r="A415" s="6" t="s">
        <v>16</v>
      </c>
      <c r="B415" s="6" t="s">
        <v>1403</v>
      </c>
      <c r="C415" s="6" t="s">
        <v>1404</v>
      </c>
      <c r="D415" s="6" t="s">
        <v>1159</v>
      </c>
      <c r="E415" s="6" t="s">
        <v>71</v>
      </c>
      <c r="F415" s="7" t="n">
        <v>45157</v>
      </c>
      <c r="G415" s="8" t="n">
        <v>0.99486599537037</v>
      </c>
      <c r="H415" s="6" t="s">
        <v>37</v>
      </c>
      <c r="I415" s="9" t="n">
        <v>1</v>
      </c>
      <c r="J415" s="9" t="n">
        <v>180</v>
      </c>
      <c r="K415" s="9" t="n">
        <v>180</v>
      </c>
      <c r="L415" s="6" t="s">
        <v>1405</v>
      </c>
      <c r="M415" s="6" t="s">
        <v>1406</v>
      </c>
      <c r="N415" s="6"/>
      <c r="O415" s="6" t="s">
        <v>23</v>
      </c>
      <c r="P415" s="6" t="s">
        <v>24</v>
      </c>
    </row>
    <row r="416" customFormat="false" ht="15.75" hidden="false" customHeight="false" outlineLevel="0" collapsed="false">
      <c r="A416" s="2" t="s">
        <v>16</v>
      </c>
      <c r="B416" s="2" t="s">
        <v>817</v>
      </c>
      <c r="C416" s="2" t="s">
        <v>818</v>
      </c>
      <c r="D416" s="2" t="s">
        <v>819</v>
      </c>
      <c r="E416" s="2" t="s">
        <v>90</v>
      </c>
      <c r="F416" s="3" t="n">
        <v>45157</v>
      </c>
      <c r="G416" s="4" t="n">
        <v>0.985899247685185</v>
      </c>
      <c r="H416" s="2" t="s">
        <v>37</v>
      </c>
      <c r="I416" s="5" t="n">
        <v>6</v>
      </c>
      <c r="J416" s="5" t="n">
        <v>2050</v>
      </c>
      <c r="K416" s="5" t="n">
        <v>12300</v>
      </c>
      <c r="L416" s="2" t="s">
        <v>1407</v>
      </c>
      <c r="M416" s="2" t="s">
        <v>1408</v>
      </c>
      <c r="N416" s="2"/>
      <c r="O416" s="2" t="s">
        <v>23</v>
      </c>
      <c r="P416" s="2" t="s">
        <v>24</v>
      </c>
    </row>
    <row r="417" customFormat="false" ht="15.75" hidden="false" customHeight="false" outlineLevel="0" collapsed="false">
      <c r="A417" s="6" t="s">
        <v>16</v>
      </c>
      <c r="B417" s="6" t="s">
        <v>1207</v>
      </c>
      <c r="C417" s="6" t="s">
        <v>1208</v>
      </c>
      <c r="D417" s="6" t="s">
        <v>27</v>
      </c>
      <c r="E417" s="6" t="s">
        <v>28</v>
      </c>
      <c r="F417" s="7" t="n">
        <v>45157</v>
      </c>
      <c r="G417" s="8" t="n">
        <v>0.983145520833333</v>
      </c>
      <c r="H417" s="6" t="s">
        <v>37</v>
      </c>
      <c r="I417" s="9" t="n">
        <v>1</v>
      </c>
      <c r="J417" s="9" t="n">
        <v>456</v>
      </c>
      <c r="K417" s="9" t="n">
        <v>456</v>
      </c>
      <c r="L417" s="6" t="s">
        <v>1409</v>
      </c>
      <c r="M417" s="6" t="s">
        <v>1410</v>
      </c>
      <c r="N417" s="6"/>
      <c r="O417" s="6" t="s">
        <v>23</v>
      </c>
      <c r="P417" s="6" t="s">
        <v>24</v>
      </c>
    </row>
    <row r="418" customFormat="false" ht="15.75" hidden="false" customHeight="false" outlineLevel="0" collapsed="false">
      <c r="A418" s="2" t="s">
        <v>16</v>
      </c>
      <c r="B418" s="2" t="s">
        <v>817</v>
      </c>
      <c r="C418" s="2" t="s">
        <v>818</v>
      </c>
      <c r="D418" s="2" t="s">
        <v>819</v>
      </c>
      <c r="E418" s="2" t="s">
        <v>90</v>
      </c>
      <c r="F418" s="3" t="n">
        <v>45158</v>
      </c>
      <c r="G418" s="4" t="n">
        <v>0.9617475</v>
      </c>
      <c r="H418" s="2" t="s">
        <v>37</v>
      </c>
      <c r="I418" s="5" t="n">
        <v>1</v>
      </c>
      <c r="J418" s="5" t="n">
        <v>2050</v>
      </c>
      <c r="K418" s="5" t="n">
        <v>2050</v>
      </c>
      <c r="L418" s="2" t="s">
        <v>1411</v>
      </c>
      <c r="M418" s="2" t="s">
        <v>1412</v>
      </c>
      <c r="N418" s="2"/>
      <c r="O418" s="2" t="s">
        <v>23</v>
      </c>
      <c r="P418" s="2" t="s">
        <v>24</v>
      </c>
    </row>
    <row r="419" customFormat="false" ht="15.75" hidden="false" customHeight="false" outlineLevel="0" collapsed="false">
      <c r="A419" s="6" t="s">
        <v>16</v>
      </c>
      <c r="B419" s="6" t="s">
        <v>1413</v>
      </c>
      <c r="C419" s="6" t="s">
        <v>1414</v>
      </c>
      <c r="D419" s="6" t="s">
        <v>1159</v>
      </c>
      <c r="E419" s="6" t="s">
        <v>96</v>
      </c>
      <c r="F419" s="7" t="n">
        <v>45158</v>
      </c>
      <c r="G419" s="8" t="n">
        <v>0.908177314814815</v>
      </c>
      <c r="H419" s="6" t="s">
        <v>37</v>
      </c>
      <c r="I419" s="9" t="n">
        <v>1</v>
      </c>
      <c r="J419" s="9" t="n">
        <v>172</v>
      </c>
      <c r="K419" s="9" t="n">
        <v>172</v>
      </c>
      <c r="L419" s="6" t="s">
        <v>1415</v>
      </c>
      <c r="M419" s="6" t="s">
        <v>1416</v>
      </c>
      <c r="N419" s="6"/>
      <c r="O419" s="6" t="s">
        <v>23</v>
      </c>
      <c r="P419" s="6" t="s">
        <v>24</v>
      </c>
    </row>
    <row r="420" customFormat="false" ht="15.75" hidden="false" customHeight="false" outlineLevel="0" collapsed="false">
      <c r="A420" s="2" t="s">
        <v>16</v>
      </c>
      <c r="B420" s="2" t="s">
        <v>99</v>
      </c>
      <c r="C420" s="2" t="s">
        <v>100</v>
      </c>
      <c r="D420" s="2" t="s">
        <v>101</v>
      </c>
      <c r="E420" s="2" t="s">
        <v>96</v>
      </c>
      <c r="F420" s="3" t="n">
        <v>45158</v>
      </c>
      <c r="G420" s="4" t="n">
        <v>0.904656099537037</v>
      </c>
      <c r="H420" s="2" t="s">
        <v>37</v>
      </c>
      <c r="I420" s="5" t="n">
        <v>1</v>
      </c>
      <c r="J420" s="5" t="n">
        <v>55.21</v>
      </c>
      <c r="K420" s="5" t="n">
        <v>55.21</v>
      </c>
      <c r="L420" s="2" t="s">
        <v>1417</v>
      </c>
      <c r="M420" s="2" t="s">
        <v>1418</v>
      </c>
      <c r="N420" s="2"/>
      <c r="O420" s="2" t="s">
        <v>23</v>
      </c>
      <c r="P420" s="2" t="s">
        <v>24</v>
      </c>
    </row>
    <row r="421" customFormat="false" ht="15.75" hidden="false" customHeight="false" outlineLevel="0" collapsed="false">
      <c r="A421" s="6" t="s">
        <v>16</v>
      </c>
      <c r="B421" s="6" t="s">
        <v>472</v>
      </c>
      <c r="C421" s="6" t="s">
        <v>473</v>
      </c>
      <c r="D421" s="6" t="s">
        <v>230</v>
      </c>
      <c r="E421" s="6" t="s">
        <v>231</v>
      </c>
      <c r="F421" s="7" t="n">
        <v>45160</v>
      </c>
      <c r="G421" s="8" t="n">
        <v>0.9308775</v>
      </c>
      <c r="H421" s="6" t="s">
        <v>37</v>
      </c>
      <c r="I421" s="9" t="n">
        <v>1</v>
      </c>
      <c r="J421" s="9" t="n">
        <v>614.12</v>
      </c>
      <c r="K421" s="9" t="n">
        <v>614.12</v>
      </c>
      <c r="L421" s="6" t="s">
        <v>1419</v>
      </c>
      <c r="M421" s="6" t="s">
        <v>1420</v>
      </c>
      <c r="N421" s="6"/>
      <c r="O421" s="6" t="s">
        <v>23</v>
      </c>
      <c r="P421" s="6" t="s">
        <v>24</v>
      </c>
    </row>
    <row r="422" customFormat="false" ht="15.75" hidden="false" customHeight="false" outlineLevel="0" collapsed="false">
      <c r="A422" s="2" t="s">
        <v>16</v>
      </c>
      <c r="B422" s="2" t="s">
        <v>620</v>
      </c>
      <c r="C422" s="2" t="s">
        <v>621</v>
      </c>
      <c r="D422" s="2" t="s">
        <v>622</v>
      </c>
      <c r="E422" s="2" t="s">
        <v>20</v>
      </c>
      <c r="F422" s="3" t="n">
        <v>45160</v>
      </c>
      <c r="G422" s="4" t="n">
        <v>0.502580231481481</v>
      </c>
      <c r="H422" s="2" t="s">
        <v>37</v>
      </c>
      <c r="I422" s="5" t="n">
        <v>1</v>
      </c>
      <c r="J422" s="5" t="n">
        <v>272</v>
      </c>
      <c r="K422" s="5" t="n">
        <v>272</v>
      </c>
      <c r="L422" s="2" t="s">
        <v>1421</v>
      </c>
      <c r="M422" s="2" t="s">
        <v>1422</v>
      </c>
      <c r="N422" s="2"/>
      <c r="O422" s="2" t="s">
        <v>61</v>
      </c>
      <c r="P422" s="2" t="s">
        <v>62</v>
      </c>
    </row>
    <row r="423" customFormat="false" ht="15.75" hidden="false" customHeight="false" outlineLevel="0" collapsed="false">
      <c r="A423" s="6" t="s">
        <v>16</v>
      </c>
      <c r="B423" s="6" t="s">
        <v>727</v>
      </c>
      <c r="C423" s="6" t="s">
        <v>728</v>
      </c>
      <c r="D423" s="6" t="s">
        <v>19</v>
      </c>
      <c r="E423" s="6" t="s">
        <v>20</v>
      </c>
      <c r="F423" s="7" t="n">
        <v>45161</v>
      </c>
      <c r="G423" s="8" t="n">
        <v>0.708107372685185</v>
      </c>
      <c r="H423" s="6" t="s">
        <v>37</v>
      </c>
      <c r="I423" s="9" t="n">
        <v>98</v>
      </c>
      <c r="J423" s="9" t="n">
        <v>569</v>
      </c>
      <c r="K423" s="9" t="n">
        <v>55762</v>
      </c>
      <c r="L423" s="6" t="s">
        <v>1423</v>
      </c>
      <c r="M423" s="6" t="s">
        <v>1424</v>
      </c>
      <c r="N423" s="6"/>
      <c r="O423" s="6" t="s">
        <v>61</v>
      </c>
      <c r="P423" s="6" t="s">
        <v>62</v>
      </c>
    </row>
    <row r="424" customFormat="false" ht="15.75" hidden="false" customHeight="false" outlineLevel="0" collapsed="false">
      <c r="A424" s="2" t="s">
        <v>16</v>
      </c>
      <c r="B424" s="2" t="s">
        <v>1425</v>
      </c>
      <c r="C424" s="2" t="s">
        <v>1426</v>
      </c>
      <c r="D424" s="2" t="s">
        <v>19</v>
      </c>
      <c r="E424" s="2" t="s">
        <v>20</v>
      </c>
      <c r="F424" s="3" t="n">
        <v>45161</v>
      </c>
      <c r="G424" s="4" t="n">
        <v>0.706928599537037</v>
      </c>
      <c r="H424" s="2" t="s">
        <v>37</v>
      </c>
      <c r="I424" s="5" t="n">
        <v>289</v>
      </c>
      <c r="J424" s="5" t="n">
        <v>293</v>
      </c>
      <c r="K424" s="5" t="n">
        <v>84677</v>
      </c>
      <c r="L424" s="2" t="s">
        <v>1427</v>
      </c>
      <c r="M424" s="2" t="s">
        <v>1428</v>
      </c>
      <c r="N424" s="2"/>
      <c r="O424" s="2" t="s">
        <v>61</v>
      </c>
      <c r="P424" s="2" t="s">
        <v>62</v>
      </c>
    </row>
    <row r="425" customFormat="false" ht="15.75" hidden="false" customHeight="false" outlineLevel="0" collapsed="false">
      <c r="A425" s="6" t="s">
        <v>16</v>
      </c>
      <c r="B425" s="6" t="s">
        <v>1350</v>
      </c>
      <c r="C425" s="6" t="s">
        <v>1351</v>
      </c>
      <c r="D425" s="6" t="s">
        <v>19</v>
      </c>
      <c r="E425" s="6" t="s">
        <v>20</v>
      </c>
      <c r="F425" s="7" t="n">
        <v>45161</v>
      </c>
      <c r="G425" s="8" t="n">
        <v>0.699659097222222</v>
      </c>
      <c r="H425" s="6" t="s">
        <v>37</v>
      </c>
      <c r="I425" s="9" t="n">
        <v>11</v>
      </c>
      <c r="J425" s="9" t="n">
        <v>2737</v>
      </c>
      <c r="K425" s="9" t="n">
        <v>30107</v>
      </c>
      <c r="L425" s="6" t="s">
        <v>1429</v>
      </c>
      <c r="M425" s="6" t="s">
        <v>1430</v>
      </c>
      <c r="N425" s="6"/>
      <c r="O425" s="6" t="s">
        <v>61</v>
      </c>
      <c r="P425" s="6" t="s">
        <v>62</v>
      </c>
    </row>
    <row r="426" customFormat="false" ht="15.75" hidden="false" customHeight="false" outlineLevel="0" collapsed="false">
      <c r="A426" s="2" t="s">
        <v>16</v>
      </c>
      <c r="B426" s="2" t="s">
        <v>1431</v>
      </c>
      <c r="C426" s="2" t="s">
        <v>1432</v>
      </c>
      <c r="D426" s="2" t="s">
        <v>65</v>
      </c>
      <c r="E426" s="2" t="s">
        <v>66</v>
      </c>
      <c r="F426" s="3" t="n">
        <v>45161</v>
      </c>
      <c r="G426" s="4" t="n">
        <v>0.486489907407407</v>
      </c>
      <c r="H426" s="2" t="s">
        <v>29</v>
      </c>
      <c r="I426" s="5" t="n">
        <v>16</v>
      </c>
      <c r="J426" s="5" t="n">
        <v>243</v>
      </c>
      <c r="K426" s="5" t="n">
        <v>3888</v>
      </c>
      <c r="L426" s="2" t="s">
        <v>1433</v>
      </c>
      <c r="M426" s="2" t="s">
        <v>1434</v>
      </c>
      <c r="N426" s="2" t="s">
        <v>1435</v>
      </c>
      <c r="O426" s="2" t="s">
        <v>61</v>
      </c>
      <c r="P426" s="2" t="s">
        <v>62</v>
      </c>
    </row>
    <row r="427" customFormat="false" ht="15.75" hidden="false" customHeight="false" outlineLevel="0" collapsed="false">
      <c r="A427" s="6" t="s">
        <v>16</v>
      </c>
      <c r="B427" s="6" t="s">
        <v>1314</v>
      </c>
      <c r="C427" s="6" t="s">
        <v>1315</v>
      </c>
      <c r="D427" s="6" t="s">
        <v>1316</v>
      </c>
      <c r="E427" s="6" t="s">
        <v>28</v>
      </c>
      <c r="F427" s="7" t="n">
        <v>45163</v>
      </c>
      <c r="G427" s="8" t="n">
        <v>0.752893402777778</v>
      </c>
      <c r="H427" s="6" t="s">
        <v>37</v>
      </c>
      <c r="I427" s="9" t="n">
        <v>1</v>
      </c>
      <c r="J427" s="9" t="n">
        <v>425</v>
      </c>
      <c r="K427" s="9" t="n">
        <v>425</v>
      </c>
      <c r="L427" s="6" t="s">
        <v>1436</v>
      </c>
      <c r="M427" s="6" t="s">
        <v>1437</v>
      </c>
      <c r="N427" s="6"/>
      <c r="O427" s="6" t="s">
        <v>23</v>
      </c>
      <c r="P427" s="6" t="s">
        <v>24</v>
      </c>
    </row>
    <row r="428" customFormat="false" ht="15.75" hidden="false" customHeight="false" outlineLevel="0" collapsed="false">
      <c r="A428" s="2" t="s">
        <v>16</v>
      </c>
      <c r="B428" s="2" t="s">
        <v>1438</v>
      </c>
      <c r="C428" s="2" t="s">
        <v>1439</v>
      </c>
      <c r="D428" s="2" t="s">
        <v>35</v>
      </c>
      <c r="E428" s="2" t="s">
        <v>36</v>
      </c>
      <c r="F428" s="3" t="n">
        <v>45163</v>
      </c>
      <c r="G428" s="4" t="n">
        <v>0.751580266203704</v>
      </c>
      <c r="H428" s="2" t="s">
        <v>37</v>
      </c>
      <c r="I428" s="5" t="n">
        <v>1</v>
      </c>
      <c r="J428" s="5" t="n">
        <v>555</v>
      </c>
      <c r="K428" s="5" t="n">
        <v>555</v>
      </c>
      <c r="L428" s="2" t="s">
        <v>1440</v>
      </c>
      <c r="M428" s="2" t="s">
        <v>1441</v>
      </c>
      <c r="N428" s="2"/>
      <c r="O428" s="2" t="s">
        <v>23</v>
      </c>
      <c r="P428" s="2" t="s">
        <v>24</v>
      </c>
    </row>
    <row r="429" customFormat="false" ht="15.75" hidden="false" customHeight="false" outlineLevel="0" collapsed="false">
      <c r="A429" s="6" t="s">
        <v>16</v>
      </c>
      <c r="B429" s="6" t="s">
        <v>99</v>
      </c>
      <c r="C429" s="6" t="s">
        <v>100</v>
      </c>
      <c r="D429" s="6" t="s">
        <v>101</v>
      </c>
      <c r="E429" s="6" t="s">
        <v>96</v>
      </c>
      <c r="F429" s="7" t="n">
        <v>45164</v>
      </c>
      <c r="G429" s="8" t="n">
        <v>0.980023252314815</v>
      </c>
      <c r="H429" s="6" t="s">
        <v>37</v>
      </c>
      <c r="I429" s="9" t="n">
        <v>2</v>
      </c>
      <c r="J429" s="9" t="n">
        <v>55.21</v>
      </c>
      <c r="K429" s="9" t="n">
        <v>110.42</v>
      </c>
      <c r="L429" s="6" t="s">
        <v>1442</v>
      </c>
      <c r="M429" s="6" t="s">
        <v>1443</v>
      </c>
      <c r="N429" s="6"/>
      <c r="O429" s="6" t="s">
        <v>23</v>
      </c>
      <c r="P429" s="6" t="s">
        <v>24</v>
      </c>
    </row>
    <row r="430" customFormat="false" ht="15.75" hidden="false" customHeight="false" outlineLevel="0" collapsed="false">
      <c r="A430" s="2" t="s">
        <v>16</v>
      </c>
      <c r="B430" s="2" t="s">
        <v>238</v>
      </c>
      <c r="C430" s="2" t="s">
        <v>239</v>
      </c>
      <c r="D430" s="2" t="s">
        <v>95</v>
      </c>
      <c r="E430" s="2" t="s">
        <v>96</v>
      </c>
      <c r="F430" s="3" t="n">
        <v>45164</v>
      </c>
      <c r="G430" s="4" t="n">
        <v>0.976948449074074</v>
      </c>
      <c r="H430" s="2" t="s">
        <v>37</v>
      </c>
      <c r="I430" s="5" t="n">
        <v>1</v>
      </c>
      <c r="J430" s="5" t="n">
        <v>55.25</v>
      </c>
      <c r="K430" s="5" t="n">
        <v>55.25</v>
      </c>
      <c r="L430" s="2" t="s">
        <v>1444</v>
      </c>
      <c r="M430" s="2" t="s">
        <v>1445</v>
      </c>
      <c r="N430" s="2"/>
      <c r="O430" s="2" t="s">
        <v>23</v>
      </c>
      <c r="P430" s="2" t="s">
        <v>24</v>
      </c>
    </row>
    <row r="431" customFormat="false" ht="15.75" hidden="false" customHeight="false" outlineLevel="0" collapsed="false">
      <c r="A431" s="6" t="s">
        <v>16</v>
      </c>
      <c r="B431" s="6" t="s">
        <v>366</v>
      </c>
      <c r="C431" s="6" t="s">
        <v>367</v>
      </c>
      <c r="D431" s="6" t="s">
        <v>142</v>
      </c>
      <c r="E431" s="6" t="s">
        <v>28</v>
      </c>
      <c r="F431" s="7" t="n">
        <v>45166</v>
      </c>
      <c r="G431" s="8" t="n">
        <v>0.909560659722222</v>
      </c>
      <c r="H431" s="6" t="s">
        <v>37</v>
      </c>
      <c r="I431" s="9" t="n">
        <v>1</v>
      </c>
      <c r="J431" s="9" t="n">
        <v>724</v>
      </c>
      <c r="K431" s="9" t="n">
        <v>724</v>
      </c>
      <c r="L431" s="6" t="s">
        <v>1446</v>
      </c>
      <c r="M431" s="6" t="s">
        <v>1447</v>
      </c>
      <c r="N431" s="6"/>
      <c r="O431" s="6" t="s">
        <v>23</v>
      </c>
      <c r="P431" s="6" t="s">
        <v>24</v>
      </c>
    </row>
    <row r="432" customFormat="false" ht="15.75" hidden="false" customHeight="false" outlineLevel="0" collapsed="false">
      <c r="A432" s="2" t="s">
        <v>16</v>
      </c>
      <c r="B432" s="2" t="s">
        <v>1448</v>
      </c>
      <c r="C432" s="2" t="s">
        <v>1449</v>
      </c>
      <c r="D432" s="2" t="s">
        <v>1450</v>
      </c>
      <c r="E432" s="2" t="s">
        <v>1451</v>
      </c>
      <c r="F432" s="3" t="n">
        <v>45166</v>
      </c>
      <c r="G432" s="4" t="n">
        <v>0.901442384259259</v>
      </c>
      <c r="H432" s="2" t="s">
        <v>21</v>
      </c>
      <c r="I432" s="5" t="n">
        <v>20</v>
      </c>
      <c r="J432" s="5" t="n">
        <v>1445</v>
      </c>
      <c r="K432" s="5" t="n">
        <v>28900</v>
      </c>
      <c r="L432" s="2" t="s">
        <v>1452</v>
      </c>
      <c r="M432" s="2"/>
      <c r="N432" s="2"/>
      <c r="O432" s="2" t="s">
        <v>23</v>
      </c>
      <c r="P432" s="2" t="s">
        <v>24</v>
      </c>
    </row>
    <row r="433" customFormat="false" ht="15.75" hidden="false" customHeight="false" outlineLevel="0" collapsed="false">
      <c r="A433" s="6" t="s">
        <v>16</v>
      </c>
      <c r="B433" s="6" t="s">
        <v>817</v>
      </c>
      <c r="C433" s="6" t="s">
        <v>818</v>
      </c>
      <c r="D433" s="6" t="s">
        <v>819</v>
      </c>
      <c r="E433" s="6" t="s">
        <v>90</v>
      </c>
      <c r="F433" s="7" t="n">
        <v>45166</v>
      </c>
      <c r="G433" s="8" t="n">
        <v>0.546367627314815</v>
      </c>
      <c r="H433" s="6" t="s">
        <v>37</v>
      </c>
      <c r="I433" s="9" t="n">
        <v>2</v>
      </c>
      <c r="J433" s="9" t="n">
        <v>2050</v>
      </c>
      <c r="K433" s="9" t="n">
        <v>4100</v>
      </c>
      <c r="L433" s="6" t="s">
        <v>1453</v>
      </c>
      <c r="M433" s="6" t="s">
        <v>1454</v>
      </c>
      <c r="N433" s="6"/>
      <c r="O433" s="6" t="s">
        <v>61</v>
      </c>
      <c r="P433" s="6" t="s">
        <v>62</v>
      </c>
    </row>
    <row r="434" customFormat="false" ht="15.75" hidden="false" customHeight="false" outlineLevel="0" collapsed="false">
      <c r="A434" s="2" t="s">
        <v>16</v>
      </c>
      <c r="B434" s="2" t="s">
        <v>715</v>
      </c>
      <c r="C434" s="2" t="s">
        <v>716</v>
      </c>
      <c r="D434" s="2" t="s">
        <v>487</v>
      </c>
      <c r="E434" s="2" t="s">
        <v>333</v>
      </c>
      <c r="F434" s="3" t="n">
        <v>45166</v>
      </c>
      <c r="G434" s="4" t="n">
        <v>0.477788171296296</v>
      </c>
      <c r="H434" s="2" t="s">
        <v>37</v>
      </c>
      <c r="I434" s="5" t="n">
        <v>9</v>
      </c>
      <c r="J434" s="5" t="n">
        <v>1200</v>
      </c>
      <c r="K434" s="5" t="n">
        <v>10800</v>
      </c>
      <c r="L434" s="2" t="s">
        <v>1455</v>
      </c>
      <c r="M434" s="2" t="s">
        <v>1456</v>
      </c>
      <c r="N434" s="2"/>
      <c r="O434" s="2" t="s">
        <v>61</v>
      </c>
      <c r="P434" s="2" t="s">
        <v>62</v>
      </c>
    </row>
    <row r="435" customFormat="false" ht="15.75" hidden="false" customHeight="false" outlineLevel="0" collapsed="false">
      <c r="A435" s="6" t="s">
        <v>16</v>
      </c>
      <c r="B435" s="6" t="s">
        <v>1457</v>
      </c>
      <c r="C435" s="6" t="s">
        <v>1458</v>
      </c>
      <c r="D435" s="6" t="s">
        <v>106</v>
      </c>
      <c r="E435" s="6" t="s">
        <v>107</v>
      </c>
      <c r="F435" s="7" t="n">
        <v>45167</v>
      </c>
      <c r="G435" s="8" t="n">
        <v>0.954904641203704</v>
      </c>
      <c r="H435" s="6" t="s">
        <v>21</v>
      </c>
      <c r="I435" s="9" t="n">
        <v>1</v>
      </c>
      <c r="J435" s="9" t="n">
        <v>151.68</v>
      </c>
      <c r="K435" s="9" t="n">
        <v>151.68</v>
      </c>
      <c r="L435" s="6" t="s">
        <v>1459</v>
      </c>
      <c r="M435" s="6"/>
      <c r="N435" s="6"/>
      <c r="O435" s="6" t="s">
        <v>23</v>
      </c>
      <c r="P435" s="6" t="s">
        <v>24</v>
      </c>
    </row>
    <row r="436" customFormat="false" ht="15.75" hidden="false" customHeight="false" outlineLevel="0" collapsed="false">
      <c r="A436" s="2" t="s">
        <v>16</v>
      </c>
      <c r="B436" s="2" t="s">
        <v>1460</v>
      </c>
      <c r="C436" s="2" t="s">
        <v>1461</v>
      </c>
      <c r="D436" s="2" t="s">
        <v>999</v>
      </c>
      <c r="E436" s="2" t="s">
        <v>96</v>
      </c>
      <c r="F436" s="3" t="n">
        <v>45167</v>
      </c>
      <c r="G436" s="4" t="n">
        <v>0.952495219907407</v>
      </c>
      <c r="H436" s="2" t="s">
        <v>37</v>
      </c>
      <c r="I436" s="5" t="n">
        <v>1</v>
      </c>
      <c r="J436" s="5" t="n">
        <v>435.69</v>
      </c>
      <c r="K436" s="5" t="n">
        <v>435.69</v>
      </c>
      <c r="L436" s="2" t="s">
        <v>1462</v>
      </c>
      <c r="M436" s="2" t="s">
        <v>1463</v>
      </c>
      <c r="N436" s="2"/>
      <c r="O436" s="2" t="s">
        <v>23</v>
      </c>
      <c r="P436" s="2" t="s">
        <v>24</v>
      </c>
    </row>
    <row r="437" customFormat="false" ht="15.75" hidden="false" customHeight="false" outlineLevel="0" collapsed="false">
      <c r="A437" s="6" t="s">
        <v>16</v>
      </c>
      <c r="B437" s="6" t="s">
        <v>1464</v>
      </c>
      <c r="C437" s="6" t="s">
        <v>1465</v>
      </c>
      <c r="D437" s="6" t="s">
        <v>27</v>
      </c>
      <c r="E437" s="6" t="s">
        <v>28</v>
      </c>
      <c r="F437" s="7" t="n">
        <v>45168</v>
      </c>
      <c r="G437" s="8" t="n">
        <v>0.850621331018519</v>
      </c>
      <c r="H437" s="6" t="s">
        <v>37</v>
      </c>
      <c r="I437" s="9" t="n">
        <v>1</v>
      </c>
      <c r="J437" s="9" t="n">
        <v>394.25</v>
      </c>
      <c r="K437" s="9" t="n">
        <v>394.25</v>
      </c>
      <c r="L437" s="6" t="s">
        <v>1466</v>
      </c>
      <c r="M437" s="6" t="s">
        <v>1467</v>
      </c>
      <c r="N437" s="6"/>
      <c r="O437" s="6" t="s">
        <v>691</v>
      </c>
      <c r="P437" s="6" t="s">
        <v>692</v>
      </c>
    </row>
    <row r="438" customFormat="false" ht="15.75" hidden="false" customHeight="false" outlineLevel="0" collapsed="false">
      <c r="A438" s="2" t="s">
        <v>16</v>
      </c>
      <c r="B438" s="2" t="s">
        <v>366</v>
      </c>
      <c r="C438" s="2" t="s">
        <v>367</v>
      </c>
      <c r="D438" s="2" t="s">
        <v>142</v>
      </c>
      <c r="E438" s="2" t="s">
        <v>28</v>
      </c>
      <c r="F438" s="3" t="n">
        <v>45168</v>
      </c>
      <c r="G438" s="4" t="n">
        <v>0.254027326388889</v>
      </c>
      <c r="H438" s="2" t="s">
        <v>21</v>
      </c>
      <c r="I438" s="5" t="n">
        <v>2</v>
      </c>
      <c r="J438" s="5" t="n">
        <v>724</v>
      </c>
      <c r="K438" s="5" t="n">
        <v>1448</v>
      </c>
      <c r="L438" s="2" t="s">
        <v>1468</v>
      </c>
      <c r="M438" s="2"/>
      <c r="N438" s="2"/>
      <c r="O438" s="2" t="s">
        <v>1469</v>
      </c>
      <c r="P438" s="2" t="s">
        <v>1470</v>
      </c>
    </row>
    <row r="439" customFormat="false" ht="15.75" hidden="false" customHeight="false" outlineLevel="0" collapsed="false">
      <c r="A439" s="6" t="s">
        <v>16</v>
      </c>
      <c r="B439" s="6" t="s">
        <v>1079</v>
      </c>
      <c r="C439" s="6" t="s">
        <v>1080</v>
      </c>
      <c r="D439" s="6" t="s">
        <v>622</v>
      </c>
      <c r="E439" s="6" t="s">
        <v>20</v>
      </c>
      <c r="F439" s="7" t="n">
        <v>45169</v>
      </c>
      <c r="G439" s="8" t="n">
        <v>0.544576539351852</v>
      </c>
      <c r="H439" s="6" t="s">
        <v>37</v>
      </c>
      <c r="I439" s="9" t="n">
        <v>6</v>
      </c>
      <c r="J439" s="9" t="n">
        <v>540</v>
      </c>
      <c r="K439" s="9" t="n">
        <v>3240</v>
      </c>
      <c r="L439" s="6" t="s">
        <v>1471</v>
      </c>
      <c r="M439" s="6" t="s">
        <v>1472</v>
      </c>
      <c r="N439" s="6"/>
      <c r="O439" s="6" t="s">
        <v>61</v>
      </c>
      <c r="P439" s="6" t="s">
        <v>62</v>
      </c>
    </row>
    <row r="440" customFormat="false" ht="15.75" hidden="false" customHeight="false" outlineLevel="0" collapsed="false">
      <c r="A440" s="2" t="s">
        <v>16</v>
      </c>
      <c r="B440" s="2" t="s">
        <v>620</v>
      </c>
      <c r="C440" s="2" t="s">
        <v>621</v>
      </c>
      <c r="D440" s="2" t="s">
        <v>622</v>
      </c>
      <c r="E440" s="2" t="s">
        <v>20</v>
      </c>
      <c r="F440" s="3" t="n">
        <v>45169</v>
      </c>
      <c r="G440" s="4" t="n">
        <v>0.51052650462963</v>
      </c>
      <c r="H440" s="2" t="s">
        <v>37</v>
      </c>
      <c r="I440" s="5" t="n">
        <v>1</v>
      </c>
      <c r="J440" s="5" t="n">
        <v>272</v>
      </c>
      <c r="K440" s="5" t="n">
        <v>272</v>
      </c>
      <c r="L440" s="2" t="s">
        <v>1473</v>
      </c>
      <c r="M440" s="2" t="s">
        <v>1474</v>
      </c>
      <c r="N440" s="2"/>
      <c r="O440" s="2" t="s">
        <v>61</v>
      </c>
      <c r="P440" s="2" t="s">
        <v>62</v>
      </c>
    </row>
    <row r="441" customFormat="false" ht="15.75" hidden="false" customHeight="false" outlineLevel="0" collapsed="false">
      <c r="A441" s="6" t="s">
        <v>16</v>
      </c>
      <c r="B441" s="6" t="s">
        <v>1100</v>
      </c>
      <c r="C441" s="6" t="s">
        <v>1101</v>
      </c>
      <c r="D441" s="6" t="s">
        <v>19</v>
      </c>
      <c r="E441" s="6" t="s">
        <v>20</v>
      </c>
      <c r="F441" s="7" t="n">
        <v>45169</v>
      </c>
      <c r="G441" s="8" t="n">
        <v>0.506259085648148</v>
      </c>
      <c r="H441" s="6" t="s">
        <v>37</v>
      </c>
      <c r="I441" s="9" t="n">
        <v>1</v>
      </c>
      <c r="J441" s="9" t="n">
        <v>1303</v>
      </c>
      <c r="K441" s="9" t="n">
        <v>1303</v>
      </c>
      <c r="L441" s="6" t="s">
        <v>1475</v>
      </c>
      <c r="M441" s="6" t="s">
        <v>1476</v>
      </c>
      <c r="N441" s="6"/>
      <c r="O441" s="6" t="s">
        <v>61</v>
      </c>
      <c r="P441" s="6" t="s">
        <v>62</v>
      </c>
    </row>
    <row r="442" customFormat="false" ht="15.75" hidden="false" customHeight="false" outlineLevel="0" collapsed="false">
      <c r="A442" s="2" t="s">
        <v>16</v>
      </c>
      <c r="B442" s="2" t="s">
        <v>1085</v>
      </c>
      <c r="C442" s="2" t="s">
        <v>1086</v>
      </c>
      <c r="D442" s="2" t="s">
        <v>19</v>
      </c>
      <c r="E442" s="2" t="s">
        <v>20</v>
      </c>
      <c r="F442" s="3" t="n">
        <v>45169</v>
      </c>
      <c r="G442" s="4" t="n">
        <v>0.493712476851852</v>
      </c>
      <c r="H442" s="2" t="s">
        <v>37</v>
      </c>
      <c r="I442" s="5" t="n">
        <v>1</v>
      </c>
      <c r="J442" s="5" t="n">
        <v>240</v>
      </c>
      <c r="K442" s="5" t="n">
        <v>240</v>
      </c>
      <c r="L442" s="2" t="s">
        <v>1477</v>
      </c>
      <c r="M442" s="2" t="s">
        <v>1478</v>
      </c>
      <c r="N442" s="2"/>
      <c r="O442" s="2" t="s">
        <v>61</v>
      </c>
      <c r="P442" s="2" t="s">
        <v>62</v>
      </c>
    </row>
    <row r="443" customFormat="false" ht="15.75" hidden="false" customHeight="false" outlineLevel="0" collapsed="false">
      <c r="A443" s="6" t="s">
        <v>16</v>
      </c>
      <c r="B443" s="6" t="s">
        <v>286</v>
      </c>
      <c r="C443" s="6" t="s">
        <v>287</v>
      </c>
      <c r="D443" s="6" t="s">
        <v>19</v>
      </c>
      <c r="E443" s="6" t="s">
        <v>20</v>
      </c>
      <c r="F443" s="7" t="n">
        <v>45169</v>
      </c>
      <c r="G443" s="8" t="n">
        <v>0.490835092592593</v>
      </c>
      <c r="H443" s="6" t="s">
        <v>37</v>
      </c>
      <c r="I443" s="9" t="n">
        <v>4</v>
      </c>
      <c r="J443" s="9" t="n">
        <v>2822</v>
      </c>
      <c r="K443" s="9" t="n">
        <v>11288</v>
      </c>
      <c r="L443" s="6" t="s">
        <v>1479</v>
      </c>
      <c r="M443" s="6" t="s">
        <v>1480</v>
      </c>
      <c r="N443" s="6"/>
      <c r="O443" s="6" t="s">
        <v>61</v>
      </c>
      <c r="P443" s="6" t="s">
        <v>62</v>
      </c>
    </row>
    <row r="444" customFormat="false" ht="15.75" hidden="false" customHeight="false" outlineLevel="0" collapsed="false">
      <c r="A444" s="2" t="s">
        <v>16</v>
      </c>
      <c r="B444" s="2" t="s">
        <v>1354</v>
      </c>
      <c r="C444" s="2" t="s">
        <v>1355</v>
      </c>
      <c r="D444" s="2" t="s">
        <v>19</v>
      </c>
      <c r="E444" s="2" t="s">
        <v>20</v>
      </c>
      <c r="F444" s="3" t="n">
        <v>45169</v>
      </c>
      <c r="G444" s="4" t="n">
        <v>0.489868969907407</v>
      </c>
      <c r="H444" s="2" t="s">
        <v>37</v>
      </c>
      <c r="I444" s="5" t="n">
        <v>2</v>
      </c>
      <c r="J444" s="5" t="n">
        <v>2495</v>
      </c>
      <c r="K444" s="5" t="n">
        <v>4990</v>
      </c>
      <c r="L444" s="2" t="s">
        <v>1481</v>
      </c>
      <c r="M444" s="2" t="s">
        <v>1482</v>
      </c>
      <c r="N444" s="2"/>
      <c r="O444" s="2" t="s">
        <v>61</v>
      </c>
      <c r="P444" s="2" t="s">
        <v>62</v>
      </c>
    </row>
    <row r="445" customFormat="false" ht="15.75" hidden="false" customHeight="false" outlineLevel="0" collapsed="false">
      <c r="A445" s="6" t="s">
        <v>16</v>
      </c>
      <c r="B445" s="6" t="s">
        <v>238</v>
      </c>
      <c r="C445" s="6" t="s">
        <v>239</v>
      </c>
      <c r="D445" s="6" t="s">
        <v>95</v>
      </c>
      <c r="E445" s="6" t="s">
        <v>96</v>
      </c>
      <c r="F445" s="7" t="n">
        <v>45170</v>
      </c>
      <c r="G445" s="8" t="n">
        <v>0.254559143518518</v>
      </c>
      <c r="H445" s="6" t="s">
        <v>21</v>
      </c>
      <c r="I445" s="9" t="n">
        <v>1</v>
      </c>
      <c r="J445" s="9" t="n">
        <v>55.25</v>
      </c>
      <c r="K445" s="9" t="n">
        <v>55.25</v>
      </c>
      <c r="L445" s="6" t="s">
        <v>1468</v>
      </c>
      <c r="M445" s="6"/>
      <c r="N445" s="6"/>
      <c r="O445" s="6" t="s">
        <v>1469</v>
      </c>
      <c r="P445" s="6" t="s">
        <v>1470</v>
      </c>
    </row>
    <row r="446" customFormat="false" ht="15.75" hidden="false" customHeight="false" outlineLevel="0" collapsed="false">
      <c r="A446" s="2" t="s">
        <v>16</v>
      </c>
      <c r="B446" s="2" t="s">
        <v>1457</v>
      </c>
      <c r="C446" s="2" t="s">
        <v>1458</v>
      </c>
      <c r="D446" s="2" t="s">
        <v>106</v>
      </c>
      <c r="E446" s="2" t="s">
        <v>107</v>
      </c>
      <c r="F446" s="3" t="n">
        <v>45171</v>
      </c>
      <c r="G446" s="4" t="n">
        <v>0.983034456018518</v>
      </c>
      <c r="H446" s="2" t="s">
        <v>37</v>
      </c>
      <c r="I446" s="5" t="n">
        <v>1</v>
      </c>
      <c r="J446" s="5" t="n">
        <v>151.69</v>
      </c>
      <c r="K446" s="5" t="n">
        <v>151.69</v>
      </c>
      <c r="L446" s="2" t="s">
        <v>1483</v>
      </c>
      <c r="M446" s="2" t="s">
        <v>1484</v>
      </c>
      <c r="N446" s="2"/>
      <c r="O446" s="2" t="s">
        <v>23</v>
      </c>
      <c r="P446" s="2" t="s">
        <v>24</v>
      </c>
    </row>
    <row r="447" customFormat="false" ht="15.75" hidden="false" customHeight="false" outlineLevel="0" collapsed="false">
      <c r="A447" s="6" t="s">
        <v>16</v>
      </c>
      <c r="B447" s="6" t="s">
        <v>817</v>
      </c>
      <c r="C447" s="6" t="s">
        <v>818</v>
      </c>
      <c r="D447" s="6" t="s">
        <v>819</v>
      </c>
      <c r="E447" s="6" t="s">
        <v>90</v>
      </c>
      <c r="F447" s="7" t="n">
        <v>45171</v>
      </c>
      <c r="G447" s="8" t="n">
        <v>0.980513101851852</v>
      </c>
      <c r="H447" s="6" t="s">
        <v>37</v>
      </c>
      <c r="I447" s="9" t="n">
        <v>1</v>
      </c>
      <c r="J447" s="9" t="n">
        <v>2050</v>
      </c>
      <c r="K447" s="9" t="n">
        <v>2050</v>
      </c>
      <c r="L447" s="6" t="s">
        <v>1485</v>
      </c>
      <c r="M447" s="6" t="s">
        <v>1486</v>
      </c>
      <c r="N447" s="6"/>
      <c r="O447" s="6" t="s">
        <v>23</v>
      </c>
      <c r="P447" s="6" t="s">
        <v>24</v>
      </c>
    </row>
    <row r="448" customFormat="false" ht="15.75" hidden="false" customHeight="false" outlineLevel="0" collapsed="false">
      <c r="A448" s="2" t="s">
        <v>16</v>
      </c>
      <c r="B448" s="2" t="s">
        <v>1487</v>
      </c>
      <c r="C448" s="2" t="s">
        <v>1488</v>
      </c>
      <c r="D448" s="2" t="s">
        <v>1489</v>
      </c>
      <c r="E448" s="2" t="s">
        <v>498</v>
      </c>
      <c r="F448" s="3" t="n">
        <v>45171</v>
      </c>
      <c r="G448" s="4" t="n">
        <v>0.927016944444445</v>
      </c>
      <c r="H448" s="2" t="s">
        <v>37</v>
      </c>
      <c r="I448" s="5" t="n">
        <v>1</v>
      </c>
      <c r="J448" s="5" t="n">
        <v>180.67</v>
      </c>
      <c r="K448" s="5" t="n">
        <v>180.67</v>
      </c>
      <c r="L448" s="2" t="s">
        <v>1490</v>
      </c>
      <c r="M448" s="2" t="s">
        <v>1491</v>
      </c>
      <c r="N448" s="2"/>
      <c r="O448" s="2" t="s">
        <v>23</v>
      </c>
      <c r="P448" s="2" t="s">
        <v>24</v>
      </c>
    </row>
    <row r="449" customFormat="false" ht="15.75" hidden="false" customHeight="false" outlineLevel="0" collapsed="false">
      <c r="A449" s="6" t="s">
        <v>16</v>
      </c>
      <c r="B449" s="6" t="s">
        <v>140</v>
      </c>
      <c r="C449" s="6" t="s">
        <v>141</v>
      </c>
      <c r="D449" s="6" t="s">
        <v>142</v>
      </c>
      <c r="E449" s="6" t="s">
        <v>28</v>
      </c>
      <c r="F449" s="7" t="n">
        <v>45171</v>
      </c>
      <c r="G449" s="8" t="n">
        <v>0.918378275462963</v>
      </c>
      <c r="H449" s="6" t="s">
        <v>37</v>
      </c>
      <c r="I449" s="9" t="n">
        <v>1</v>
      </c>
      <c r="J449" s="9" t="n">
        <v>870</v>
      </c>
      <c r="K449" s="9" t="n">
        <v>870</v>
      </c>
      <c r="L449" s="6" t="s">
        <v>1492</v>
      </c>
      <c r="M449" s="6" t="s">
        <v>1493</v>
      </c>
      <c r="N449" s="6"/>
      <c r="O449" s="6" t="s">
        <v>23</v>
      </c>
      <c r="P449" s="6" t="s">
        <v>24</v>
      </c>
    </row>
    <row r="450" customFormat="false" ht="15.75" hidden="false" customHeight="false" outlineLevel="0" collapsed="false">
      <c r="A450" s="2" t="s">
        <v>16</v>
      </c>
      <c r="B450" s="2" t="s">
        <v>1047</v>
      </c>
      <c r="C450" s="2" t="s">
        <v>1048</v>
      </c>
      <c r="D450" s="2" t="s">
        <v>659</v>
      </c>
      <c r="E450" s="2" t="s">
        <v>28</v>
      </c>
      <c r="F450" s="3" t="n">
        <v>45171</v>
      </c>
      <c r="G450" s="4" t="n">
        <v>0.916828946759259</v>
      </c>
      <c r="H450" s="2" t="s">
        <v>37</v>
      </c>
      <c r="I450" s="5" t="n">
        <v>1</v>
      </c>
      <c r="J450" s="5" t="n">
        <v>595</v>
      </c>
      <c r="K450" s="5" t="n">
        <v>595</v>
      </c>
      <c r="L450" s="2" t="s">
        <v>1494</v>
      </c>
      <c r="M450" s="2" t="s">
        <v>1495</v>
      </c>
      <c r="N450" s="2"/>
      <c r="O450" s="2" t="s">
        <v>23</v>
      </c>
      <c r="P450" s="2" t="s">
        <v>24</v>
      </c>
    </row>
    <row r="451" customFormat="false" ht="15.75" hidden="false" customHeight="false" outlineLevel="0" collapsed="false">
      <c r="A451" s="6" t="s">
        <v>16</v>
      </c>
      <c r="B451" s="6" t="s">
        <v>1085</v>
      </c>
      <c r="C451" s="6" t="s">
        <v>1086</v>
      </c>
      <c r="D451" s="6" t="s">
        <v>19</v>
      </c>
      <c r="E451" s="6" t="s">
        <v>20</v>
      </c>
      <c r="F451" s="7" t="n">
        <v>45171</v>
      </c>
      <c r="G451" s="8" t="n">
        <v>0.608912291666667</v>
      </c>
      <c r="H451" s="6" t="s">
        <v>37</v>
      </c>
      <c r="I451" s="9" t="n">
        <v>3</v>
      </c>
      <c r="J451" s="9" t="n">
        <v>240</v>
      </c>
      <c r="K451" s="9" t="n">
        <v>720</v>
      </c>
      <c r="L451" s="6" t="s">
        <v>1496</v>
      </c>
      <c r="M451" s="6" t="s">
        <v>1497</v>
      </c>
      <c r="N451" s="6"/>
      <c r="O451" s="6" t="s">
        <v>61</v>
      </c>
      <c r="P451" s="6" t="s">
        <v>62</v>
      </c>
    </row>
    <row r="452" customFormat="false" ht="15.75" hidden="false" customHeight="false" outlineLevel="0" collapsed="false">
      <c r="A452" s="2" t="s">
        <v>16</v>
      </c>
      <c r="B452" s="2" t="s">
        <v>1314</v>
      </c>
      <c r="C452" s="2" t="s">
        <v>1315</v>
      </c>
      <c r="D452" s="2" t="s">
        <v>1316</v>
      </c>
      <c r="E452" s="2" t="s">
        <v>28</v>
      </c>
      <c r="F452" s="3" t="n">
        <v>45172</v>
      </c>
      <c r="G452" s="4" t="n">
        <v>0.894938125</v>
      </c>
      <c r="H452" s="2" t="s">
        <v>37</v>
      </c>
      <c r="I452" s="5" t="n">
        <v>1</v>
      </c>
      <c r="J452" s="5" t="n">
        <v>425</v>
      </c>
      <c r="K452" s="5" t="n">
        <v>425</v>
      </c>
      <c r="L452" s="2" t="s">
        <v>1498</v>
      </c>
      <c r="M452" s="2" t="s">
        <v>1499</v>
      </c>
      <c r="N452" s="2"/>
      <c r="O452" s="2" t="s">
        <v>23</v>
      </c>
      <c r="P452" s="2" t="s">
        <v>24</v>
      </c>
    </row>
    <row r="453" customFormat="false" ht="15.75" hidden="false" customHeight="false" outlineLevel="0" collapsed="false">
      <c r="A453" s="6" t="s">
        <v>16</v>
      </c>
      <c r="B453" s="6" t="s">
        <v>366</v>
      </c>
      <c r="C453" s="6" t="s">
        <v>367</v>
      </c>
      <c r="D453" s="6" t="s">
        <v>142</v>
      </c>
      <c r="E453" s="6" t="s">
        <v>28</v>
      </c>
      <c r="F453" s="7" t="n">
        <v>45172</v>
      </c>
      <c r="G453" s="8" t="n">
        <v>0.892515821759259</v>
      </c>
      <c r="H453" s="6" t="s">
        <v>37</v>
      </c>
      <c r="I453" s="9" t="n">
        <v>1</v>
      </c>
      <c r="J453" s="9" t="n">
        <v>724</v>
      </c>
      <c r="K453" s="9" t="n">
        <v>724</v>
      </c>
      <c r="L453" s="6" t="s">
        <v>1500</v>
      </c>
      <c r="M453" s="6" t="s">
        <v>1501</v>
      </c>
      <c r="N453" s="6"/>
      <c r="O453" s="6" t="s">
        <v>23</v>
      </c>
      <c r="P453" s="6" t="s">
        <v>24</v>
      </c>
    </row>
    <row r="454" customFormat="false" ht="15.75" hidden="false" customHeight="false" outlineLevel="0" collapsed="false">
      <c r="A454" s="2" t="s">
        <v>16</v>
      </c>
      <c r="B454" s="2" t="s">
        <v>366</v>
      </c>
      <c r="C454" s="2" t="s">
        <v>367</v>
      </c>
      <c r="D454" s="2" t="s">
        <v>142</v>
      </c>
      <c r="E454" s="2" t="s">
        <v>28</v>
      </c>
      <c r="F454" s="3" t="n">
        <v>45173</v>
      </c>
      <c r="G454" s="4" t="n">
        <v>0.932382789351852</v>
      </c>
      <c r="H454" s="2" t="s">
        <v>37</v>
      </c>
      <c r="I454" s="5" t="n">
        <v>1</v>
      </c>
      <c r="J454" s="5" t="n">
        <v>724</v>
      </c>
      <c r="K454" s="5" t="n">
        <v>724</v>
      </c>
      <c r="L454" s="2" t="s">
        <v>1502</v>
      </c>
      <c r="M454" s="2" t="s">
        <v>1503</v>
      </c>
      <c r="N454" s="2"/>
      <c r="O454" s="2" t="s">
        <v>23</v>
      </c>
      <c r="P454" s="2" t="s">
        <v>24</v>
      </c>
    </row>
    <row r="455" customFormat="false" ht="15.75" hidden="false" customHeight="false" outlineLevel="0" collapsed="false">
      <c r="A455" s="6" t="s">
        <v>16</v>
      </c>
      <c r="B455" s="6" t="s">
        <v>1504</v>
      </c>
      <c r="C455" s="6" t="s">
        <v>1505</v>
      </c>
      <c r="D455" s="6" t="s">
        <v>337</v>
      </c>
      <c r="E455" s="6" t="s">
        <v>208</v>
      </c>
      <c r="F455" s="7" t="n">
        <v>45174</v>
      </c>
      <c r="G455" s="8" t="n">
        <v>0.930618020833333</v>
      </c>
      <c r="H455" s="6" t="s">
        <v>37</v>
      </c>
      <c r="I455" s="9" t="n">
        <v>1</v>
      </c>
      <c r="J455" s="9" t="n">
        <v>156.7</v>
      </c>
      <c r="K455" s="9" t="n">
        <v>156.7</v>
      </c>
      <c r="L455" s="6" t="s">
        <v>1506</v>
      </c>
      <c r="M455" s="6" t="s">
        <v>1507</v>
      </c>
      <c r="N455" s="6"/>
      <c r="O455" s="6" t="s">
        <v>23</v>
      </c>
      <c r="P455" s="6" t="s">
        <v>24</v>
      </c>
    </row>
    <row r="456" customFormat="false" ht="15.75" hidden="false" customHeight="false" outlineLevel="0" collapsed="false">
      <c r="A456" s="2" t="s">
        <v>16</v>
      </c>
      <c r="B456" s="2" t="s">
        <v>707</v>
      </c>
      <c r="C456" s="2" t="s">
        <v>708</v>
      </c>
      <c r="D456" s="2" t="s">
        <v>337</v>
      </c>
      <c r="E456" s="2" t="s">
        <v>208</v>
      </c>
      <c r="F456" s="3" t="n">
        <v>45174</v>
      </c>
      <c r="G456" s="4" t="n">
        <v>0.928950694444444</v>
      </c>
      <c r="H456" s="2" t="s">
        <v>37</v>
      </c>
      <c r="I456" s="5" t="n">
        <v>1</v>
      </c>
      <c r="J456" s="5" t="n">
        <v>239.66</v>
      </c>
      <c r="K456" s="5" t="n">
        <v>239.66</v>
      </c>
      <c r="L456" s="2" t="s">
        <v>1508</v>
      </c>
      <c r="M456" s="2" t="s">
        <v>1509</v>
      </c>
      <c r="N456" s="2"/>
      <c r="O456" s="2" t="s">
        <v>23</v>
      </c>
      <c r="P456" s="2" t="s">
        <v>24</v>
      </c>
    </row>
    <row r="457" customFormat="false" ht="15.75" hidden="false" customHeight="false" outlineLevel="0" collapsed="false">
      <c r="A457" s="6" t="s">
        <v>16</v>
      </c>
      <c r="B457" s="6" t="s">
        <v>342</v>
      </c>
      <c r="C457" s="6" t="s">
        <v>343</v>
      </c>
      <c r="D457" s="6" t="s">
        <v>230</v>
      </c>
      <c r="E457" s="6" t="s">
        <v>231</v>
      </c>
      <c r="F457" s="7" t="n">
        <v>45174</v>
      </c>
      <c r="G457" s="8" t="n">
        <v>0.926688645833333</v>
      </c>
      <c r="H457" s="6" t="s">
        <v>37</v>
      </c>
      <c r="I457" s="9" t="n">
        <v>1</v>
      </c>
      <c r="J457" s="9" t="n">
        <v>188.49</v>
      </c>
      <c r="K457" s="9" t="n">
        <v>188.49</v>
      </c>
      <c r="L457" s="6" t="s">
        <v>1510</v>
      </c>
      <c r="M457" s="6" t="s">
        <v>1511</v>
      </c>
      <c r="N457" s="6"/>
      <c r="O457" s="6" t="s">
        <v>23</v>
      </c>
      <c r="P457" s="6" t="s">
        <v>24</v>
      </c>
    </row>
    <row r="458" customFormat="false" ht="15.75" hidden="false" customHeight="false" outlineLevel="0" collapsed="false">
      <c r="A458" s="2" t="s">
        <v>16</v>
      </c>
      <c r="B458" s="2" t="s">
        <v>606</v>
      </c>
      <c r="C458" s="2" t="s">
        <v>607</v>
      </c>
      <c r="D458" s="2" t="s">
        <v>487</v>
      </c>
      <c r="E458" s="2" t="s">
        <v>20</v>
      </c>
      <c r="F458" s="3" t="n">
        <v>45175</v>
      </c>
      <c r="G458" s="4" t="n">
        <v>0.556304050925926</v>
      </c>
      <c r="H458" s="2" t="s">
        <v>37</v>
      </c>
      <c r="I458" s="5" t="n">
        <v>12</v>
      </c>
      <c r="J458" s="5" t="n">
        <v>1050</v>
      </c>
      <c r="K458" s="5" t="n">
        <v>12600</v>
      </c>
      <c r="L458" s="2" t="s">
        <v>1512</v>
      </c>
      <c r="M458" s="2" t="s">
        <v>1513</v>
      </c>
      <c r="N458" s="2"/>
      <c r="O458" s="2" t="s">
        <v>61</v>
      </c>
      <c r="P458" s="2" t="s">
        <v>62</v>
      </c>
    </row>
    <row r="459" customFormat="false" ht="15.75" hidden="false" customHeight="false" outlineLevel="0" collapsed="false">
      <c r="A459" s="6" t="s">
        <v>16</v>
      </c>
      <c r="B459" s="6" t="s">
        <v>582</v>
      </c>
      <c r="C459" s="6" t="s">
        <v>583</v>
      </c>
      <c r="D459" s="6" t="s">
        <v>308</v>
      </c>
      <c r="E459" s="6" t="s">
        <v>96</v>
      </c>
      <c r="F459" s="7" t="n">
        <v>45177</v>
      </c>
      <c r="G459" s="8" t="n">
        <v>0.254519965277778</v>
      </c>
      <c r="H459" s="6" t="s">
        <v>21</v>
      </c>
      <c r="I459" s="9" t="n">
        <v>1</v>
      </c>
      <c r="J459" s="9" t="n">
        <v>87.5</v>
      </c>
      <c r="K459" s="9" t="n">
        <v>87.5</v>
      </c>
      <c r="L459" s="6" t="s">
        <v>1468</v>
      </c>
      <c r="M459" s="6"/>
      <c r="N459" s="6"/>
      <c r="O459" s="6" t="s">
        <v>1469</v>
      </c>
      <c r="P459" s="6" t="s">
        <v>1470</v>
      </c>
    </row>
    <row r="460" customFormat="false" ht="15.75" hidden="false" customHeight="false" outlineLevel="0" collapsed="false">
      <c r="A460" s="2" t="s">
        <v>16</v>
      </c>
      <c r="B460" s="2" t="s">
        <v>1140</v>
      </c>
      <c r="C460" s="2" t="s">
        <v>1141</v>
      </c>
      <c r="D460" s="2" t="s">
        <v>1142</v>
      </c>
      <c r="E460" s="2" t="s">
        <v>28</v>
      </c>
      <c r="F460" s="3" t="n">
        <v>45179</v>
      </c>
      <c r="G460" s="4" t="n">
        <v>0.948927662037037</v>
      </c>
      <c r="H460" s="2" t="s">
        <v>37</v>
      </c>
      <c r="I460" s="5" t="n">
        <v>1</v>
      </c>
      <c r="J460" s="5" t="n">
        <v>595</v>
      </c>
      <c r="K460" s="5" t="n">
        <v>595</v>
      </c>
      <c r="L460" s="2" t="s">
        <v>1514</v>
      </c>
      <c r="M460" s="2" t="s">
        <v>1515</v>
      </c>
      <c r="N460" s="2"/>
      <c r="O460" s="2" t="s">
        <v>23</v>
      </c>
      <c r="P460" s="2" t="s">
        <v>24</v>
      </c>
    </row>
    <row r="461" customFormat="false" ht="15.75" hidden="false" customHeight="false" outlineLevel="0" collapsed="false">
      <c r="A461" s="6" t="s">
        <v>16</v>
      </c>
      <c r="B461" s="6" t="s">
        <v>140</v>
      </c>
      <c r="C461" s="6" t="s">
        <v>141</v>
      </c>
      <c r="D461" s="6" t="s">
        <v>142</v>
      </c>
      <c r="E461" s="6" t="s">
        <v>28</v>
      </c>
      <c r="F461" s="7" t="n">
        <v>45179</v>
      </c>
      <c r="G461" s="8" t="n">
        <v>0.946898576388889</v>
      </c>
      <c r="H461" s="6" t="s">
        <v>37</v>
      </c>
      <c r="I461" s="9" t="n">
        <v>1</v>
      </c>
      <c r="J461" s="9" t="n">
        <v>870</v>
      </c>
      <c r="K461" s="9" t="n">
        <v>870</v>
      </c>
      <c r="L461" s="6" t="s">
        <v>1516</v>
      </c>
      <c r="M461" s="6" t="s">
        <v>1517</v>
      </c>
      <c r="N461" s="6"/>
      <c r="O461" s="6" t="s">
        <v>23</v>
      </c>
      <c r="P461" s="6" t="s">
        <v>24</v>
      </c>
    </row>
    <row r="462" customFormat="false" ht="15.75" hidden="false" customHeight="false" outlineLevel="0" collapsed="false">
      <c r="A462" s="2" t="s">
        <v>16</v>
      </c>
      <c r="B462" s="2" t="s">
        <v>1518</v>
      </c>
      <c r="C462" s="2" t="s">
        <v>1519</v>
      </c>
      <c r="D462" s="2" t="s">
        <v>1520</v>
      </c>
      <c r="E462" s="2" t="s">
        <v>28</v>
      </c>
      <c r="F462" s="3" t="n">
        <v>45179</v>
      </c>
      <c r="G462" s="4" t="n">
        <v>0.022992650462963</v>
      </c>
      <c r="H462" s="2" t="s">
        <v>37</v>
      </c>
      <c r="I462" s="5" t="n">
        <v>1</v>
      </c>
      <c r="J462" s="5" t="n">
        <v>190</v>
      </c>
      <c r="K462" s="5" t="n">
        <v>190</v>
      </c>
      <c r="L462" s="2" t="s">
        <v>1521</v>
      </c>
      <c r="M462" s="2" t="s">
        <v>1522</v>
      </c>
      <c r="N462" s="2"/>
      <c r="O462" s="2" t="s">
        <v>23</v>
      </c>
      <c r="P462" s="2" t="s">
        <v>24</v>
      </c>
    </row>
    <row r="463" customFormat="false" ht="15.75" hidden="false" customHeight="false" outlineLevel="0" collapsed="false">
      <c r="A463" s="6" t="s">
        <v>16</v>
      </c>
      <c r="B463" s="6" t="s">
        <v>1523</v>
      </c>
      <c r="C463" s="6" t="s">
        <v>1524</v>
      </c>
      <c r="D463" s="6" t="s">
        <v>308</v>
      </c>
      <c r="E463" s="6" t="s">
        <v>96</v>
      </c>
      <c r="F463" s="7" t="n">
        <v>45179</v>
      </c>
      <c r="G463" s="8" t="n">
        <v>0.0199965162037037</v>
      </c>
      <c r="H463" s="6" t="s">
        <v>37</v>
      </c>
      <c r="I463" s="9" t="n">
        <v>2</v>
      </c>
      <c r="J463" s="9" t="n">
        <v>87.5</v>
      </c>
      <c r="K463" s="9" t="n">
        <v>175</v>
      </c>
      <c r="L463" s="6" t="s">
        <v>1525</v>
      </c>
      <c r="M463" s="6" t="s">
        <v>1526</v>
      </c>
      <c r="N463" s="6"/>
      <c r="O463" s="6" t="s">
        <v>23</v>
      </c>
      <c r="P463" s="6" t="s">
        <v>24</v>
      </c>
    </row>
    <row r="464" customFormat="false" ht="15.75" hidden="false" customHeight="false" outlineLevel="0" collapsed="false">
      <c r="A464" s="2" t="s">
        <v>16</v>
      </c>
      <c r="B464" s="2" t="s">
        <v>867</v>
      </c>
      <c r="C464" s="2" t="s">
        <v>868</v>
      </c>
      <c r="D464" s="2" t="s">
        <v>633</v>
      </c>
      <c r="E464" s="2" t="s">
        <v>208</v>
      </c>
      <c r="F464" s="3" t="n">
        <v>45180</v>
      </c>
      <c r="G464" s="4" t="n">
        <v>0.972206423611111</v>
      </c>
      <c r="H464" s="2" t="s">
        <v>37</v>
      </c>
      <c r="I464" s="5" t="n">
        <v>1</v>
      </c>
      <c r="J464" s="5" t="n">
        <v>135</v>
      </c>
      <c r="K464" s="5" t="n">
        <v>135</v>
      </c>
      <c r="L464" s="2" t="s">
        <v>1527</v>
      </c>
      <c r="M464" s="2" t="s">
        <v>1528</v>
      </c>
      <c r="N464" s="2"/>
      <c r="O464" s="2" t="s">
        <v>23</v>
      </c>
      <c r="P464" s="2" t="s">
        <v>24</v>
      </c>
    </row>
    <row r="465" customFormat="false" ht="15.75" hidden="false" customHeight="false" outlineLevel="0" collapsed="false">
      <c r="A465" s="6" t="s">
        <v>16</v>
      </c>
      <c r="B465" s="6" t="s">
        <v>1529</v>
      </c>
      <c r="C465" s="6" t="s">
        <v>1530</v>
      </c>
      <c r="D465" s="6" t="s">
        <v>747</v>
      </c>
      <c r="E465" s="6" t="s">
        <v>90</v>
      </c>
      <c r="F465" s="7" t="n">
        <v>45180</v>
      </c>
      <c r="G465" s="8" t="n">
        <v>0.970802106481481</v>
      </c>
      <c r="H465" s="6" t="s">
        <v>37</v>
      </c>
      <c r="I465" s="9" t="n">
        <v>1</v>
      </c>
      <c r="J465" s="9" t="n">
        <v>176.7</v>
      </c>
      <c r="K465" s="9" t="n">
        <v>176.7</v>
      </c>
      <c r="L465" s="6" t="s">
        <v>1531</v>
      </c>
      <c r="M465" s="6" t="s">
        <v>1532</v>
      </c>
      <c r="N465" s="6"/>
      <c r="O465" s="6" t="s">
        <v>23</v>
      </c>
      <c r="P465" s="6" t="s">
        <v>24</v>
      </c>
    </row>
    <row r="466" customFormat="false" ht="15.75" hidden="false" customHeight="false" outlineLevel="0" collapsed="false">
      <c r="A466" s="2" t="s">
        <v>16</v>
      </c>
      <c r="B466" s="2" t="s">
        <v>745</v>
      </c>
      <c r="C466" s="2" t="s">
        <v>746</v>
      </c>
      <c r="D466" s="2" t="s">
        <v>747</v>
      </c>
      <c r="E466" s="2" t="s">
        <v>90</v>
      </c>
      <c r="F466" s="3" t="n">
        <v>45180</v>
      </c>
      <c r="G466" s="4" t="n">
        <v>0.969106412037037</v>
      </c>
      <c r="H466" s="2" t="s">
        <v>37</v>
      </c>
      <c r="I466" s="5" t="n">
        <v>1</v>
      </c>
      <c r="J466" s="5" t="n">
        <v>864.9</v>
      </c>
      <c r="K466" s="5" t="n">
        <v>864.9</v>
      </c>
      <c r="L466" s="2" t="s">
        <v>1533</v>
      </c>
      <c r="M466" s="2" t="s">
        <v>1534</v>
      </c>
      <c r="N466" s="2"/>
      <c r="O466" s="2" t="s">
        <v>23</v>
      </c>
      <c r="P466" s="2" t="s">
        <v>24</v>
      </c>
    </row>
    <row r="467" customFormat="false" ht="15.75" hidden="false" customHeight="false" outlineLevel="0" collapsed="false">
      <c r="A467" s="6" t="s">
        <v>16</v>
      </c>
      <c r="B467" s="6" t="s">
        <v>1171</v>
      </c>
      <c r="C467" s="6" t="s">
        <v>1172</v>
      </c>
      <c r="D467" s="6" t="s">
        <v>1173</v>
      </c>
      <c r="E467" s="6" t="s">
        <v>90</v>
      </c>
      <c r="F467" s="7" t="n">
        <v>45180</v>
      </c>
      <c r="G467" s="8" t="n">
        <v>0.966274791666667</v>
      </c>
      <c r="H467" s="6" t="s">
        <v>37</v>
      </c>
      <c r="I467" s="9" t="n">
        <v>3</v>
      </c>
      <c r="J467" s="9" t="n">
        <v>2050</v>
      </c>
      <c r="K467" s="9" t="n">
        <v>6150</v>
      </c>
      <c r="L467" s="6" t="s">
        <v>1535</v>
      </c>
      <c r="M467" s="6" t="s">
        <v>1536</v>
      </c>
      <c r="N467" s="6"/>
      <c r="O467" s="6" t="s">
        <v>23</v>
      </c>
      <c r="P467" s="6" t="s">
        <v>24</v>
      </c>
    </row>
    <row r="468" customFormat="false" ht="15.75" hidden="false" customHeight="false" outlineLevel="0" collapsed="false">
      <c r="A468" s="2" t="s">
        <v>16</v>
      </c>
      <c r="B468" s="2" t="s">
        <v>1537</v>
      </c>
      <c r="C468" s="2" t="s">
        <v>1538</v>
      </c>
      <c r="D468" s="2" t="s">
        <v>426</v>
      </c>
      <c r="E468" s="2" t="s">
        <v>71</v>
      </c>
      <c r="F468" s="3" t="n">
        <v>45180</v>
      </c>
      <c r="G468" s="4" t="n">
        <v>0.253596655092593</v>
      </c>
      <c r="H468" s="2" t="s">
        <v>21</v>
      </c>
      <c r="I468" s="5" t="n">
        <v>1</v>
      </c>
      <c r="J468" s="5" t="n">
        <v>295</v>
      </c>
      <c r="K468" s="5" t="n">
        <v>295</v>
      </c>
      <c r="L468" s="2" t="s">
        <v>1468</v>
      </c>
      <c r="M468" s="2"/>
      <c r="N468" s="2"/>
      <c r="O468" s="2" t="s">
        <v>1469</v>
      </c>
      <c r="P468" s="2" t="s">
        <v>1470</v>
      </c>
    </row>
    <row r="469" customFormat="false" ht="15.75" hidden="false" customHeight="false" outlineLevel="0" collapsed="false">
      <c r="A469" s="6" t="s">
        <v>16</v>
      </c>
      <c r="B469" s="6" t="s">
        <v>1539</v>
      </c>
      <c r="C469" s="6" t="s">
        <v>1540</v>
      </c>
      <c r="D469" s="6" t="s">
        <v>426</v>
      </c>
      <c r="E469" s="6" t="s">
        <v>71</v>
      </c>
      <c r="F469" s="7" t="n">
        <v>45180</v>
      </c>
      <c r="G469" s="8" t="n">
        <v>0.253596655092593</v>
      </c>
      <c r="H469" s="6" t="s">
        <v>21</v>
      </c>
      <c r="I469" s="9" t="n">
        <v>1</v>
      </c>
      <c r="J469" s="9" t="n">
        <v>295</v>
      </c>
      <c r="K469" s="9" t="n">
        <v>295</v>
      </c>
      <c r="L469" s="6" t="s">
        <v>1468</v>
      </c>
      <c r="M469" s="6"/>
      <c r="N469" s="6"/>
      <c r="O469" s="6" t="s">
        <v>1469</v>
      </c>
      <c r="P469" s="6" t="s">
        <v>1470</v>
      </c>
    </row>
    <row r="470" customFormat="false" ht="15.75" hidden="false" customHeight="false" outlineLevel="0" collapsed="false">
      <c r="A470" s="2" t="s">
        <v>16</v>
      </c>
      <c r="B470" s="2" t="s">
        <v>1314</v>
      </c>
      <c r="C470" s="2" t="s">
        <v>1315</v>
      </c>
      <c r="D470" s="2" t="s">
        <v>1316</v>
      </c>
      <c r="E470" s="2" t="s">
        <v>28</v>
      </c>
      <c r="F470" s="3" t="n">
        <v>45181</v>
      </c>
      <c r="G470" s="4" t="n">
        <v>0.965589525462963</v>
      </c>
      <c r="H470" s="2" t="s">
        <v>37</v>
      </c>
      <c r="I470" s="5" t="n">
        <v>1</v>
      </c>
      <c r="J470" s="5" t="n">
        <v>425</v>
      </c>
      <c r="K470" s="5" t="n">
        <v>425</v>
      </c>
      <c r="L470" s="2" t="s">
        <v>1541</v>
      </c>
      <c r="M470" s="2" t="s">
        <v>1542</v>
      </c>
      <c r="N470" s="2"/>
      <c r="O470" s="2" t="s">
        <v>23</v>
      </c>
      <c r="P470" s="2" t="s">
        <v>24</v>
      </c>
    </row>
    <row r="471" customFormat="false" ht="15.75" hidden="false" customHeight="false" outlineLevel="0" collapsed="false">
      <c r="A471" s="6" t="s">
        <v>16</v>
      </c>
      <c r="B471" s="6" t="s">
        <v>1543</v>
      </c>
      <c r="C471" s="6" t="s">
        <v>1544</v>
      </c>
      <c r="D471" s="6" t="s">
        <v>106</v>
      </c>
      <c r="E471" s="6" t="s">
        <v>107</v>
      </c>
      <c r="F471" s="7" t="n">
        <v>45181</v>
      </c>
      <c r="G471" s="8" t="n">
        <v>0.466776736111111</v>
      </c>
      <c r="H471" s="6" t="s">
        <v>29</v>
      </c>
      <c r="I471" s="9" t="n">
        <v>20</v>
      </c>
      <c r="J471" s="9" t="n">
        <v>142.78</v>
      </c>
      <c r="K471" s="9" t="n">
        <v>2855.6</v>
      </c>
      <c r="L471" s="6" t="s">
        <v>1545</v>
      </c>
      <c r="M471" s="6" t="s">
        <v>1546</v>
      </c>
      <c r="N471" s="6" t="s">
        <v>1547</v>
      </c>
      <c r="O471" s="6" t="s">
        <v>61</v>
      </c>
      <c r="P471" s="6" t="s">
        <v>62</v>
      </c>
    </row>
    <row r="472" customFormat="false" ht="15.75" hidden="false" customHeight="false" outlineLevel="0" collapsed="false">
      <c r="A472" s="2" t="s">
        <v>16</v>
      </c>
      <c r="B472" s="2" t="s">
        <v>1548</v>
      </c>
      <c r="C472" s="2" t="s">
        <v>1549</v>
      </c>
      <c r="D472" s="2" t="s">
        <v>1550</v>
      </c>
      <c r="E472" s="2" t="s">
        <v>90</v>
      </c>
      <c r="F472" s="3" t="n">
        <v>45182</v>
      </c>
      <c r="G472" s="4" t="n">
        <v>0.992185717592593</v>
      </c>
      <c r="H472" s="2" t="s">
        <v>37</v>
      </c>
      <c r="I472" s="5" t="n">
        <v>1</v>
      </c>
      <c r="J472" s="5" t="n">
        <v>750</v>
      </c>
      <c r="K472" s="5" t="n">
        <v>750</v>
      </c>
      <c r="L472" s="2" t="s">
        <v>1551</v>
      </c>
      <c r="M472" s="2" t="s">
        <v>1552</v>
      </c>
      <c r="N472" s="2"/>
      <c r="O472" s="2" t="s">
        <v>23</v>
      </c>
      <c r="P472" s="2" t="s">
        <v>24</v>
      </c>
    </row>
    <row r="473" customFormat="false" ht="15.75" hidden="false" customHeight="false" outlineLevel="0" collapsed="false">
      <c r="A473" s="6" t="s">
        <v>16</v>
      </c>
      <c r="B473" s="6" t="s">
        <v>1553</v>
      </c>
      <c r="C473" s="6" t="s">
        <v>1554</v>
      </c>
      <c r="D473" s="6" t="s">
        <v>580</v>
      </c>
      <c r="E473" s="6" t="s">
        <v>553</v>
      </c>
      <c r="F473" s="7" t="n">
        <v>45182</v>
      </c>
      <c r="G473" s="8" t="n">
        <v>0.985978483796296</v>
      </c>
      <c r="H473" s="6" t="s">
        <v>37</v>
      </c>
      <c r="I473" s="9" t="n">
        <v>1</v>
      </c>
      <c r="J473" s="9" t="n">
        <v>52.99</v>
      </c>
      <c r="K473" s="9" t="n">
        <v>52.99</v>
      </c>
      <c r="L473" s="6" t="s">
        <v>1555</v>
      </c>
      <c r="M473" s="6" t="s">
        <v>1556</v>
      </c>
      <c r="N473" s="6"/>
      <c r="O473" s="6" t="s">
        <v>23</v>
      </c>
      <c r="P473" s="6" t="s">
        <v>24</v>
      </c>
    </row>
    <row r="474" customFormat="false" ht="15.75" hidden="false" customHeight="false" outlineLevel="0" collapsed="false">
      <c r="A474" s="2" t="s">
        <v>16</v>
      </c>
      <c r="B474" s="2" t="s">
        <v>1314</v>
      </c>
      <c r="C474" s="2" t="s">
        <v>1315</v>
      </c>
      <c r="D474" s="2" t="s">
        <v>1316</v>
      </c>
      <c r="E474" s="2" t="s">
        <v>28</v>
      </c>
      <c r="F474" s="3" t="n">
        <v>45183</v>
      </c>
      <c r="G474" s="4" t="n">
        <v>0.574059409722222</v>
      </c>
      <c r="H474" s="2" t="s">
        <v>37</v>
      </c>
      <c r="I474" s="5" t="n">
        <v>1</v>
      </c>
      <c r="J474" s="5" t="n">
        <v>425</v>
      </c>
      <c r="K474" s="5" t="n">
        <v>425</v>
      </c>
      <c r="L474" s="2" t="s">
        <v>1557</v>
      </c>
      <c r="M474" s="2" t="s">
        <v>1558</v>
      </c>
      <c r="N474" s="2"/>
      <c r="O474" s="2" t="s">
        <v>61</v>
      </c>
      <c r="P474" s="2" t="s">
        <v>62</v>
      </c>
    </row>
    <row r="475" customFormat="false" ht="15.75" hidden="false" customHeight="false" outlineLevel="0" collapsed="false">
      <c r="A475" s="6" t="s">
        <v>16</v>
      </c>
      <c r="B475" s="6" t="s">
        <v>1559</v>
      </c>
      <c r="C475" s="6" t="s">
        <v>1560</v>
      </c>
      <c r="D475" s="6" t="s">
        <v>622</v>
      </c>
      <c r="E475" s="6" t="s">
        <v>20</v>
      </c>
      <c r="F475" s="7" t="n">
        <v>45183</v>
      </c>
      <c r="G475" s="8" t="n">
        <v>0.523091666666667</v>
      </c>
      <c r="H475" s="6" t="s">
        <v>37</v>
      </c>
      <c r="I475" s="9" t="n">
        <v>1</v>
      </c>
      <c r="J475" s="9" t="n">
        <v>238</v>
      </c>
      <c r="K475" s="9" t="n">
        <v>238</v>
      </c>
      <c r="L475" s="6" t="s">
        <v>1561</v>
      </c>
      <c r="M475" s="6" t="s">
        <v>1562</v>
      </c>
      <c r="N475" s="6"/>
      <c r="O475" s="6" t="s">
        <v>61</v>
      </c>
      <c r="P475" s="6" t="s">
        <v>62</v>
      </c>
    </row>
    <row r="476" customFormat="false" ht="15.75" hidden="false" customHeight="false" outlineLevel="0" collapsed="false">
      <c r="A476" s="2" t="s">
        <v>16</v>
      </c>
      <c r="B476" s="2" t="s">
        <v>1563</v>
      </c>
      <c r="C476" s="2" t="s">
        <v>1564</v>
      </c>
      <c r="D476" s="2" t="s">
        <v>19</v>
      </c>
      <c r="E476" s="2" t="s">
        <v>333</v>
      </c>
      <c r="F476" s="3" t="n">
        <v>45183</v>
      </c>
      <c r="G476" s="4" t="n">
        <v>0.522258923611111</v>
      </c>
      <c r="H476" s="2" t="s">
        <v>37</v>
      </c>
      <c r="I476" s="5" t="n">
        <v>7</v>
      </c>
      <c r="J476" s="5" t="n">
        <v>150</v>
      </c>
      <c r="K476" s="5" t="n">
        <v>1050</v>
      </c>
      <c r="L476" s="2" t="s">
        <v>1565</v>
      </c>
      <c r="M476" s="2" t="s">
        <v>1566</v>
      </c>
      <c r="N476" s="2"/>
      <c r="O476" s="2" t="s">
        <v>61</v>
      </c>
      <c r="P476" s="2" t="s">
        <v>62</v>
      </c>
    </row>
    <row r="477" customFormat="false" ht="15.75" hidden="false" customHeight="false" outlineLevel="0" collapsed="false">
      <c r="A477" s="6" t="s">
        <v>16</v>
      </c>
      <c r="B477" s="6" t="s">
        <v>140</v>
      </c>
      <c r="C477" s="6" t="s">
        <v>141</v>
      </c>
      <c r="D477" s="6" t="s">
        <v>142</v>
      </c>
      <c r="E477" s="6" t="s">
        <v>28</v>
      </c>
      <c r="F477" s="7" t="n">
        <v>45184</v>
      </c>
      <c r="G477" s="8" t="n">
        <v>0.773164016203704</v>
      </c>
      <c r="H477" s="6" t="s">
        <v>37</v>
      </c>
      <c r="I477" s="9" t="n">
        <v>1</v>
      </c>
      <c r="J477" s="9" t="n">
        <v>870</v>
      </c>
      <c r="K477" s="9" t="n">
        <v>870</v>
      </c>
      <c r="L477" s="6" t="s">
        <v>1567</v>
      </c>
      <c r="M477" s="6" t="s">
        <v>1568</v>
      </c>
      <c r="N477" s="6"/>
      <c r="O477" s="6" t="s">
        <v>23</v>
      </c>
      <c r="P477" s="6" t="s">
        <v>24</v>
      </c>
    </row>
    <row r="478" customFormat="false" ht="15.75" hidden="false" customHeight="false" outlineLevel="0" collapsed="false">
      <c r="A478" s="2" t="s">
        <v>16</v>
      </c>
      <c r="B478" s="2" t="s">
        <v>1563</v>
      </c>
      <c r="C478" s="2" t="s">
        <v>1564</v>
      </c>
      <c r="D478" s="2" t="s">
        <v>19</v>
      </c>
      <c r="E478" s="2" t="s">
        <v>333</v>
      </c>
      <c r="F478" s="3" t="n">
        <v>45185</v>
      </c>
      <c r="G478" s="4" t="n">
        <v>0.555879548611111</v>
      </c>
      <c r="H478" s="2" t="s">
        <v>37</v>
      </c>
      <c r="I478" s="5" t="n">
        <v>33</v>
      </c>
      <c r="J478" s="5" t="n">
        <v>150</v>
      </c>
      <c r="K478" s="5" t="n">
        <v>4950</v>
      </c>
      <c r="L478" s="2" t="s">
        <v>1569</v>
      </c>
      <c r="M478" s="2" t="s">
        <v>1570</v>
      </c>
      <c r="N478" s="2"/>
      <c r="O478" s="2" t="s">
        <v>61</v>
      </c>
      <c r="P478" s="2" t="s">
        <v>62</v>
      </c>
    </row>
    <row r="479" customFormat="false" ht="15.75" hidden="false" customHeight="false" outlineLevel="0" collapsed="false">
      <c r="A479" s="6" t="s">
        <v>16</v>
      </c>
      <c r="B479" s="6" t="s">
        <v>1571</v>
      </c>
      <c r="C479" s="6" t="s">
        <v>1572</v>
      </c>
      <c r="D479" s="6" t="s">
        <v>202</v>
      </c>
      <c r="E479" s="6" t="s">
        <v>122</v>
      </c>
      <c r="F479" s="7" t="n">
        <v>45186</v>
      </c>
      <c r="G479" s="8" t="n">
        <v>0.943372731481481</v>
      </c>
      <c r="H479" s="6" t="s">
        <v>21</v>
      </c>
      <c r="I479" s="9" t="n">
        <v>5</v>
      </c>
      <c r="J479" s="9" t="n">
        <v>158.83</v>
      </c>
      <c r="K479" s="9" t="n">
        <v>794.15</v>
      </c>
      <c r="L479" s="6" t="s">
        <v>1573</v>
      </c>
      <c r="M479" s="6"/>
      <c r="N479" s="6"/>
      <c r="O479" s="6" t="s">
        <v>23</v>
      </c>
      <c r="P479" s="6" t="s">
        <v>24</v>
      </c>
    </row>
    <row r="480" customFormat="false" ht="15.75" hidden="false" customHeight="false" outlineLevel="0" collapsed="false">
      <c r="A480" s="2" t="s">
        <v>16</v>
      </c>
      <c r="B480" s="2" t="s">
        <v>1574</v>
      </c>
      <c r="C480" s="2" t="s">
        <v>1575</v>
      </c>
      <c r="D480" s="2" t="s">
        <v>202</v>
      </c>
      <c r="E480" s="2" t="s">
        <v>122</v>
      </c>
      <c r="F480" s="3" t="n">
        <v>45186</v>
      </c>
      <c r="G480" s="4" t="n">
        <v>0.937344351851852</v>
      </c>
      <c r="H480" s="2" t="s">
        <v>37</v>
      </c>
      <c r="I480" s="5" t="n">
        <v>1</v>
      </c>
      <c r="J480" s="5" t="n">
        <v>210.74</v>
      </c>
      <c r="K480" s="5" t="n">
        <v>210.74</v>
      </c>
      <c r="L480" s="2" t="s">
        <v>1576</v>
      </c>
      <c r="M480" s="2" t="s">
        <v>1577</v>
      </c>
      <c r="N480" s="2"/>
      <c r="O480" s="2" t="s">
        <v>23</v>
      </c>
      <c r="P480" s="2" t="s">
        <v>24</v>
      </c>
    </row>
    <row r="481" customFormat="false" ht="15.75" hidden="false" customHeight="false" outlineLevel="0" collapsed="false">
      <c r="A481" s="6" t="s">
        <v>16</v>
      </c>
      <c r="B481" s="6" t="s">
        <v>238</v>
      </c>
      <c r="C481" s="6" t="s">
        <v>239</v>
      </c>
      <c r="D481" s="6" t="s">
        <v>95</v>
      </c>
      <c r="E481" s="6" t="s">
        <v>96</v>
      </c>
      <c r="F481" s="7" t="n">
        <v>45186</v>
      </c>
      <c r="G481" s="8" t="n">
        <v>0.891609074074074</v>
      </c>
      <c r="H481" s="6" t="s">
        <v>37</v>
      </c>
      <c r="I481" s="9" t="n">
        <v>1</v>
      </c>
      <c r="J481" s="9" t="n">
        <v>55.38</v>
      </c>
      <c r="K481" s="9" t="n">
        <v>55.38</v>
      </c>
      <c r="L481" s="6" t="s">
        <v>1578</v>
      </c>
      <c r="M481" s="6" t="s">
        <v>1579</v>
      </c>
      <c r="N481" s="6"/>
      <c r="O481" s="6" t="s">
        <v>23</v>
      </c>
      <c r="P481" s="6" t="s">
        <v>24</v>
      </c>
    </row>
    <row r="482" customFormat="false" ht="15.75" hidden="false" customHeight="false" outlineLevel="0" collapsed="false">
      <c r="A482" s="2" t="s">
        <v>16</v>
      </c>
      <c r="B482" s="2" t="s">
        <v>1580</v>
      </c>
      <c r="C482" s="2" t="s">
        <v>1581</v>
      </c>
      <c r="D482" s="2" t="s">
        <v>337</v>
      </c>
      <c r="E482" s="2" t="s">
        <v>208</v>
      </c>
      <c r="F482" s="3" t="n">
        <v>45186</v>
      </c>
      <c r="G482" s="4" t="n">
        <v>0.890302962962963</v>
      </c>
      <c r="H482" s="2" t="s">
        <v>37</v>
      </c>
      <c r="I482" s="5" t="n">
        <v>1</v>
      </c>
      <c r="J482" s="5" t="n">
        <v>101.38</v>
      </c>
      <c r="K482" s="5" t="n">
        <v>101.38</v>
      </c>
      <c r="L482" s="2" t="s">
        <v>1582</v>
      </c>
      <c r="M482" s="2" t="s">
        <v>1583</v>
      </c>
      <c r="N482" s="2"/>
      <c r="O482" s="2" t="s">
        <v>23</v>
      </c>
      <c r="P482" s="2" t="s">
        <v>24</v>
      </c>
    </row>
    <row r="483" customFormat="false" ht="15.75" hidden="false" customHeight="false" outlineLevel="0" collapsed="false">
      <c r="A483" s="6" t="s">
        <v>16</v>
      </c>
      <c r="B483" s="6" t="s">
        <v>1584</v>
      </c>
      <c r="C483" s="6" t="s">
        <v>1585</v>
      </c>
      <c r="D483" s="6" t="s">
        <v>1142</v>
      </c>
      <c r="E483" s="6" t="s">
        <v>28</v>
      </c>
      <c r="F483" s="7" t="n">
        <v>45186</v>
      </c>
      <c r="G483" s="8" t="n">
        <v>0.887206770833333</v>
      </c>
      <c r="H483" s="6" t="s">
        <v>37</v>
      </c>
      <c r="I483" s="9" t="n">
        <v>1</v>
      </c>
      <c r="J483" s="9" t="n">
        <v>796</v>
      </c>
      <c r="K483" s="9" t="n">
        <v>796</v>
      </c>
      <c r="L483" s="6" t="s">
        <v>1586</v>
      </c>
      <c r="M483" s="6" t="s">
        <v>1587</v>
      </c>
      <c r="N483" s="6"/>
      <c r="O483" s="6" t="s">
        <v>23</v>
      </c>
      <c r="P483" s="6" t="s">
        <v>24</v>
      </c>
    </row>
    <row r="484" customFormat="false" ht="15.75" hidden="false" customHeight="false" outlineLevel="0" collapsed="false">
      <c r="A484" s="2" t="s">
        <v>16</v>
      </c>
      <c r="B484" s="2" t="s">
        <v>140</v>
      </c>
      <c r="C484" s="2" t="s">
        <v>141</v>
      </c>
      <c r="D484" s="2" t="s">
        <v>142</v>
      </c>
      <c r="E484" s="2" t="s">
        <v>28</v>
      </c>
      <c r="F484" s="3" t="n">
        <v>45186</v>
      </c>
      <c r="G484" s="4" t="n">
        <v>0.88450443287037</v>
      </c>
      <c r="H484" s="2" t="s">
        <v>37</v>
      </c>
      <c r="I484" s="5" t="n">
        <v>1</v>
      </c>
      <c r="J484" s="5" t="n">
        <v>900</v>
      </c>
      <c r="K484" s="5" t="n">
        <v>900</v>
      </c>
      <c r="L484" s="2" t="s">
        <v>1588</v>
      </c>
      <c r="M484" s="2" t="s">
        <v>1589</v>
      </c>
      <c r="N484" s="2"/>
      <c r="O484" s="2" t="s">
        <v>23</v>
      </c>
      <c r="P484" s="2" t="s">
        <v>24</v>
      </c>
    </row>
    <row r="485" customFormat="false" ht="15.75" hidden="false" customHeight="false" outlineLevel="0" collapsed="false">
      <c r="A485" s="6" t="s">
        <v>16</v>
      </c>
      <c r="B485" s="6" t="s">
        <v>777</v>
      </c>
      <c r="C485" s="6" t="s">
        <v>778</v>
      </c>
      <c r="D485" s="6" t="s">
        <v>779</v>
      </c>
      <c r="E485" s="6" t="s">
        <v>28</v>
      </c>
      <c r="F485" s="7" t="n">
        <v>45186</v>
      </c>
      <c r="G485" s="8" t="n">
        <v>0.0212942361111111</v>
      </c>
      <c r="H485" s="6" t="s">
        <v>37</v>
      </c>
      <c r="I485" s="9" t="n">
        <v>1</v>
      </c>
      <c r="J485" s="9" t="n">
        <v>972</v>
      </c>
      <c r="K485" s="9" t="n">
        <v>972</v>
      </c>
      <c r="L485" s="6" t="s">
        <v>1590</v>
      </c>
      <c r="M485" s="6" t="s">
        <v>1591</v>
      </c>
      <c r="N485" s="6"/>
      <c r="O485" s="6" t="s">
        <v>23</v>
      </c>
      <c r="P485" s="6" t="s">
        <v>24</v>
      </c>
    </row>
    <row r="486" customFormat="false" ht="15.75" hidden="false" customHeight="false" outlineLevel="0" collapsed="false">
      <c r="A486" s="2" t="s">
        <v>16</v>
      </c>
      <c r="B486" s="2" t="s">
        <v>972</v>
      </c>
      <c r="C486" s="2" t="s">
        <v>973</v>
      </c>
      <c r="D486" s="2" t="s">
        <v>974</v>
      </c>
      <c r="E486" s="2" t="s">
        <v>568</v>
      </c>
      <c r="F486" s="3" t="n">
        <v>45186</v>
      </c>
      <c r="G486" s="4" t="n">
        <v>0.0196978472222222</v>
      </c>
      <c r="H486" s="2" t="s">
        <v>37</v>
      </c>
      <c r="I486" s="5" t="n">
        <v>1</v>
      </c>
      <c r="J486" s="5" t="n">
        <v>980</v>
      </c>
      <c r="K486" s="5" t="n">
        <v>980</v>
      </c>
      <c r="L486" s="2" t="s">
        <v>1592</v>
      </c>
      <c r="M486" s="2" t="s">
        <v>1593</v>
      </c>
      <c r="N486" s="2"/>
      <c r="O486" s="2" t="s">
        <v>23</v>
      </c>
      <c r="P486" s="2" t="s">
        <v>24</v>
      </c>
    </row>
    <row r="487" customFormat="false" ht="15.75" hidden="false" customHeight="false" outlineLevel="0" collapsed="false">
      <c r="A487" s="6" t="s">
        <v>16</v>
      </c>
      <c r="B487" s="6" t="s">
        <v>1594</v>
      </c>
      <c r="C487" s="6" t="s">
        <v>1595</v>
      </c>
      <c r="D487" s="6" t="s">
        <v>1596</v>
      </c>
      <c r="E487" s="6" t="s">
        <v>553</v>
      </c>
      <c r="F487" s="7" t="n">
        <v>45186</v>
      </c>
      <c r="G487" s="8" t="n">
        <v>0.0138861689814815</v>
      </c>
      <c r="H487" s="6" t="s">
        <v>21</v>
      </c>
      <c r="I487" s="9" t="n">
        <v>1</v>
      </c>
      <c r="J487" s="9" t="n">
        <v>268.48</v>
      </c>
      <c r="K487" s="9" t="n">
        <v>268.48</v>
      </c>
      <c r="L487" s="6" t="s">
        <v>1573</v>
      </c>
      <c r="M487" s="6"/>
      <c r="N487" s="6"/>
      <c r="O487" s="6" t="s">
        <v>23</v>
      </c>
      <c r="P487" s="6" t="s">
        <v>24</v>
      </c>
    </row>
    <row r="488" customFormat="false" ht="15.75" hidden="false" customHeight="false" outlineLevel="0" collapsed="false">
      <c r="A488" s="2" t="s">
        <v>16</v>
      </c>
      <c r="B488" s="2" t="s">
        <v>140</v>
      </c>
      <c r="C488" s="2" t="s">
        <v>141</v>
      </c>
      <c r="D488" s="2" t="s">
        <v>142</v>
      </c>
      <c r="E488" s="2" t="s">
        <v>28</v>
      </c>
      <c r="F488" s="3" t="n">
        <v>45187</v>
      </c>
      <c r="G488" s="4" t="n">
        <v>0.908592407407407</v>
      </c>
      <c r="H488" s="2" t="s">
        <v>37</v>
      </c>
      <c r="I488" s="5" t="n">
        <v>1</v>
      </c>
      <c r="J488" s="5" t="n">
        <v>900</v>
      </c>
      <c r="K488" s="5" t="n">
        <v>900</v>
      </c>
      <c r="L488" s="2" t="s">
        <v>1597</v>
      </c>
      <c r="M488" s="2" t="s">
        <v>1598</v>
      </c>
      <c r="N488" s="2"/>
      <c r="O488" s="2" t="s">
        <v>23</v>
      </c>
      <c r="P488" s="2" t="s">
        <v>24</v>
      </c>
    </row>
    <row r="489" customFormat="false" ht="15.75" hidden="false" customHeight="false" outlineLevel="0" collapsed="false">
      <c r="A489" s="6" t="s">
        <v>16</v>
      </c>
      <c r="B489" s="6" t="s">
        <v>1599</v>
      </c>
      <c r="C489" s="6" t="s">
        <v>1600</v>
      </c>
      <c r="D489" s="6" t="s">
        <v>1601</v>
      </c>
      <c r="E489" s="6" t="s">
        <v>568</v>
      </c>
      <c r="F489" s="7" t="n">
        <v>45187</v>
      </c>
      <c r="G489" s="8" t="n">
        <v>0.253564525462963</v>
      </c>
      <c r="H489" s="6" t="s">
        <v>21</v>
      </c>
      <c r="I489" s="9" t="n">
        <v>1</v>
      </c>
      <c r="J489" s="9" t="n">
        <v>299.06</v>
      </c>
      <c r="K489" s="9" t="n">
        <v>299.06</v>
      </c>
      <c r="L489" s="6" t="s">
        <v>1468</v>
      </c>
      <c r="M489" s="6"/>
      <c r="N489" s="6"/>
      <c r="O489" s="6" t="s">
        <v>1602</v>
      </c>
      <c r="P489" s="6" t="s">
        <v>1603</v>
      </c>
    </row>
    <row r="490" customFormat="false" ht="15.75" hidden="false" customHeight="false" outlineLevel="0" collapsed="false">
      <c r="A490" s="2" t="s">
        <v>16</v>
      </c>
      <c r="B490" s="2" t="s">
        <v>764</v>
      </c>
      <c r="C490" s="2" t="s">
        <v>765</v>
      </c>
      <c r="D490" s="2" t="s">
        <v>85</v>
      </c>
      <c r="E490" s="2" t="s">
        <v>28</v>
      </c>
      <c r="F490" s="3" t="n">
        <v>45188</v>
      </c>
      <c r="G490" s="4" t="n">
        <v>0.872998969907407</v>
      </c>
      <c r="H490" s="2" t="s">
        <v>37</v>
      </c>
      <c r="I490" s="5" t="n">
        <v>1</v>
      </c>
      <c r="J490" s="5" t="n">
        <v>595</v>
      </c>
      <c r="K490" s="5" t="n">
        <v>595</v>
      </c>
      <c r="L490" s="2" t="s">
        <v>1604</v>
      </c>
      <c r="M490" s="2" t="s">
        <v>1605</v>
      </c>
      <c r="N490" s="2"/>
      <c r="O490" s="2" t="s">
        <v>23</v>
      </c>
      <c r="P490" s="2" t="s">
        <v>24</v>
      </c>
    </row>
    <row r="491" customFormat="false" ht="15.75" hidden="false" customHeight="false" outlineLevel="0" collapsed="false">
      <c r="A491" s="6" t="s">
        <v>16</v>
      </c>
      <c r="B491" s="6" t="s">
        <v>472</v>
      </c>
      <c r="C491" s="6" t="s">
        <v>473</v>
      </c>
      <c r="D491" s="6" t="s">
        <v>230</v>
      </c>
      <c r="E491" s="6" t="s">
        <v>231</v>
      </c>
      <c r="F491" s="7" t="n">
        <v>45188</v>
      </c>
      <c r="G491" s="8" t="n">
        <v>0.871999027777778</v>
      </c>
      <c r="H491" s="6" t="s">
        <v>37</v>
      </c>
      <c r="I491" s="9" t="n">
        <v>1</v>
      </c>
      <c r="J491" s="9" t="n">
        <v>614.12</v>
      </c>
      <c r="K491" s="9" t="n">
        <v>614.12</v>
      </c>
      <c r="L491" s="6" t="s">
        <v>1606</v>
      </c>
      <c r="M491" s="6" t="s">
        <v>1607</v>
      </c>
      <c r="N491" s="6"/>
      <c r="O491" s="6" t="s">
        <v>23</v>
      </c>
      <c r="P491" s="6" t="s">
        <v>24</v>
      </c>
    </row>
    <row r="492" customFormat="false" ht="15.75" hidden="false" customHeight="false" outlineLevel="0" collapsed="false">
      <c r="A492" s="2" t="s">
        <v>16</v>
      </c>
      <c r="B492" s="2" t="s">
        <v>1523</v>
      </c>
      <c r="C492" s="2" t="s">
        <v>1524</v>
      </c>
      <c r="D492" s="2" t="s">
        <v>308</v>
      </c>
      <c r="E492" s="2" t="s">
        <v>96</v>
      </c>
      <c r="F492" s="3" t="n">
        <v>45189</v>
      </c>
      <c r="G492" s="4" t="n">
        <v>0.918882789351852</v>
      </c>
      <c r="H492" s="2" t="s">
        <v>37</v>
      </c>
      <c r="I492" s="5" t="n">
        <v>1</v>
      </c>
      <c r="J492" s="5" t="n">
        <v>87.5</v>
      </c>
      <c r="K492" s="5" t="n">
        <v>87.5</v>
      </c>
      <c r="L492" s="2" t="s">
        <v>1608</v>
      </c>
      <c r="M492" s="2" t="s">
        <v>1609</v>
      </c>
      <c r="N492" s="2"/>
      <c r="O492" s="2" t="s">
        <v>23</v>
      </c>
      <c r="P492" s="2" t="s">
        <v>24</v>
      </c>
    </row>
    <row r="493" customFormat="false" ht="15.75" hidden="false" customHeight="false" outlineLevel="0" collapsed="false">
      <c r="A493" s="6" t="s">
        <v>16</v>
      </c>
      <c r="B493" s="6" t="s">
        <v>908</v>
      </c>
      <c r="C493" s="6" t="s">
        <v>909</v>
      </c>
      <c r="D493" s="6" t="s">
        <v>95</v>
      </c>
      <c r="E493" s="6" t="s">
        <v>96</v>
      </c>
      <c r="F493" s="7" t="n">
        <v>45189</v>
      </c>
      <c r="G493" s="8" t="n">
        <v>0.917632824074074</v>
      </c>
      <c r="H493" s="6" t="s">
        <v>37</v>
      </c>
      <c r="I493" s="9" t="n">
        <v>1</v>
      </c>
      <c r="J493" s="9" t="n">
        <v>45.59</v>
      </c>
      <c r="K493" s="9" t="n">
        <v>45.59</v>
      </c>
      <c r="L493" s="6" t="s">
        <v>1610</v>
      </c>
      <c r="M493" s="6" t="s">
        <v>1611</v>
      </c>
      <c r="N493" s="6"/>
      <c r="O493" s="6" t="s">
        <v>23</v>
      </c>
      <c r="P493" s="6" t="s">
        <v>24</v>
      </c>
    </row>
    <row r="494" customFormat="false" ht="15.75" hidden="false" customHeight="false" outlineLevel="0" collapsed="false">
      <c r="A494" s="2" t="s">
        <v>16</v>
      </c>
      <c r="B494" s="2" t="s">
        <v>1114</v>
      </c>
      <c r="C494" s="2" t="s">
        <v>1115</v>
      </c>
      <c r="D494" s="2" t="s">
        <v>101</v>
      </c>
      <c r="E494" s="2" t="s">
        <v>96</v>
      </c>
      <c r="F494" s="3" t="n">
        <v>45189</v>
      </c>
      <c r="G494" s="4" t="n">
        <v>0.916394618055556</v>
      </c>
      <c r="H494" s="2" t="s">
        <v>37</v>
      </c>
      <c r="I494" s="5" t="n">
        <v>1</v>
      </c>
      <c r="J494" s="5" t="n">
        <v>275</v>
      </c>
      <c r="K494" s="5" t="n">
        <v>275</v>
      </c>
      <c r="L494" s="2" t="s">
        <v>1612</v>
      </c>
      <c r="M494" s="2" t="s">
        <v>1613</v>
      </c>
      <c r="N494" s="2"/>
      <c r="O494" s="2" t="s">
        <v>23</v>
      </c>
      <c r="P494" s="2" t="s">
        <v>24</v>
      </c>
    </row>
    <row r="495" customFormat="false" ht="15.75" hidden="false" customHeight="false" outlineLevel="0" collapsed="false">
      <c r="A495" s="6" t="s">
        <v>16</v>
      </c>
      <c r="B495" s="6" t="s">
        <v>620</v>
      </c>
      <c r="C495" s="6" t="s">
        <v>621</v>
      </c>
      <c r="D495" s="6" t="s">
        <v>622</v>
      </c>
      <c r="E495" s="6" t="s">
        <v>20</v>
      </c>
      <c r="F495" s="7" t="n">
        <v>45189</v>
      </c>
      <c r="G495" s="8" t="n">
        <v>0.887335636574074</v>
      </c>
      <c r="H495" s="6" t="s">
        <v>37</v>
      </c>
      <c r="I495" s="9" t="n">
        <v>1</v>
      </c>
      <c r="J495" s="9" t="n">
        <v>283</v>
      </c>
      <c r="K495" s="9" t="n">
        <v>283</v>
      </c>
      <c r="L495" s="6" t="s">
        <v>1614</v>
      </c>
      <c r="M495" s="6" t="s">
        <v>1615</v>
      </c>
      <c r="N495" s="6"/>
      <c r="O495" s="6" t="s">
        <v>23</v>
      </c>
      <c r="P495" s="6" t="s">
        <v>24</v>
      </c>
    </row>
    <row r="496" customFormat="false" ht="15.75" hidden="false" customHeight="false" outlineLevel="0" collapsed="false">
      <c r="A496" s="2" t="s">
        <v>16</v>
      </c>
      <c r="B496" s="2" t="s">
        <v>140</v>
      </c>
      <c r="C496" s="2" t="s">
        <v>141</v>
      </c>
      <c r="D496" s="2" t="s">
        <v>142</v>
      </c>
      <c r="E496" s="2" t="s">
        <v>28</v>
      </c>
      <c r="F496" s="3" t="n">
        <v>45191</v>
      </c>
      <c r="G496" s="4" t="n">
        <v>0.780239409722222</v>
      </c>
      <c r="H496" s="2" t="s">
        <v>37</v>
      </c>
      <c r="I496" s="5" t="n">
        <v>1</v>
      </c>
      <c r="J496" s="5" t="n">
        <v>900</v>
      </c>
      <c r="K496" s="5" t="n">
        <v>900</v>
      </c>
      <c r="L496" s="2" t="s">
        <v>1616</v>
      </c>
      <c r="M496" s="2" t="s">
        <v>1617</v>
      </c>
      <c r="N496" s="2"/>
      <c r="O496" s="2" t="s">
        <v>23</v>
      </c>
      <c r="P496" s="2" t="s">
        <v>24</v>
      </c>
    </row>
    <row r="497" customFormat="false" ht="15.75" hidden="false" customHeight="false" outlineLevel="0" collapsed="false">
      <c r="A497" s="6" t="s">
        <v>16</v>
      </c>
      <c r="B497" s="6" t="s">
        <v>1618</v>
      </c>
      <c r="C497" s="6" t="s">
        <v>1619</v>
      </c>
      <c r="D497" s="6" t="s">
        <v>174</v>
      </c>
      <c r="E497" s="6" t="s">
        <v>36</v>
      </c>
      <c r="F497" s="7" t="n">
        <v>45191</v>
      </c>
      <c r="G497" s="8" t="n">
        <v>0.775750659722222</v>
      </c>
      <c r="H497" s="6" t="s">
        <v>37</v>
      </c>
      <c r="I497" s="9" t="n">
        <v>2</v>
      </c>
      <c r="J497" s="9" t="n">
        <v>130.83</v>
      </c>
      <c r="K497" s="9" t="n">
        <v>261.66</v>
      </c>
      <c r="L497" s="6" t="s">
        <v>1620</v>
      </c>
      <c r="M497" s="6" t="s">
        <v>1621</v>
      </c>
      <c r="N497" s="6"/>
      <c r="O497" s="6" t="s">
        <v>23</v>
      </c>
      <c r="P497" s="6" t="s">
        <v>24</v>
      </c>
    </row>
    <row r="498" customFormat="false" ht="15.75" hidden="false" customHeight="false" outlineLevel="0" collapsed="false">
      <c r="A498" s="2" t="s">
        <v>16</v>
      </c>
      <c r="B498" s="2" t="s">
        <v>424</v>
      </c>
      <c r="C498" s="2" t="s">
        <v>425</v>
      </c>
      <c r="D498" s="2" t="s">
        <v>426</v>
      </c>
      <c r="E498" s="2" t="s">
        <v>71</v>
      </c>
      <c r="F498" s="3" t="n">
        <v>45192</v>
      </c>
      <c r="G498" s="4" t="n">
        <v>0.965008819444445</v>
      </c>
      <c r="H498" s="2" t="s">
        <v>37</v>
      </c>
      <c r="I498" s="5" t="n">
        <v>2</v>
      </c>
      <c r="J498" s="5" t="n">
        <v>142.5</v>
      </c>
      <c r="K498" s="5" t="n">
        <v>285</v>
      </c>
      <c r="L498" s="2" t="s">
        <v>1622</v>
      </c>
      <c r="M498" s="2" t="s">
        <v>1623</v>
      </c>
      <c r="N498" s="2"/>
      <c r="O498" s="2" t="s">
        <v>23</v>
      </c>
      <c r="P498" s="2" t="s">
        <v>24</v>
      </c>
    </row>
    <row r="499" customFormat="false" ht="15.75" hidden="false" customHeight="false" outlineLevel="0" collapsed="false">
      <c r="A499" s="6" t="s">
        <v>16</v>
      </c>
      <c r="B499" s="6" t="s">
        <v>941</v>
      </c>
      <c r="C499" s="6" t="s">
        <v>942</v>
      </c>
      <c r="D499" s="6" t="s">
        <v>652</v>
      </c>
      <c r="E499" s="6" t="s">
        <v>28</v>
      </c>
      <c r="F499" s="7" t="n">
        <v>45193</v>
      </c>
      <c r="G499" s="8" t="n">
        <v>0.940833333333333</v>
      </c>
      <c r="H499" s="6" t="s">
        <v>37</v>
      </c>
      <c r="I499" s="9" t="n">
        <v>1</v>
      </c>
      <c r="J499" s="9" t="n">
        <v>870</v>
      </c>
      <c r="K499" s="9" t="n">
        <v>870</v>
      </c>
      <c r="L499" s="6" t="s">
        <v>1624</v>
      </c>
      <c r="M499" s="6" t="s">
        <v>1625</v>
      </c>
      <c r="N499" s="6"/>
      <c r="O499" s="6" t="s">
        <v>23</v>
      </c>
      <c r="P499" s="6" t="s">
        <v>24</v>
      </c>
    </row>
    <row r="500" customFormat="false" ht="15.75" hidden="false" customHeight="false" outlineLevel="0" collapsed="false">
      <c r="A500" s="2" t="s">
        <v>16</v>
      </c>
      <c r="B500" s="2" t="s">
        <v>1626</v>
      </c>
      <c r="C500" s="2" t="s">
        <v>1627</v>
      </c>
      <c r="D500" s="2" t="s">
        <v>1628</v>
      </c>
      <c r="E500" s="2" t="s">
        <v>66</v>
      </c>
      <c r="F500" s="3" t="n">
        <v>45195</v>
      </c>
      <c r="G500" s="4" t="n">
        <v>0.933269837962963</v>
      </c>
      <c r="H500" s="2" t="s">
        <v>21</v>
      </c>
      <c r="I500" s="5" t="n">
        <v>1</v>
      </c>
      <c r="J500" s="5" t="n">
        <v>120.9</v>
      </c>
      <c r="K500" s="5" t="n">
        <v>120.9</v>
      </c>
      <c r="L500" s="2" t="s">
        <v>1629</v>
      </c>
      <c r="M500" s="2"/>
      <c r="N500" s="2"/>
      <c r="O500" s="2" t="s">
        <v>23</v>
      </c>
      <c r="P500" s="2" t="s">
        <v>24</v>
      </c>
    </row>
    <row r="501" customFormat="false" ht="15.75" hidden="false" customHeight="false" outlineLevel="0" collapsed="false">
      <c r="A501" s="6" t="s">
        <v>16</v>
      </c>
      <c r="B501" s="6" t="s">
        <v>1630</v>
      </c>
      <c r="C501" s="6" t="s">
        <v>1631</v>
      </c>
      <c r="D501" s="6" t="s">
        <v>1632</v>
      </c>
      <c r="E501" s="6" t="s">
        <v>924</v>
      </c>
      <c r="F501" s="7" t="n">
        <v>45195</v>
      </c>
      <c r="G501" s="8" t="n">
        <v>0.931369155092593</v>
      </c>
      <c r="H501" s="6" t="s">
        <v>37</v>
      </c>
      <c r="I501" s="9" t="n">
        <v>1</v>
      </c>
      <c r="J501" s="9" t="n">
        <v>4535</v>
      </c>
      <c r="K501" s="9" t="n">
        <v>4535</v>
      </c>
      <c r="L501" s="6" t="s">
        <v>1633</v>
      </c>
      <c r="M501" s="6" t="s">
        <v>1634</v>
      </c>
      <c r="N501" s="6"/>
      <c r="O501" s="6" t="s">
        <v>23</v>
      </c>
      <c r="P501" s="6" t="s">
        <v>24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6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2" min="12" style="0" width="37.5"/>
    <col collapsed="false" customWidth="true" hidden="false" outlineLevel="0" max="13" min="13" style="0" width="25.63"/>
    <col collapsed="false" customWidth="true" hidden="false" outlineLevel="0" max="14" min="14" style="0" width="15.88"/>
  </cols>
  <sheetData>
    <row r="1" customFormat="false" ht="15.75" hidden="false" customHeight="false" outlineLevel="0" collapsed="false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</row>
    <row r="2" customFormat="false" ht="15.75" hidden="false" customHeight="false" outlineLevel="0" collapsed="false">
      <c r="A2" s="10" t="s">
        <v>16</v>
      </c>
      <c r="B2" s="10" t="s">
        <v>17</v>
      </c>
      <c r="C2" s="10" t="s">
        <v>18</v>
      </c>
      <c r="D2" s="10" t="s">
        <v>19</v>
      </c>
      <c r="E2" s="10" t="s">
        <v>20</v>
      </c>
      <c r="F2" s="11" t="n">
        <v>44962</v>
      </c>
      <c r="G2" s="12" t="n">
        <v>0.993738923611111</v>
      </c>
      <c r="H2" s="10" t="s">
        <v>21</v>
      </c>
      <c r="I2" s="13" t="n">
        <v>1</v>
      </c>
      <c r="J2" s="13" t="n">
        <v>1299</v>
      </c>
      <c r="K2" s="13" t="n">
        <v>1299</v>
      </c>
      <c r="L2" s="10" t="s">
        <v>22</v>
      </c>
      <c r="M2" s="10"/>
      <c r="N2" s="10"/>
      <c r="O2" s="10" t="s">
        <v>23</v>
      </c>
      <c r="P2" s="10" t="s">
        <v>24</v>
      </c>
    </row>
    <row r="3" customFormat="false" ht="15.75" hidden="false" customHeight="false" outlineLevel="0" collapsed="false">
      <c r="A3" s="10" t="s">
        <v>16</v>
      </c>
      <c r="B3" s="10" t="s">
        <v>25</v>
      </c>
      <c r="C3" s="10" t="s">
        <v>26</v>
      </c>
      <c r="D3" s="10" t="s">
        <v>27</v>
      </c>
      <c r="E3" s="10" t="s">
        <v>28</v>
      </c>
      <c r="F3" s="11" t="n">
        <v>44963</v>
      </c>
      <c r="G3" s="12" t="n">
        <v>0.88919943287037</v>
      </c>
      <c r="H3" s="10" t="s">
        <v>29</v>
      </c>
      <c r="I3" s="13" t="n">
        <v>1</v>
      </c>
      <c r="J3" s="13" t="n">
        <v>451.25</v>
      </c>
      <c r="K3" s="13" t="n">
        <v>451.25</v>
      </c>
      <c r="L3" s="10" t="s">
        <v>30</v>
      </c>
      <c r="M3" s="10"/>
      <c r="N3" s="10"/>
      <c r="O3" s="10" t="s">
        <v>31</v>
      </c>
      <c r="P3" s="10" t="s">
        <v>32</v>
      </c>
    </row>
    <row r="4" customFormat="false" ht="15.75" hidden="false" customHeight="false" outlineLevel="0" collapsed="false">
      <c r="A4" s="10" t="s">
        <v>16</v>
      </c>
      <c r="B4" s="10" t="s">
        <v>33</v>
      </c>
      <c r="C4" s="10" t="s">
        <v>34</v>
      </c>
      <c r="D4" s="10" t="s">
        <v>35</v>
      </c>
      <c r="E4" s="10" t="s">
        <v>36</v>
      </c>
      <c r="F4" s="11" t="n">
        <v>44963</v>
      </c>
      <c r="G4" s="12" t="n">
        <v>0.756364560185185</v>
      </c>
      <c r="H4" s="10" t="s">
        <v>37</v>
      </c>
      <c r="I4" s="13" t="n">
        <v>1</v>
      </c>
      <c r="J4" s="13" t="n">
        <v>84.17</v>
      </c>
      <c r="K4" s="13" t="n">
        <v>84.17</v>
      </c>
      <c r="L4" s="10" t="s">
        <v>38</v>
      </c>
      <c r="M4" s="10"/>
      <c r="N4" s="10"/>
      <c r="O4" s="10" t="s">
        <v>31</v>
      </c>
      <c r="P4" s="10" t="s">
        <v>32</v>
      </c>
    </row>
    <row r="5" customFormat="false" ht="15.75" hidden="false" customHeight="false" outlineLevel="0" collapsed="false">
      <c r="A5" s="10" t="s">
        <v>16</v>
      </c>
      <c r="B5" s="10" t="s">
        <v>39</v>
      </c>
      <c r="C5" s="10" t="s">
        <v>40</v>
      </c>
      <c r="D5" s="10" t="s">
        <v>35</v>
      </c>
      <c r="E5" s="10" t="s">
        <v>36</v>
      </c>
      <c r="F5" s="11" t="n">
        <v>44963</v>
      </c>
      <c r="G5" s="12" t="n">
        <v>0.754461215277778</v>
      </c>
      <c r="H5" s="10" t="s">
        <v>37</v>
      </c>
      <c r="I5" s="13" t="n">
        <v>7</v>
      </c>
      <c r="J5" s="13" t="n">
        <v>84.17</v>
      </c>
      <c r="K5" s="13" t="n">
        <v>589.19</v>
      </c>
      <c r="L5" s="10" t="s">
        <v>41</v>
      </c>
      <c r="M5" s="10"/>
      <c r="N5" s="10"/>
      <c r="O5" s="10" t="s">
        <v>31</v>
      </c>
      <c r="P5" s="10" t="s">
        <v>32</v>
      </c>
    </row>
    <row r="6" customFormat="false" ht="15.75" hidden="false" customHeight="false" outlineLevel="0" collapsed="false">
      <c r="A6" s="10" t="s">
        <v>16</v>
      </c>
      <c r="B6" s="10" t="s">
        <v>25</v>
      </c>
      <c r="C6" s="10" t="s">
        <v>26</v>
      </c>
      <c r="D6" s="10" t="s">
        <v>27</v>
      </c>
      <c r="E6" s="10" t="s">
        <v>28</v>
      </c>
      <c r="F6" s="11" t="n">
        <v>44963</v>
      </c>
      <c r="G6" s="12" t="n">
        <v>0.650696851851852</v>
      </c>
      <c r="H6" s="10" t="s">
        <v>29</v>
      </c>
      <c r="I6" s="13" t="n">
        <v>1</v>
      </c>
      <c r="J6" s="13" t="n">
        <v>451.25</v>
      </c>
      <c r="K6" s="13" t="n">
        <v>451.25</v>
      </c>
      <c r="L6" s="10" t="s">
        <v>42</v>
      </c>
      <c r="M6" s="10"/>
      <c r="N6" s="10"/>
      <c r="O6" s="10" t="s">
        <v>31</v>
      </c>
      <c r="P6" s="10" t="s">
        <v>32</v>
      </c>
    </row>
    <row r="7" customFormat="false" ht="15.75" hidden="false" customHeight="false" outlineLevel="0" collapsed="false">
      <c r="A7" s="10" t="s">
        <v>16</v>
      </c>
      <c r="B7" s="10" t="s">
        <v>43</v>
      </c>
      <c r="C7" s="10" t="s">
        <v>44</v>
      </c>
      <c r="D7" s="10" t="s">
        <v>27</v>
      </c>
      <c r="E7" s="10" t="s">
        <v>28</v>
      </c>
      <c r="F7" s="11" t="n">
        <v>44963</v>
      </c>
      <c r="G7" s="12" t="n">
        <v>0.616993148148148</v>
      </c>
      <c r="H7" s="10" t="s">
        <v>29</v>
      </c>
      <c r="I7" s="13" t="n">
        <v>15</v>
      </c>
      <c r="J7" s="13" t="n">
        <v>1228.5</v>
      </c>
      <c r="K7" s="13" t="n">
        <v>18427.5</v>
      </c>
      <c r="L7" s="10" t="s">
        <v>45</v>
      </c>
      <c r="M7" s="10"/>
      <c r="N7" s="10"/>
      <c r="O7" s="10" t="s">
        <v>31</v>
      </c>
      <c r="P7" s="10" t="s">
        <v>32</v>
      </c>
    </row>
    <row r="8" customFormat="false" ht="15.75" hidden="false" customHeight="false" outlineLevel="0" collapsed="false">
      <c r="A8" s="10" t="s">
        <v>16</v>
      </c>
      <c r="B8" s="10" t="s">
        <v>46</v>
      </c>
      <c r="C8" s="10" t="s">
        <v>47</v>
      </c>
      <c r="D8" s="10" t="s">
        <v>27</v>
      </c>
      <c r="E8" s="10" t="s">
        <v>28</v>
      </c>
      <c r="F8" s="11" t="n">
        <v>44963</v>
      </c>
      <c r="G8" s="12" t="n">
        <v>0.616653668981481</v>
      </c>
      <c r="H8" s="10" t="s">
        <v>29</v>
      </c>
      <c r="I8" s="13" t="n">
        <v>47</v>
      </c>
      <c r="J8" s="13" t="n">
        <v>1228</v>
      </c>
      <c r="K8" s="13" t="n">
        <v>57716</v>
      </c>
      <c r="L8" s="10" t="s">
        <v>48</v>
      </c>
      <c r="M8" s="10"/>
      <c r="N8" s="10"/>
      <c r="O8" s="10" t="s">
        <v>31</v>
      </c>
      <c r="P8" s="10" t="s">
        <v>32</v>
      </c>
    </row>
    <row r="9" customFormat="false" ht="15.75" hidden="false" customHeight="false" outlineLevel="0" collapsed="false">
      <c r="A9" s="10" t="s">
        <v>16</v>
      </c>
      <c r="B9" s="10" t="s">
        <v>25</v>
      </c>
      <c r="C9" s="10" t="s">
        <v>26</v>
      </c>
      <c r="D9" s="10" t="s">
        <v>27</v>
      </c>
      <c r="E9" s="10" t="s">
        <v>28</v>
      </c>
      <c r="F9" s="11" t="n">
        <v>44963</v>
      </c>
      <c r="G9" s="12" t="n">
        <v>0.615513981481482</v>
      </c>
      <c r="H9" s="10" t="s">
        <v>29</v>
      </c>
      <c r="I9" s="13" t="n">
        <v>565</v>
      </c>
      <c r="J9" s="13" t="n">
        <v>451.25</v>
      </c>
      <c r="K9" s="13" t="n">
        <v>254956.25</v>
      </c>
      <c r="L9" s="10" t="s">
        <v>49</v>
      </c>
      <c r="M9" s="10"/>
      <c r="N9" s="10"/>
      <c r="O9" s="10" t="s">
        <v>31</v>
      </c>
      <c r="P9" s="10" t="s">
        <v>32</v>
      </c>
    </row>
    <row r="10" customFormat="false" ht="15.75" hidden="false" customHeight="false" outlineLevel="0" collapsed="false">
      <c r="A10" s="10" t="s">
        <v>16</v>
      </c>
      <c r="B10" s="10" t="s">
        <v>50</v>
      </c>
      <c r="C10" s="10" t="s">
        <v>51</v>
      </c>
      <c r="D10" s="10" t="s">
        <v>27</v>
      </c>
      <c r="E10" s="10" t="s">
        <v>28</v>
      </c>
      <c r="F10" s="11" t="n">
        <v>44963</v>
      </c>
      <c r="G10" s="12" t="n">
        <v>0.614247905092593</v>
      </c>
      <c r="H10" s="10" t="s">
        <v>29</v>
      </c>
      <c r="I10" s="13" t="n">
        <v>26</v>
      </c>
      <c r="J10" s="13" t="n">
        <v>351.5</v>
      </c>
      <c r="K10" s="13" t="n">
        <v>9139</v>
      </c>
      <c r="L10" s="10" t="s">
        <v>52</v>
      </c>
      <c r="M10" s="10"/>
      <c r="N10" s="10"/>
      <c r="O10" s="10" t="s">
        <v>31</v>
      </c>
      <c r="P10" s="10" t="s">
        <v>32</v>
      </c>
    </row>
    <row r="11" customFormat="false" ht="15.75" hidden="false" customHeight="false" outlineLevel="0" collapsed="false">
      <c r="A11" s="10" t="s">
        <v>16</v>
      </c>
      <c r="B11" s="10" t="s">
        <v>53</v>
      </c>
      <c r="C11" s="10" t="s">
        <v>54</v>
      </c>
      <c r="D11" s="10" t="s">
        <v>55</v>
      </c>
      <c r="E11" s="10" t="s">
        <v>28</v>
      </c>
      <c r="F11" s="11" t="n">
        <v>44963</v>
      </c>
      <c r="G11" s="12" t="n">
        <v>0.612023229166667</v>
      </c>
      <c r="H11" s="10" t="s">
        <v>29</v>
      </c>
      <c r="I11" s="13" t="n">
        <v>85</v>
      </c>
      <c r="J11" s="13" t="n">
        <v>300</v>
      </c>
      <c r="K11" s="13" t="n">
        <v>25500</v>
      </c>
      <c r="L11" s="10" t="s">
        <v>56</v>
      </c>
      <c r="M11" s="10"/>
      <c r="N11" s="10"/>
      <c r="O11" s="10" t="s">
        <v>31</v>
      </c>
      <c r="P11" s="10" t="s">
        <v>32</v>
      </c>
    </row>
    <row r="12" customFormat="false" ht="15.75" hidden="false" customHeight="false" outlineLevel="0" collapsed="false">
      <c r="A12" s="10" t="s">
        <v>16</v>
      </c>
      <c r="B12" s="10" t="s">
        <v>25</v>
      </c>
      <c r="C12" s="10" t="s">
        <v>26</v>
      </c>
      <c r="D12" s="10" t="s">
        <v>27</v>
      </c>
      <c r="E12" s="10" t="s">
        <v>28</v>
      </c>
      <c r="F12" s="11" t="n">
        <v>44964</v>
      </c>
      <c r="G12" s="12" t="n">
        <v>0.834065104166667</v>
      </c>
      <c r="H12" s="10" t="s">
        <v>29</v>
      </c>
      <c r="I12" s="13" t="n">
        <v>1</v>
      </c>
      <c r="J12" s="13" t="n">
        <v>451.25</v>
      </c>
      <c r="K12" s="13" t="n">
        <v>451.25</v>
      </c>
      <c r="L12" s="10" t="s">
        <v>57</v>
      </c>
      <c r="M12" s="10"/>
      <c r="N12" s="10"/>
      <c r="O12" s="10" t="s">
        <v>31</v>
      </c>
      <c r="P12" s="10" t="s">
        <v>32</v>
      </c>
    </row>
    <row r="13" customFormat="false" ht="15.75" hidden="false" customHeight="false" outlineLevel="0" collapsed="false">
      <c r="A13" s="10" t="s">
        <v>16</v>
      </c>
      <c r="B13" s="10" t="s">
        <v>58</v>
      </c>
      <c r="C13" s="10" t="s">
        <v>59</v>
      </c>
      <c r="D13" s="10" t="s">
        <v>19</v>
      </c>
      <c r="E13" s="10" t="s">
        <v>20</v>
      </c>
      <c r="F13" s="11" t="n">
        <v>44964</v>
      </c>
      <c r="G13" s="12" t="n">
        <v>0.386749791666667</v>
      </c>
      <c r="H13" s="10" t="s">
        <v>37</v>
      </c>
      <c r="I13" s="13" t="n">
        <v>2</v>
      </c>
      <c r="J13" s="13" t="n">
        <v>1350</v>
      </c>
      <c r="K13" s="13" t="n">
        <v>2700</v>
      </c>
      <c r="L13" s="10" t="s">
        <v>60</v>
      </c>
      <c r="M13" s="10"/>
      <c r="N13" s="10"/>
      <c r="O13" s="10" t="s">
        <v>61</v>
      </c>
      <c r="P13" s="10" t="s">
        <v>62</v>
      </c>
    </row>
    <row r="14" customFormat="false" ht="15.75" hidden="false" customHeight="false" outlineLevel="0" collapsed="false">
      <c r="A14" s="10" t="s">
        <v>16</v>
      </c>
      <c r="B14" s="10" t="s">
        <v>63</v>
      </c>
      <c r="C14" s="10" t="s">
        <v>64</v>
      </c>
      <c r="D14" s="10" t="s">
        <v>65</v>
      </c>
      <c r="E14" s="10" t="s">
        <v>66</v>
      </c>
      <c r="F14" s="11" t="n">
        <v>44965</v>
      </c>
      <c r="G14" s="12" t="n">
        <v>0.144894155092593</v>
      </c>
      <c r="H14" s="10" t="s">
        <v>21</v>
      </c>
      <c r="I14" s="13" t="n">
        <v>9</v>
      </c>
      <c r="J14" s="13" t="n">
        <v>22</v>
      </c>
      <c r="K14" s="13" t="n">
        <v>198</v>
      </c>
      <c r="L14" s="10" t="s">
        <v>67</v>
      </c>
      <c r="M14" s="10"/>
      <c r="N14" s="10"/>
      <c r="O14" s="10" t="s">
        <v>23</v>
      </c>
      <c r="P14" s="10" t="s">
        <v>24</v>
      </c>
    </row>
    <row r="15" customFormat="false" ht="15.75" hidden="false" customHeight="false" outlineLevel="0" collapsed="false">
      <c r="A15" s="10" t="s">
        <v>16</v>
      </c>
      <c r="B15" s="10" t="s">
        <v>68</v>
      </c>
      <c r="C15" s="10" t="s">
        <v>69</v>
      </c>
      <c r="D15" s="10" t="s">
        <v>70</v>
      </c>
      <c r="E15" s="10" t="s">
        <v>71</v>
      </c>
      <c r="F15" s="11" t="n">
        <v>44965</v>
      </c>
      <c r="G15" s="12" t="n">
        <v>0.14167931712963</v>
      </c>
      <c r="H15" s="10" t="s">
        <v>21</v>
      </c>
      <c r="I15" s="13" t="n">
        <v>4</v>
      </c>
      <c r="J15" s="13" t="n">
        <v>343.5</v>
      </c>
      <c r="K15" s="13" t="n">
        <v>1374</v>
      </c>
      <c r="L15" s="10" t="s">
        <v>67</v>
      </c>
      <c r="M15" s="10"/>
      <c r="N15" s="10"/>
      <c r="O15" s="10" t="s">
        <v>23</v>
      </c>
      <c r="P15" s="10" t="s">
        <v>24</v>
      </c>
    </row>
    <row r="16" customFormat="false" ht="15.75" hidden="false" customHeight="false" outlineLevel="0" collapsed="false">
      <c r="A16" s="10" t="s">
        <v>16</v>
      </c>
      <c r="B16" s="10" t="s">
        <v>72</v>
      </c>
      <c r="C16" s="10" t="s">
        <v>73</v>
      </c>
      <c r="D16" s="10" t="s">
        <v>74</v>
      </c>
      <c r="E16" s="10" t="s">
        <v>66</v>
      </c>
      <c r="F16" s="11" t="n">
        <v>44965</v>
      </c>
      <c r="G16" s="12" t="n">
        <v>0.140767453703704</v>
      </c>
      <c r="H16" s="10" t="s">
        <v>21</v>
      </c>
      <c r="I16" s="13" t="n">
        <v>7</v>
      </c>
      <c r="J16" s="13" t="n">
        <v>135.64</v>
      </c>
      <c r="K16" s="13" t="n">
        <v>949.48</v>
      </c>
      <c r="L16" s="10" t="s">
        <v>67</v>
      </c>
      <c r="M16" s="10"/>
      <c r="N16" s="10"/>
      <c r="O16" s="10" t="s">
        <v>23</v>
      </c>
      <c r="P16" s="10" t="s">
        <v>24</v>
      </c>
    </row>
    <row r="17" customFormat="false" ht="15.75" hidden="false" customHeight="false" outlineLevel="0" collapsed="false">
      <c r="A17" s="10" t="s">
        <v>16</v>
      </c>
      <c r="B17" s="10" t="s">
        <v>75</v>
      </c>
      <c r="C17" s="10" t="s">
        <v>76</v>
      </c>
      <c r="D17" s="10" t="s">
        <v>65</v>
      </c>
      <c r="E17" s="10" t="s">
        <v>66</v>
      </c>
      <c r="F17" s="11" t="n">
        <v>44965</v>
      </c>
      <c r="G17" s="12" t="n">
        <v>0.130118206018519</v>
      </c>
      <c r="H17" s="10" t="s">
        <v>21</v>
      </c>
      <c r="I17" s="13" t="n">
        <v>3</v>
      </c>
      <c r="J17" s="13" t="n">
        <v>52.5</v>
      </c>
      <c r="K17" s="13" t="n">
        <v>157.5</v>
      </c>
      <c r="L17" s="10" t="s">
        <v>77</v>
      </c>
      <c r="M17" s="10"/>
      <c r="N17" s="10"/>
      <c r="O17" s="10" t="s">
        <v>23</v>
      </c>
      <c r="P17" s="10" t="s">
        <v>24</v>
      </c>
    </row>
    <row r="18" customFormat="false" ht="15.75" hidden="false" customHeight="false" outlineLevel="0" collapsed="false">
      <c r="A18" s="10" t="s">
        <v>16</v>
      </c>
      <c r="B18" s="10" t="s">
        <v>78</v>
      </c>
      <c r="C18" s="10" t="s">
        <v>79</v>
      </c>
      <c r="D18" s="10" t="s">
        <v>80</v>
      </c>
      <c r="E18" s="10" t="s">
        <v>28</v>
      </c>
      <c r="F18" s="11" t="n">
        <v>44966</v>
      </c>
      <c r="G18" s="12" t="n">
        <v>0.342833611111111</v>
      </c>
      <c r="H18" s="10" t="s">
        <v>37</v>
      </c>
      <c r="I18" s="13" t="n">
        <v>1</v>
      </c>
      <c r="J18" s="13" t="n">
        <v>150</v>
      </c>
      <c r="K18" s="13" t="n">
        <v>150</v>
      </c>
      <c r="L18" s="10" t="s">
        <v>81</v>
      </c>
      <c r="M18" s="10" t="s">
        <v>82</v>
      </c>
      <c r="N18" s="10"/>
      <c r="O18" s="10" t="s">
        <v>61</v>
      </c>
      <c r="P18" s="10" t="s">
        <v>62</v>
      </c>
    </row>
    <row r="19" customFormat="false" ht="15.75" hidden="false" customHeight="false" outlineLevel="0" collapsed="false">
      <c r="A19" s="10" t="s">
        <v>16</v>
      </c>
      <c r="B19" s="10" t="s">
        <v>83</v>
      </c>
      <c r="C19" s="10" t="s">
        <v>84</v>
      </c>
      <c r="D19" s="10" t="s">
        <v>85</v>
      </c>
      <c r="E19" s="10" t="s">
        <v>28</v>
      </c>
      <c r="F19" s="11" t="n">
        <v>44967</v>
      </c>
      <c r="G19" s="12" t="n">
        <v>0.839569756944444</v>
      </c>
      <c r="H19" s="10" t="s">
        <v>21</v>
      </c>
      <c r="I19" s="13" t="n">
        <v>1</v>
      </c>
      <c r="J19" s="13" t="n">
        <v>570</v>
      </c>
      <c r="K19" s="13" t="n">
        <v>570</v>
      </c>
      <c r="L19" s="10" t="s">
        <v>86</v>
      </c>
      <c r="M19" s="10"/>
      <c r="N19" s="10"/>
      <c r="O19" s="10" t="s">
        <v>23</v>
      </c>
      <c r="P19" s="10" t="s">
        <v>24</v>
      </c>
    </row>
    <row r="20" customFormat="false" ht="15.75" hidden="false" customHeight="false" outlineLevel="0" collapsed="false">
      <c r="A20" s="10" t="s">
        <v>16</v>
      </c>
      <c r="B20" s="10" t="s">
        <v>87</v>
      </c>
      <c r="C20" s="10" t="s">
        <v>88</v>
      </c>
      <c r="D20" s="10" t="s">
        <v>89</v>
      </c>
      <c r="E20" s="10" t="s">
        <v>90</v>
      </c>
      <c r="F20" s="11" t="n">
        <v>44968</v>
      </c>
      <c r="G20" s="12" t="n">
        <v>0.791670671296296</v>
      </c>
      <c r="H20" s="10" t="s">
        <v>37</v>
      </c>
      <c r="I20" s="13" t="n">
        <v>1</v>
      </c>
      <c r="J20" s="13" t="n">
        <v>530</v>
      </c>
      <c r="K20" s="13" t="n">
        <v>530</v>
      </c>
      <c r="L20" s="10" t="s">
        <v>91</v>
      </c>
      <c r="M20" s="10" t="s">
        <v>92</v>
      </c>
      <c r="N20" s="10"/>
      <c r="O20" s="10" t="s">
        <v>61</v>
      </c>
      <c r="P20" s="10" t="s">
        <v>62</v>
      </c>
    </row>
    <row r="21" customFormat="false" ht="15.75" hidden="false" customHeight="false" outlineLevel="0" collapsed="false">
      <c r="A21" s="10" t="s">
        <v>16</v>
      </c>
      <c r="B21" s="10" t="s">
        <v>93</v>
      </c>
      <c r="C21" s="10" t="s">
        <v>94</v>
      </c>
      <c r="D21" s="10" t="s">
        <v>95</v>
      </c>
      <c r="E21" s="10" t="s">
        <v>96</v>
      </c>
      <c r="F21" s="11" t="n">
        <v>44971</v>
      </c>
      <c r="G21" s="12" t="n">
        <v>0.0516908564814815</v>
      </c>
      <c r="H21" s="10" t="s">
        <v>37</v>
      </c>
      <c r="I21" s="13" t="n">
        <v>1</v>
      </c>
      <c r="J21" s="13" t="n">
        <v>45.48</v>
      </c>
      <c r="K21" s="13" t="n">
        <v>45.48</v>
      </c>
      <c r="L21" s="10" t="s">
        <v>97</v>
      </c>
      <c r="M21" s="10" t="s">
        <v>98</v>
      </c>
      <c r="N21" s="10"/>
      <c r="O21" s="10" t="s">
        <v>23</v>
      </c>
      <c r="P21" s="10" t="s">
        <v>24</v>
      </c>
    </row>
    <row r="22" customFormat="false" ht="15.75" hidden="false" customHeight="false" outlineLevel="0" collapsed="false">
      <c r="A22" s="10" t="s">
        <v>16</v>
      </c>
      <c r="B22" s="10" t="s">
        <v>99</v>
      </c>
      <c r="C22" s="10" t="s">
        <v>1635</v>
      </c>
      <c r="D22" s="10" t="s">
        <v>101</v>
      </c>
      <c r="E22" s="10" t="s">
        <v>96</v>
      </c>
      <c r="F22" s="11" t="n">
        <v>44971</v>
      </c>
      <c r="G22" s="12" t="n">
        <v>0.0509402546296296</v>
      </c>
      <c r="H22" s="10" t="s">
        <v>37</v>
      </c>
      <c r="I22" s="13" t="n">
        <v>6</v>
      </c>
      <c r="J22" s="13" t="n">
        <v>54.17</v>
      </c>
      <c r="K22" s="13" t="n">
        <v>325.02</v>
      </c>
      <c r="L22" s="10" t="s">
        <v>102</v>
      </c>
      <c r="M22" s="10" t="s">
        <v>103</v>
      </c>
      <c r="N22" s="10"/>
      <c r="O22" s="10" t="s">
        <v>23</v>
      </c>
      <c r="P22" s="10" t="s">
        <v>24</v>
      </c>
    </row>
    <row r="23" customFormat="false" ht="15.75" hidden="false" customHeight="false" outlineLevel="0" collapsed="false">
      <c r="A23" s="10" t="s">
        <v>16</v>
      </c>
      <c r="B23" s="10" t="s">
        <v>104</v>
      </c>
      <c r="C23" s="10" t="s">
        <v>105</v>
      </c>
      <c r="D23" s="10" t="s">
        <v>106</v>
      </c>
      <c r="E23" s="10" t="s">
        <v>107</v>
      </c>
      <c r="F23" s="11" t="n">
        <v>44973</v>
      </c>
      <c r="G23" s="12" t="n">
        <v>0.86465181712963</v>
      </c>
      <c r="H23" s="10" t="s">
        <v>37</v>
      </c>
      <c r="I23" s="13" t="n">
        <v>3</v>
      </c>
      <c r="J23" s="13" t="n">
        <v>281.52</v>
      </c>
      <c r="K23" s="13" t="n">
        <v>844.56</v>
      </c>
      <c r="L23" s="10" t="s">
        <v>108</v>
      </c>
      <c r="M23" s="10" t="s">
        <v>109</v>
      </c>
      <c r="N23" s="10"/>
      <c r="O23" s="10" t="s">
        <v>110</v>
      </c>
      <c r="P23" s="10" t="s">
        <v>111</v>
      </c>
    </row>
    <row r="24" customFormat="false" ht="15.75" hidden="false" customHeight="false" outlineLevel="0" collapsed="false">
      <c r="A24" s="10" t="s">
        <v>16</v>
      </c>
      <c r="B24" s="10" t="s">
        <v>25</v>
      </c>
      <c r="C24" s="10" t="s">
        <v>26</v>
      </c>
      <c r="D24" s="10" t="s">
        <v>27</v>
      </c>
      <c r="E24" s="10" t="s">
        <v>28</v>
      </c>
      <c r="F24" s="11" t="n">
        <v>44973</v>
      </c>
      <c r="G24" s="12" t="n">
        <v>0.613062731481482</v>
      </c>
      <c r="H24" s="10" t="s">
        <v>29</v>
      </c>
      <c r="I24" s="13" t="n">
        <v>19</v>
      </c>
      <c r="J24" s="13" t="n">
        <v>451.25</v>
      </c>
      <c r="K24" s="13" t="n">
        <v>8573.75</v>
      </c>
      <c r="L24" s="10" t="s">
        <v>112</v>
      </c>
      <c r="M24" s="10" t="s">
        <v>113</v>
      </c>
      <c r="N24" s="10" t="s">
        <v>114</v>
      </c>
      <c r="O24" s="10" t="s">
        <v>110</v>
      </c>
      <c r="P24" s="10" t="s">
        <v>111</v>
      </c>
    </row>
    <row r="25" customFormat="false" ht="15.75" hidden="false" customHeight="false" outlineLevel="0" collapsed="false">
      <c r="A25" s="10" t="s">
        <v>16</v>
      </c>
      <c r="B25" s="10" t="s">
        <v>99</v>
      </c>
      <c r="C25" s="10" t="s">
        <v>1635</v>
      </c>
      <c r="D25" s="10" t="s">
        <v>101</v>
      </c>
      <c r="E25" s="10" t="s">
        <v>96</v>
      </c>
      <c r="F25" s="11" t="n">
        <v>44973</v>
      </c>
      <c r="G25" s="12" t="n">
        <v>0.0560922685185185</v>
      </c>
      <c r="H25" s="10" t="s">
        <v>37</v>
      </c>
      <c r="I25" s="13" t="n">
        <v>1</v>
      </c>
      <c r="J25" s="13" t="n">
        <v>54.17</v>
      </c>
      <c r="K25" s="13" t="n">
        <v>54.17</v>
      </c>
      <c r="L25" s="10" t="s">
        <v>115</v>
      </c>
      <c r="M25" s="10" t="s">
        <v>116</v>
      </c>
      <c r="N25" s="10"/>
      <c r="O25" s="10" t="s">
        <v>23</v>
      </c>
      <c r="P25" s="10" t="s">
        <v>24</v>
      </c>
    </row>
    <row r="26" customFormat="false" ht="15.75" hidden="false" customHeight="false" outlineLevel="0" collapsed="false">
      <c r="A26" s="10" t="s">
        <v>16</v>
      </c>
      <c r="B26" s="10" t="s">
        <v>93</v>
      </c>
      <c r="C26" s="10" t="s">
        <v>94</v>
      </c>
      <c r="D26" s="10" t="s">
        <v>95</v>
      </c>
      <c r="E26" s="10" t="s">
        <v>96</v>
      </c>
      <c r="F26" s="11" t="n">
        <v>44973</v>
      </c>
      <c r="G26" s="12" t="n">
        <v>0.054575</v>
      </c>
      <c r="H26" s="10" t="s">
        <v>37</v>
      </c>
      <c r="I26" s="13" t="n">
        <v>2</v>
      </c>
      <c r="J26" s="13" t="n">
        <v>45.48</v>
      </c>
      <c r="K26" s="13" t="n">
        <v>90.96</v>
      </c>
      <c r="L26" s="10" t="s">
        <v>117</v>
      </c>
      <c r="M26" s="10" t="s">
        <v>118</v>
      </c>
      <c r="N26" s="10"/>
      <c r="O26" s="10" t="s">
        <v>23</v>
      </c>
      <c r="P26" s="10" t="s">
        <v>24</v>
      </c>
    </row>
    <row r="27" customFormat="false" ht="15.75" hidden="false" customHeight="false" outlineLevel="0" collapsed="false">
      <c r="A27" s="10" t="s">
        <v>16</v>
      </c>
      <c r="B27" s="10" t="s">
        <v>119</v>
      </c>
      <c r="C27" s="10" t="s">
        <v>120</v>
      </c>
      <c r="D27" s="10" t="s">
        <v>121</v>
      </c>
      <c r="E27" s="10" t="s">
        <v>122</v>
      </c>
      <c r="F27" s="11" t="n">
        <v>44973</v>
      </c>
      <c r="G27" s="12" t="n">
        <v>0.0511148263888889</v>
      </c>
      <c r="H27" s="10" t="s">
        <v>37</v>
      </c>
      <c r="I27" s="13" t="n">
        <v>1</v>
      </c>
      <c r="J27" s="13" t="n">
        <v>128.75</v>
      </c>
      <c r="K27" s="13" t="n">
        <v>128.75</v>
      </c>
      <c r="L27" s="10" t="s">
        <v>123</v>
      </c>
      <c r="M27" s="10" t="s">
        <v>124</v>
      </c>
      <c r="N27" s="10"/>
      <c r="O27" s="10" t="s">
        <v>23</v>
      </c>
      <c r="P27" s="10" t="s">
        <v>24</v>
      </c>
    </row>
    <row r="28" customFormat="false" ht="15.75" hidden="false" customHeight="false" outlineLevel="0" collapsed="false">
      <c r="A28" s="10" t="s">
        <v>16</v>
      </c>
      <c r="B28" s="10" t="s">
        <v>125</v>
      </c>
      <c r="C28" s="10" t="s">
        <v>126</v>
      </c>
      <c r="D28" s="10" t="s">
        <v>127</v>
      </c>
      <c r="E28" s="10" t="s">
        <v>128</v>
      </c>
      <c r="F28" s="11" t="n">
        <v>44974</v>
      </c>
      <c r="G28" s="12" t="n">
        <v>0.905304479166667</v>
      </c>
      <c r="H28" s="10" t="s">
        <v>21</v>
      </c>
      <c r="I28" s="13" t="n">
        <v>2</v>
      </c>
      <c r="J28" s="13" t="n">
        <v>325.5</v>
      </c>
      <c r="K28" s="13" t="n">
        <v>651</v>
      </c>
      <c r="L28" s="10" t="s">
        <v>129</v>
      </c>
      <c r="M28" s="10"/>
      <c r="N28" s="10"/>
      <c r="O28" s="10" t="s">
        <v>23</v>
      </c>
      <c r="P28" s="10" t="s">
        <v>24</v>
      </c>
    </row>
    <row r="29" customFormat="false" ht="15.75" hidden="false" customHeight="false" outlineLevel="0" collapsed="false">
      <c r="A29" s="10" t="s">
        <v>16</v>
      </c>
      <c r="B29" s="10" t="s">
        <v>130</v>
      </c>
      <c r="C29" s="10" t="s">
        <v>131</v>
      </c>
      <c r="D29" s="10" t="s">
        <v>132</v>
      </c>
      <c r="E29" s="10" t="s">
        <v>96</v>
      </c>
      <c r="F29" s="11" t="n">
        <v>44976</v>
      </c>
      <c r="G29" s="12" t="n">
        <v>0.95892869212963</v>
      </c>
      <c r="H29" s="10" t="s">
        <v>37</v>
      </c>
      <c r="I29" s="13" t="n">
        <v>1</v>
      </c>
      <c r="J29" s="13" t="n">
        <v>270</v>
      </c>
      <c r="K29" s="13" t="n">
        <v>270</v>
      </c>
      <c r="L29" s="10" t="s">
        <v>133</v>
      </c>
      <c r="M29" s="10" t="s">
        <v>134</v>
      </c>
      <c r="N29" s="10"/>
      <c r="O29" s="10" t="s">
        <v>23</v>
      </c>
      <c r="P29" s="10" t="s">
        <v>24</v>
      </c>
    </row>
    <row r="30" customFormat="false" ht="15.75" hidden="false" customHeight="false" outlineLevel="0" collapsed="false">
      <c r="A30" s="10" t="s">
        <v>16</v>
      </c>
      <c r="B30" s="10" t="s">
        <v>99</v>
      </c>
      <c r="C30" s="10" t="s">
        <v>1635</v>
      </c>
      <c r="D30" s="10" t="s">
        <v>101</v>
      </c>
      <c r="E30" s="10" t="s">
        <v>96</v>
      </c>
      <c r="F30" s="11" t="n">
        <v>44976</v>
      </c>
      <c r="G30" s="12" t="n">
        <v>0.957510219907407</v>
      </c>
      <c r="H30" s="10" t="s">
        <v>37</v>
      </c>
      <c r="I30" s="13" t="n">
        <v>13</v>
      </c>
      <c r="J30" s="13" t="n">
        <v>54.17</v>
      </c>
      <c r="K30" s="13" t="n">
        <v>704.21</v>
      </c>
      <c r="L30" s="10" t="s">
        <v>135</v>
      </c>
      <c r="M30" s="10" t="s">
        <v>136</v>
      </c>
      <c r="N30" s="10"/>
      <c r="O30" s="10" t="s">
        <v>23</v>
      </c>
      <c r="P30" s="10" t="s">
        <v>24</v>
      </c>
    </row>
    <row r="31" customFormat="false" ht="15.75" hidden="false" customHeight="false" outlineLevel="0" collapsed="false">
      <c r="A31" s="10" t="s">
        <v>16</v>
      </c>
      <c r="B31" s="10" t="s">
        <v>137</v>
      </c>
      <c r="C31" s="10" t="s">
        <v>138</v>
      </c>
      <c r="D31" s="10" t="s">
        <v>127</v>
      </c>
      <c r="E31" s="10" t="s">
        <v>128</v>
      </c>
      <c r="F31" s="11" t="n">
        <v>44976</v>
      </c>
      <c r="G31" s="12" t="n">
        <v>0.0858313310185185</v>
      </c>
      <c r="H31" s="10" t="s">
        <v>21</v>
      </c>
      <c r="I31" s="13" t="n">
        <v>1</v>
      </c>
      <c r="J31" s="13" t="n">
        <v>348.75</v>
      </c>
      <c r="K31" s="13" t="n">
        <v>348.75</v>
      </c>
      <c r="L31" s="10" t="s">
        <v>139</v>
      </c>
      <c r="M31" s="10"/>
      <c r="N31" s="10"/>
      <c r="O31" s="10" t="s">
        <v>23</v>
      </c>
      <c r="P31" s="10" t="s">
        <v>24</v>
      </c>
    </row>
    <row r="32" customFormat="false" ht="15.75" hidden="false" customHeight="false" outlineLevel="0" collapsed="false">
      <c r="A32" s="10" t="s">
        <v>16</v>
      </c>
      <c r="B32" s="10" t="s">
        <v>140</v>
      </c>
      <c r="C32" s="10" t="s">
        <v>141</v>
      </c>
      <c r="D32" s="10" t="s">
        <v>142</v>
      </c>
      <c r="E32" s="10" t="s">
        <v>28</v>
      </c>
      <c r="F32" s="11" t="n">
        <v>44977</v>
      </c>
      <c r="G32" s="12" t="n">
        <v>0.00424787037037037</v>
      </c>
      <c r="H32" s="10" t="s">
        <v>37</v>
      </c>
      <c r="I32" s="13" t="n">
        <v>1</v>
      </c>
      <c r="J32" s="13" t="n">
        <v>736.3</v>
      </c>
      <c r="K32" s="13" t="n">
        <v>736.3</v>
      </c>
      <c r="L32" s="10" t="s">
        <v>143</v>
      </c>
      <c r="M32" s="10" t="s">
        <v>144</v>
      </c>
      <c r="N32" s="10"/>
      <c r="O32" s="10" t="s">
        <v>23</v>
      </c>
      <c r="P32" s="10" t="s">
        <v>24</v>
      </c>
    </row>
    <row r="33" customFormat="false" ht="15.75" hidden="false" customHeight="false" outlineLevel="0" collapsed="false">
      <c r="A33" s="10" t="s">
        <v>16</v>
      </c>
      <c r="B33" s="10" t="s">
        <v>145</v>
      </c>
      <c r="C33" s="10" t="s">
        <v>146</v>
      </c>
      <c r="D33" s="10" t="s">
        <v>147</v>
      </c>
      <c r="E33" s="10" t="s">
        <v>148</v>
      </c>
      <c r="F33" s="11" t="n">
        <v>44978</v>
      </c>
      <c r="G33" s="12" t="n">
        <v>0.650456805555556</v>
      </c>
      <c r="H33" s="10" t="s">
        <v>29</v>
      </c>
      <c r="I33" s="13" t="n">
        <v>18</v>
      </c>
      <c r="J33" s="13" t="n">
        <v>1176.14</v>
      </c>
      <c r="K33" s="13" t="n">
        <v>21170.52</v>
      </c>
      <c r="L33" s="10" t="s">
        <v>149</v>
      </c>
      <c r="M33" s="10" t="s">
        <v>150</v>
      </c>
      <c r="N33" s="10" t="s">
        <v>114</v>
      </c>
      <c r="O33" s="10" t="s">
        <v>61</v>
      </c>
      <c r="P33" s="10" t="s">
        <v>62</v>
      </c>
    </row>
    <row r="34" customFormat="false" ht="15.75" hidden="false" customHeight="false" outlineLevel="0" collapsed="false">
      <c r="A34" s="10" t="s">
        <v>16</v>
      </c>
      <c r="B34" s="10" t="s">
        <v>151</v>
      </c>
      <c r="C34" s="10" t="s">
        <v>152</v>
      </c>
      <c r="D34" s="10" t="s">
        <v>153</v>
      </c>
      <c r="E34" s="10" t="s">
        <v>148</v>
      </c>
      <c r="F34" s="11" t="n">
        <v>44978</v>
      </c>
      <c r="G34" s="12" t="n">
        <v>0.649586168981482</v>
      </c>
      <c r="H34" s="10" t="s">
        <v>29</v>
      </c>
      <c r="I34" s="13" t="n">
        <v>26</v>
      </c>
      <c r="J34" s="13" t="n">
        <v>557.67</v>
      </c>
      <c r="K34" s="13" t="n">
        <v>14499.42</v>
      </c>
      <c r="L34" s="10" t="s">
        <v>154</v>
      </c>
      <c r="M34" s="10" t="s">
        <v>155</v>
      </c>
      <c r="N34" s="10" t="s">
        <v>156</v>
      </c>
      <c r="O34" s="10" t="s">
        <v>61</v>
      </c>
      <c r="P34" s="10" t="s">
        <v>62</v>
      </c>
    </row>
    <row r="35" customFormat="false" ht="15.75" hidden="false" customHeight="false" outlineLevel="0" collapsed="false">
      <c r="A35" s="10" t="s">
        <v>16</v>
      </c>
      <c r="B35" s="10" t="s">
        <v>157</v>
      </c>
      <c r="C35" s="10" t="s">
        <v>158</v>
      </c>
      <c r="D35" s="10" t="s">
        <v>153</v>
      </c>
      <c r="E35" s="10" t="s">
        <v>148</v>
      </c>
      <c r="F35" s="11" t="n">
        <v>44978</v>
      </c>
      <c r="G35" s="12" t="n">
        <v>0.648379375</v>
      </c>
      <c r="H35" s="10" t="s">
        <v>29</v>
      </c>
      <c r="I35" s="13" t="n">
        <v>92</v>
      </c>
      <c r="J35" s="13" t="n">
        <v>557.66</v>
      </c>
      <c r="K35" s="13" t="n">
        <v>51304.72</v>
      </c>
      <c r="L35" s="10" t="s">
        <v>159</v>
      </c>
      <c r="M35" s="10" t="s">
        <v>160</v>
      </c>
      <c r="N35" s="10" t="s">
        <v>161</v>
      </c>
      <c r="O35" s="10" t="s">
        <v>61</v>
      </c>
      <c r="P35" s="10" t="s">
        <v>62</v>
      </c>
    </row>
    <row r="36" customFormat="false" ht="15.75" hidden="false" customHeight="false" outlineLevel="0" collapsed="false">
      <c r="A36" s="10" t="s">
        <v>16</v>
      </c>
      <c r="B36" s="10" t="s">
        <v>162</v>
      </c>
      <c r="C36" s="10" t="s">
        <v>163</v>
      </c>
      <c r="D36" s="10" t="s">
        <v>153</v>
      </c>
      <c r="E36" s="10" t="s">
        <v>148</v>
      </c>
      <c r="F36" s="11" t="n">
        <v>44978</v>
      </c>
      <c r="G36" s="12" t="n">
        <v>0.647309803240741</v>
      </c>
      <c r="H36" s="10" t="s">
        <v>29</v>
      </c>
      <c r="I36" s="13" t="n">
        <v>26</v>
      </c>
      <c r="J36" s="13" t="n">
        <v>743.55</v>
      </c>
      <c r="K36" s="13" t="n">
        <v>19332.3</v>
      </c>
      <c r="L36" s="10" t="s">
        <v>164</v>
      </c>
      <c r="M36" s="10" t="s">
        <v>165</v>
      </c>
      <c r="N36" s="10" t="s">
        <v>166</v>
      </c>
      <c r="O36" s="10" t="s">
        <v>61</v>
      </c>
      <c r="P36" s="10" t="s">
        <v>62</v>
      </c>
    </row>
    <row r="37" customFormat="false" ht="15.75" hidden="false" customHeight="false" outlineLevel="0" collapsed="false">
      <c r="A37" s="10" t="s">
        <v>16</v>
      </c>
      <c r="B37" s="10" t="s">
        <v>167</v>
      </c>
      <c r="C37" s="10" t="s">
        <v>168</v>
      </c>
      <c r="D37" s="10" t="s">
        <v>27</v>
      </c>
      <c r="E37" s="10" t="s">
        <v>28</v>
      </c>
      <c r="F37" s="11" t="n">
        <v>44978</v>
      </c>
      <c r="G37" s="12" t="n">
        <v>0.646048784722222</v>
      </c>
      <c r="H37" s="10" t="s">
        <v>29</v>
      </c>
      <c r="I37" s="13" t="n">
        <v>5</v>
      </c>
      <c r="J37" s="13" t="n">
        <v>1130</v>
      </c>
      <c r="K37" s="13" t="n">
        <v>5650</v>
      </c>
      <c r="L37" s="10" t="s">
        <v>169</v>
      </c>
      <c r="M37" s="10" t="s">
        <v>170</v>
      </c>
      <c r="N37" s="10" t="s">
        <v>171</v>
      </c>
      <c r="O37" s="10" t="s">
        <v>61</v>
      </c>
      <c r="P37" s="10" t="s">
        <v>62</v>
      </c>
    </row>
    <row r="38" customFormat="false" ht="15.75" hidden="false" customHeight="false" outlineLevel="0" collapsed="false">
      <c r="A38" s="10" t="s">
        <v>16</v>
      </c>
      <c r="B38" s="10" t="s">
        <v>172</v>
      </c>
      <c r="C38" s="10" t="s">
        <v>173</v>
      </c>
      <c r="D38" s="10" t="s">
        <v>174</v>
      </c>
      <c r="E38" s="10" t="s">
        <v>36</v>
      </c>
      <c r="F38" s="11" t="n">
        <v>44978</v>
      </c>
      <c r="G38" s="12" t="n">
        <v>0.644239837962963</v>
      </c>
      <c r="H38" s="10" t="s">
        <v>29</v>
      </c>
      <c r="I38" s="13" t="n">
        <v>327</v>
      </c>
      <c r="J38" s="13" t="n">
        <v>84.17</v>
      </c>
      <c r="K38" s="13" t="n">
        <v>27523.59</v>
      </c>
      <c r="L38" s="10" t="s">
        <v>175</v>
      </c>
      <c r="M38" s="10" t="s">
        <v>176</v>
      </c>
      <c r="N38" s="10" t="s">
        <v>177</v>
      </c>
      <c r="O38" s="10" t="s">
        <v>61</v>
      </c>
      <c r="P38" s="10" t="s">
        <v>62</v>
      </c>
    </row>
    <row r="39" customFormat="false" ht="15.75" hidden="false" customHeight="false" outlineLevel="0" collapsed="false">
      <c r="A39" s="10" t="s">
        <v>16</v>
      </c>
      <c r="B39" s="10" t="s">
        <v>178</v>
      </c>
      <c r="C39" s="10" t="s">
        <v>179</v>
      </c>
      <c r="D39" s="10" t="s">
        <v>121</v>
      </c>
      <c r="E39" s="10" t="s">
        <v>122</v>
      </c>
      <c r="F39" s="11" t="n">
        <v>44978</v>
      </c>
      <c r="G39" s="12" t="n">
        <v>0.0780143287037037</v>
      </c>
      <c r="H39" s="10" t="s">
        <v>21</v>
      </c>
      <c r="I39" s="13" t="n">
        <v>18</v>
      </c>
      <c r="J39" s="13" t="n">
        <v>118.45</v>
      </c>
      <c r="K39" s="13" t="n">
        <v>2132.1</v>
      </c>
      <c r="L39" s="10" t="s">
        <v>180</v>
      </c>
      <c r="M39" s="10"/>
      <c r="N39" s="10"/>
      <c r="O39" s="10" t="s">
        <v>23</v>
      </c>
      <c r="P39" s="10" t="s">
        <v>24</v>
      </c>
    </row>
    <row r="40" customFormat="false" ht="15.75" hidden="false" customHeight="false" outlineLevel="0" collapsed="false">
      <c r="A40" s="10" t="s">
        <v>16</v>
      </c>
      <c r="B40" s="10" t="s">
        <v>181</v>
      </c>
      <c r="C40" s="10" t="s">
        <v>182</v>
      </c>
      <c r="D40" s="10" t="s">
        <v>95</v>
      </c>
      <c r="E40" s="10" t="s">
        <v>96</v>
      </c>
      <c r="F40" s="11" t="n">
        <v>44978</v>
      </c>
      <c r="G40" s="12" t="n">
        <v>0.0421326157407407</v>
      </c>
      <c r="H40" s="10" t="s">
        <v>37</v>
      </c>
      <c r="I40" s="13" t="n">
        <v>1</v>
      </c>
      <c r="J40" s="13" t="n">
        <v>89.88</v>
      </c>
      <c r="K40" s="13" t="n">
        <v>89.88</v>
      </c>
      <c r="L40" s="10" t="s">
        <v>183</v>
      </c>
      <c r="M40" s="10" t="s">
        <v>184</v>
      </c>
      <c r="N40" s="10"/>
      <c r="O40" s="10" t="s">
        <v>23</v>
      </c>
      <c r="P40" s="10" t="s">
        <v>24</v>
      </c>
    </row>
    <row r="41" customFormat="false" ht="15.75" hidden="false" customHeight="false" outlineLevel="0" collapsed="false">
      <c r="A41" s="10" t="s">
        <v>16</v>
      </c>
      <c r="B41" s="10" t="s">
        <v>181</v>
      </c>
      <c r="C41" s="10" t="s">
        <v>182</v>
      </c>
      <c r="D41" s="10" t="s">
        <v>95</v>
      </c>
      <c r="E41" s="10" t="s">
        <v>96</v>
      </c>
      <c r="F41" s="11" t="n">
        <v>44978</v>
      </c>
      <c r="G41" s="12" t="n">
        <v>0.0421263657407407</v>
      </c>
      <c r="H41" s="10" t="s">
        <v>37</v>
      </c>
      <c r="I41" s="13" t="n">
        <v>1</v>
      </c>
      <c r="J41" s="13" t="n">
        <v>89.88</v>
      </c>
      <c r="K41" s="13" t="n">
        <v>89.88</v>
      </c>
      <c r="L41" s="10" t="s">
        <v>183</v>
      </c>
      <c r="M41" s="10" t="s">
        <v>184</v>
      </c>
      <c r="N41" s="10"/>
      <c r="O41" s="10" t="s">
        <v>23</v>
      </c>
      <c r="P41" s="10" t="s">
        <v>24</v>
      </c>
    </row>
    <row r="42" customFormat="false" ht="15.75" hidden="false" customHeight="false" outlineLevel="0" collapsed="false">
      <c r="A42" s="10" t="s">
        <v>16</v>
      </c>
      <c r="B42" s="10" t="s">
        <v>185</v>
      </c>
      <c r="C42" s="10" t="s">
        <v>186</v>
      </c>
      <c r="D42" s="10" t="s">
        <v>187</v>
      </c>
      <c r="E42" s="10" t="s">
        <v>36</v>
      </c>
      <c r="F42" s="11" t="n">
        <v>44979</v>
      </c>
      <c r="G42" s="12" t="n">
        <v>0.657574398148148</v>
      </c>
      <c r="H42" s="10" t="s">
        <v>29</v>
      </c>
      <c r="I42" s="13" t="n">
        <v>116</v>
      </c>
      <c r="J42" s="13" t="n">
        <v>456</v>
      </c>
      <c r="K42" s="13" t="n">
        <v>52896</v>
      </c>
      <c r="L42" s="10" t="s">
        <v>188</v>
      </c>
      <c r="M42" s="10" t="s">
        <v>189</v>
      </c>
      <c r="N42" s="10" t="s">
        <v>190</v>
      </c>
      <c r="O42" s="10" t="s">
        <v>61</v>
      </c>
      <c r="P42" s="10" t="s">
        <v>62</v>
      </c>
    </row>
    <row r="43" customFormat="false" ht="15.75" hidden="false" customHeight="false" outlineLevel="0" collapsed="false">
      <c r="A43" s="10" t="s">
        <v>16</v>
      </c>
      <c r="B43" s="10" t="s">
        <v>50</v>
      </c>
      <c r="C43" s="10" t="s">
        <v>51</v>
      </c>
      <c r="D43" s="10" t="s">
        <v>27</v>
      </c>
      <c r="E43" s="10" t="s">
        <v>28</v>
      </c>
      <c r="F43" s="11" t="n">
        <v>44979</v>
      </c>
      <c r="G43" s="12" t="n">
        <v>0.655493668981482</v>
      </c>
      <c r="H43" s="10" t="s">
        <v>29</v>
      </c>
      <c r="I43" s="13" t="n">
        <v>114</v>
      </c>
      <c r="J43" s="13" t="n">
        <v>175.75</v>
      </c>
      <c r="K43" s="13" t="n">
        <v>20035.5</v>
      </c>
      <c r="L43" s="10" t="s">
        <v>191</v>
      </c>
      <c r="M43" s="10" t="s">
        <v>192</v>
      </c>
      <c r="N43" s="10" t="s">
        <v>193</v>
      </c>
      <c r="O43" s="10" t="s">
        <v>61</v>
      </c>
      <c r="P43" s="10" t="s">
        <v>62</v>
      </c>
    </row>
    <row r="44" customFormat="false" ht="15.75" hidden="false" customHeight="false" outlineLevel="0" collapsed="false">
      <c r="A44" s="10" t="s">
        <v>16</v>
      </c>
      <c r="B44" s="10" t="s">
        <v>75</v>
      </c>
      <c r="C44" s="10" t="s">
        <v>76</v>
      </c>
      <c r="D44" s="10" t="s">
        <v>65</v>
      </c>
      <c r="E44" s="10" t="s">
        <v>66</v>
      </c>
      <c r="F44" s="11" t="n">
        <v>44979</v>
      </c>
      <c r="G44" s="12" t="n">
        <v>0.033849375</v>
      </c>
      <c r="H44" s="10" t="s">
        <v>37</v>
      </c>
      <c r="I44" s="13" t="n">
        <v>1</v>
      </c>
      <c r="J44" s="13" t="n">
        <v>52.5</v>
      </c>
      <c r="K44" s="13" t="n">
        <v>52.5</v>
      </c>
      <c r="L44" s="10" t="s">
        <v>194</v>
      </c>
      <c r="M44" s="10" t="s">
        <v>195</v>
      </c>
      <c r="N44" s="10"/>
      <c r="O44" s="10" t="s">
        <v>23</v>
      </c>
      <c r="P44" s="10" t="s">
        <v>24</v>
      </c>
    </row>
    <row r="45" customFormat="false" ht="15.75" hidden="false" customHeight="false" outlineLevel="0" collapsed="false">
      <c r="A45" s="10" t="s">
        <v>16</v>
      </c>
      <c r="B45" s="10" t="s">
        <v>181</v>
      </c>
      <c r="C45" s="10" t="s">
        <v>182</v>
      </c>
      <c r="D45" s="10" t="s">
        <v>95</v>
      </c>
      <c r="E45" s="10" t="s">
        <v>96</v>
      </c>
      <c r="F45" s="11" t="n">
        <v>44979</v>
      </c>
      <c r="G45" s="12" t="n">
        <v>0.030185775462963</v>
      </c>
      <c r="H45" s="10" t="s">
        <v>37</v>
      </c>
      <c r="I45" s="13" t="n">
        <v>1</v>
      </c>
      <c r="J45" s="13" t="n">
        <v>89.88</v>
      </c>
      <c r="K45" s="13" t="n">
        <v>89.88</v>
      </c>
      <c r="L45" s="10" t="s">
        <v>196</v>
      </c>
      <c r="M45" s="10" t="s">
        <v>197</v>
      </c>
      <c r="N45" s="10"/>
      <c r="O45" s="10" t="s">
        <v>23</v>
      </c>
      <c r="P45" s="10" t="s">
        <v>24</v>
      </c>
    </row>
    <row r="46" customFormat="false" ht="15.75" hidden="false" customHeight="false" outlineLevel="0" collapsed="false">
      <c r="A46" s="10" t="s">
        <v>16</v>
      </c>
      <c r="B46" s="10" t="s">
        <v>99</v>
      </c>
      <c r="C46" s="10" t="s">
        <v>1635</v>
      </c>
      <c r="D46" s="10" t="s">
        <v>101</v>
      </c>
      <c r="E46" s="10" t="s">
        <v>96</v>
      </c>
      <c r="F46" s="11" t="n">
        <v>44979</v>
      </c>
      <c r="G46" s="12" t="n">
        <v>0.028370462962963</v>
      </c>
      <c r="H46" s="10" t="s">
        <v>37</v>
      </c>
      <c r="I46" s="13" t="n">
        <v>1</v>
      </c>
      <c r="J46" s="13" t="n">
        <v>54.17</v>
      </c>
      <c r="K46" s="13" t="n">
        <v>54.17</v>
      </c>
      <c r="L46" s="10" t="s">
        <v>198</v>
      </c>
      <c r="M46" s="10" t="s">
        <v>199</v>
      </c>
      <c r="N46" s="10"/>
      <c r="O46" s="10" t="s">
        <v>23</v>
      </c>
      <c r="P46" s="10" t="s">
        <v>24</v>
      </c>
    </row>
    <row r="47" customFormat="false" ht="15.75" hidden="false" customHeight="false" outlineLevel="0" collapsed="false">
      <c r="A47" s="10" t="s">
        <v>16</v>
      </c>
      <c r="B47" s="10" t="s">
        <v>200</v>
      </c>
      <c r="C47" s="10" t="s">
        <v>201</v>
      </c>
      <c r="D47" s="10" t="s">
        <v>202</v>
      </c>
      <c r="E47" s="10" t="s">
        <v>122</v>
      </c>
      <c r="F47" s="11" t="n">
        <v>44980</v>
      </c>
      <c r="G47" s="12" t="n">
        <v>0.0183812152777778</v>
      </c>
      <c r="H47" s="10" t="s">
        <v>37</v>
      </c>
      <c r="I47" s="13" t="n">
        <v>1</v>
      </c>
      <c r="J47" s="13" t="n">
        <v>212.44</v>
      </c>
      <c r="K47" s="13" t="n">
        <v>212.44</v>
      </c>
      <c r="L47" s="10" t="s">
        <v>203</v>
      </c>
      <c r="M47" s="10" t="s">
        <v>204</v>
      </c>
      <c r="N47" s="10"/>
      <c r="O47" s="10" t="s">
        <v>23</v>
      </c>
      <c r="P47" s="10" t="s">
        <v>24</v>
      </c>
    </row>
    <row r="48" customFormat="false" ht="15.75" hidden="false" customHeight="false" outlineLevel="0" collapsed="false">
      <c r="A48" s="10" t="s">
        <v>16</v>
      </c>
      <c r="B48" s="10" t="s">
        <v>205</v>
      </c>
      <c r="C48" s="10" t="s">
        <v>206</v>
      </c>
      <c r="D48" s="10" t="s">
        <v>207</v>
      </c>
      <c r="E48" s="10" t="s">
        <v>208</v>
      </c>
      <c r="F48" s="11" t="n">
        <v>44980</v>
      </c>
      <c r="G48" s="12" t="n">
        <v>0.0107024884259259</v>
      </c>
      <c r="H48" s="10" t="s">
        <v>21</v>
      </c>
      <c r="I48" s="13" t="n">
        <v>3</v>
      </c>
      <c r="J48" s="13" t="n">
        <v>492.97</v>
      </c>
      <c r="K48" s="13" t="n">
        <v>1478.91</v>
      </c>
      <c r="L48" s="10" t="s">
        <v>209</v>
      </c>
      <c r="M48" s="10"/>
      <c r="N48" s="10"/>
      <c r="O48" s="10" t="s">
        <v>23</v>
      </c>
      <c r="P48" s="10" t="s">
        <v>24</v>
      </c>
    </row>
    <row r="49" customFormat="false" ht="15.75" hidden="false" customHeight="false" outlineLevel="0" collapsed="false">
      <c r="A49" s="10" t="s">
        <v>16</v>
      </c>
      <c r="B49" s="10" t="s">
        <v>205</v>
      </c>
      <c r="C49" s="10" t="s">
        <v>206</v>
      </c>
      <c r="D49" s="10" t="s">
        <v>207</v>
      </c>
      <c r="E49" s="10" t="s">
        <v>208</v>
      </c>
      <c r="F49" s="11" t="n">
        <v>44980</v>
      </c>
      <c r="G49" s="12" t="n">
        <v>0.0105994328703704</v>
      </c>
      <c r="H49" s="10" t="s">
        <v>21</v>
      </c>
      <c r="I49" s="13" t="n">
        <v>3</v>
      </c>
      <c r="J49" s="13" t="n">
        <v>492.97</v>
      </c>
      <c r="K49" s="13" t="n">
        <v>1478.91</v>
      </c>
      <c r="L49" s="10" t="s">
        <v>209</v>
      </c>
      <c r="M49" s="10"/>
      <c r="N49" s="10"/>
      <c r="O49" s="10" t="s">
        <v>23</v>
      </c>
      <c r="P49" s="10" t="s">
        <v>24</v>
      </c>
    </row>
    <row r="50" customFormat="false" ht="15.75" hidden="false" customHeight="false" outlineLevel="0" collapsed="false">
      <c r="A50" s="10" t="s">
        <v>16</v>
      </c>
      <c r="B50" s="10" t="s">
        <v>210</v>
      </c>
      <c r="C50" s="10" t="s">
        <v>211</v>
      </c>
      <c r="D50" s="10" t="s">
        <v>212</v>
      </c>
      <c r="E50" s="10" t="s">
        <v>96</v>
      </c>
      <c r="F50" s="11" t="n">
        <v>44981</v>
      </c>
      <c r="G50" s="12" t="n">
        <v>0.899383333333333</v>
      </c>
      <c r="H50" s="10" t="s">
        <v>37</v>
      </c>
      <c r="I50" s="13" t="n">
        <v>2</v>
      </c>
      <c r="J50" s="13" t="n">
        <v>107.03</v>
      </c>
      <c r="K50" s="13" t="n">
        <v>214.06</v>
      </c>
      <c r="L50" s="10" t="s">
        <v>213</v>
      </c>
      <c r="M50" s="10" t="s">
        <v>214</v>
      </c>
      <c r="N50" s="10"/>
      <c r="O50" s="10" t="s">
        <v>23</v>
      </c>
      <c r="P50" s="10" t="s">
        <v>24</v>
      </c>
    </row>
    <row r="51" customFormat="false" ht="15.75" hidden="false" customHeight="false" outlineLevel="0" collapsed="false">
      <c r="A51" s="10" t="s">
        <v>16</v>
      </c>
      <c r="B51" s="10" t="s">
        <v>215</v>
      </c>
      <c r="C51" s="10" t="s">
        <v>216</v>
      </c>
      <c r="D51" s="10" t="s">
        <v>147</v>
      </c>
      <c r="E51" s="10" t="s">
        <v>148</v>
      </c>
      <c r="F51" s="11" t="n">
        <v>44982</v>
      </c>
      <c r="G51" s="12" t="n">
        <v>0.901376122685185</v>
      </c>
      <c r="H51" s="10" t="s">
        <v>21</v>
      </c>
      <c r="I51" s="13" t="n">
        <v>1</v>
      </c>
      <c r="J51" s="13" t="n">
        <v>494.34</v>
      </c>
      <c r="K51" s="13" t="n">
        <v>494.34</v>
      </c>
      <c r="L51" s="10" t="s">
        <v>217</v>
      </c>
      <c r="M51" s="10"/>
      <c r="N51" s="10"/>
      <c r="O51" s="10" t="s">
        <v>61</v>
      </c>
      <c r="P51" s="10" t="s">
        <v>62</v>
      </c>
    </row>
    <row r="52" customFormat="false" ht="15.75" hidden="false" customHeight="false" outlineLevel="0" collapsed="false">
      <c r="A52" s="10" t="s">
        <v>16</v>
      </c>
      <c r="B52" s="10" t="s">
        <v>218</v>
      </c>
      <c r="C52" s="10" t="s">
        <v>219</v>
      </c>
      <c r="D52" s="10" t="s">
        <v>147</v>
      </c>
      <c r="E52" s="10" t="s">
        <v>148</v>
      </c>
      <c r="F52" s="11" t="n">
        <v>44982</v>
      </c>
      <c r="G52" s="12" t="n">
        <v>0.896993356481481</v>
      </c>
      <c r="H52" s="10" t="s">
        <v>29</v>
      </c>
      <c r="I52" s="13" t="n">
        <v>1</v>
      </c>
      <c r="J52" s="13" t="n">
        <v>577.08</v>
      </c>
      <c r="K52" s="13" t="n">
        <v>577.08</v>
      </c>
      <c r="L52" s="10" t="s">
        <v>220</v>
      </c>
      <c r="M52" s="10" t="s">
        <v>221</v>
      </c>
      <c r="N52" s="10" t="s">
        <v>222</v>
      </c>
      <c r="O52" s="10" t="s">
        <v>61</v>
      </c>
      <c r="P52" s="10" t="s">
        <v>62</v>
      </c>
    </row>
    <row r="53" customFormat="false" ht="15.75" hidden="false" customHeight="false" outlineLevel="0" collapsed="false">
      <c r="A53" s="10" t="s">
        <v>16</v>
      </c>
      <c r="B53" s="10" t="s">
        <v>223</v>
      </c>
      <c r="C53" s="10" t="s">
        <v>224</v>
      </c>
      <c r="D53" s="10" t="s">
        <v>106</v>
      </c>
      <c r="E53" s="10" t="s">
        <v>148</v>
      </c>
      <c r="F53" s="11" t="n">
        <v>44982</v>
      </c>
      <c r="G53" s="12" t="n">
        <v>0.895936493055556</v>
      </c>
      <c r="H53" s="10" t="s">
        <v>29</v>
      </c>
      <c r="I53" s="13" t="n">
        <v>3</v>
      </c>
      <c r="J53" s="13" t="n">
        <v>416.4</v>
      </c>
      <c r="K53" s="13" t="n">
        <v>1249.2</v>
      </c>
      <c r="L53" s="10" t="s">
        <v>225</v>
      </c>
      <c r="M53" s="10" t="s">
        <v>226</v>
      </c>
      <c r="N53" s="10" t="s">
        <v>227</v>
      </c>
      <c r="O53" s="10" t="s">
        <v>61</v>
      </c>
      <c r="P53" s="10" t="s">
        <v>62</v>
      </c>
    </row>
    <row r="54" customFormat="false" ht="15.75" hidden="false" customHeight="false" outlineLevel="0" collapsed="false">
      <c r="A54" s="10" t="s">
        <v>16</v>
      </c>
      <c r="B54" s="10" t="s">
        <v>228</v>
      </c>
      <c r="C54" s="10" t="s">
        <v>229</v>
      </c>
      <c r="D54" s="10" t="s">
        <v>230</v>
      </c>
      <c r="E54" s="10" t="s">
        <v>231</v>
      </c>
      <c r="F54" s="11" t="n">
        <v>44984</v>
      </c>
      <c r="G54" s="12" t="n">
        <v>0.0386223726851852</v>
      </c>
      <c r="H54" s="10" t="s">
        <v>37</v>
      </c>
      <c r="I54" s="13" t="n">
        <v>1</v>
      </c>
      <c r="J54" s="13" t="n">
        <v>467.21</v>
      </c>
      <c r="K54" s="13" t="n">
        <v>467.21</v>
      </c>
      <c r="L54" s="10" t="s">
        <v>232</v>
      </c>
      <c r="M54" s="10" t="s">
        <v>233</v>
      </c>
      <c r="N54" s="10"/>
      <c r="O54" s="10" t="s">
        <v>23</v>
      </c>
      <c r="P54" s="10" t="s">
        <v>24</v>
      </c>
    </row>
    <row r="55" customFormat="false" ht="15.75" hidden="false" customHeight="false" outlineLevel="0" collapsed="false">
      <c r="A55" s="10" t="s">
        <v>16</v>
      </c>
      <c r="B55" s="10" t="s">
        <v>234</v>
      </c>
      <c r="C55" s="10" t="s">
        <v>235</v>
      </c>
      <c r="D55" s="10" t="s">
        <v>147</v>
      </c>
      <c r="E55" s="10" t="s">
        <v>148</v>
      </c>
      <c r="F55" s="11" t="n">
        <v>44985</v>
      </c>
      <c r="G55" s="12" t="n">
        <v>0.839587372685185</v>
      </c>
      <c r="H55" s="10" t="s">
        <v>29</v>
      </c>
      <c r="I55" s="13" t="n">
        <v>34</v>
      </c>
      <c r="J55" s="13" t="n">
        <v>811.49</v>
      </c>
      <c r="K55" s="13" t="n">
        <v>27590.66</v>
      </c>
      <c r="L55" s="10" t="s">
        <v>236</v>
      </c>
      <c r="M55" s="10" t="s">
        <v>237</v>
      </c>
      <c r="N55" s="10" t="s">
        <v>114</v>
      </c>
      <c r="O55" s="10" t="s">
        <v>61</v>
      </c>
      <c r="P55" s="10" t="s">
        <v>62</v>
      </c>
    </row>
    <row r="56" customFormat="false" ht="15.75" hidden="false" customHeight="false" outlineLevel="0" collapsed="false">
      <c r="A56" s="10" t="s">
        <v>16</v>
      </c>
      <c r="B56" s="10" t="s">
        <v>238</v>
      </c>
      <c r="C56" s="10" t="s">
        <v>239</v>
      </c>
      <c r="D56" s="10" t="s">
        <v>95</v>
      </c>
      <c r="E56" s="10" t="s">
        <v>96</v>
      </c>
      <c r="F56" s="11" t="n">
        <v>44986</v>
      </c>
      <c r="G56" s="12" t="n">
        <v>0.987827465277778</v>
      </c>
      <c r="H56" s="10" t="s">
        <v>37</v>
      </c>
      <c r="I56" s="13" t="n">
        <v>1</v>
      </c>
      <c r="J56" s="13" t="n">
        <v>55.13</v>
      </c>
      <c r="K56" s="13" t="n">
        <v>55.13</v>
      </c>
      <c r="L56" s="10" t="s">
        <v>240</v>
      </c>
      <c r="M56" s="10" t="s">
        <v>241</v>
      </c>
      <c r="N56" s="10"/>
      <c r="O56" s="10" t="s">
        <v>23</v>
      </c>
      <c r="P56" s="10" t="s">
        <v>24</v>
      </c>
    </row>
    <row r="57" customFormat="false" ht="15.75" hidden="false" customHeight="false" outlineLevel="0" collapsed="false">
      <c r="A57" s="10" t="s">
        <v>16</v>
      </c>
      <c r="B57" s="10" t="s">
        <v>242</v>
      </c>
      <c r="C57" s="10" t="s">
        <v>243</v>
      </c>
      <c r="D57" s="10" t="s">
        <v>101</v>
      </c>
      <c r="E57" s="10" t="s">
        <v>96</v>
      </c>
      <c r="F57" s="11" t="n">
        <v>44986</v>
      </c>
      <c r="G57" s="12" t="n">
        <v>0.873166631944444</v>
      </c>
      <c r="H57" s="10" t="s">
        <v>37</v>
      </c>
      <c r="I57" s="13" t="n">
        <v>1</v>
      </c>
      <c r="J57" s="13" t="n">
        <v>272</v>
      </c>
      <c r="K57" s="13" t="n">
        <v>272</v>
      </c>
      <c r="L57" s="10" t="s">
        <v>244</v>
      </c>
      <c r="M57" s="10" t="s">
        <v>245</v>
      </c>
      <c r="N57" s="10"/>
      <c r="O57" s="10" t="s">
        <v>110</v>
      </c>
      <c r="P57" s="10" t="s">
        <v>111</v>
      </c>
    </row>
    <row r="58" customFormat="false" ht="15.75" hidden="false" customHeight="false" outlineLevel="0" collapsed="false">
      <c r="A58" s="10" t="s">
        <v>16</v>
      </c>
      <c r="B58" s="10" t="s">
        <v>130</v>
      </c>
      <c r="C58" s="10" t="s">
        <v>131</v>
      </c>
      <c r="D58" s="10" t="s">
        <v>132</v>
      </c>
      <c r="E58" s="10" t="s">
        <v>96</v>
      </c>
      <c r="F58" s="11" t="n">
        <v>44986</v>
      </c>
      <c r="G58" s="12" t="n">
        <v>0.871482361111111</v>
      </c>
      <c r="H58" s="10" t="s">
        <v>37</v>
      </c>
      <c r="I58" s="13" t="n">
        <v>1</v>
      </c>
      <c r="J58" s="13" t="n">
        <v>270</v>
      </c>
      <c r="K58" s="13" t="n">
        <v>270</v>
      </c>
      <c r="L58" s="10" t="s">
        <v>246</v>
      </c>
      <c r="M58" s="10" t="s">
        <v>247</v>
      </c>
      <c r="N58" s="10"/>
      <c r="O58" s="10" t="s">
        <v>110</v>
      </c>
      <c r="P58" s="10" t="s">
        <v>111</v>
      </c>
    </row>
    <row r="59" customFormat="false" ht="15.75" hidden="false" customHeight="false" outlineLevel="0" collapsed="false">
      <c r="A59" s="10" t="s">
        <v>16</v>
      </c>
      <c r="B59" s="10" t="s">
        <v>248</v>
      </c>
      <c r="C59" s="10" t="s">
        <v>249</v>
      </c>
      <c r="D59" s="10" t="s">
        <v>27</v>
      </c>
      <c r="E59" s="10" t="s">
        <v>28</v>
      </c>
      <c r="F59" s="11" t="n">
        <v>44986</v>
      </c>
      <c r="G59" s="12" t="n">
        <v>0.843317777777778</v>
      </c>
      <c r="H59" s="10" t="s">
        <v>29</v>
      </c>
      <c r="I59" s="13" t="n">
        <v>10</v>
      </c>
      <c r="J59" s="13" t="n">
        <v>1130</v>
      </c>
      <c r="K59" s="13" t="n">
        <v>11300</v>
      </c>
      <c r="L59" s="10" t="s">
        <v>250</v>
      </c>
      <c r="M59" s="10" t="s">
        <v>251</v>
      </c>
      <c r="N59" s="10" t="s">
        <v>252</v>
      </c>
      <c r="O59" s="10" t="s">
        <v>61</v>
      </c>
      <c r="P59" s="10" t="s">
        <v>62</v>
      </c>
    </row>
    <row r="60" customFormat="false" ht="15.75" hidden="false" customHeight="false" outlineLevel="0" collapsed="false">
      <c r="A60" s="10" t="s">
        <v>16</v>
      </c>
      <c r="B60" s="10" t="s">
        <v>253</v>
      </c>
      <c r="C60" s="10" t="s">
        <v>254</v>
      </c>
      <c r="D60" s="10" t="s">
        <v>255</v>
      </c>
      <c r="E60" s="10" t="s">
        <v>71</v>
      </c>
      <c r="F60" s="11" t="n">
        <v>44987</v>
      </c>
      <c r="G60" s="12" t="n">
        <v>0.642073888888889</v>
      </c>
      <c r="H60" s="10" t="s">
        <v>37</v>
      </c>
      <c r="I60" s="13" t="n">
        <v>1</v>
      </c>
      <c r="J60" s="13" t="n">
        <v>286.25</v>
      </c>
      <c r="K60" s="13" t="n">
        <v>286.25</v>
      </c>
      <c r="L60" s="10" t="s">
        <v>256</v>
      </c>
      <c r="M60" s="10" t="s">
        <v>257</v>
      </c>
      <c r="N60" s="10"/>
      <c r="O60" s="10" t="s">
        <v>110</v>
      </c>
      <c r="P60" s="10" t="s">
        <v>111</v>
      </c>
    </row>
    <row r="61" customFormat="false" ht="15.75" hidden="false" customHeight="false" outlineLevel="0" collapsed="false">
      <c r="A61" s="10" t="s">
        <v>16</v>
      </c>
      <c r="B61" s="10" t="s">
        <v>258</v>
      </c>
      <c r="C61" s="10" t="s">
        <v>259</v>
      </c>
      <c r="D61" s="10" t="s">
        <v>35</v>
      </c>
      <c r="E61" s="10" t="s">
        <v>36</v>
      </c>
      <c r="F61" s="11" t="n">
        <v>44988</v>
      </c>
      <c r="G61" s="12" t="n">
        <v>0.899165266203704</v>
      </c>
      <c r="H61" s="10" t="s">
        <v>37</v>
      </c>
      <c r="I61" s="13" t="n">
        <v>3</v>
      </c>
      <c r="J61" s="13" t="n">
        <v>380</v>
      </c>
      <c r="K61" s="13" t="n">
        <v>1140</v>
      </c>
      <c r="L61" s="10" t="s">
        <v>260</v>
      </c>
      <c r="M61" s="10" t="s">
        <v>261</v>
      </c>
      <c r="N61" s="10"/>
      <c r="O61" s="10" t="s">
        <v>23</v>
      </c>
      <c r="P61" s="10" t="s">
        <v>24</v>
      </c>
    </row>
    <row r="62" customFormat="false" ht="15.75" hidden="false" customHeight="false" outlineLevel="0" collapsed="false">
      <c r="A62" s="10" t="s">
        <v>16</v>
      </c>
      <c r="B62" s="10" t="s">
        <v>262</v>
      </c>
      <c r="C62" s="10" t="s">
        <v>263</v>
      </c>
      <c r="D62" s="10" t="s">
        <v>80</v>
      </c>
      <c r="E62" s="10" t="s">
        <v>28</v>
      </c>
      <c r="F62" s="11" t="n">
        <v>44988</v>
      </c>
      <c r="G62" s="12" t="n">
        <v>0.839948298611111</v>
      </c>
      <c r="H62" s="10" t="s">
        <v>37</v>
      </c>
      <c r="I62" s="13" t="n">
        <v>7</v>
      </c>
      <c r="J62" s="13" t="n">
        <v>150</v>
      </c>
      <c r="K62" s="13" t="n">
        <v>1050</v>
      </c>
      <c r="L62" s="10" t="s">
        <v>264</v>
      </c>
      <c r="M62" s="10" t="s">
        <v>265</v>
      </c>
      <c r="N62" s="10"/>
      <c r="O62" s="10" t="s">
        <v>23</v>
      </c>
      <c r="P62" s="10" t="s">
        <v>24</v>
      </c>
    </row>
    <row r="63" customFormat="false" ht="15.75" hidden="false" customHeight="false" outlineLevel="0" collapsed="false">
      <c r="A63" s="10" t="s">
        <v>16</v>
      </c>
      <c r="B63" s="10" t="s">
        <v>266</v>
      </c>
      <c r="C63" s="10" t="s">
        <v>267</v>
      </c>
      <c r="D63" s="10" t="s">
        <v>268</v>
      </c>
      <c r="E63" s="10" t="s">
        <v>269</v>
      </c>
      <c r="F63" s="11" t="n">
        <v>44988</v>
      </c>
      <c r="G63" s="12" t="n">
        <v>0.7396115625</v>
      </c>
      <c r="H63" s="10" t="s">
        <v>37</v>
      </c>
      <c r="I63" s="13" t="n">
        <v>1</v>
      </c>
      <c r="J63" s="13" t="n">
        <v>182.15</v>
      </c>
      <c r="K63" s="13" t="n">
        <v>182.15</v>
      </c>
      <c r="L63" s="10" t="s">
        <v>270</v>
      </c>
      <c r="M63" s="10" t="s">
        <v>271</v>
      </c>
      <c r="N63" s="10"/>
      <c r="O63" s="10" t="s">
        <v>23</v>
      </c>
      <c r="P63" s="10" t="s">
        <v>24</v>
      </c>
    </row>
    <row r="64" customFormat="false" ht="15.75" hidden="false" customHeight="false" outlineLevel="0" collapsed="false">
      <c r="A64" s="10" t="s">
        <v>16</v>
      </c>
      <c r="B64" s="10" t="s">
        <v>78</v>
      </c>
      <c r="C64" s="10" t="s">
        <v>79</v>
      </c>
      <c r="D64" s="10" t="s">
        <v>80</v>
      </c>
      <c r="E64" s="10" t="s">
        <v>28</v>
      </c>
      <c r="F64" s="11" t="n">
        <v>44988</v>
      </c>
      <c r="G64" s="12" t="n">
        <v>0.738087951388889</v>
      </c>
      <c r="H64" s="10" t="s">
        <v>37</v>
      </c>
      <c r="I64" s="13" t="n">
        <v>7</v>
      </c>
      <c r="J64" s="13" t="n">
        <v>150</v>
      </c>
      <c r="K64" s="13" t="n">
        <v>1050</v>
      </c>
      <c r="L64" s="10" t="s">
        <v>272</v>
      </c>
      <c r="M64" s="10" t="s">
        <v>273</v>
      </c>
      <c r="N64" s="10"/>
      <c r="O64" s="10" t="s">
        <v>23</v>
      </c>
      <c r="P64" s="10" t="s">
        <v>24</v>
      </c>
    </row>
    <row r="65" customFormat="false" ht="15.75" hidden="false" customHeight="false" outlineLevel="0" collapsed="false">
      <c r="A65" s="10" t="s">
        <v>16</v>
      </c>
      <c r="B65" s="10" t="s">
        <v>78</v>
      </c>
      <c r="C65" s="10" t="s">
        <v>79</v>
      </c>
      <c r="D65" s="10" t="s">
        <v>80</v>
      </c>
      <c r="E65" s="10" t="s">
        <v>28</v>
      </c>
      <c r="F65" s="11" t="n">
        <v>44989</v>
      </c>
      <c r="G65" s="12" t="n">
        <v>0.347041238425926</v>
      </c>
      <c r="H65" s="10" t="s">
        <v>37</v>
      </c>
      <c r="I65" s="13" t="n">
        <v>1</v>
      </c>
      <c r="J65" s="13" t="n">
        <v>150</v>
      </c>
      <c r="K65" s="13" t="n">
        <v>150</v>
      </c>
      <c r="L65" s="10" t="s">
        <v>274</v>
      </c>
      <c r="M65" s="10" t="s">
        <v>275</v>
      </c>
      <c r="N65" s="10"/>
      <c r="O65" s="10" t="s">
        <v>61</v>
      </c>
      <c r="P65" s="10" t="s">
        <v>62</v>
      </c>
    </row>
    <row r="66" customFormat="false" ht="15.75" hidden="false" customHeight="false" outlineLevel="0" collapsed="false">
      <c r="A66" s="10" t="s">
        <v>16</v>
      </c>
      <c r="B66" s="10" t="s">
        <v>276</v>
      </c>
      <c r="C66" s="10" t="s">
        <v>277</v>
      </c>
      <c r="D66" s="10" t="s">
        <v>95</v>
      </c>
      <c r="E66" s="10" t="s">
        <v>96</v>
      </c>
      <c r="F66" s="11" t="n">
        <v>44990</v>
      </c>
      <c r="G66" s="12" t="n">
        <v>0.143829837962963</v>
      </c>
      <c r="H66" s="10" t="s">
        <v>37</v>
      </c>
      <c r="I66" s="13" t="n">
        <v>1</v>
      </c>
      <c r="J66" s="13" t="n">
        <v>177.84</v>
      </c>
      <c r="K66" s="13" t="n">
        <v>177.84</v>
      </c>
      <c r="L66" s="10" t="s">
        <v>278</v>
      </c>
      <c r="M66" s="10" t="s">
        <v>279</v>
      </c>
      <c r="N66" s="10"/>
      <c r="O66" s="10" t="s">
        <v>23</v>
      </c>
      <c r="P66" s="10" t="s">
        <v>24</v>
      </c>
    </row>
    <row r="67" customFormat="false" ht="15.75" hidden="false" customHeight="false" outlineLevel="0" collapsed="false">
      <c r="A67" s="10" t="s">
        <v>16</v>
      </c>
      <c r="B67" s="10" t="s">
        <v>130</v>
      </c>
      <c r="C67" s="10" t="s">
        <v>131</v>
      </c>
      <c r="D67" s="10" t="s">
        <v>132</v>
      </c>
      <c r="E67" s="10" t="s">
        <v>96</v>
      </c>
      <c r="F67" s="11" t="n">
        <v>44990</v>
      </c>
      <c r="G67" s="12" t="n">
        <v>0.142303657407407</v>
      </c>
      <c r="H67" s="10" t="s">
        <v>37</v>
      </c>
      <c r="I67" s="13" t="n">
        <v>1</v>
      </c>
      <c r="J67" s="13" t="n">
        <v>270</v>
      </c>
      <c r="K67" s="13" t="n">
        <v>270</v>
      </c>
      <c r="L67" s="10" t="s">
        <v>280</v>
      </c>
      <c r="M67" s="10" t="s">
        <v>281</v>
      </c>
      <c r="N67" s="10"/>
      <c r="O67" s="10" t="s">
        <v>23</v>
      </c>
      <c r="P67" s="10" t="s">
        <v>24</v>
      </c>
    </row>
    <row r="68" customFormat="false" ht="15.75" hidden="false" customHeight="false" outlineLevel="0" collapsed="false">
      <c r="A68" s="10" t="s">
        <v>16</v>
      </c>
      <c r="B68" s="10" t="s">
        <v>242</v>
      </c>
      <c r="C68" s="10" t="s">
        <v>243</v>
      </c>
      <c r="D68" s="10" t="s">
        <v>101</v>
      </c>
      <c r="E68" s="10" t="s">
        <v>96</v>
      </c>
      <c r="F68" s="11" t="n">
        <v>44990</v>
      </c>
      <c r="G68" s="12" t="n">
        <v>0.141077222222222</v>
      </c>
      <c r="H68" s="10" t="s">
        <v>37</v>
      </c>
      <c r="I68" s="13" t="n">
        <v>1</v>
      </c>
      <c r="J68" s="13" t="n">
        <v>272</v>
      </c>
      <c r="K68" s="13" t="n">
        <v>272</v>
      </c>
      <c r="L68" s="10" t="s">
        <v>282</v>
      </c>
      <c r="M68" s="10" t="s">
        <v>283</v>
      </c>
      <c r="N68" s="10"/>
      <c r="O68" s="10" t="s">
        <v>23</v>
      </c>
      <c r="P68" s="10" t="s">
        <v>24</v>
      </c>
    </row>
    <row r="69" customFormat="false" ht="15.75" hidden="false" customHeight="false" outlineLevel="0" collapsed="false">
      <c r="A69" s="10" t="s">
        <v>16</v>
      </c>
      <c r="B69" s="10" t="s">
        <v>99</v>
      </c>
      <c r="C69" s="10" t="s">
        <v>1635</v>
      </c>
      <c r="D69" s="10" t="s">
        <v>101</v>
      </c>
      <c r="E69" s="10" t="s">
        <v>96</v>
      </c>
      <c r="F69" s="11" t="n">
        <v>44990</v>
      </c>
      <c r="G69" s="12" t="n">
        <v>0.139776388888889</v>
      </c>
      <c r="H69" s="10" t="s">
        <v>37</v>
      </c>
      <c r="I69" s="13" t="n">
        <v>1</v>
      </c>
      <c r="J69" s="13" t="n">
        <v>54.75</v>
      </c>
      <c r="K69" s="13" t="n">
        <v>54.75</v>
      </c>
      <c r="L69" s="10" t="s">
        <v>284</v>
      </c>
      <c r="M69" s="10" t="s">
        <v>285</v>
      </c>
      <c r="N69" s="10"/>
      <c r="O69" s="10" t="s">
        <v>23</v>
      </c>
      <c r="P69" s="10" t="s">
        <v>24</v>
      </c>
    </row>
    <row r="70" customFormat="false" ht="15.75" hidden="false" customHeight="false" outlineLevel="0" collapsed="false">
      <c r="A70" s="10" t="s">
        <v>16</v>
      </c>
      <c r="B70" s="10" t="s">
        <v>286</v>
      </c>
      <c r="C70" s="10" t="s">
        <v>287</v>
      </c>
      <c r="D70" s="10" t="s">
        <v>19</v>
      </c>
      <c r="E70" s="10" t="s">
        <v>20</v>
      </c>
      <c r="F70" s="11" t="n">
        <v>44992</v>
      </c>
      <c r="G70" s="12" t="n">
        <v>0.884395532407407</v>
      </c>
      <c r="H70" s="10" t="s">
        <v>37</v>
      </c>
      <c r="I70" s="13" t="n">
        <v>1</v>
      </c>
      <c r="J70" s="13" t="n">
        <v>2379</v>
      </c>
      <c r="K70" s="13" t="n">
        <v>2379</v>
      </c>
      <c r="L70" s="10" t="s">
        <v>288</v>
      </c>
      <c r="M70" s="10" t="s">
        <v>289</v>
      </c>
      <c r="N70" s="10"/>
      <c r="O70" s="10" t="s">
        <v>61</v>
      </c>
      <c r="P70" s="10" t="s">
        <v>62</v>
      </c>
    </row>
    <row r="71" customFormat="false" ht="15.75" hidden="false" customHeight="false" outlineLevel="0" collapsed="false">
      <c r="A71" s="10" t="s">
        <v>16</v>
      </c>
      <c r="B71" s="10" t="s">
        <v>290</v>
      </c>
      <c r="C71" s="10" t="s">
        <v>291</v>
      </c>
      <c r="D71" s="10" t="s">
        <v>230</v>
      </c>
      <c r="E71" s="10" t="s">
        <v>231</v>
      </c>
      <c r="F71" s="11" t="n">
        <v>44992</v>
      </c>
      <c r="G71" s="12" t="n">
        <v>0.0669292708333333</v>
      </c>
      <c r="H71" s="10" t="s">
        <v>37</v>
      </c>
      <c r="I71" s="13" t="n">
        <v>1</v>
      </c>
      <c r="J71" s="13" t="n">
        <v>188.49</v>
      </c>
      <c r="K71" s="13" t="n">
        <v>188.49</v>
      </c>
      <c r="L71" s="10" t="s">
        <v>292</v>
      </c>
      <c r="M71" s="10" t="s">
        <v>293</v>
      </c>
      <c r="N71" s="10"/>
      <c r="O71" s="10" t="s">
        <v>23</v>
      </c>
      <c r="P71" s="10" t="s">
        <v>24</v>
      </c>
    </row>
    <row r="72" customFormat="false" ht="15.75" hidden="false" customHeight="false" outlineLevel="0" collapsed="false">
      <c r="A72" s="10" t="s">
        <v>16</v>
      </c>
      <c r="B72" s="10" t="s">
        <v>294</v>
      </c>
      <c r="C72" s="10" t="s">
        <v>295</v>
      </c>
      <c r="D72" s="10" t="s">
        <v>212</v>
      </c>
      <c r="E72" s="10" t="s">
        <v>96</v>
      </c>
      <c r="F72" s="11" t="n">
        <v>44992</v>
      </c>
      <c r="G72" s="12" t="n">
        <v>0.0571433101851852</v>
      </c>
      <c r="H72" s="10" t="s">
        <v>37</v>
      </c>
      <c r="I72" s="13" t="n">
        <v>1</v>
      </c>
      <c r="J72" s="13" t="n">
        <v>238.42</v>
      </c>
      <c r="K72" s="13" t="n">
        <v>238.42</v>
      </c>
      <c r="L72" s="10" t="s">
        <v>296</v>
      </c>
      <c r="M72" s="10" t="s">
        <v>297</v>
      </c>
      <c r="N72" s="10"/>
      <c r="O72" s="10" t="s">
        <v>23</v>
      </c>
      <c r="P72" s="10" t="s">
        <v>24</v>
      </c>
    </row>
    <row r="73" customFormat="false" ht="15.75" hidden="false" customHeight="false" outlineLevel="0" collapsed="false">
      <c r="A73" s="10" t="s">
        <v>16</v>
      </c>
      <c r="B73" s="10" t="s">
        <v>298</v>
      </c>
      <c r="C73" s="10" t="s">
        <v>299</v>
      </c>
      <c r="D73" s="10" t="s">
        <v>300</v>
      </c>
      <c r="E73" s="10" t="s">
        <v>269</v>
      </c>
      <c r="F73" s="11" t="n">
        <v>44994</v>
      </c>
      <c r="G73" s="12" t="n">
        <v>0.0819022106481481</v>
      </c>
      <c r="H73" s="10" t="s">
        <v>21</v>
      </c>
      <c r="I73" s="13" t="n">
        <v>2</v>
      </c>
      <c r="J73" s="13" t="n">
        <v>1400</v>
      </c>
      <c r="K73" s="13" t="n">
        <v>2800</v>
      </c>
      <c r="L73" s="10" t="s">
        <v>301</v>
      </c>
      <c r="M73" s="10"/>
      <c r="N73" s="10"/>
      <c r="O73" s="10" t="s">
        <v>23</v>
      </c>
      <c r="P73" s="10" t="s">
        <v>24</v>
      </c>
    </row>
    <row r="74" customFormat="false" ht="15.75" hidden="false" customHeight="false" outlineLevel="0" collapsed="false">
      <c r="A74" s="10" t="s">
        <v>16</v>
      </c>
      <c r="B74" s="10" t="s">
        <v>302</v>
      </c>
      <c r="C74" s="10" t="s">
        <v>303</v>
      </c>
      <c r="D74" s="10" t="s">
        <v>304</v>
      </c>
      <c r="E74" s="10" t="s">
        <v>269</v>
      </c>
      <c r="F74" s="11" t="n">
        <v>44995</v>
      </c>
      <c r="G74" s="12" t="n">
        <v>0.947716574074074</v>
      </c>
      <c r="H74" s="10" t="s">
        <v>21</v>
      </c>
      <c r="I74" s="13" t="n">
        <v>1</v>
      </c>
      <c r="J74" s="13" t="n">
        <v>729.83</v>
      </c>
      <c r="K74" s="13" t="n">
        <v>729.83</v>
      </c>
      <c r="L74" s="10" t="s">
        <v>305</v>
      </c>
      <c r="M74" s="10"/>
      <c r="N74" s="10"/>
      <c r="O74" s="10" t="s">
        <v>23</v>
      </c>
      <c r="P74" s="10" t="s">
        <v>24</v>
      </c>
    </row>
    <row r="75" customFormat="false" ht="15.75" hidden="false" customHeight="false" outlineLevel="0" collapsed="false">
      <c r="A75" s="10" t="s">
        <v>16</v>
      </c>
      <c r="B75" s="10" t="s">
        <v>306</v>
      </c>
      <c r="C75" s="10" t="s">
        <v>307</v>
      </c>
      <c r="D75" s="10" t="s">
        <v>308</v>
      </c>
      <c r="E75" s="10" t="s">
        <v>96</v>
      </c>
      <c r="F75" s="11" t="n">
        <v>44995</v>
      </c>
      <c r="G75" s="12" t="n">
        <v>0.915344826388889</v>
      </c>
      <c r="H75" s="10" t="s">
        <v>37</v>
      </c>
      <c r="I75" s="13" t="n">
        <v>1</v>
      </c>
      <c r="J75" s="13" t="n">
        <v>54.96</v>
      </c>
      <c r="K75" s="13" t="n">
        <v>54.96</v>
      </c>
      <c r="L75" s="10" t="s">
        <v>309</v>
      </c>
      <c r="M75" s="10" t="s">
        <v>310</v>
      </c>
      <c r="N75" s="10"/>
      <c r="O75" s="10" t="s">
        <v>23</v>
      </c>
      <c r="P75" s="10" t="s">
        <v>24</v>
      </c>
    </row>
    <row r="76" customFormat="false" ht="15.75" hidden="false" customHeight="false" outlineLevel="0" collapsed="false">
      <c r="A76" s="10" t="s">
        <v>16</v>
      </c>
      <c r="B76" s="10" t="s">
        <v>238</v>
      </c>
      <c r="C76" s="10" t="s">
        <v>239</v>
      </c>
      <c r="D76" s="10" t="s">
        <v>95</v>
      </c>
      <c r="E76" s="10" t="s">
        <v>96</v>
      </c>
      <c r="F76" s="11" t="n">
        <v>44995</v>
      </c>
      <c r="G76" s="12" t="n">
        <v>0.913719976851852</v>
      </c>
      <c r="H76" s="10" t="s">
        <v>37</v>
      </c>
      <c r="I76" s="13" t="n">
        <v>1</v>
      </c>
      <c r="J76" s="13" t="n">
        <v>55.13</v>
      </c>
      <c r="K76" s="13" t="n">
        <v>55.13</v>
      </c>
      <c r="L76" s="10" t="s">
        <v>311</v>
      </c>
      <c r="M76" s="10" t="s">
        <v>312</v>
      </c>
      <c r="N76" s="10"/>
      <c r="O76" s="10" t="s">
        <v>23</v>
      </c>
      <c r="P76" s="10" t="s">
        <v>24</v>
      </c>
    </row>
    <row r="77" customFormat="false" ht="15.75" hidden="false" customHeight="false" outlineLevel="0" collapsed="false">
      <c r="A77" s="10" t="s">
        <v>16</v>
      </c>
      <c r="B77" s="10" t="s">
        <v>99</v>
      </c>
      <c r="C77" s="10" t="s">
        <v>1635</v>
      </c>
      <c r="D77" s="10" t="s">
        <v>101</v>
      </c>
      <c r="E77" s="10" t="s">
        <v>96</v>
      </c>
      <c r="F77" s="11" t="n">
        <v>44995</v>
      </c>
      <c r="G77" s="12" t="n">
        <v>0.912699872685185</v>
      </c>
      <c r="H77" s="10" t="s">
        <v>37</v>
      </c>
      <c r="I77" s="13" t="n">
        <v>2</v>
      </c>
      <c r="J77" s="13" t="n">
        <v>54.75</v>
      </c>
      <c r="K77" s="13" t="n">
        <v>109.5</v>
      </c>
      <c r="L77" s="10" t="s">
        <v>313</v>
      </c>
      <c r="M77" s="10" t="s">
        <v>314</v>
      </c>
      <c r="N77" s="10"/>
      <c r="O77" s="10" t="s">
        <v>23</v>
      </c>
      <c r="P77" s="10" t="s">
        <v>24</v>
      </c>
    </row>
    <row r="78" customFormat="false" ht="15.75" hidden="false" customHeight="false" outlineLevel="0" collapsed="false">
      <c r="A78" s="10" t="s">
        <v>16</v>
      </c>
      <c r="B78" s="10" t="s">
        <v>315</v>
      </c>
      <c r="C78" s="10" t="s">
        <v>316</v>
      </c>
      <c r="D78" s="10" t="s">
        <v>132</v>
      </c>
      <c r="E78" s="10" t="s">
        <v>96</v>
      </c>
      <c r="F78" s="11" t="n">
        <v>44995</v>
      </c>
      <c r="G78" s="12" t="n">
        <v>0.909296770833333</v>
      </c>
      <c r="H78" s="10" t="s">
        <v>37</v>
      </c>
      <c r="I78" s="13" t="n">
        <v>1</v>
      </c>
      <c r="J78" s="13" t="n">
        <v>106.8</v>
      </c>
      <c r="K78" s="13" t="n">
        <v>106.8</v>
      </c>
      <c r="L78" s="10" t="s">
        <v>317</v>
      </c>
      <c r="M78" s="10" t="s">
        <v>318</v>
      </c>
      <c r="N78" s="10"/>
      <c r="O78" s="10" t="s">
        <v>23</v>
      </c>
      <c r="P78" s="10" t="s">
        <v>24</v>
      </c>
    </row>
    <row r="79" customFormat="false" ht="15.75" hidden="false" customHeight="false" outlineLevel="0" collapsed="false">
      <c r="A79" s="10" t="s">
        <v>16</v>
      </c>
      <c r="B79" s="10" t="s">
        <v>130</v>
      </c>
      <c r="C79" s="10" t="s">
        <v>131</v>
      </c>
      <c r="D79" s="10" t="s">
        <v>132</v>
      </c>
      <c r="E79" s="10" t="s">
        <v>96</v>
      </c>
      <c r="F79" s="11" t="n">
        <v>44995</v>
      </c>
      <c r="G79" s="12" t="n">
        <v>0.907848912037037</v>
      </c>
      <c r="H79" s="10" t="s">
        <v>37</v>
      </c>
      <c r="I79" s="13" t="n">
        <v>1</v>
      </c>
      <c r="J79" s="13" t="n">
        <v>267.6</v>
      </c>
      <c r="K79" s="13" t="n">
        <v>267.6</v>
      </c>
      <c r="L79" s="10" t="s">
        <v>319</v>
      </c>
      <c r="M79" s="10" t="s">
        <v>320</v>
      </c>
      <c r="N79" s="10"/>
      <c r="O79" s="10" t="s">
        <v>23</v>
      </c>
      <c r="P79" s="10" t="s">
        <v>24</v>
      </c>
    </row>
    <row r="80" customFormat="false" ht="15.75" hidden="false" customHeight="false" outlineLevel="0" collapsed="false">
      <c r="A80" s="10" t="s">
        <v>16</v>
      </c>
      <c r="B80" s="10" t="s">
        <v>238</v>
      </c>
      <c r="C80" s="10" t="s">
        <v>239</v>
      </c>
      <c r="D80" s="10" t="s">
        <v>95</v>
      </c>
      <c r="E80" s="10" t="s">
        <v>96</v>
      </c>
      <c r="F80" s="11" t="n">
        <v>44998</v>
      </c>
      <c r="G80" s="12" t="n">
        <v>0.0211330787037037</v>
      </c>
      <c r="H80" s="10" t="s">
        <v>37</v>
      </c>
      <c r="I80" s="13" t="n">
        <v>2</v>
      </c>
      <c r="J80" s="13" t="n">
        <v>55.25</v>
      </c>
      <c r="K80" s="13" t="n">
        <v>110.5</v>
      </c>
      <c r="L80" s="10" t="s">
        <v>321</v>
      </c>
      <c r="M80" s="10" t="s">
        <v>322</v>
      </c>
      <c r="N80" s="10"/>
      <c r="O80" s="10" t="s">
        <v>23</v>
      </c>
      <c r="P80" s="10" t="s">
        <v>24</v>
      </c>
    </row>
    <row r="81" customFormat="false" ht="15.75" hidden="false" customHeight="false" outlineLevel="0" collapsed="false">
      <c r="A81" s="10" t="s">
        <v>16</v>
      </c>
      <c r="B81" s="10" t="s">
        <v>323</v>
      </c>
      <c r="C81" s="10" t="s">
        <v>324</v>
      </c>
      <c r="D81" s="10" t="s">
        <v>19</v>
      </c>
      <c r="E81" s="10" t="s">
        <v>20</v>
      </c>
      <c r="F81" s="11" t="n">
        <v>45000</v>
      </c>
      <c r="G81" s="12" t="n">
        <v>0.863788483796296</v>
      </c>
      <c r="H81" s="10" t="s">
        <v>37</v>
      </c>
      <c r="I81" s="13" t="n">
        <v>3</v>
      </c>
      <c r="J81" s="13" t="n">
        <v>257</v>
      </c>
      <c r="K81" s="13" t="n">
        <v>771</v>
      </c>
      <c r="L81" s="10" t="s">
        <v>325</v>
      </c>
      <c r="M81" s="10" t="s">
        <v>326</v>
      </c>
      <c r="N81" s="10"/>
      <c r="O81" s="10" t="s">
        <v>110</v>
      </c>
      <c r="P81" s="10" t="s">
        <v>111</v>
      </c>
    </row>
    <row r="82" customFormat="false" ht="15.75" hidden="false" customHeight="false" outlineLevel="0" collapsed="false">
      <c r="A82" s="10" t="s">
        <v>16</v>
      </c>
      <c r="B82" s="10" t="s">
        <v>99</v>
      </c>
      <c r="C82" s="10" t="s">
        <v>1635</v>
      </c>
      <c r="D82" s="10" t="s">
        <v>101</v>
      </c>
      <c r="E82" s="10" t="s">
        <v>96</v>
      </c>
      <c r="F82" s="11" t="n">
        <v>45000</v>
      </c>
      <c r="G82" s="12" t="n">
        <v>0.0285137847222222</v>
      </c>
      <c r="H82" s="10" t="s">
        <v>37</v>
      </c>
      <c r="I82" s="13" t="n">
        <v>3</v>
      </c>
      <c r="J82" s="13" t="n">
        <v>54.75</v>
      </c>
      <c r="K82" s="13" t="n">
        <v>164.25</v>
      </c>
      <c r="L82" s="10" t="s">
        <v>327</v>
      </c>
      <c r="M82" s="10" t="s">
        <v>328</v>
      </c>
      <c r="N82" s="10"/>
      <c r="O82" s="10" t="s">
        <v>23</v>
      </c>
      <c r="P82" s="10" t="s">
        <v>24</v>
      </c>
    </row>
    <row r="83" customFormat="false" ht="15.75" hidden="false" customHeight="false" outlineLevel="0" collapsed="false">
      <c r="A83" s="10" t="s">
        <v>16</v>
      </c>
      <c r="B83" s="10" t="s">
        <v>210</v>
      </c>
      <c r="C83" s="10" t="s">
        <v>211</v>
      </c>
      <c r="D83" s="10" t="s">
        <v>212</v>
      </c>
      <c r="E83" s="10" t="s">
        <v>96</v>
      </c>
      <c r="F83" s="11" t="n">
        <v>45000</v>
      </c>
      <c r="G83" s="12" t="n">
        <v>0.0260724421296296</v>
      </c>
      <c r="H83" s="10" t="s">
        <v>37</v>
      </c>
      <c r="I83" s="13" t="n">
        <v>1</v>
      </c>
      <c r="J83" s="13" t="n">
        <v>107.91</v>
      </c>
      <c r="K83" s="13" t="n">
        <v>107.91</v>
      </c>
      <c r="L83" s="10" t="s">
        <v>329</v>
      </c>
      <c r="M83" s="10" t="s">
        <v>330</v>
      </c>
      <c r="N83" s="10"/>
      <c r="O83" s="10" t="s">
        <v>23</v>
      </c>
      <c r="P83" s="10" t="s">
        <v>24</v>
      </c>
    </row>
    <row r="84" customFormat="false" ht="15.75" hidden="false" customHeight="false" outlineLevel="0" collapsed="false">
      <c r="A84" s="10" t="s">
        <v>16</v>
      </c>
      <c r="B84" s="10" t="s">
        <v>331</v>
      </c>
      <c r="C84" s="10" t="s">
        <v>332</v>
      </c>
      <c r="D84" s="10" t="s">
        <v>19</v>
      </c>
      <c r="E84" s="10" t="s">
        <v>333</v>
      </c>
      <c r="F84" s="11" t="n">
        <v>45002</v>
      </c>
      <c r="G84" s="12" t="n">
        <v>0.918667824074074</v>
      </c>
      <c r="H84" s="10" t="s">
        <v>21</v>
      </c>
      <c r="I84" s="13" t="n">
        <v>1</v>
      </c>
      <c r="J84" s="13" t="n">
        <v>248</v>
      </c>
      <c r="K84" s="13" t="n">
        <v>248</v>
      </c>
      <c r="L84" s="10" t="s">
        <v>334</v>
      </c>
      <c r="M84" s="10"/>
      <c r="N84" s="10"/>
      <c r="O84" s="10" t="s">
        <v>23</v>
      </c>
      <c r="P84" s="10" t="s">
        <v>24</v>
      </c>
    </row>
    <row r="85" customFormat="false" ht="15.75" hidden="false" customHeight="false" outlineLevel="0" collapsed="false">
      <c r="A85" s="10" t="s">
        <v>16</v>
      </c>
      <c r="B85" s="10" t="s">
        <v>335</v>
      </c>
      <c r="C85" s="10" t="s">
        <v>336</v>
      </c>
      <c r="D85" s="10" t="s">
        <v>337</v>
      </c>
      <c r="E85" s="10" t="s">
        <v>208</v>
      </c>
      <c r="F85" s="11" t="n">
        <v>45002</v>
      </c>
      <c r="G85" s="12" t="n">
        <v>0.917385092592593</v>
      </c>
      <c r="H85" s="10" t="s">
        <v>37</v>
      </c>
      <c r="I85" s="13" t="n">
        <v>1</v>
      </c>
      <c r="J85" s="13" t="n">
        <v>166.77</v>
      </c>
      <c r="K85" s="13" t="n">
        <v>166.77</v>
      </c>
      <c r="L85" s="10" t="s">
        <v>338</v>
      </c>
      <c r="M85" s="10" t="s">
        <v>339</v>
      </c>
      <c r="N85" s="10"/>
      <c r="O85" s="10" t="s">
        <v>23</v>
      </c>
      <c r="P85" s="10" t="s">
        <v>24</v>
      </c>
    </row>
    <row r="86" customFormat="false" ht="15.75" hidden="false" customHeight="false" outlineLevel="0" collapsed="false">
      <c r="A86" s="10" t="s">
        <v>16</v>
      </c>
      <c r="B86" s="10" t="s">
        <v>99</v>
      </c>
      <c r="C86" s="10" t="s">
        <v>1635</v>
      </c>
      <c r="D86" s="10" t="s">
        <v>101</v>
      </c>
      <c r="E86" s="10" t="s">
        <v>96</v>
      </c>
      <c r="F86" s="11" t="n">
        <v>45002</v>
      </c>
      <c r="G86" s="12" t="n">
        <v>0.915177743055556</v>
      </c>
      <c r="H86" s="10" t="s">
        <v>37</v>
      </c>
      <c r="I86" s="13" t="n">
        <v>2</v>
      </c>
      <c r="J86" s="13" t="n">
        <v>54.75</v>
      </c>
      <c r="K86" s="13" t="n">
        <v>109.5</v>
      </c>
      <c r="L86" s="10" t="s">
        <v>340</v>
      </c>
      <c r="M86" s="10" t="s">
        <v>341</v>
      </c>
      <c r="N86" s="10"/>
      <c r="O86" s="10" t="s">
        <v>23</v>
      </c>
      <c r="P86" s="10" t="s">
        <v>24</v>
      </c>
    </row>
    <row r="87" customFormat="false" ht="15.75" hidden="false" customHeight="false" outlineLevel="0" collapsed="false">
      <c r="A87" s="10" t="s">
        <v>16</v>
      </c>
      <c r="B87" s="10" t="s">
        <v>342</v>
      </c>
      <c r="C87" s="10" t="s">
        <v>343</v>
      </c>
      <c r="D87" s="10" t="s">
        <v>230</v>
      </c>
      <c r="E87" s="10" t="s">
        <v>231</v>
      </c>
      <c r="F87" s="11" t="n">
        <v>45004</v>
      </c>
      <c r="G87" s="12" t="n">
        <v>0.0560737037037037</v>
      </c>
      <c r="H87" s="10" t="s">
        <v>37</v>
      </c>
      <c r="I87" s="13" t="n">
        <v>1</v>
      </c>
      <c r="J87" s="13" t="n">
        <v>188.49</v>
      </c>
      <c r="K87" s="13" t="n">
        <v>188.49</v>
      </c>
      <c r="L87" s="10" t="s">
        <v>344</v>
      </c>
      <c r="M87" s="10" t="s">
        <v>345</v>
      </c>
      <c r="N87" s="10"/>
      <c r="O87" s="10" t="s">
        <v>23</v>
      </c>
      <c r="P87" s="10" t="s">
        <v>24</v>
      </c>
    </row>
    <row r="88" customFormat="false" ht="15.75" hidden="false" customHeight="false" outlineLevel="0" collapsed="false">
      <c r="A88" s="10" t="s">
        <v>16</v>
      </c>
      <c r="B88" s="10" t="s">
        <v>93</v>
      </c>
      <c r="C88" s="10" t="s">
        <v>94</v>
      </c>
      <c r="D88" s="10" t="s">
        <v>95</v>
      </c>
      <c r="E88" s="10" t="s">
        <v>96</v>
      </c>
      <c r="F88" s="11" t="n">
        <v>45005</v>
      </c>
      <c r="G88" s="12" t="n">
        <v>0.98953255787037</v>
      </c>
      <c r="H88" s="10" t="s">
        <v>37</v>
      </c>
      <c r="I88" s="13" t="n">
        <v>1</v>
      </c>
      <c r="J88" s="13" t="n">
        <v>45.59</v>
      </c>
      <c r="K88" s="13" t="n">
        <v>45.59</v>
      </c>
      <c r="L88" s="10" t="s">
        <v>346</v>
      </c>
      <c r="M88" s="10" t="s">
        <v>347</v>
      </c>
      <c r="N88" s="10"/>
      <c r="O88" s="10" t="s">
        <v>23</v>
      </c>
      <c r="P88" s="10" t="s">
        <v>24</v>
      </c>
    </row>
    <row r="89" customFormat="false" ht="15.75" hidden="false" customHeight="false" outlineLevel="0" collapsed="false">
      <c r="A89" s="10" t="s">
        <v>16</v>
      </c>
      <c r="B89" s="10" t="s">
        <v>315</v>
      </c>
      <c r="C89" s="10" t="s">
        <v>316</v>
      </c>
      <c r="D89" s="10" t="s">
        <v>132</v>
      </c>
      <c r="E89" s="10" t="s">
        <v>96</v>
      </c>
      <c r="F89" s="11" t="n">
        <v>45005</v>
      </c>
      <c r="G89" s="12" t="n">
        <v>0.988385</v>
      </c>
      <c r="H89" s="10" t="s">
        <v>37</v>
      </c>
      <c r="I89" s="13" t="n">
        <v>1</v>
      </c>
      <c r="J89" s="13" t="n">
        <v>106.8</v>
      </c>
      <c r="K89" s="13" t="n">
        <v>106.8</v>
      </c>
      <c r="L89" s="10" t="s">
        <v>348</v>
      </c>
      <c r="M89" s="10" t="s">
        <v>349</v>
      </c>
      <c r="N89" s="10"/>
      <c r="O89" s="10" t="s">
        <v>23</v>
      </c>
      <c r="P89" s="10" t="s">
        <v>24</v>
      </c>
    </row>
    <row r="90" customFormat="false" ht="15.75" hidden="false" customHeight="false" outlineLevel="0" collapsed="false">
      <c r="A90" s="10" t="s">
        <v>16</v>
      </c>
      <c r="B90" s="10" t="s">
        <v>99</v>
      </c>
      <c r="C90" s="10" t="s">
        <v>1635</v>
      </c>
      <c r="D90" s="10" t="s">
        <v>101</v>
      </c>
      <c r="E90" s="10" t="s">
        <v>96</v>
      </c>
      <c r="F90" s="11" t="n">
        <v>45005</v>
      </c>
      <c r="G90" s="12" t="n">
        <v>0.986862638888889</v>
      </c>
      <c r="H90" s="10" t="s">
        <v>37</v>
      </c>
      <c r="I90" s="13" t="n">
        <v>1</v>
      </c>
      <c r="J90" s="13" t="n">
        <v>54.75</v>
      </c>
      <c r="K90" s="13" t="n">
        <v>54.75</v>
      </c>
      <c r="L90" s="10" t="s">
        <v>350</v>
      </c>
      <c r="M90" s="10" t="s">
        <v>351</v>
      </c>
      <c r="N90" s="10"/>
      <c r="O90" s="10" t="s">
        <v>23</v>
      </c>
      <c r="P90" s="10" t="s">
        <v>24</v>
      </c>
    </row>
    <row r="91" customFormat="false" ht="15.75" hidden="false" customHeight="false" outlineLevel="0" collapsed="false">
      <c r="A91" s="10" t="s">
        <v>16</v>
      </c>
      <c r="B91" s="10" t="s">
        <v>242</v>
      </c>
      <c r="C91" s="10" t="s">
        <v>243</v>
      </c>
      <c r="D91" s="10" t="s">
        <v>101</v>
      </c>
      <c r="E91" s="10" t="s">
        <v>96</v>
      </c>
      <c r="F91" s="11" t="n">
        <v>45005</v>
      </c>
      <c r="G91" s="12" t="n">
        <v>0.986089664351852</v>
      </c>
      <c r="H91" s="10" t="s">
        <v>37</v>
      </c>
      <c r="I91" s="13" t="n">
        <v>1</v>
      </c>
      <c r="J91" s="13" t="n">
        <v>272</v>
      </c>
      <c r="K91" s="13" t="n">
        <v>272</v>
      </c>
      <c r="L91" s="10" t="s">
        <v>352</v>
      </c>
      <c r="M91" s="10" t="s">
        <v>353</v>
      </c>
      <c r="N91" s="10"/>
      <c r="O91" s="10" t="s">
        <v>23</v>
      </c>
      <c r="P91" s="10" t="s">
        <v>24</v>
      </c>
    </row>
    <row r="92" customFormat="false" ht="15.75" hidden="false" customHeight="false" outlineLevel="0" collapsed="false">
      <c r="A92" s="10" t="s">
        <v>16</v>
      </c>
      <c r="B92" s="10" t="s">
        <v>354</v>
      </c>
      <c r="C92" s="10" t="s">
        <v>355</v>
      </c>
      <c r="D92" s="10" t="s">
        <v>27</v>
      </c>
      <c r="E92" s="10" t="s">
        <v>28</v>
      </c>
      <c r="F92" s="11" t="n">
        <v>45007</v>
      </c>
      <c r="G92" s="12" t="n">
        <v>0.675379525462963</v>
      </c>
      <c r="H92" s="10" t="s">
        <v>29</v>
      </c>
      <c r="I92" s="13" t="n">
        <v>28</v>
      </c>
      <c r="J92" s="13" t="n">
        <v>1203</v>
      </c>
      <c r="K92" s="13" t="n">
        <v>33684</v>
      </c>
      <c r="L92" s="10" t="s">
        <v>356</v>
      </c>
      <c r="M92" s="10" t="s">
        <v>357</v>
      </c>
      <c r="N92" s="10" t="s">
        <v>358</v>
      </c>
      <c r="O92" s="10" t="s">
        <v>110</v>
      </c>
      <c r="P92" s="10" t="s">
        <v>111</v>
      </c>
    </row>
    <row r="93" customFormat="false" ht="15.75" hidden="false" customHeight="false" outlineLevel="0" collapsed="false">
      <c r="A93" s="10" t="s">
        <v>16</v>
      </c>
      <c r="B93" s="10" t="s">
        <v>93</v>
      </c>
      <c r="C93" s="10" t="s">
        <v>94</v>
      </c>
      <c r="D93" s="10" t="s">
        <v>95</v>
      </c>
      <c r="E93" s="10" t="s">
        <v>96</v>
      </c>
      <c r="F93" s="11" t="n">
        <v>45007</v>
      </c>
      <c r="G93" s="12" t="n">
        <v>0.00245898148148148</v>
      </c>
      <c r="H93" s="10" t="s">
        <v>37</v>
      </c>
      <c r="I93" s="13" t="n">
        <v>1</v>
      </c>
      <c r="J93" s="13" t="n">
        <v>45.59</v>
      </c>
      <c r="K93" s="13" t="n">
        <v>45.59</v>
      </c>
      <c r="L93" s="10" t="s">
        <v>359</v>
      </c>
      <c r="M93" s="10" t="s">
        <v>360</v>
      </c>
      <c r="N93" s="10"/>
      <c r="O93" s="10" t="s">
        <v>23</v>
      </c>
      <c r="P93" s="10" t="s">
        <v>24</v>
      </c>
    </row>
    <row r="94" customFormat="false" ht="15.75" hidden="false" customHeight="false" outlineLevel="0" collapsed="false">
      <c r="A94" s="10" t="s">
        <v>16</v>
      </c>
      <c r="B94" s="10" t="s">
        <v>290</v>
      </c>
      <c r="C94" s="10" t="s">
        <v>291</v>
      </c>
      <c r="D94" s="10" t="s">
        <v>230</v>
      </c>
      <c r="E94" s="10" t="s">
        <v>231</v>
      </c>
      <c r="F94" s="11" t="n">
        <v>45009</v>
      </c>
      <c r="G94" s="12" t="n">
        <v>0.973931875</v>
      </c>
      <c r="H94" s="10" t="s">
        <v>37</v>
      </c>
      <c r="I94" s="13" t="n">
        <v>1</v>
      </c>
      <c r="J94" s="13" t="n">
        <v>188.49</v>
      </c>
      <c r="K94" s="13" t="n">
        <v>188.49</v>
      </c>
      <c r="L94" s="10" t="s">
        <v>361</v>
      </c>
      <c r="M94" s="10" t="s">
        <v>98</v>
      </c>
      <c r="N94" s="10"/>
      <c r="O94" s="10" t="s">
        <v>23</v>
      </c>
      <c r="P94" s="10" t="s">
        <v>24</v>
      </c>
    </row>
    <row r="95" customFormat="false" ht="15.75" hidden="false" customHeight="false" outlineLevel="0" collapsed="false">
      <c r="A95" s="10" t="s">
        <v>16</v>
      </c>
      <c r="B95" s="10" t="s">
        <v>290</v>
      </c>
      <c r="C95" s="10" t="s">
        <v>291</v>
      </c>
      <c r="D95" s="10" t="s">
        <v>230</v>
      </c>
      <c r="E95" s="10" t="s">
        <v>231</v>
      </c>
      <c r="F95" s="11" t="n">
        <v>45009</v>
      </c>
      <c r="G95" s="12" t="n">
        <v>0.973925231481482</v>
      </c>
      <c r="H95" s="10" t="s">
        <v>37</v>
      </c>
      <c r="I95" s="13" t="n">
        <v>1</v>
      </c>
      <c r="J95" s="13" t="n">
        <v>188.49</v>
      </c>
      <c r="K95" s="13" t="n">
        <v>188.49</v>
      </c>
      <c r="L95" s="10" t="s">
        <v>361</v>
      </c>
      <c r="M95" s="10" t="s">
        <v>98</v>
      </c>
      <c r="N95" s="10"/>
      <c r="O95" s="10" t="s">
        <v>23</v>
      </c>
      <c r="P95" s="10" t="s">
        <v>24</v>
      </c>
    </row>
    <row r="96" customFormat="false" ht="15.75" hidden="false" customHeight="false" outlineLevel="0" collapsed="false">
      <c r="A96" s="10" t="s">
        <v>16</v>
      </c>
      <c r="B96" s="10" t="s">
        <v>362</v>
      </c>
      <c r="C96" s="10" t="s">
        <v>363</v>
      </c>
      <c r="D96" s="10" t="s">
        <v>230</v>
      </c>
      <c r="E96" s="10" t="s">
        <v>231</v>
      </c>
      <c r="F96" s="11" t="n">
        <v>45009</v>
      </c>
      <c r="G96" s="12" t="n">
        <v>0.9727275</v>
      </c>
      <c r="H96" s="10" t="s">
        <v>37</v>
      </c>
      <c r="I96" s="13" t="n">
        <v>1</v>
      </c>
      <c r="J96" s="13" t="n">
        <v>430.85</v>
      </c>
      <c r="K96" s="13" t="n">
        <v>430.85</v>
      </c>
      <c r="L96" s="10" t="s">
        <v>364</v>
      </c>
      <c r="M96" s="10" t="s">
        <v>365</v>
      </c>
      <c r="N96" s="10"/>
      <c r="O96" s="10" t="s">
        <v>23</v>
      </c>
      <c r="P96" s="10" t="s">
        <v>24</v>
      </c>
    </row>
    <row r="97" customFormat="false" ht="15.75" hidden="false" customHeight="false" outlineLevel="0" collapsed="false">
      <c r="A97" s="10" t="s">
        <v>16</v>
      </c>
      <c r="B97" s="10" t="s">
        <v>366</v>
      </c>
      <c r="C97" s="10" t="s">
        <v>367</v>
      </c>
      <c r="D97" s="10" t="s">
        <v>142</v>
      </c>
      <c r="E97" s="10" t="s">
        <v>28</v>
      </c>
      <c r="F97" s="11" t="n">
        <v>45009</v>
      </c>
      <c r="G97" s="12" t="n">
        <v>0.971270972222222</v>
      </c>
      <c r="H97" s="10" t="s">
        <v>37</v>
      </c>
      <c r="I97" s="13" t="n">
        <v>1</v>
      </c>
      <c r="J97" s="13" t="n">
        <v>632</v>
      </c>
      <c r="K97" s="13" t="n">
        <v>632</v>
      </c>
      <c r="L97" s="10" t="s">
        <v>368</v>
      </c>
      <c r="M97" s="10" t="s">
        <v>369</v>
      </c>
      <c r="N97" s="10"/>
      <c r="O97" s="10" t="s">
        <v>23</v>
      </c>
      <c r="P97" s="10" t="s">
        <v>24</v>
      </c>
    </row>
    <row r="98" customFormat="false" ht="15.75" hidden="false" customHeight="false" outlineLevel="0" collapsed="false">
      <c r="A98" s="10" t="s">
        <v>16</v>
      </c>
      <c r="B98" s="10" t="s">
        <v>140</v>
      </c>
      <c r="C98" s="10" t="s">
        <v>141</v>
      </c>
      <c r="D98" s="10" t="s">
        <v>142</v>
      </c>
      <c r="E98" s="10" t="s">
        <v>28</v>
      </c>
      <c r="F98" s="11" t="n">
        <v>45009</v>
      </c>
      <c r="G98" s="12" t="n">
        <v>0.968729305555556</v>
      </c>
      <c r="H98" s="10" t="s">
        <v>37</v>
      </c>
      <c r="I98" s="13" t="n">
        <v>1</v>
      </c>
      <c r="J98" s="13" t="n">
        <v>790</v>
      </c>
      <c r="K98" s="13" t="n">
        <v>790</v>
      </c>
      <c r="L98" s="10" t="s">
        <v>370</v>
      </c>
      <c r="M98" s="10" t="s">
        <v>371</v>
      </c>
      <c r="N98" s="10"/>
      <c r="O98" s="10" t="s">
        <v>23</v>
      </c>
      <c r="P98" s="10" t="s">
        <v>24</v>
      </c>
    </row>
    <row r="99" customFormat="false" ht="15.75" hidden="false" customHeight="false" outlineLevel="0" collapsed="false">
      <c r="A99" s="10" t="s">
        <v>16</v>
      </c>
      <c r="B99" s="10" t="s">
        <v>372</v>
      </c>
      <c r="C99" s="10" t="s">
        <v>373</v>
      </c>
      <c r="D99" s="10" t="s">
        <v>147</v>
      </c>
      <c r="E99" s="10" t="s">
        <v>148</v>
      </c>
      <c r="F99" s="11" t="n">
        <v>45011</v>
      </c>
      <c r="G99" s="12" t="n">
        <v>0.795979363425926</v>
      </c>
      <c r="H99" s="10" t="s">
        <v>29</v>
      </c>
      <c r="I99" s="13" t="n">
        <v>1</v>
      </c>
      <c r="J99" s="13" t="n">
        <v>811.49</v>
      </c>
      <c r="K99" s="13" t="n">
        <v>811.49</v>
      </c>
      <c r="L99" s="10" t="s">
        <v>374</v>
      </c>
      <c r="M99" s="10" t="s">
        <v>375</v>
      </c>
      <c r="N99" s="10" t="s">
        <v>376</v>
      </c>
      <c r="O99" s="10" t="s">
        <v>61</v>
      </c>
      <c r="P99" s="10" t="s">
        <v>62</v>
      </c>
    </row>
    <row r="100" customFormat="false" ht="15.75" hidden="false" customHeight="false" outlineLevel="0" collapsed="false">
      <c r="A100" s="10" t="s">
        <v>16</v>
      </c>
      <c r="B100" s="10" t="s">
        <v>377</v>
      </c>
      <c r="C100" s="10" t="s">
        <v>378</v>
      </c>
      <c r="D100" s="10" t="s">
        <v>27</v>
      </c>
      <c r="E100" s="10" t="s">
        <v>28</v>
      </c>
      <c r="F100" s="11" t="n">
        <v>45012</v>
      </c>
      <c r="G100" s="12" t="n">
        <v>0.929420949074074</v>
      </c>
      <c r="H100" s="10" t="s">
        <v>29</v>
      </c>
      <c r="I100" s="13" t="n">
        <v>33</v>
      </c>
      <c r="J100" s="13" t="n">
        <v>1021</v>
      </c>
      <c r="K100" s="13" t="n">
        <v>33693</v>
      </c>
      <c r="L100" s="10" t="s">
        <v>379</v>
      </c>
      <c r="M100" s="10" t="s">
        <v>380</v>
      </c>
      <c r="N100" s="10" t="s">
        <v>381</v>
      </c>
      <c r="O100" s="10" t="s">
        <v>23</v>
      </c>
      <c r="P100" s="10" t="s">
        <v>24</v>
      </c>
    </row>
    <row r="101" customFormat="false" ht="15.75" hidden="false" customHeight="false" outlineLevel="0" collapsed="false">
      <c r="A101" s="10" t="s">
        <v>16</v>
      </c>
      <c r="B101" s="10" t="s">
        <v>372</v>
      </c>
      <c r="C101" s="10" t="s">
        <v>373</v>
      </c>
      <c r="D101" s="10" t="s">
        <v>147</v>
      </c>
      <c r="E101" s="10" t="s">
        <v>148</v>
      </c>
      <c r="F101" s="11" t="n">
        <v>45012</v>
      </c>
      <c r="G101" s="12" t="n">
        <v>0.923075914351852</v>
      </c>
      <c r="H101" s="10" t="s">
        <v>29</v>
      </c>
      <c r="I101" s="13" t="n">
        <v>37</v>
      </c>
      <c r="J101" s="13" t="n">
        <v>811.49</v>
      </c>
      <c r="K101" s="13" t="n">
        <v>30025.13</v>
      </c>
      <c r="L101" s="10" t="s">
        <v>382</v>
      </c>
      <c r="M101" s="10" t="s">
        <v>383</v>
      </c>
      <c r="N101" s="10" t="s">
        <v>384</v>
      </c>
      <c r="O101" s="10" t="s">
        <v>23</v>
      </c>
      <c r="P101" s="10" t="s">
        <v>24</v>
      </c>
    </row>
    <row r="102" customFormat="false" ht="15.75" hidden="false" customHeight="false" outlineLevel="0" collapsed="false">
      <c r="A102" s="10" t="s">
        <v>16</v>
      </c>
      <c r="B102" s="10" t="s">
        <v>385</v>
      </c>
      <c r="C102" s="10" t="s">
        <v>386</v>
      </c>
      <c r="D102" s="10" t="s">
        <v>142</v>
      </c>
      <c r="E102" s="10" t="s">
        <v>28</v>
      </c>
      <c r="F102" s="11" t="n">
        <v>45012</v>
      </c>
      <c r="G102" s="12" t="n">
        <v>0.857627002314815</v>
      </c>
      <c r="H102" s="10" t="s">
        <v>37</v>
      </c>
      <c r="I102" s="13" t="n">
        <v>1</v>
      </c>
      <c r="J102" s="13" t="n">
        <v>1126.1</v>
      </c>
      <c r="K102" s="13" t="n">
        <v>1126.1</v>
      </c>
      <c r="L102" s="10" t="s">
        <v>387</v>
      </c>
      <c r="M102" s="10" t="s">
        <v>388</v>
      </c>
      <c r="N102" s="10"/>
      <c r="O102" s="10" t="s">
        <v>23</v>
      </c>
      <c r="P102" s="10" t="s">
        <v>24</v>
      </c>
    </row>
    <row r="103" customFormat="false" ht="15.75" hidden="false" customHeight="false" outlineLevel="0" collapsed="false">
      <c r="A103" s="10" t="s">
        <v>16</v>
      </c>
      <c r="B103" s="10" t="s">
        <v>389</v>
      </c>
      <c r="C103" s="10" t="s">
        <v>390</v>
      </c>
      <c r="D103" s="10" t="s">
        <v>19</v>
      </c>
      <c r="E103" s="10" t="s">
        <v>20</v>
      </c>
      <c r="F103" s="11" t="n">
        <v>45012</v>
      </c>
      <c r="G103" s="12" t="n">
        <v>0.820755289351852</v>
      </c>
      <c r="H103" s="10" t="s">
        <v>37</v>
      </c>
      <c r="I103" s="13" t="n">
        <v>1</v>
      </c>
      <c r="J103" s="13" t="n">
        <v>497</v>
      </c>
      <c r="K103" s="13" t="n">
        <v>497</v>
      </c>
      <c r="L103" s="10" t="s">
        <v>391</v>
      </c>
      <c r="M103" s="10" t="s">
        <v>392</v>
      </c>
      <c r="N103" s="10"/>
      <c r="O103" s="10" t="s">
        <v>23</v>
      </c>
      <c r="P103" s="10" t="s">
        <v>24</v>
      </c>
    </row>
    <row r="104" customFormat="false" ht="15.75" hidden="false" customHeight="false" outlineLevel="0" collapsed="false">
      <c r="A104" s="10" t="s">
        <v>16</v>
      </c>
      <c r="B104" s="10" t="s">
        <v>286</v>
      </c>
      <c r="C104" s="10" t="s">
        <v>287</v>
      </c>
      <c r="D104" s="10" t="s">
        <v>19</v>
      </c>
      <c r="E104" s="10" t="s">
        <v>20</v>
      </c>
      <c r="F104" s="11" t="n">
        <v>45012</v>
      </c>
      <c r="G104" s="12" t="n">
        <v>0.818813773148148</v>
      </c>
      <c r="H104" s="10" t="s">
        <v>37</v>
      </c>
      <c r="I104" s="13" t="n">
        <v>1</v>
      </c>
      <c r="J104" s="13" t="n">
        <v>2379</v>
      </c>
      <c r="K104" s="13" t="n">
        <v>2379</v>
      </c>
      <c r="L104" s="10" t="s">
        <v>393</v>
      </c>
      <c r="M104" s="10" t="s">
        <v>394</v>
      </c>
      <c r="N104" s="10"/>
      <c r="O104" s="10" t="s">
        <v>23</v>
      </c>
      <c r="P104" s="10" t="s">
        <v>24</v>
      </c>
    </row>
    <row r="105" customFormat="false" ht="15.75" hidden="false" customHeight="false" outlineLevel="0" collapsed="false">
      <c r="A105" s="10" t="s">
        <v>16</v>
      </c>
      <c r="B105" s="10" t="s">
        <v>385</v>
      </c>
      <c r="C105" s="10" t="s">
        <v>386</v>
      </c>
      <c r="D105" s="10" t="s">
        <v>142</v>
      </c>
      <c r="E105" s="10" t="s">
        <v>28</v>
      </c>
      <c r="F105" s="11" t="n">
        <v>45012</v>
      </c>
      <c r="G105" s="12" t="n">
        <v>0.0443076273148148</v>
      </c>
      <c r="H105" s="10" t="s">
        <v>37</v>
      </c>
      <c r="I105" s="13" t="n">
        <v>1</v>
      </c>
      <c r="J105" s="13" t="n">
        <v>1126.1</v>
      </c>
      <c r="K105" s="13" t="n">
        <v>1126.1</v>
      </c>
      <c r="L105" s="10" t="s">
        <v>395</v>
      </c>
      <c r="M105" s="10" t="s">
        <v>396</v>
      </c>
      <c r="N105" s="10"/>
      <c r="O105" s="10" t="s">
        <v>23</v>
      </c>
      <c r="P105" s="10" t="s">
        <v>24</v>
      </c>
    </row>
    <row r="106" customFormat="false" ht="15.75" hidden="false" customHeight="false" outlineLevel="0" collapsed="false">
      <c r="A106" s="10" t="s">
        <v>16</v>
      </c>
      <c r="B106" s="10" t="s">
        <v>140</v>
      </c>
      <c r="C106" s="10" t="s">
        <v>141</v>
      </c>
      <c r="D106" s="10" t="s">
        <v>142</v>
      </c>
      <c r="E106" s="10" t="s">
        <v>28</v>
      </c>
      <c r="F106" s="11" t="n">
        <v>45012</v>
      </c>
      <c r="G106" s="12" t="n">
        <v>0.0421649189814815</v>
      </c>
      <c r="H106" s="10" t="s">
        <v>37</v>
      </c>
      <c r="I106" s="13" t="n">
        <v>2</v>
      </c>
      <c r="J106" s="13" t="n">
        <v>790</v>
      </c>
      <c r="K106" s="13" t="n">
        <v>1580</v>
      </c>
      <c r="L106" s="10" t="s">
        <v>397</v>
      </c>
      <c r="M106" s="10" t="s">
        <v>398</v>
      </c>
      <c r="N106" s="10"/>
      <c r="O106" s="10" t="s">
        <v>23</v>
      </c>
      <c r="P106" s="10" t="s">
        <v>24</v>
      </c>
    </row>
    <row r="107" customFormat="false" ht="15.75" hidden="false" customHeight="false" outlineLevel="0" collapsed="false">
      <c r="A107" s="10" t="s">
        <v>16</v>
      </c>
      <c r="B107" s="10" t="s">
        <v>399</v>
      </c>
      <c r="C107" s="10" t="s">
        <v>400</v>
      </c>
      <c r="D107" s="10" t="s">
        <v>230</v>
      </c>
      <c r="E107" s="10" t="s">
        <v>231</v>
      </c>
      <c r="F107" s="11" t="n">
        <v>45013</v>
      </c>
      <c r="G107" s="12" t="n">
        <v>0.0267020023148148</v>
      </c>
      <c r="H107" s="10" t="s">
        <v>21</v>
      </c>
      <c r="I107" s="13" t="n">
        <v>1</v>
      </c>
      <c r="J107" s="13" t="n">
        <v>778.23</v>
      </c>
      <c r="K107" s="13" t="n">
        <v>778.23</v>
      </c>
      <c r="L107" s="10" t="s">
        <v>401</v>
      </c>
      <c r="M107" s="10"/>
      <c r="N107" s="10"/>
      <c r="O107" s="10" t="s">
        <v>23</v>
      </c>
      <c r="P107" s="10" t="s">
        <v>24</v>
      </c>
    </row>
    <row r="108" customFormat="false" ht="15.75" hidden="false" customHeight="false" outlineLevel="0" collapsed="false">
      <c r="A108" s="10" t="s">
        <v>16</v>
      </c>
      <c r="B108" s="10" t="s">
        <v>402</v>
      </c>
      <c r="C108" s="10" t="s">
        <v>403</v>
      </c>
      <c r="D108" s="10" t="s">
        <v>230</v>
      </c>
      <c r="E108" s="10" t="s">
        <v>231</v>
      </c>
      <c r="F108" s="11" t="n">
        <v>45013</v>
      </c>
      <c r="G108" s="12" t="n">
        <v>0.0259050231481481</v>
      </c>
      <c r="H108" s="10" t="s">
        <v>21</v>
      </c>
      <c r="I108" s="13" t="n">
        <v>2</v>
      </c>
      <c r="J108" s="13" t="n">
        <v>778.23</v>
      </c>
      <c r="K108" s="13" t="n">
        <v>1556.46</v>
      </c>
      <c r="L108" s="10" t="s">
        <v>404</v>
      </c>
      <c r="M108" s="10"/>
      <c r="N108" s="10"/>
      <c r="O108" s="10" t="s">
        <v>23</v>
      </c>
      <c r="P108" s="10" t="s">
        <v>24</v>
      </c>
    </row>
    <row r="109" customFormat="false" ht="15.75" hidden="false" customHeight="false" outlineLevel="0" collapsed="false">
      <c r="A109" s="10" t="s">
        <v>16</v>
      </c>
      <c r="B109" s="10" t="s">
        <v>248</v>
      </c>
      <c r="C109" s="10" t="s">
        <v>249</v>
      </c>
      <c r="D109" s="10" t="s">
        <v>27</v>
      </c>
      <c r="E109" s="10" t="s">
        <v>28</v>
      </c>
      <c r="F109" s="11" t="n">
        <v>45013</v>
      </c>
      <c r="G109" s="12" t="n">
        <v>0.0194653472222222</v>
      </c>
      <c r="H109" s="10" t="s">
        <v>29</v>
      </c>
      <c r="I109" s="13" t="n">
        <v>23</v>
      </c>
      <c r="J109" s="13" t="n">
        <v>1130</v>
      </c>
      <c r="K109" s="13" t="n">
        <v>25990</v>
      </c>
      <c r="L109" s="10" t="s">
        <v>405</v>
      </c>
      <c r="M109" s="10" t="s">
        <v>406</v>
      </c>
      <c r="N109" s="10" t="s">
        <v>384</v>
      </c>
      <c r="O109" s="10" t="s">
        <v>23</v>
      </c>
      <c r="P109" s="10" t="s">
        <v>24</v>
      </c>
    </row>
    <row r="110" customFormat="false" ht="15.75" hidden="false" customHeight="false" outlineLevel="0" collapsed="false">
      <c r="A110" s="10" t="s">
        <v>16</v>
      </c>
      <c r="B110" s="10" t="s">
        <v>140</v>
      </c>
      <c r="C110" s="10" t="s">
        <v>141</v>
      </c>
      <c r="D110" s="10" t="s">
        <v>142</v>
      </c>
      <c r="E110" s="10" t="s">
        <v>28</v>
      </c>
      <c r="F110" s="11" t="n">
        <v>45017</v>
      </c>
      <c r="G110" s="12" t="n">
        <v>0.875707835648148</v>
      </c>
      <c r="H110" s="10" t="s">
        <v>37</v>
      </c>
      <c r="I110" s="13" t="n">
        <v>2</v>
      </c>
      <c r="J110" s="13" t="n">
        <v>790</v>
      </c>
      <c r="K110" s="13" t="n">
        <v>1580</v>
      </c>
      <c r="L110" s="10" t="s">
        <v>407</v>
      </c>
      <c r="M110" s="10" t="s">
        <v>408</v>
      </c>
      <c r="N110" s="10"/>
      <c r="O110" s="10" t="s">
        <v>23</v>
      </c>
      <c r="P110" s="10" t="s">
        <v>24</v>
      </c>
    </row>
    <row r="111" customFormat="false" ht="15.75" hidden="false" customHeight="false" outlineLevel="0" collapsed="false">
      <c r="A111" s="10" t="s">
        <v>16</v>
      </c>
      <c r="B111" s="10" t="s">
        <v>409</v>
      </c>
      <c r="C111" s="10" t="s">
        <v>410</v>
      </c>
      <c r="D111" s="10" t="s">
        <v>255</v>
      </c>
      <c r="E111" s="10" t="s">
        <v>71</v>
      </c>
      <c r="F111" s="11" t="n">
        <v>45018</v>
      </c>
      <c r="G111" s="12" t="n">
        <v>0.902773657407407</v>
      </c>
      <c r="H111" s="10" t="s">
        <v>37</v>
      </c>
      <c r="I111" s="13" t="n">
        <v>1</v>
      </c>
      <c r="J111" s="13" t="n">
        <v>71.77</v>
      </c>
      <c r="K111" s="13" t="n">
        <v>71.77</v>
      </c>
      <c r="L111" s="10" t="s">
        <v>411</v>
      </c>
      <c r="M111" s="10" t="s">
        <v>412</v>
      </c>
      <c r="N111" s="10"/>
      <c r="O111" s="10" t="s">
        <v>23</v>
      </c>
      <c r="P111" s="10" t="s">
        <v>24</v>
      </c>
    </row>
    <row r="112" customFormat="false" ht="15.75" hidden="false" customHeight="false" outlineLevel="0" collapsed="false">
      <c r="A112" s="10" t="s">
        <v>16</v>
      </c>
      <c r="B112" s="10" t="s">
        <v>140</v>
      </c>
      <c r="C112" s="10" t="s">
        <v>141</v>
      </c>
      <c r="D112" s="10" t="s">
        <v>142</v>
      </c>
      <c r="E112" s="10" t="s">
        <v>28</v>
      </c>
      <c r="F112" s="11" t="n">
        <v>45018</v>
      </c>
      <c r="G112" s="12" t="n">
        <v>0.899516886574074</v>
      </c>
      <c r="H112" s="10" t="s">
        <v>37</v>
      </c>
      <c r="I112" s="13" t="n">
        <v>4</v>
      </c>
      <c r="J112" s="13" t="n">
        <v>790</v>
      </c>
      <c r="K112" s="13" t="n">
        <v>3160</v>
      </c>
      <c r="L112" s="10" t="s">
        <v>413</v>
      </c>
      <c r="M112" s="10" t="s">
        <v>414</v>
      </c>
      <c r="N112" s="10"/>
      <c r="O112" s="10" t="s">
        <v>23</v>
      </c>
      <c r="P112" s="10" t="s">
        <v>24</v>
      </c>
    </row>
    <row r="113" customFormat="false" ht="15.75" hidden="false" customHeight="false" outlineLevel="0" collapsed="false">
      <c r="A113" s="10" t="s">
        <v>16</v>
      </c>
      <c r="B113" s="10" t="s">
        <v>415</v>
      </c>
      <c r="C113" s="10" t="s">
        <v>416</v>
      </c>
      <c r="D113" s="10" t="s">
        <v>70</v>
      </c>
      <c r="E113" s="10" t="s">
        <v>71</v>
      </c>
      <c r="F113" s="11" t="n">
        <v>45018</v>
      </c>
      <c r="G113" s="12" t="n">
        <v>0.898055081018518</v>
      </c>
      <c r="H113" s="10" t="s">
        <v>37</v>
      </c>
      <c r="I113" s="13" t="n">
        <v>1</v>
      </c>
      <c r="J113" s="13" t="n">
        <v>52</v>
      </c>
      <c r="K113" s="13" t="n">
        <v>52</v>
      </c>
      <c r="L113" s="10" t="s">
        <v>417</v>
      </c>
      <c r="M113" s="10" t="s">
        <v>418</v>
      </c>
      <c r="N113" s="10"/>
      <c r="O113" s="10" t="s">
        <v>23</v>
      </c>
      <c r="P113" s="10" t="s">
        <v>24</v>
      </c>
    </row>
    <row r="114" customFormat="false" ht="15.75" hidden="false" customHeight="false" outlineLevel="0" collapsed="false">
      <c r="A114" s="10" t="s">
        <v>16</v>
      </c>
      <c r="B114" s="10" t="s">
        <v>419</v>
      </c>
      <c r="C114" s="10" t="s">
        <v>420</v>
      </c>
      <c r="D114" s="10" t="s">
        <v>421</v>
      </c>
      <c r="E114" s="10" t="s">
        <v>71</v>
      </c>
      <c r="F114" s="11" t="n">
        <v>45018</v>
      </c>
      <c r="G114" s="12" t="n">
        <v>0.896058784722222</v>
      </c>
      <c r="H114" s="10" t="s">
        <v>37</v>
      </c>
      <c r="I114" s="13" t="n">
        <v>1</v>
      </c>
      <c r="J114" s="13" t="n">
        <v>52</v>
      </c>
      <c r="K114" s="13" t="n">
        <v>52</v>
      </c>
      <c r="L114" s="10" t="s">
        <v>422</v>
      </c>
      <c r="M114" s="10" t="s">
        <v>423</v>
      </c>
      <c r="N114" s="10"/>
      <c r="O114" s="10" t="s">
        <v>23</v>
      </c>
      <c r="P114" s="10" t="s">
        <v>24</v>
      </c>
    </row>
    <row r="115" customFormat="false" ht="15.75" hidden="false" customHeight="false" outlineLevel="0" collapsed="false">
      <c r="A115" s="10" t="s">
        <v>16</v>
      </c>
      <c r="B115" s="10" t="s">
        <v>424</v>
      </c>
      <c r="C115" s="10" t="s">
        <v>425</v>
      </c>
      <c r="D115" s="10" t="s">
        <v>426</v>
      </c>
      <c r="E115" s="10" t="s">
        <v>71</v>
      </c>
      <c r="F115" s="11" t="n">
        <v>45018</v>
      </c>
      <c r="G115" s="12" t="n">
        <v>0.894619722222222</v>
      </c>
      <c r="H115" s="10" t="s">
        <v>37</v>
      </c>
      <c r="I115" s="13" t="n">
        <v>1</v>
      </c>
      <c r="J115" s="13" t="n">
        <v>145</v>
      </c>
      <c r="K115" s="13" t="n">
        <v>145</v>
      </c>
      <c r="L115" s="10" t="s">
        <v>427</v>
      </c>
      <c r="M115" s="10" t="s">
        <v>428</v>
      </c>
      <c r="N115" s="10"/>
      <c r="O115" s="10" t="s">
        <v>23</v>
      </c>
      <c r="P115" s="10" t="s">
        <v>24</v>
      </c>
    </row>
    <row r="116" customFormat="false" ht="15.75" hidden="false" customHeight="false" outlineLevel="0" collapsed="false">
      <c r="A116" s="10" t="s">
        <v>16</v>
      </c>
      <c r="B116" s="10" t="s">
        <v>429</v>
      </c>
      <c r="C116" s="10" t="s">
        <v>430</v>
      </c>
      <c r="D116" s="10" t="s">
        <v>89</v>
      </c>
      <c r="E116" s="10" t="s">
        <v>431</v>
      </c>
      <c r="F116" s="11" t="n">
        <v>45019</v>
      </c>
      <c r="G116" s="12" t="n">
        <v>0.928815</v>
      </c>
      <c r="H116" s="10" t="s">
        <v>21</v>
      </c>
      <c r="I116" s="13" t="n">
        <v>1</v>
      </c>
      <c r="J116" s="13" t="n">
        <v>440</v>
      </c>
      <c r="K116" s="13" t="n">
        <v>440</v>
      </c>
      <c r="L116" s="10" t="s">
        <v>432</v>
      </c>
      <c r="M116" s="10"/>
      <c r="N116" s="10"/>
      <c r="O116" s="10" t="s">
        <v>23</v>
      </c>
      <c r="P116" s="10" t="s">
        <v>24</v>
      </c>
    </row>
    <row r="117" customFormat="false" ht="15.75" hidden="false" customHeight="false" outlineLevel="0" collapsed="false">
      <c r="A117" s="10" t="s">
        <v>16</v>
      </c>
      <c r="B117" s="10" t="s">
        <v>140</v>
      </c>
      <c r="C117" s="10" t="s">
        <v>141</v>
      </c>
      <c r="D117" s="10" t="s">
        <v>142</v>
      </c>
      <c r="E117" s="10" t="s">
        <v>28</v>
      </c>
      <c r="F117" s="11" t="n">
        <v>45019</v>
      </c>
      <c r="G117" s="12" t="n">
        <v>0.898917233796296</v>
      </c>
      <c r="H117" s="10" t="s">
        <v>37</v>
      </c>
      <c r="I117" s="13" t="n">
        <v>2</v>
      </c>
      <c r="J117" s="13" t="n">
        <v>790</v>
      </c>
      <c r="K117" s="13" t="n">
        <v>1580</v>
      </c>
      <c r="L117" s="10" t="s">
        <v>433</v>
      </c>
      <c r="M117" s="10" t="s">
        <v>434</v>
      </c>
      <c r="N117" s="10"/>
      <c r="O117" s="10" t="s">
        <v>23</v>
      </c>
      <c r="P117" s="10" t="s">
        <v>24</v>
      </c>
    </row>
    <row r="118" customFormat="false" ht="15.75" hidden="false" customHeight="false" outlineLevel="0" collapsed="false">
      <c r="A118" s="10" t="s">
        <v>16</v>
      </c>
      <c r="B118" s="10" t="s">
        <v>435</v>
      </c>
      <c r="C118" s="10" t="s">
        <v>436</v>
      </c>
      <c r="D118" s="10" t="s">
        <v>89</v>
      </c>
      <c r="E118" s="10" t="s">
        <v>431</v>
      </c>
      <c r="F118" s="11" t="n">
        <v>45019</v>
      </c>
      <c r="G118" s="12" t="n">
        <v>0.516837777777778</v>
      </c>
      <c r="H118" s="10" t="s">
        <v>37</v>
      </c>
      <c r="I118" s="13" t="n">
        <v>2</v>
      </c>
      <c r="J118" s="13" t="n">
        <v>400</v>
      </c>
      <c r="K118" s="13" t="n">
        <v>800</v>
      </c>
      <c r="L118" s="10" t="s">
        <v>437</v>
      </c>
      <c r="M118" s="10" t="s">
        <v>438</v>
      </c>
      <c r="N118" s="10"/>
      <c r="O118" s="10" t="s">
        <v>61</v>
      </c>
      <c r="P118" s="10" t="s">
        <v>62</v>
      </c>
    </row>
    <row r="119" customFormat="false" ht="15.75" hidden="false" customHeight="false" outlineLevel="0" collapsed="false">
      <c r="A119" s="10" t="s">
        <v>16</v>
      </c>
      <c r="B119" s="10" t="s">
        <v>99</v>
      </c>
      <c r="C119" s="10" t="s">
        <v>1635</v>
      </c>
      <c r="D119" s="10" t="s">
        <v>101</v>
      </c>
      <c r="E119" s="10" t="s">
        <v>96</v>
      </c>
      <c r="F119" s="11" t="n">
        <v>45020</v>
      </c>
      <c r="G119" s="12" t="n">
        <v>0.9493325</v>
      </c>
      <c r="H119" s="10" t="s">
        <v>37</v>
      </c>
      <c r="I119" s="13" t="n">
        <v>1</v>
      </c>
      <c r="J119" s="13" t="n">
        <v>54.79</v>
      </c>
      <c r="K119" s="13" t="n">
        <v>54.79</v>
      </c>
      <c r="L119" s="10" t="s">
        <v>439</v>
      </c>
      <c r="M119" s="10" t="s">
        <v>440</v>
      </c>
      <c r="N119" s="10"/>
      <c r="O119" s="10" t="s">
        <v>23</v>
      </c>
      <c r="P119" s="10" t="s">
        <v>24</v>
      </c>
    </row>
    <row r="120" customFormat="false" ht="15.75" hidden="false" customHeight="false" outlineLevel="0" collapsed="false">
      <c r="A120" s="10" t="s">
        <v>16</v>
      </c>
      <c r="B120" s="10" t="s">
        <v>130</v>
      </c>
      <c r="C120" s="10" t="s">
        <v>131</v>
      </c>
      <c r="D120" s="10" t="s">
        <v>132</v>
      </c>
      <c r="E120" s="10" t="s">
        <v>96</v>
      </c>
      <c r="F120" s="11" t="n">
        <v>45020</v>
      </c>
      <c r="G120" s="12" t="n">
        <v>0.947785821759259</v>
      </c>
      <c r="H120" s="10" t="s">
        <v>37</v>
      </c>
      <c r="I120" s="13" t="n">
        <v>4</v>
      </c>
      <c r="J120" s="13" t="n">
        <v>268.2</v>
      </c>
      <c r="K120" s="13" t="n">
        <v>1072.8</v>
      </c>
      <c r="L120" s="10" t="s">
        <v>441</v>
      </c>
      <c r="M120" s="10" t="s">
        <v>442</v>
      </c>
      <c r="N120" s="10"/>
      <c r="O120" s="10" t="s">
        <v>23</v>
      </c>
      <c r="P120" s="10" t="s">
        <v>24</v>
      </c>
    </row>
    <row r="121" customFormat="false" ht="15.75" hidden="false" customHeight="false" outlineLevel="0" collapsed="false">
      <c r="A121" s="10" t="s">
        <v>16</v>
      </c>
      <c r="B121" s="10" t="s">
        <v>151</v>
      </c>
      <c r="C121" s="10" t="s">
        <v>152</v>
      </c>
      <c r="D121" s="10" t="s">
        <v>153</v>
      </c>
      <c r="E121" s="10" t="s">
        <v>148</v>
      </c>
      <c r="F121" s="11" t="n">
        <v>45021</v>
      </c>
      <c r="G121" s="12" t="n">
        <v>0.899455127314815</v>
      </c>
      <c r="H121" s="10" t="s">
        <v>29</v>
      </c>
      <c r="I121" s="13" t="n">
        <v>29</v>
      </c>
      <c r="J121" s="13" t="n">
        <v>557.67</v>
      </c>
      <c r="K121" s="13" t="n">
        <v>16172.43</v>
      </c>
      <c r="L121" s="10" t="s">
        <v>443</v>
      </c>
      <c r="M121" s="10" t="s">
        <v>444</v>
      </c>
      <c r="N121" s="10" t="s">
        <v>445</v>
      </c>
      <c r="O121" s="10" t="s">
        <v>23</v>
      </c>
      <c r="P121" s="10" t="s">
        <v>24</v>
      </c>
    </row>
    <row r="122" customFormat="false" ht="15.75" hidden="false" customHeight="false" outlineLevel="0" collapsed="false">
      <c r="A122" s="10" t="s">
        <v>16</v>
      </c>
      <c r="B122" s="10" t="s">
        <v>377</v>
      </c>
      <c r="C122" s="10" t="s">
        <v>378</v>
      </c>
      <c r="D122" s="10" t="s">
        <v>27</v>
      </c>
      <c r="E122" s="10" t="s">
        <v>28</v>
      </c>
      <c r="F122" s="11" t="n">
        <v>45021</v>
      </c>
      <c r="G122" s="12" t="n">
        <v>0.896609918981481</v>
      </c>
      <c r="H122" s="10" t="s">
        <v>29</v>
      </c>
      <c r="I122" s="13" t="n">
        <v>1</v>
      </c>
      <c r="J122" s="13" t="n">
        <v>1021</v>
      </c>
      <c r="K122" s="13" t="n">
        <v>1021</v>
      </c>
      <c r="L122" s="10" t="s">
        <v>446</v>
      </c>
      <c r="M122" s="10" t="s">
        <v>447</v>
      </c>
      <c r="N122" s="10" t="s">
        <v>448</v>
      </c>
      <c r="O122" s="10" t="s">
        <v>23</v>
      </c>
      <c r="P122" s="10" t="s">
        <v>24</v>
      </c>
    </row>
    <row r="123" customFormat="false" ht="15.75" hidden="false" customHeight="false" outlineLevel="0" collapsed="false">
      <c r="A123" s="10" t="s">
        <v>16</v>
      </c>
      <c r="B123" s="10" t="s">
        <v>248</v>
      </c>
      <c r="C123" s="10" t="s">
        <v>249</v>
      </c>
      <c r="D123" s="10" t="s">
        <v>27</v>
      </c>
      <c r="E123" s="10" t="s">
        <v>28</v>
      </c>
      <c r="F123" s="11" t="n">
        <v>45021</v>
      </c>
      <c r="G123" s="12" t="n">
        <v>0.894460729166667</v>
      </c>
      <c r="H123" s="10" t="s">
        <v>29</v>
      </c>
      <c r="I123" s="13" t="n">
        <v>6</v>
      </c>
      <c r="J123" s="13" t="n">
        <v>1130</v>
      </c>
      <c r="K123" s="13" t="n">
        <v>6780</v>
      </c>
      <c r="L123" s="10" t="s">
        <v>449</v>
      </c>
      <c r="M123" s="10" t="s">
        <v>450</v>
      </c>
      <c r="N123" s="10" t="s">
        <v>451</v>
      </c>
      <c r="O123" s="10" t="s">
        <v>23</v>
      </c>
      <c r="P123" s="10" t="s">
        <v>24</v>
      </c>
    </row>
    <row r="124" customFormat="false" ht="15.75" hidden="false" customHeight="false" outlineLevel="0" collapsed="false">
      <c r="A124" s="10" t="s">
        <v>16</v>
      </c>
      <c r="B124" s="10" t="s">
        <v>452</v>
      </c>
      <c r="C124" s="10" t="s">
        <v>453</v>
      </c>
      <c r="D124" s="10" t="s">
        <v>27</v>
      </c>
      <c r="E124" s="10" t="s">
        <v>28</v>
      </c>
      <c r="F124" s="11" t="n">
        <v>45021</v>
      </c>
      <c r="G124" s="12" t="n">
        <v>0.892140335648148</v>
      </c>
      <c r="H124" s="10" t="s">
        <v>29</v>
      </c>
      <c r="I124" s="13" t="n">
        <v>1</v>
      </c>
      <c r="J124" s="13" t="n">
        <v>1453.5</v>
      </c>
      <c r="K124" s="13" t="n">
        <v>1453.5</v>
      </c>
      <c r="L124" s="10" t="s">
        <v>454</v>
      </c>
      <c r="M124" s="10" t="s">
        <v>455</v>
      </c>
      <c r="N124" s="10" t="s">
        <v>456</v>
      </c>
      <c r="O124" s="10" t="s">
        <v>23</v>
      </c>
      <c r="P124" s="10" t="s">
        <v>24</v>
      </c>
    </row>
    <row r="125" customFormat="false" ht="15.75" hidden="false" customHeight="false" outlineLevel="0" collapsed="false">
      <c r="A125" s="10" t="s">
        <v>16</v>
      </c>
      <c r="B125" s="10" t="s">
        <v>167</v>
      </c>
      <c r="C125" s="10" t="s">
        <v>168</v>
      </c>
      <c r="D125" s="10" t="s">
        <v>27</v>
      </c>
      <c r="E125" s="10" t="s">
        <v>28</v>
      </c>
      <c r="F125" s="11" t="n">
        <v>45021</v>
      </c>
      <c r="G125" s="12" t="n">
        <v>0.841559918981482</v>
      </c>
      <c r="H125" s="10" t="s">
        <v>29</v>
      </c>
      <c r="I125" s="13" t="n">
        <v>20</v>
      </c>
      <c r="J125" s="13" t="n">
        <v>1130</v>
      </c>
      <c r="K125" s="13" t="n">
        <v>22600</v>
      </c>
      <c r="L125" s="10" t="s">
        <v>457</v>
      </c>
      <c r="M125" s="10" t="s">
        <v>458</v>
      </c>
      <c r="N125" s="10" t="s">
        <v>459</v>
      </c>
      <c r="O125" s="10" t="s">
        <v>23</v>
      </c>
      <c r="P125" s="10" t="s">
        <v>24</v>
      </c>
    </row>
    <row r="126" customFormat="false" ht="15.75" hidden="false" customHeight="false" outlineLevel="0" collapsed="false">
      <c r="A126" s="10" t="s">
        <v>16</v>
      </c>
      <c r="B126" s="10" t="s">
        <v>460</v>
      </c>
      <c r="C126" s="10" t="s">
        <v>461</v>
      </c>
      <c r="D126" s="10" t="s">
        <v>65</v>
      </c>
      <c r="E126" s="10" t="s">
        <v>66</v>
      </c>
      <c r="F126" s="11" t="n">
        <v>45021</v>
      </c>
      <c r="G126" s="12" t="n">
        <v>0.438042256944444</v>
      </c>
      <c r="H126" s="10" t="s">
        <v>29</v>
      </c>
      <c r="I126" s="13" t="n">
        <v>167</v>
      </c>
      <c r="J126" s="13" t="n">
        <v>130</v>
      </c>
      <c r="K126" s="13" t="n">
        <v>21710</v>
      </c>
      <c r="L126" s="10" t="s">
        <v>462</v>
      </c>
      <c r="M126" s="10" t="s">
        <v>463</v>
      </c>
      <c r="N126" s="10" t="s">
        <v>193</v>
      </c>
      <c r="O126" s="10" t="s">
        <v>61</v>
      </c>
      <c r="P126" s="10" t="s">
        <v>62</v>
      </c>
    </row>
    <row r="127" customFormat="false" ht="15.75" hidden="false" customHeight="false" outlineLevel="0" collapsed="false">
      <c r="A127" s="10" t="s">
        <v>16</v>
      </c>
      <c r="B127" s="10" t="s">
        <v>464</v>
      </c>
      <c r="C127" s="10" t="s">
        <v>465</v>
      </c>
      <c r="D127" s="10" t="s">
        <v>466</v>
      </c>
      <c r="E127" s="10" t="s">
        <v>96</v>
      </c>
      <c r="F127" s="11" t="n">
        <v>45023</v>
      </c>
      <c r="G127" s="12" t="n">
        <v>0.89749380787037</v>
      </c>
      <c r="H127" s="10" t="s">
        <v>21</v>
      </c>
      <c r="I127" s="13" t="n">
        <v>2</v>
      </c>
      <c r="J127" s="13" t="n">
        <v>319.19</v>
      </c>
      <c r="K127" s="13" t="n">
        <v>638.38</v>
      </c>
      <c r="L127" s="10" t="s">
        <v>467</v>
      </c>
      <c r="M127" s="10"/>
      <c r="N127" s="10"/>
      <c r="O127" s="10" t="s">
        <v>23</v>
      </c>
      <c r="P127" s="10" t="s">
        <v>24</v>
      </c>
    </row>
    <row r="128" customFormat="false" ht="15.75" hidden="false" customHeight="false" outlineLevel="0" collapsed="false">
      <c r="A128" s="10" t="s">
        <v>16</v>
      </c>
      <c r="B128" s="10" t="s">
        <v>468</v>
      </c>
      <c r="C128" s="10" t="s">
        <v>469</v>
      </c>
      <c r="D128" s="10" t="s">
        <v>230</v>
      </c>
      <c r="E128" s="10" t="s">
        <v>231</v>
      </c>
      <c r="F128" s="11" t="n">
        <v>45023</v>
      </c>
      <c r="G128" s="12" t="n">
        <v>0.842612488425926</v>
      </c>
      <c r="H128" s="10" t="s">
        <v>37</v>
      </c>
      <c r="I128" s="13" t="n">
        <v>1</v>
      </c>
      <c r="J128" s="13" t="n">
        <v>517.05</v>
      </c>
      <c r="K128" s="13" t="n">
        <v>517.05</v>
      </c>
      <c r="L128" s="10" t="s">
        <v>470</v>
      </c>
      <c r="M128" s="10" t="s">
        <v>471</v>
      </c>
      <c r="N128" s="10"/>
      <c r="O128" s="10" t="s">
        <v>23</v>
      </c>
      <c r="P128" s="10" t="s">
        <v>24</v>
      </c>
    </row>
    <row r="129" customFormat="false" ht="15.75" hidden="false" customHeight="false" outlineLevel="0" collapsed="false">
      <c r="A129" s="10" t="s">
        <v>16</v>
      </c>
      <c r="B129" s="10" t="s">
        <v>472</v>
      </c>
      <c r="C129" s="10" t="s">
        <v>473</v>
      </c>
      <c r="D129" s="10" t="s">
        <v>230</v>
      </c>
      <c r="E129" s="10" t="s">
        <v>231</v>
      </c>
      <c r="F129" s="11" t="n">
        <v>45023</v>
      </c>
      <c r="G129" s="12" t="n">
        <v>0.841265636574074</v>
      </c>
      <c r="H129" s="10" t="s">
        <v>37</v>
      </c>
      <c r="I129" s="13" t="n">
        <v>1</v>
      </c>
      <c r="J129" s="13" t="n">
        <v>517.05</v>
      </c>
      <c r="K129" s="13" t="n">
        <v>517.05</v>
      </c>
      <c r="L129" s="10" t="s">
        <v>474</v>
      </c>
      <c r="M129" s="10" t="s">
        <v>475</v>
      </c>
      <c r="N129" s="10"/>
      <c r="O129" s="10" t="s">
        <v>23</v>
      </c>
      <c r="P129" s="10" t="s">
        <v>24</v>
      </c>
    </row>
    <row r="130" customFormat="false" ht="15.75" hidden="false" customHeight="false" outlineLevel="0" collapsed="false">
      <c r="A130" s="10" t="s">
        <v>16</v>
      </c>
      <c r="B130" s="10" t="s">
        <v>476</v>
      </c>
      <c r="C130" s="10" t="s">
        <v>477</v>
      </c>
      <c r="D130" s="10" t="s">
        <v>478</v>
      </c>
      <c r="E130" s="10" t="s">
        <v>66</v>
      </c>
      <c r="F130" s="11" t="n">
        <v>45023</v>
      </c>
      <c r="G130" s="12" t="n">
        <v>0.840079710648148</v>
      </c>
      <c r="H130" s="10" t="s">
        <v>37</v>
      </c>
      <c r="I130" s="13" t="n">
        <v>1</v>
      </c>
      <c r="J130" s="13" t="n">
        <v>178.5</v>
      </c>
      <c r="K130" s="13" t="n">
        <v>178.5</v>
      </c>
      <c r="L130" s="10" t="s">
        <v>479</v>
      </c>
      <c r="M130" s="10" t="s">
        <v>480</v>
      </c>
      <c r="N130" s="10"/>
      <c r="O130" s="10" t="s">
        <v>23</v>
      </c>
      <c r="P130" s="10" t="s">
        <v>24</v>
      </c>
    </row>
    <row r="131" customFormat="false" ht="15.75" hidden="false" customHeight="false" outlineLevel="0" collapsed="false">
      <c r="A131" s="10" t="s">
        <v>16</v>
      </c>
      <c r="B131" s="10" t="s">
        <v>481</v>
      </c>
      <c r="C131" s="10" t="s">
        <v>482</v>
      </c>
      <c r="D131" s="10" t="s">
        <v>483</v>
      </c>
      <c r="E131" s="10" t="s">
        <v>148</v>
      </c>
      <c r="F131" s="11" t="n">
        <v>45023</v>
      </c>
      <c r="G131" s="12" t="n">
        <v>0.833930335648148</v>
      </c>
      <c r="H131" s="10" t="s">
        <v>21</v>
      </c>
      <c r="I131" s="13" t="n">
        <v>32</v>
      </c>
      <c r="J131" s="13" t="n">
        <v>456.67</v>
      </c>
      <c r="K131" s="13" t="n">
        <v>14613.44</v>
      </c>
      <c r="L131" s="10" t="s">
        <v>484</v>
      </c>
      <c r="M131" s="10"/>
      <c r="N131" s="10"/>
      <c r="O131" s="10" t="s">
        <v>23</v>
      </c>
      <c r="P131" s="10" t="s">
        <v>24</v>
      </c>
    </row>
    <row r="132" customFormat="false" ht="15.75" hidden="false" customHeight="false" outlineLevel="0" collapsed="false">
      <c r="A132" s="10" t="s">
        <v>16</v>
      </c>
      <c r="B132" s="10" t="s">
        <v>485</v>
      </c>
      <c r="C132" s="10" t="s">
        <v>486</v>
      </c>
      <c r="D132" s="10" t="s">
        <v>487</v>
      </c>
      <c r="E132" s="10" t="s">
        <v>333</v>
      </c>
      <c r="F132" s="11" t="n">
        <v>45025</v>
      </c>
      <c r="G132" s="12" t="n">
        <v>0.8328253125</v>
      </c>
      <c r="H132" s="10" t="s">
        <v>29</v>
      </c>
      <c r="I132" s="13" t="n">
        <v>29</v>
      </c>
      <c r="J132" s="13" t="n">
        <v>219.3</v>
      </c>
      <c r="K132" s="13" t="n">
        <v>6359.7</v>
      </c>
      <c r="L132" s="10" t="s">
        <v>488</v>
      </c>
      <c r="M132" s="10" t="s">
        <v>489</v>
      </c>
      <c r="N132" s="10" t="s">
        <v>490</v>
      </c>
      <c r="O132" s="10" t="s">
        <v>23</v>
      </c>
      <c r="P132" s="10" t="s">
        <v>24</v>
      </c>
    </row>
    <row r="133" customFormat="false" ht="15.75" hidden="false" customHeight="false" outlineLevel="0" collapsed="false">
      <c r="A133" s="10" t="s">
        <v>16</v>
      </c>
      <c r="B133" s="10" t="s">
        <v>491</v>
      </c>
      <c r="C133" s="10" t="s">
        <v>492</v>
      </c>
      <c r="D133" s="10" t="s">
        <v>487</v>
      </c>
      <c r="E133" s="10" t="s">
        <v>333</v>
      </c>
      <c r="F133" s="11" t="n">
        <v>45025</v>
      </c>
      <c r="G133" s="12" t="n">
        <v>0.821939293981481</v>
      </c>
      <c r="H133" s="10" t="s">
        <v>29</v>
      </c>
      <c r="I133" s="13" t="n">
        <v>24</v>
      </c>
      <c r="J133" s="13" t="n">
        <v>219.3</v>
      </c>
      <c r="K133" s="13" t="n">
        <v>5263.2</v>
      </c>
      <c r="L133" s="10" t="s">
        <v>493</v>
      </c>
      <c r="M133" s="10" t="s">
        <v>494</v>
      </c>
      <c r="N133" s="10" t="s">
        <v>490</v>
      </c>
      <c r="O133" s="10" t="s">
        <v>23</v>
      </c>
      <c r="P133" s="10" t="s">
        <v>24</v>
      </c>
    </row>
    <row r="134" customFormat="false" ht="15.75" hidden="false" customHeight="false" outlineLevel="0" collapsed="false">
      <c r="A134" s="10" t="s">
        <v>16</v>
      </c>
      <c r="B134" s="10" t="s">
        <v>495</v>
      </c>
      <c r="C134" s="10" t="s">
        <v>496</v>
      </c>
      <c r="D134" s="10" t="s">
        <v>497</v>
      </c>
      <c r="E134" s="10" t="s">
        <v>498</v>
      </c>
      <c r="F134" s="11" t="n">
        <v>45025</v>
      </c>
      <c r="G134" s="12" t="n">
        <v>0.0839500462962963</v>
      </c>
      <c r="H134" s="10" t="s">
        <v>21</v>
      </c>
      <c r="I134" s="13" t="n">
        <v>1</v>
      </c>
      <c r="J134" s="13" t="n">
        <v>376.5</v>
      </c>
      <c r="K134" s="13" t="n">
        <v>376.5</v>
      </c>
      <c r="L134" s="10" t="s">
        <v>499</v>
      </c>
      <c r="M134" s="10"/>
      <c r="N134" s="10"/>
      <c r="O134" s="10" t="s">
        <v>23</v>
      </c>
      <c r="P134" s="10" t="s">
        <v>24</v>
      </c>
    </row>
    <row r="135" customFormat="false" ht="15.75" hidden="false" customHeight="false" outlineLevel="0" collapsed="false">
      <c r="A135" s="10" t="s">
        <v>16</v>
      </c>
      <c r="B135" s="10" t="s">
        <v>500</v>
      </c>
      <c r="C135" s="10" t="s">
        <v>501</v>
      </c>
      <c r="D135" s="10" t="s">
        <v>89</v>
      </c>
      <c r="E135" s="10" t="s">
        <v>333</v>
      </c>
      <c r="F135" s="11" t="n">
        <v>45025</v>
      </c>
      <c r="G135" s="12" t="n">
        <v>0.0756371643518518</v>
      </c>
      <c r="H135" s="10" t="s">
        <v>21</v>
      </c>
      <c r="I135" s="13" t="n">
        <v>2</v>
      </c>
      <c r="J135" s="13" t="n">
        <v>265</v>
      </c>
      <c r="K135" s="13" t="n">
        <v>530</v>
      </c>
      <c r="L135" s="10" t="s">
        <v>502</v>
      </c>
      <c r="M135" s="10"/>
      <c r="N135" s="10"/>
      <c r="O135" s="10" t="s">
        <v>23</v>
      </c>
      <c r="P135" s="10" t="s">
        <v>24</v>
      </c>
    </row>
    <row r="136" customFormat="false" ht="15.75" hidden="false" customHeight="false" outlineLevel="0" collapsed="false">
      <c r="A136" s="10" t="s">
        <v>16</v>
      </c>
      <c r="B136" s="10" t="s">
        <v>389</v>
      </c>
      <c r="C136" s="10" t="s">
        <v>390</v>
      </c>
      <c r="D136" s="10" t="s">
        <v>19</v>
      </c>
      <c r="E136" s="10" t="s">
        <v>20</v>
      </c>
      <c r="F136" s="11" t="n">
        <v>45025</v>
      </c>
      <c r="G136" s="12" t="n">
        <v>0.0575479976851852</v>
      </c>
      <c r="H136" s="10" t="s">
        <v>37</v>
      </c>
      <c r="I136" s="13" t="n">
        <v>2</v>
      </c>
      <c r="J136" s="13" t="n">
        <v>497</v>
      </c>
      <c r="K136" s="13" t="n">
        <v>994</v>
      </c>
      <c r="L136" s="10" t="s">
        <v>503</v>
      </c>
      <c r="M136" s="10" t="s">
        <v>504</v>
      </c>
      <c r="N136" s="10"/>
      <c r="O136" s="10" t="s">
        <v>23</v>
      </c>
      <c r="P136" s="10" t="s">
        <v>24</v>
      </c>
    </row>
    <row r="137" customFormat="false" ht="15.75" hidden="false" customHeight="false" outlineLevel="0" collapsed="false">
      <c r="A137" s="10" t="s">
        <v>16</v>
      </c>
      <c r="B137" s="10" t="s">
        <v>181</v>
      </c>
      <c r="C137" s="10" t="s">
        <v>182</v>
      </c>
      <c r="D137" s="10" t="s">
        <v>95</v>
      </c>
      <c r="E137" s="10" t="s">
        <v>96</v>
      </c>
      <c r="F137" s="11" t="n">
        <v>45026</v>
      </c>
      <c r="G137" s="12" t="n">
        <v>0.876152800925926</v>
      </c>
      <c r="H137" s="10" t="s">
        <v>37</v>
      </c>
      <c r="I137" s="13" t="n">
        <v>2</v>
      </c>
      <c r="J137" s="13" t="n">
        <v>90.08</v>
      </c>
      <c r="K137" s="13" t="n">
        <v>180.16</v>
      </c>
      <c r="L137" s="10" t="s">
        <v>505</v>
      </c>
      <c r="M137" s="10" t="s">
        <v>506</v>
      </c>
      <c r="N137" s="10"/>
      <c r="O137" s="10" t="s">
        <v>23</v>
      </c>
      <c r="P137" s="10" t="s">
        <v>24</v>
      </c>
    </row>
    <row r="138" customFormat="false" ht="15.75" hidden="false" customHeight="false" outlineLevel="0" collapsed="false">
      <c r="A138" s="10" t="s">
        <v>16</v>
      </c>
      <c r="B138" s="10" t="s">
        <v>507</v>
      </c>
      <c r="C138" s="10" t="s">
        <v>508</v>
      </c>
      <c r="D138" s="10" t="s">
        <v>95</v>
      </c>
      <c r="E138" s="10" t="s">
        <v>96</v>
      </c>
      <c r="F138" s="11" t="n">
        <v>45026</v>
      </c>
      <c r="G138" s="12" t="n">
        <v>0.874888090277778</v>
      </c>
      <c r="H138" s="10" t="s">
        <v>37</v>
      </c>
      <c r="I138" s="13" t="n">
        <v>2</v>
      </c>
      <c r="J138" s="13" t="n">
        <v>45.59</v>
      </c>
      <c r="K138" s="13" t="n">
        <v>91.18</v>
      </c>
      <c r="L138" s="10" t="s">
        <v>509</v>
      </c>
      <c r="M138" s="10" t="s">
        <v>510</v>
      </c>
      <c r="N138" s="10"/>
      <c r="O138" s="10" t="s">
        <v>23</v>
      </c>
      <c r="P138" s="10" t="s">
        <v>24</v>
      </c>
    </row>
    <row r="139" customFormat="false" ht="15.75" hidden="false" customHeight="false" outlineLevel="0" collapsed="false">
      <c r="A139" s="10" t="s">
        <v>16</v>
      </c>
      <c r="B139" s="10" t="s">
        <v>491</v>
      </c>
      <c r="C139" s="10" t="s">
        <v>492</v>
      </c>
      <c r="D139" s="10" t="s">
        <v>487</v>
      </c>
      <c r="E139" s="10" t="s">
        <v>333</v>
      </c>
      <c r="F139" s="11" t="n">
        <v>45026</v>
      </c>
      <c r="G139" s="12" t="n">
        <v>0.44616318287037</v>
      </c>
      <c r="H139" s="10" t="s">
        <v>29</v>
      </c>
      <c r="I139" s="13" t="n">
        <v>22</v>
      </c>
      <c r="J139" s="13" t="n">
        <v>219.3</v>
      </c>
      <c r="K139" s="13" t="n">
        <v>4824.6</v>
      </c>
      <c r="L139" s="10" t="s">
        <v>511</v>
      </c>
      <c r="M139" s="10" t="s">
        <v>512</v>
      </c>
      <c r="N139" s="10" t="s">
        <v>513</v>
      </c>
      <c r="O139" s="10" t="s">
        <v>61</v>
      </c>
      <c r="P139" s="10" t="s">
        <v>62</v>
      </c>
    </row>
    <row r="140" customFormat="false" ht="15.75" hidden="false" customHeight="false" outlineLevel="0" collapsed="false">
      <c r="A140" s="10" t="s">
        <v>16</v>
      </c>
      <c r="B140" s="10" t="s">
        <v>514</v>
      </c>
      <c r="C140" s="10" t="s">
        <v>515</v>
      </c>
      <c r="D140" s="10" t="s">
        <v>19</v>
      </c>
      <c r="E140" s="10" t="s">
        <v>20</v>
      </c>
      <c r="F140" s="11" t="n">
        <v>45027</v>
      </c>
      <c r="G140" s="12" t="n">
        <v>0.653216516203704</v>
      </c>
      <c r="H140" s="10" t="s">
        <v>37</v>
      </c>
      <c r="I140" s="13" t="n">
        <v>6</v>
      </c>
      <c r="J140" s="13" t="n">
        <v>1682</v>
      </c>
      <c r="K140" s="13" t="n">
        <v>10092</v>
      </c>
      <c r="L140" s="10" t="s">
        <v>516</v>
      </c>
      <c r="M140" s="10" t="s">
        <v>517</v>
      </c>
      <c r="N140" s="10"/>
      <c r="O140" s="10" t="s">
        <v>61</v>
      </c>
      <c r="P140" s="10" t="s">
        <v>62</v>
      </c>
    </row>
    <row r="141" customFormat="false" ht="15.75" hidden="false" customHeight="false" outlineLevel="0" collapsed="false">
      <c r="A141" s="10" t="s">
        <v>16</v>
      </c>
      <c r="B141" s="10" t="s">
        <v>514</v>
      </c>
      <c r="C141" s="10" t="s">
        <v>515</v>
      </c>
      <c r="D141" s="10" t="s">
        <v>19</v>
      </c>
      <c r="E141" s="10" t="s">
        <v>20</v>
      </c>
      <c r="F141" s="11" t="n">
        <v>45027</v>
      </c>
      <c r="G141" s="12" t="n">
        <v>0.641359594907407</v>
      </c>
      <c r="H141" s="10" t="s">
        <v>37</v>
      </c>
      <c r="I141" s="13" t="n">
        <v>1</v>
      </c>
      <c r="J141" s="13" t="n">
        <v>1682</v>
      </c>
      <c r="K141" s="13" t="n">
        <v>1682</v>
      </c>
      <c r="L141" s="10" t="s">
        <v>518</v>
      </c>
      <c r="M141" s="10" t="s">
        <v>519</v>
      </c>
      <c r="N141" s="10"/>
      <c r="O141" s="10" t="s">
        <v>61</v>
      </c>
      <c r="P141" s="10" t="s">
        <v>62</v>
      </c>
    </row>
    <row r="142" customFormat="false" ht="15.75" hidden="false" customHeight="false" outlineLevel="0" collapsed="false">
      <c r="A142" s="10" t="s">
        <v>16</v>
      </c>
      <c r="B142" s="10" t="s">
        <v>140</v>
      </c>
      <c r="C142" s="10" t="s">
        <v>141</v>
      </c>
      <c r="D142" s="10" t="s">
        <v>142</v>
      </c>
      <c r="E142" s="10" t="s">
        <v>28</v>
      </c>
      <c r="F142" s="11" t="n">
        <v>45030</v>
      </c>
      <c r="G142" s="12" t="n">
        <v>0.650818425925926</v>
      </c>
      <c r="H142" s="10" t="s">
        <v>37</v>
      </c>
      <c r="I142" s="13" t="n">
        <v>1</v>
      </c>
      <c r="J142" s="13" t="n">
        <v>744</v>
      </c>
      <c r="K142" s="13" t="n">
        <v>744</v>
      </c>
      <c r="L142" s="10" t="s">
        <v>520</v>
      </c>
      <c r="M142" s="10" t="s">
        <v>521</v>
      </c>
      <c r="N142" s="10"/>
      <c r="O142" s="10" t="s">
        <v>23</v>
      </c>
      <c r="P142" s="10" t="s">
        <v>24</v>
      </c>
    </row>
    <row r="143" customFormat="false" ht="15.75" hidden="false" customHeight="false" outlineLevel="0" collapsed="false">
      <c r="A143" s="10" t="s">
        <v>16</v>
      </c>
      <c r="B143" s="10" t="s">
        <v>522</v>
      </c>
      <c r="C143" s="10" t="s">
        <v>523</v>
      </c>
      <c r="D143" s="10" t="s">
        <v>27</v>
      </c>
      <c r="E143" s="10" t="s">
        <v>28</v>
      </c>
      <c r="F143" s="11" t="n">
        <v>45031</v>
      </c>
      <c r="G143" s="12" t="n">
        <v>0.930616805555556</v>
      </c>
      <c r="H143" s="10" t="s">
        <v>21</v>
      </c>
      <c r="I143" s="13" t="n">
        <v>5</v>
      </c>
      <c r="J143" s="13" t="n">
        <v>674.5</v>
      </c>
      <c r="K143" s="13" t="n">
        <v>3372.5</v>
      </c>
      <c r="L143" s="10" t="s">
        <v>524</v>
      </c>
      <c r="M143" s="10"/>
      <c r="N143" s="10"/>
      <c r="O143" s="10" t="s">
        <v>23</v>
      </c>
      <c r="P143" s="10" t="s">
        <v>24</v>
      </c>
    </row>
    <row r="144" customFormat="false" ht="15.75" hidden="false" customHeight="false" outlineLevel="0" collapsed="false">
      <c r="A144" s="10" t="s">
        <v>16</v>
      </c>
      <c r="B144" s="10" t="s">
        <v>525</v>
      </c>
      <c r="C144" s="10" t="s">
        <v>526</v>
      </c>
      <c r="D144" s="10" t="s">
        <v>527</v>
      </c>
      <c r="E144" s="10" t="s">
        <v>148</v>
      </c>
      <c r="F144" s="11" t="n">
        <v>45031</v>
      </c>
      <c r="G144" s="12" t="n">
        <v>0.625385358796296</v>
      </c>
      <c r="H144" s="10" t="s">
        <v>37</v>
      </c>
      <c r="I144" s="13" t="n">
        <v>1</v>
      </c>
      <c r="J144" s="13" t="n">
        <v>70.91</v>
      </c>
      <c r="K144" s="13" t="n">
        <v>70.91</v>
      </c>
      <c r="L144" s="10" t="s">
        <v>528</v>
      </c>
      <c r="M144" s="10" t="s">
        <v>529</v>
      </c>
      <c r="N144" s="10"/>
      <c r="O144" s="10" t="s">
        <v>61</v>
      </c>
      <c r="P144" s="10" t="s">
        <v>62</v>
      </c>
    </row>
    <row r="145" customFormat="false" ht="15.75" hidden="false" customHeight="false" outlineLevel="0" collapsed="false">
      <c r="A145" s="10" t="s">
        <v>16</v>
      </c>
      <c r="B145" s="10" t="s">
        <v>530</v>
      </c>
      <c r="C145" s="10" t="s">
        <v>531</v>
      </c>
      <c r="D145" s="10" t="s">
        <v>527</v>
      </c>
      <c r="E145" s="10" t="s">
        <v>148</v>
      </c>
      <c r="F145" s="11" t="n">
        <v>45031</v>
      </c>
      <c r="G145" s="12" t="n">
        <v>0.624977083333333</v>
      </c>
      <c r="H145" s="10" t="s">
        <v>37</v>
      </c>
      <c r="I145" s="13" t="n">
        <v>1</v>
      </c>
      <c r="J145" s="13" t="n">
        <v>70.91</v>
      </c>
      <c r="K145" s="13" t="n">
        <v>70.91</v>
      </c>
      <c r="L145" s="10" t="s">
        <v>532</v>
      </c>
      <c r="M145" s="10" t="s">
        <v>533</v>
      </c>
      <c r="N145" s="10"/>
      <c r="O145" s="10" t="s">
        <v>61</v>
      </c>
      <c r="P145" s="10" t="s">
        <v>62</v>
      </c>
    </row>
    <row r="146" customFormat="false" ht="15.75" hidden="false" customHeight="false" outlineLevel="0" collapsed="false">
      <c r="A146" s="10" t="s">
        <v>16</v>
      </c>
      <c r="B146" s="10" t="s">
        <v>534</v>
      </c>
      <c r="C146" s="10" t="s">
        <v>535</v>
      </c>
      <c r="D146" s="10" t="s">
        <v>527</v>
      </c>
      <c r="E146" s="10" t="s">
        <v>148</v>
      </c>
      <c r="F146" s="11" t="n">
        <v>45031</v>
      </c>
      <c r="G146" s="12" t="n">
        <v>0.624616678240741</v>
      </c>
      <c r="H146" s="10" t="s">
        <v>37</v>
      </c>
      <c r="I146" s="13" t="n">
        <v>4</v>
      </c>
      <c r="J146" s="13" t="n">
        <v>36.81</v>
      </c>
      <c r="K146" s="13" t="n">
        <v>147.24</v>
      </c>
      <c r="L146" s="10" t="s">
        <v>536</v>
      </c>
      <c r="M146" s="10" t="s">
        <v>537</v>
      </c>
      <c r="N146" s="10"/>
      <c r="O146" s="10" t="s">
        <v>61</v>
      </c>
      <c r="P146" s="10" t="s">
        <v>62</v>
      </c>
    </row>
    <row r="147" customFormat="false" ht="15.75" hidden="false" customHeight="false" outlineLevel="0" collapsed="false">
      <c r="A147" s="10" t="s">
        <v>16</v>
      </c>
      <c r="B147" s="10" t="s">
        <v>538</v>
      </c>
      <c r="C147" s="10" t="s">
        <v>539</v>
      </c>
      <c r="D147" s="10" t="s">
        <v>527</v>
      </c>
      <c r="E147" s="10" t="s">
        <v>148</v>
      </c>
      <c r="F147" s="11" t="n">
        <v>45031</v>
      </c>
      <c r="G147" s="12" t="n">
        <v>0.623514699074074</v>
      </c>
      <c r="H147" s="10" t="s">
        <v>37</v>
      </c>
      <c r="I147" s="13" t="n">
        <v>3</v>
      </c>
      <c r="J147" s="13" t="n">
        <v>70.91</v>
      </c>
      <c r="K147" s="13" t="n">
        <v>212.73</v>
      </c>
      <c r="L147" s="10" t="s">
        <v>540</v>
      </c>
      <c r="M147" s="10" t="s">
        <v>541</v>
      </c>
      <c r="N147" s="10"/>
      <c r="O147" s="10" t="s">
        <v>61</v>
      </c>
      <c r="P147" s="10" t="s">
        <v>62</v>
      </c>
    </row>
    <row r="148" customFormat="false" ht="15.75" hidden="false" customHeight="false" outlineLevel="0" collapsed="false">
      <c r="A148" s="10" t="s">
        <v>16</v>
      </c>
      <c r="B148" s="10" t="s">
        <v>542</v>
      </c>
      <c r="C148" s="10" t="s">
        <v>543</v>
      </c>
      <c r="D148" s="10" t="s">
        <v>527</v>
      </c>
      <c r="E148" s="10" t="s">
        <v>148</v>
      </c>
      <c r="F148" s="11" t="n">
        <v>45031</v>
      </c>
      <c r="G148" s="12" t="n">
        <v>0.623090405092593</v>
      </c>
      <c r="H148" s="10" t="s">
        <v>37</v>
      </c>
      <c r="I148" s="13" t="n">
        <v>4</v>
      </c>
      <c r="J148" s="13" t="n">
        <v>36.81</v>
      </c>
      <c r="K148" s="13" t="n">
        <v>147.24</v>
      </c>
      <c r="L148" s="10" t="s">
        <v>544</v>
      </c>
      <c r="M148" s="10" t="s">
        <v>545</v>
      </c>
      <c r="N148" s="10"/>
      <c r="O148" s="10" t="s">
        <v>61</v>
      </c>
      <c r="P148" s="10" t="s">
        <v>62</v>
      </c>
    </row>
    <row r="149" customFormat="false" ht="15.75" hidden="false" customHeight="false" outlineLevel="0" collapsed="false">
      <c r="A149" s="10" t="s">
        <v>16</v>
      </c>
      <c r="B149" s="10" t="s">
        <v>546</v>
      </c>
      <c r="C149" s="10" t="s">
        <v>547</v>
      </c>
      <c r="D149" s="10" t="s">
        <v>132</v>
      </c>
      <c r="E149" s="10" t="s">
        <v>96</v>
      </c>
      <c r="F149" s="11" t="n">
        <v>45033</v>
      </c>
      <c r="G149" s="12" t="n">
        <v>0.819582199074074</v>
      </c>
      <c r="H149" s="10" t="s">
        <v>37</v>
      </c>
      <c r="I149" s="13" t="n">
        <v>1</v>
      </c>
      <c r="J149" s="13" t="n">
        <v>211.2</v>
      </c>
      <c r="K149" s="13" t="n">
        <v>211.2</v>
      </c>
      <c r="L149" s="10" t="s">
        <v>548</v>
      </c>
      <c r="M149" s="10" t="s">
        <v>549</v>
      </c>
      <c r="N149" s="10"/>
      <c r="O149" s="10" t="s">
        <v>23</v>
      </c>
      <c r="P149" s="10" t="s">
        <v>24</v>
      </c>
    </row>
    <row r="150" customFormat="false" ht="15.75" hidden="false" customHeight="false" outlineLevel="0" collapsed="false">
      <c r="A150" s="10" t="s">
        <v>16</v>
      </c>
      <c r="B150" s="10" t="s">
        <v>550</v>
      </c>
      <c r="C150" s="10" t="s">
        <v>551</v>
      </c>
      <c r="D150" s="10" t="s">
        <v>552</v>
      </c>
      <c r="E150" s="10" t="s">
        <v>553</v>
      </c>
      <c r="F150" s="11" t="n">
        <v>45033</v>
      </c>
      <c r="G150" s="12" t="n">
        <v>0.817898576388889</v>
      </c>
      <c r="H150" s="10" t="s">
        <v>37</v>
      </c>
      <c r="I150" s="13" t="n">
        <v>1</v>
      </c>
      <c r="J150" s="13" t="n">
        <v>157.92</v>
      </c>
      <c r="K150" s="13" t="n">
        <v>157.92</v>
      </c>
      <c r="L150" s="10" t="s">
        <v>554</v>
      </c>
      <c r="M150" s="10" t="s">
        <v>555</v>
      </c>
      <c r="N150" s="10"/>
      <c r="O150" s="10" t="s">
        <v>23</v>
      </c>
      <c r="P150" s="10" t="s">
        <v>24</v>
      </c>
    </row>
    <row r="151" customFormat="false" ht="15.75" hidden="false" customHeight="false" outlineLevel="0" collapsed="false">
      <c r="A151" s="10" t="s">
        <v>16</v>
      </c>
      <c r="B151" s="10" t="s">
        <v>402</v>
      </c>
      <c r="C151" s="10" t="s">
        <v>403</v>
      </c>
      <c r="D151" s="10" t="s">
        <v>230</v>
      </c>
      <c r="E151" s="10" t="s">
        <v>231</v>
      </c>
      <c r="F151" s="11" t="n">
        <v>45033</v>
      </c>
      <c r="G151" s="12" t="n">
        <v>0.00167947916666667</v>
      </c>
      <c r="H151" s="10" t="s">
        <v>37</v>
      </c>
      <c r="I151" s="13" t="n">
        <v>1</v>
      </c>
      <c r="J151" s="13" t="n">
        <v>864.4</v>
      </c>
      <c r="K151" s="13" t="n">
        <v>864.4</v>
      </c>
      <c r="L151" s="10" t="s">
        <v>556</v>
      </c>
      <c r="M151" s="10" t="s">
        <v>557</v>
      </c>
      <c r="N151" s="10"/>
      <c r="O151" s="10" t="s">
        <v>23</v>
      </c>
      <c r="P151" s="10" t="s">
        <v>24</v>
      </c>
    </row>
    <row r="152" customFormat="false" ht="15.75" hidden="false" customHeight="false" outlineLevel="0" collapsed="false">
      <c r="A152" s="10" t="s">
        <v>16</v>
      </c>
      <c r="B152" s="10" t="s">
        <v>558</v>
      </c>
      <c r="C152" s="10" t="s">
        <v>559</v>
      </c>
      <c r="D152" s="10" t="s">
        <v>560</v>
      </c>
      <c r="E152" s="10" t="s">
        <v>122</v>
      </c>
      <c r="F152" s="11" t="n">
        <v>45034</v>
      </c>
      <c r="G152" s="12" t="n">
        <v>0.0639118402777778</v>
      </c>
      <c r="H152" s="10" t="s">
        <v>37</v>
      </c>
      <c r="I152" s="13" t="n">
        <v>1</v>
      </c>
      <c r="J152" s="13" t="n">
        <v>101.2</v>
      </c>
      <c r="K152" s="13" t="n">
        <v>101.2</v>
      </c>
      <c r="L152" s="10" t="s">
        <v>561</v>
      </c>
      <c r="M152" s="10" t="s">
        <v>562</v>
      </c>
      <c r="N152" s="10"/>
      <c r="O152" s="10" t="s">
        <v>23</v>
      </c>
      <c r="P152" s="10" t="s">
        <v>24</v>
      </c>
    </row>
    <row r="153" customFormat="false" ht="15.75" hidden="false" customHeight="false" outlineLevel="0" collapsed="false">
      <c r="A153" s="10" t="s">
        <v>16</v>
      </c>
      <c r="B153" s="10" t="s">
        <v>140</v>
      </c>
      <c r="C153" s="10" t="s">
        <v>141</v>
      </c>
      <c r="D153" s="10" t="s">
        <v>142</v>
      </c>
      <c r="E153" s="10" t="s">
        <v>28</v>
      </c>
      <c r="F153" s="11" t="n">
        <v>45035</v>
      </c>
      <c r="G153" s="12" t="n">
        <v>0.0935325347222222</v>
      </c>
      <c r="H153" s="10" t="s">
        <v>37</v>
      </c>
      <c r="I153" s="13" t="n">
        <v>2</v>
      </c>
      <c r="J153" s="13" t="n">
        <v>755</v>
      </c>
      <c r="K153" s="13" t="n">
        <v>1510</v>
      </c>
      <c r="L153" s="10" t="s">
        <v>563</v>
      </c>
      <c r="M153" s="10" t="s">
        <v>564</v>
      </c>
      <c r="N153" s="10"/>
      <c r="O153" s="10" t="s">
        <v>23</v>
      </c>
      <c r="P153" s="10" t="s">
        <v>24</v>
      </c>
    </row>
    <row r="154" customFormat="false" ht="15.75" hidden="false" customHeight="false" outlineLevel="0" collapsed="false">
      <c r="A154" s="10" t="s">
        <v>16</v>
      </c>
      <c r="B154" s="10" t="s">
        <v>565</v>
      </c>
      <c r="C154" s="10" t="s">
        <v>566</v>
      </c>
      <c r="D154" s="10" t="s">
        <v>567</v>
      </c>
      <c r="E154" s="10" t="s">
        <v>568</v>
      </c>
      <c r="F154" s="11" t="n">
        <v>45041</v>
      </c>
      <c r="G154" s="12" t="n">
        <v>0.672350219907407</v>
      </c>
      <c r="H154" s="10" t="s">
        <v>37</v>
      </c>
      <c r="I154" s="13" t="n">
        <v>1</v>
      </c>
      <c r="J154" s="13" t="n">
        <v>1350</v>
      </c>
      <c r="K154" s="13" t="n">
        <v>1350</v>
      </c>
      <c r="L154" s="10" t="s">
        <v>569</v>
      </c>
      <c r="M154" s="10" t="s">
        <v>570</v>
      </c>
      <c r="N154" s="10"/>
      <c r="O154" s="10" t="s">
        <v>23</v>
      </c>
      <c r="P154" s="10" t="s">
        <v>24</v>
      </c>
    </row>
    <row r="155" customFormat="false" ht="15.75" hidden="false" customHeight="false" outlineLevel="0" collapsed="false">
      <c r="A155" s="10" t="s">
        <v>16</v>
      </c>
      <c r="B155" s="10" t="s">
        <v>571</v>
      </c>
      <c r="C155" s="10" t="s">
        <v>572</v>
      </c>
      <c r="D155" s="10" t="s">
        <v>573</v>
      </c>
      <c r="E155" s="10" t="s">
        <v>36</v>
      </c>
      <c r="F155" s="11" t="n">
        <v>45042</v>
      </c>
      <c r="G155" s="12" t="n">
        <v>0.953579189814815</v>
      </c>
      <c r="H155" s="10" t="s">
        <v>37</v>
      </c>
      <c r="I155" s="13" t="n">
        <v>1</v>
      </c>
      <c r="J155" s="13" t="n">
        <v>500</v>
      </c>
      <c r="K155" s="13" t="n">
        <v>500</v>
      </c>
      <c r="L155" s="10" t="s">
        <v>574</v>
      </c>
      <c r="M155" s="10" t="s">
        <v>575</v>
      </c>
      <c r="N155" s="10"/>
      <c r="O155" s="10" t="s">
        <v>23</v>
      </c>
      <c r="P155" s="10" t="s">
        <v>24</v>
      </c>
    </row>
    <row r="156" customFormat="false" ht="15.75" hidden="false" customHeight="false" outlineLevel="0" collapsed="false">
      <c r="A156" s="10" t="s">
        <v>16</v>
      </c>
      <c r="B156" s="10" t="s">
        <v>238</v>
      </c>
      <c r="C156" s="10" t="s">
        <v>239</v>
      </c>
      <c r="D156" s="10" t="s">
        <v>95</v>
      </c>
      <c r="E156" s="10" t="s">
        <v>96</v>
      </c>
      <c r="F156" s="11" t="n">
        <v>45043</v>
      </c>
      <c r="G156" s="12" t="n">
        <v>0.115751111111111</v>
      </c>
      <c r="H156" s="10" t="s">
        <v>37</v>
      </c>
      <c r="I156" s="13" t="n">
        <v>4</v>
      </c>
      <c r="J156" s="13" t="n">
        <v>55.38</v>
      </c>
      <c r="K156" s="13" t="n">
        <v>221.52</v>
      </c>
      <c r="L156" s="10" t="s">
        <v>576</v>
      </c>
      <c r="M156" s="10" t="s">
        <v>577</v>
      </c>
      <c r="N156" s="10"/>
      <c r="O156" s="10" t="s">
        <v>23</v>
      </c>
      <c r="P156" s="10" t="s">
        <v>24</v>
      </c>
    </row>
    <row r="157" customFormat="false" ht="15.75" hidden="false" customHeight="false" outlineLevel="0" collapsed="false">
      <c r="A157" s="10" t="s">
        <v>16</v>
      </c>
      <c r="B157" s="10" t="s">
        <v>578</v>
      </c>
      <c r="C157" s="10" t="s">
        <v>579</v>
      </c>
      <c r="D157" s="10" t="s">
        <v>580</v>
      </c>
      <c r="E157" s="10" t="s">
        <v>553</v>
      </c>
      <c r="F157" s="11" t="n">
        <v>45044</v>
      </c>
      <c r="G157" s="12" t="n">
        <v>0.713964178240741</v>
      </c>
      <c r="H157" s="10" t="s">
        <v>21</v>
      </c>
      <c r="I157" s="13" t="n">
        <v>20</v>
      </c>
      <c r="J157" s="13" t="n">
        <v>50.31</v>
      </c>
      <c r="K157" s="13" t="n">
        <v>1006.2</v>
      </c>
      <c r="L157" s="10" t="s">
        <v>581</v>
      </c>
      <c r="M157" s="10"/>
      <c r="N157" s="10"/>
      <c r="O157" s="10" t="s">
        <v>23</v>
      </c>
      <c r="P157" s="10" t="s">
        <v>24</v>
      </c>
    </row>
    <row r="158" customFormat="false" ht="15.75" hidden="false" customHeight="false" outlineLevel="0" collapsed="false">
      <c r="A158" s="10" t="s">
        <v>16</v>
      </c>
      <c r="B158" s="10" t="s">
        <v>582</v>
      </c>
      <c r="C158" s="10" t="s">
        <v>583</v>
      </c>
      <c r="D158" s="10" t="s">
        <v>308</v>
      </c>
      <c r="E158" s="10" t="s">
        <v>96</v>
      </c>
      <c r="F158" s="11" t="n">
        <v>45047</v>
      </c>
      <c r="G158" s="12" t="n">
        <v>0.797222256944445</v>
      </c>
      <c r="H158" s="10" t="s">
        <v>37</v>
      </c>
      <c r="I158" s="13" t="n">
        <v>1</v>
      </c>
      <c r="J158" s="13" t="n">
        <v>87.92</v>
      </c>
      <c r="K158" s="13" t="n">
        <v>87.92</v>
      </c>
      <c r="L158" s="10" t="s">
        <v>584</v>
      </c>
      <c r="M158" s="10" t="s">
        <v>585</v>
      </c>
      <c r="N158" s="10"/>
      <c r="O158" s="10" t="s">
        <v>23</v>
      </c>
      <c r="P158" s="10" t="s">
        <v>24</v>
      </c>
    </row>
    <row r="159" customFormat="false" ht="15.75" hidden="false" customHeight="false" outlineLevel="0" collapsed="false">
      <c r="A159" s="10" t="s">
        <v>16</v>
      </c>
      <c r="B159" s="10" t="s">
        <v>586</v>
      </c>
      <c r="C159" s="10" t="s">
        <v>587</v>
      </c>
      <c r="D159" s="10" t="s">
        <v>19</v>
      </c>
      <c r="E159" s="10" t="s">
        <v>90</v>
      </c>
      <c r="F159" s="11" t="n">
        <v>45048</v>
      </c>
      <c r="G159" s="12" t="n">
        <v>0.55869849537037</v>
      </c>
      <c r="H159" s="10" t="s">
        <v>37</v>
      </c>
      <c r="I159" s="13" t="n">
        <v>1</v>
      </c>
      <c r="J159" s="13" t="n">
        <v>195</v>
      </c>
      <c r="K159" s="13" t="n">
        <v>195</v>
      </c>
      <c r="L159" s="10" t="s">
        <v>588</v>
      </c>
      <c r="M159" s="10" t="s">
        <v>589</v>
      </c>
      <c r="N159" s="10"/>
      <c r="O159" s="10" t="s">
        <v>110</v>
      </c>
      <c r="P159" s="10" t="s">
        <v>111</v>
      </c>
    </row>
    <row r="160" customFormat="false" ht="15.75" hidden="false" customHeight="false" outlineLevel="0" collapsed="false">
      <c r="A160" s="10" t="s">
        <v>16</v>
      </c>
      <c r="B160" s="10" t="s">
        <v>472</v>
      </c>
      <c r="C160" s="10" t="s">
        <v>473</v>
      </c>
      <c r="D160" s="10" t="s">
        <v>230</v>
      </c>
      <c r="E160" s="10" t="s">
        <v>231</v>
      </c>
      <c r="F160" s="11" t="n">
        <v>45048</v>
      </c>
      <c r="G160" s="12" t="n">
        <v>0.0856207291666667</v>
      </c>
      <c r="H160" s="10" t="s">
        <v>37</v>
      </c>
      <c r="I160" s="13" t="n">
        <v>1</v>
      </c>
      <c r="J160" s="13" t="n">
        <v>517.05</v>
      </c>
      <c r="K160" s="13" t="n">
        <v>517.05</v>
      </c>
      <c r="L160" s="10" t="s">
        <v>590</v>
      </c>
      <c r="M160" s="10" t="s">
        <v>591</v>
      </c>
      <c r="N160" s="10"/>
      <c r="O160" s="10" t="s">
        <v>23</v>
      </c>
      <c r="P160" s="10" t="s">
        <v>24</v>
      </c>
    </row>
    <row r="161" customFormat="false" ht="15.75" hidden="false" customHeight="false" outlineLevel="0" collapsed="false">
      <c r="A161" s="10" t="s">
        <v>16</v>
      </c>
      <c r="B161" s="10" t="s">
        <v>435</v>
      </c>
      <c r="C161" s="10" t="s">
        <v>436</v>
      </c>
      <c r="D161" s="10" t="s">
        <v>89</v>
      </c>
      <c r="E161" s="10" t="s">
        <v>431</v>
      </c>
      <c r="F161" s="11" t="n">
        <v>45051</v>
      </c>
      <c r="G161" s="12" t="n">
        <v>0.810612881944445</v>
      </c>
      <c r="H161" s="10" t="s">
        <v>37</v>
      </c>
      <c r="I161" s="13" t="n">
        <v>2</v>
      </c>
      <c r="J161" s="13" t="n">
        <v>400</v>
      </c>
      <c r="K161" s="13" t="n">
        <v>800</v>
      </c>
      <c r="L161" s="10" t="s">
        <v>592</v>
      </c>
      <c r="M161" s="10" t="s">
        <v>593</v>
      </c>
      <c r="N161" s="10"/>
      <c r="O161" s="10" t="s">
        <v>23</v>
      </c>
      <c r="P161" s="10" t="s">
        <v>24</v>
      </c>
    </row>
    <row r="162" customFormat="false" ht="15.75" hidden="false" customHeight="false" outlineLevel="0" collapsed="false">
      <c r="A162" s="10" t="s">
        <v>16</v>
      </c>
      <c r="B162" s="10" t="s">
        <v>140</v>
      </c>
      <c r="C162" s="10" t="s">
        <v>141</v>
      </c>
      <c r="D162" s="10" t="s">
        <v>142</v>
      </c>
      <c r="E162" s="10" t="s">
        <v>28</v>
      </c>
      <c r="F162" s="11" t="n">
        <v>45052</v>
      </c>
      <c r="G162" s="12" t="n">
        <v>0.990842685185185</v>
      </c>
      <c r="H162" s="10" t="s">
        <v>37</v>
      </c>
      <c r="I162" s="13" t="n">
        <v>1</v>
      </c>
      <c r="J162" s="13" t="n">
        <v>755</v>
      </c>
      <c r="K162" s="13" t="n">
        <v>755</v>
      </c>
      <c r="L162" s="10" t="s">
        <v>594</v>
      </c>
      <c r="M162" s="10" t="s">
        <v>595</v>
      </c>
      <c r="N162" s="10"/>
      <c r="O162" s="10" t="s">
        <v>23</v>
      </c>
      <c r="P162" s="10" t="s">
        <v>24</v>
      </c>
    </row>
    <row r="163" customFormat="false" ht="15.75" hidden="false" customHeight="false" outlineLevel="0" collapsed="false">
      <c r="A163" s="10" t="s">
        <v>16</v>
      </c>
      <c r="B163" s="10" t="s">
        <v>596</v>
      </c>
      <c r="C163" s="10" t="s">
        <v>597</v>
      </c>
      <c r="D163" s="10" t="s">
        <v>19</v>
      </c>
      <c r="E163" s="10" t="s">
        <v>20</v>
      </c>
      <c r="F163" s="11" t="n">
        <v>45053</v>
      </c>
      <c r="G163" s="12" t="n">
        <v>0.946446388888889</v>
      </c>
      <c r="H163" s="10" t="s">
        <v>37</v>
      </c>
      <c r="I163" s="13" t="n">
        <v>1</v>
      </c>
      <c r="J163" s="13" t="n">
        <v>272</v>
      </c>
      <c r="K163" s="13" t="n">
        <v>272</v>
      </c>
      <c r="L163" s="10" t="s">
        <v>598</v>
      </c>
      <c r="M163" s="10" t="s">
        <v>599</v>
      </c>
      <c r="N163" s="10"/>
      <c r="O163" s="10" t="s">
        <v>23</v>
      </c>
      <c r="P163" s="10" t="s">
        <v>24</v>
      </c>
    </row>
    <row r="164" customFormat="false" ht="15.75" hidden="false" customHeight="false" outlineLevel="0" collapsed="false">
      <c r="A164" s="10" t="s">
        <v>16</v>
      </c>
      <c r="B164" s="10" t="s">
        <v>402</v>
      </c>
      <c r="C164" s="10" t="s">
        <v>403</v>
      </c>
      <c r="D164" s="10" t="s">
        <v>230</v>
      </c>
      <c r="E164" s="10" t="s">
        <v>231</v>
      </c>
      <c r="F164" s="11" t="n">
        <v>45055</v>
      </c>
      <c r="G164" s="12" t="n">
        <v>0.961909340277778</v>
      </c>
      <c r="H164" s="10" t="s">
        <v>37</v>
      </c>
      <c r="I164" s="13" t="n">
        <v>1</v>
      </c>
      <c r="J164" s="13" t="n">
        <v>864.4</v>
      </c>
      <c r="K164" s="13" t="n">
        <v>864.4</v>
      </c>
      <c r="L164" s="10" t="s">
        <v>600</v>
      </c>
      <c r="M164" s="10" t="s">
        <v>601</v>
      </c>
      <c r="N164" s="10"/>
      <c r="O164" s="10" t="s">
        <v>23</v>
      </c>
      <c r="P164" s="10" t="s">
        <v>24</v>
      </c>
    </row>
    <row r="165" customFormat="false" ht="15.75" hidden="false" customHeight="false" outlineLevel="0" collapsed="false">
      <c r="A165" s="10" t="s">
        <v>16</v>
      </c>
      <c r="B165" s="10" t="s">
        <v>602</v>
      </c>
      <c r="C165" s="10" t="s">
        <v>603</v>
      </c>
      <c r="D165" s="10" t="s">
        <v>19</v>
      </c>
      <c r="E165" s="10" t="s">
        <v>90</v>
      </c>
      <c r="F165" s="11" t="n">
        <v>45055</v>
      </c>
      <c r="G165" s="12" t="n">
        <v>0.935467303240741</v>
      </c>
      <c r="H165" s="10" t="s">
        <v>37</v>
      </c>
      <c r="I165" s="13" t="n">
        <v>12</v>
      </c>
      <c r="J165" s="13" t="n">
        <v>110</v>
      </c>
      <c r="K165" s="13" t="n">
        <v>1320</v>
      </c>
      <c r="L165" s="10" t="s">
        <v>604</v>
      </c>
      <c r="M165" s="10" t="s">
        <v>605</v>
      </c>
      <c r="N165" s="10"/>
      <c r="O165" s="10" t="s">
        <v>23</v>
      </c>
      <c r="P165" s="10" t="s">
        <v>24</v>
      </c>
    </row>
    <row r="166" customFormat="false" ht="15.75" hidden="false" customHeight="false" outlineLevel="0" collapsed="false">
      <c r="A166" s="10" t="s">
        <v>16</v>
      </c>
      <c r="B166" s="10" t="s">
        <v>606</v>
      </c>
      <c r="C166" s="10" t="s">
        <v>607</v>
      </c>
      <c r="D166" s="10" t="s">
        <v>487</v>
      </c>
      <c r="E166" s="10" t="s">
        <v>20</v>
      </c>
      <c r="F166" s="11" t="n">
        <v>45055</v>
      </c>
      <c r="G166" s="12" t="n">
        <v>0.501622662037037</v>
      </c>
      <c r="H166" s="10" t="s">
        <v>37</v>
      </c>
      <c r="I166" s="13" t="n">
        <v>6</v>
      </c>
      <c r="J166" s="13" t="n">
        <v>1150</v>
      </c>
      <c r="K166" s="13" t="n">
        <v>6900</v>
      </c>
      <c r="L166" s="10" t="s">
        <v>608</v>
      </c>
      <c r="M166" s="10" t="s">
        <v>609</v>
      </c>
      <c r="N166" s="10"/>
      <c r="O166" s="10" t="s">
        <v>61</v>
      </c>
      <c r="P166" s="10" t="s">
        <v>62</v>
      </c>
    </row>
    <row r="167" customFormat="false" ht="15.75" hidden="false" customHeight="false" outlineLevel="0" collapsed="false">
      <c r="A167" s="10" t="s">
        <v>16</v>
      </c>
      <c r="B167" s="10" t="s">
        <v>286</v>
      </c>
      <c r="C167" s="10" t="s">
        <v>287</v>
      </c>
      <c r="D167" s="10" t="s">
        <v>19</v>
      </c>
      <c r="E167" s="10" t="s">
        <v>20</v>
      </c>
      <c r="F167" s="11" t="n">
        <v>45055</v>
      </c>
      <c r="G167" s="12" t="n">
        <v>0.500874282407407</v>
      </c>
      <c r="H167" s="10" t="s">
        <v>37</v>
      </c>
      <c r="I167" s="13" t="n">
        <v>2</v>
      </c>
      <c r="J167" s="13" t="n">
        <v>2328</v>
      </c>
      <c r="K167" s="13" t="n">
        <v>4656</v>
      </c>
      <c r="L167" s="10" t="s">
        <v>610</v>
      </c>
      <c r="M167" s="10" t="s">
        <v>611</v>
      </c>
      <c r="N167" s="10"/>
      <c r="O167" s="10" t="s">
        <v>61</v>
      </c>
      <c r="P167" s="10" t="s">
        <v>62</v>
      </c>
    </row>
    <row r="168" customFormat="false" ht="15.75" hidden="false" customHeight="false" outlineLevel="0" collapsed="false">
      <c r="A168" s="10" t="s">
        <v>16</v>
      </c>
      <c r="B168" s="10" t="s">
        <v>514</v>
      </c>
      <c r="C168" s="10" t="s">
        <v>515</v>
      </c>
      <c r="D168" s="10" t="s">
        <v>19</v>
      </c>
      <c r="E168" s="10" t="s">
        <v>20</v>
      </c>
      <c r="F168" s="11" t="n">
        <v>45055</v>
      </c>
      <c r="G168" s="12" t="n">
        <v>0.500350428240741</v>
      </c>
      <c r="H168" s="10" t="s">
        <v>37</v>
      </c>
      <c r="I168" s="13" t="n">
        <v>14</v>
      </c>
      <c r="J168" s="13" t="n">
        <v>1682</v>
      </c>
      <c r="K168" s="13" t="n">
        <v>23548</v>
      </c>
      <c r="L168" s="10" t="s">
        <v>612</v>
      </c>
      <c r="M168" s="10" t="s">
        <v>613</v>
      </c>
      <c r="N168" s="10"/>
      <c r="O168" s="10" t="s">
        <v>61</v>
      </c>
      <c r="P168" s="10" t="s">
        <v>62</v>
      </c>
    </row>
    <row r="169" customFormat="false" ht="15.75" hidden="false" customHeight="false" outlineLevel="0" collapsed="false">
      <c r="A169" s="10" t="s">
        <v>16</v>
      </c>
      <c r="B169" s="10" t="s">
        <v>140</v>
      </c>
      <c r="C169" s="10" t="s">
        <v>141</v>
      </c>
      <c r="D169" s="10" t="s">
        <v>142</v>
      </c>
      <c r="E169" s="10" t="s">
        <v>28</v>
      </c>
      <c r="F169" s="11" t="n">
        <v>45056</v>
      </c>
      <c r="G169" s="12" t="n">
        <v>0.828612905092593</v>
      </c>
      <c r="H169" s="10" t="s">
        <v>37</v>
      </c>
      <c r="I169" s="13" t="n">
        <v>1</v>
      </c>
      <c r="J169" s="13" t="n">
        <v>755</v>
      </c>
      <c r="K169" s="13" t="n">
        <v>755</v>
      </c>
      <c r="L169" s="10" t="s">
        <v>614</v>
      </c>
      <c r="M169" s="10" t="s">
        <v>615</v>
      </c>
      <c r="N169" s="10"/>
      <c r="O169" s="10" t="s">
        <v>23</v>
      </c>
      <c r="P169" s="10" t="s">
        <v>24</v>
      </c>
    </row>
    <row r="170" customFormat="false" ht="15.75" hidden="false" customHeight="false" outlineLevel="0" collapsed="false">
      <c r="A170" s="10" t="s">
        <v>16</v>
      </c>
      <c r="B170" s="10" t="s">
        <v>140</v>
      </c>
      <c r="C170" s="10" t="s">
        <v>141</v>
      </c>
      <c r="D170" s="10" t="s">
        <v>142</v>
      </c>
      <c r="E170" s="10" t="s">
        <v>28</v>
      </c>
      <c r="F170" s="11" t="n">
        <v>45058</v>
      </c>
      <c r="G170" s="12" t="n">
        <v>0.739659074074074</v>
      </c>
      <c r="H170" s="10" t="s">
        <v>37</v>
      </c>
      <c r="I170" s="13" t="n">
        <v>1</v>
      </c>
      <c r="J170" s="13" t="n">
        <v>755</v>
      </c>
      <c r="K170" s="13" t="n">
        <v>755</v>
      </c>
      <c r="L170" s="10" t="s">
        <v>616</v>
      </c>
      <c r="M170" s="10" t="s">
        <v>617</v>
      </c>
      <c r="N170" s="10"/>
      <c r="O170" s="10" t="s">
        <v>23</v>
      </c>
      <c r="P170" s="10" t="s">
        <v>24</v>
      </c>
    </row>
    <row r="171" customFormat="false" ht="15.75" hidden="false" customHeight="false" outlineLevel="0" collapsed="false">
      <c r="A171" s="10" t="s">
        <v>16</v>
      </c>
      <c r="B171" s="10" t="s">
        <v>385</v>
      </c>
      <c r="C171" s="10" t="s">
        <v>386</v>
      </c>
      <c r="D171" s="10" t="s">
        <v>142</v>
      </c>
      <c r="E171" s="10" t="s">
        <v>28</v>
      </c>
      <c r="F171" s="11" t="n">
        <v>45058</v>
      </c>
      <c r="G171" s="12" t="n">
        <v>0.707958043981481</v>
      </c>
      <c r="H171" s="10" t="s">
        <v>37</v>
      </c>
      <c r="I171" s="13" t="n">
        <v>1</v>
      </c>
      <c r="J171" s="13" t="n">
        <v>1108.62</v>
      </c>
      <c r="K171" s="13" t="n">
        <v>1108.62</v>
      </c>
      <c r="L171" s="10" t="s">
        <v>618</v>
      </c>
      <c r="M171" s="10" t="s">
        <v>619</v>
      </c>
      <c r="N171" s="10"/>
      <c r="O171" s="10" t="s">
        <v>23</v>
      </c>
      <c r="P171" s="10" t="s">
        <v>24</v>
      </c>
    </row>
    <row r="172" customFormat="false" ht="15.75" hidden="false" customHeight="false" outlineLevel="0" collapsed="false">
      <c r="A172" s="10" t="s">
        <v>16</v>
      </c>
      <c r="B172" s="10" t="s">
        <v>620</v>
      </c>
      <c r="C172" s="10" t="s">
        <v>621</v>
      </c>
      <c r="D172" s="10" t="s">
        <v>622</v>
      </c>
      <c r="E172" s="10" t="s">
        <v>20</v>
      </c>
      <c r="F172" s="11" t="n">
        <v>45058</v>
      </c>
      <c r="G172" s="12" t="n">
        <v>0.545684212962963</v>
      </c>
      <c r="H172" s="10" t="s">
        <v>37</v>
      </c>
      <c r="I172" s="13" t="n">
        <v>7</v>
      </c>
      <c r="J172" s="13" t="n">
        <v>226</v>
      </c>
      <c r="K172" s="13" t="n">
        <v>1582</v>
      </c>
      <c r="L172" s="10" t="s">
        <v>623</v>
      </c>
      <c r="M172" s="10" t="s">
        <v>624</v>
      </c>
      <c r="N172" s="10"/>
      <c r="O172" s="10" t="s">
        <v>23</v>
      </c>
      <c r="P172" s="10" t="s">
        <v>24</v>
      </c>
    </row>
    <row r="173" customFormat="false" ht="15.75" hidden="false" customHeight="false" outlineLevel="0" collapsed="false">
      <c r="A173" s="10" t="s">
        <v>16</v>
      </c>
      <c r="B173" s="10" t="s">
        <v>99</v>
      </c>
      <c r="C173" s="10" t="s">
        <v>1635</v>
      </c>
      <c r="D173" s="10" t="s">
        <v>101</v>
      </c>
      <c r="E173" s="10" t="s">
        <v>96</v>
      </c>
      <c r="F173" s="11" t="n">
        <v>45058</v>
      </c>
      <c r="G173" s="12" t="n">
        <v>0.513977893518519</v>
      </c>
      <c r="H173" s="10" t="s">
        <v>37</v>
      </c>
      <c r="I173" s="13" t="n">
        <v>4</v>
      </c>
      <c r="J173" s="13" t="n">
        <v>55</v>
      </c>
      <c r="K173" s="13" t="n">
        <v>220</v>
      </c>
      <c r="L173" s="10" t="s">
        <v>625</v>
      </c>
      <c r="M173" s="10" t="s">
        <v>626</v>
      </c>
      <c r="N173" s="10"/>
      <c r="O173" s="10" t="s">
        <v>23</v>
      </c>
      <c r="P173" s="10" t="s">
        <v>24</v>
      </c>
    </row>
    <row r="174" customFormat="false" ht="15.75" hidden="false" customHeight="false" outlineLevel="0" collapsed="false">
      <c r="A174" s="10" t="s">
        <v>16</v>
      </c>
      <c r="B174" s="10" t="s">
        <v>140</v>
      </c>
      <c r="C174" s="10" t="s">
        <v>141</v>
      </c>
      <c r="D174" s="10" t="s">
        <v>142</v>
      </c>
      <c r="E174" s="10" t="s">
        <v>28</v>
      </c>
      <c r="F174" s="11" t="n">
        <v>45059</v>
      </c>
      <c r="G174" s="12" t="n">
        <v>0.955222430555556</v>
      </c>
      <c r="H174" s="10" t="s">
        <v>37</v>
      </c>
      <c r="I174" s="13" t="n">
        <v>3</v>
      </c>
      <c r="J174" s="13" t="n">
        <v>755</v>
      </c>
      <c r="K174" s="13" t="n">
        <v>2265</v>
      </c>
      <c r="L174" s="10" t="s">
        <v>627</v>
      </c>
      <c r="M174" s="10" t="s">
        <v>628</v>
      </c>
      <c r="N174" s="10"/>
      <c r="O174" s="10" t="s">
        <v>23</v>
      </c>
      <c r="P174" s="10" t="s">
        <v>24</v>
      </c>
    </row>
    <row r="175" customFormat="false" ht="15.75" hidden="false" customHeight="false" outlineLevel="0" collapsed="false">
      <c r="A175" s="10" t="s">
        <v>16</v>
      </c>
      <c r="B175" s="10" t="s">
        <v>507</v>
      </c>
      <c r="C175" s="10" t="s">
        <v>508</v>
      </c>
      <c r="D175" s="10" t="s">
        <v>95</v>
      </c>
      <c r="E175" s="10" t="s">
        <v>96</v>
      </c>
      <c r="F175" s="11" t="n">
        <v>45060</v>
      </c>
      <c r="G175" s="12" t="n">
        <v>0.988999444444444</v>
      </c>
      <c r="H175" s="10" t="s">
        <v>37</v>
      </c>
      <c r="I175" s="13" t="n">
        <v>2</v>
      </c>
      <c r="J175" s="13" t="n">
        <v>45.59</v>
      </c>
      <c r="K175" s="13" t="n">
        <v>91.18</v>
      </c>
      <c r="L175" s="10" t="s">
        <v>629</v>
      </c>
      <c r="M175" s="10" t="s">
        <v>630</v>
      </c>
      <c r="N175" s="10"/>
      <c r="O175" s="10" t="s">
        <v>23</v>
      </c>
      <c r="P175" s="10" t="s">
        <v>24</v>
      </c>
    </row>
    <row r="176" customFormat="false" ht="15.75" hidden="false" customHeight="false" outlineLevel="0" collapsed="false">
      <c r="A176" s="10" t="s">
        <v>16</v>
      </c>
      <c r="B176" s="10" t="s">
        <v>631</v>
      </c>
      <c r="C176" s="10" t="s">
        <v>632</v>
      </c>
      <c r="D176" s="10" t="s">
        <v>633</v>
      </c>
      <c r="E176" s="10" t="s">
        <v>208</v>
      </c>
      <c r="F176" s="11" t="n">
        <v>45060</v>
      </c>
      <c r="G176" s="12" t="n">
        <v>0.987756921296296</v>
      </c>
      <c r="H176" s="10" t="s">
        <v>37</v>
      </c>
      <c r="I176" s="13" t="n">
        <v>1</v>
      </c>
      <c r="J176" s="13" t="n">
        <v>135</v>
      </c>
      <c r="K176" s="13" t="n">
        <v>135</v>
      </c>
      <c r="L176" s="10" t="s">
        <v>634</v>
      </c>
      <c r="M176" s="10" t="s">
        <v>635</v>
      </c>
      <c r="N176" s="10"/>
      <c r="O176" s="10" t="s">
        <v>23</v>
      </c>
      <c r="P176" s="10" t="s">
        <v>24</v>
      </c>
    </row>
    <row r="177" customFormat="false" ht="15.75" hidden="false" customHeight="false" outlineLevel="0" collapsed="false">
      <c r="A177" s="10" t="s">
        <v>16</v>
      </c>
      <c r="B177" s="10" t="s">
        <v>500</v>
      </c>
      <c r="C177" s="10" t="s">
        <v>501</v>
      </c>
      <c r="D177" s="10" t="s">
        <v>89</v>
      </c>
      <c r="E177" s="10" t="s">
        <v>333</v>
      </c>
      <c r="F177" s="11" t="n">
        <v>45060</v>
      </c>
      <c r="G177" s="12" t="n">
        <v>0.980266030092593</v>
      </c>
      <c r="H177" s="10" t="s">
        <v>21</v>
      </c>
      <c r="I177" s="13" t="n">
        <v>2</v>
      </c>
      <c r="J177" s="13" t="n">
        <v>294</v>
      </c>
      <c r="K177" s="13" t="n">
        <v>588</v>
      </c>
      <c r="L177" s="10" t="s">
        <v>636</v>
      </c>
      <c r="M177" s="10"/>
      <c r="N177" s="10"/>
      <c r="O177" s="10" t="s">
        <v>23</v>
      </c>
      <c r="P177" s="10" t="s">
        <v>24</v>
      </c>
    </row>
    <row r="178" customFormat="false" ht="15.75" hidden="false" customHeight="false" outlineLevel="0" collapsed="false">
      <c r="A178" s="10" t="s">
        <v>16</v>
      </c>
      <c r="B178" s="10" t="s">
        <v>637</v>
      </c>
      <c r="C178" s="10" t="s">
        <v>638</v>
      </c>
      <c r="D178" s="10" t="s">
        <v>19</v>
      </c>
      <c r="E178" s="10" t="s">
        <v>333</v>
      </c>
      <c r="F178" s="11" t="n">
        <v>45060</v>
      </c>
      <c r="G178" s="12" t="n">
        <v>0.915396527777778</v>
      </c>
      <c r="H178" s="10" t="s">
        <v>21</v>
      </c>
      <c r="I178" s="13" t="n">
        <v>3</v>
      </c>
      <c r="J178" s="13" t="n">
        <v>285</v>
      </c>
      <c r="K178" s="13" t="n">
        <v>855</v>
      </c>
      <c r="L178" s="10" t="s">
        <v>639</v>
      </c>
      <c r="M178" s="10"/>
      <c r="N178" s="10"/>
      <c r="O178" s="10" t="s">
        <v>23</v>
      </c>
      <c r="P178" s="10" t="s">
        <v>24</v>
      </c>
    </row>
    <row r="179" customFormat="false" ht="15.75" hidden="false" customHeight="false" outlineLevel="0" collapsed="false">
      <c r="A179" s="10" t="s">
        <v>16</v>
      </c>
      <c r="B179" s="10" t="s">
        <v>140</v>
      </c>
      <c r="C179" s="10" t="s">
        <v>141</v>
      </c>
      <c r="D179" s="10" t="s">
        <v>142</v>
      </c>
      <c r="E179" s="10" t="s">
        <v>28</v>
      </c>
      <c r="F179" s="11" t="n">
        <v>45060</v>
      </c>
      <c r="G179" s="12" t="n">
        <v>0.8790528125</v>
      </c>
      <c r="H179" s="10" t="s">
        <v>37</v>
      </c>
      <c r="I179" s="13" t="n">
        <v>2</v>
      </c>
      <c r="J179" s="13" t="n">
        <v>755</v>
      </c>
      <c r="K179" s="13" t="n">
        <v>1510</v>
      </c>
      <c r="L179" s="10" t="s">
        <v>640</v>
      </c>
      <c r="M179" s="10" t="s">
        <v>641</v>
      </c>
      <c r="N179" s="10"/>
      <c r="O179" s="10" t="s">
        <v>23</v>
      </c>
      <c r="P179" s="10" t="s">
        <v>24</v>
      </c>
    </row>
    <row r="180" customFormat="false" ht="15.75" hidden="false" customHeight="false" outlineLevel="0" collapsed="false">
      <c r="A180" s="10" t="s">
        <v>16</v>
      </c>
      <c r="B180" s="10" t="s">
        <v>642</v>
      </c>
      <c r="C180" s="10" t="s">
        <v>643</v>
      </c>
      <c r="D180" s="10" t="s">
        <v>644</v>
      </c>
      <c r="E180" s="10" t="s">
        <v>498</v>
      </c>
      <c r="F180" s="11" t="n">
        <v>45061</v>
      </c>
      <c r="G180" s="12" t="n">
        <v>0.9934046875</v>
      </c>
      <c r="H180" s="10" t="s">
        <v>21</v>
      </c>
      <c r="I180" s="13" t="n">
        <v>2</v>
      </c>
      <c r="J180" s="13" t="n">
        <v>352.79</v>
      </c>
      <c r="K180" s="13" t="n">
        <v>705.58</v>
      </c>
      <c r="L180" s="10" t="s">
        <v>645</v>
      </c>
      <c r="M180" s="10"/>
      <c r="N180" s="10"/>
      <c r="O180" s="10" t="s">
        <v>23</v>
      </c>
      <c r="P180" s="10" t="s">
        <v>24</v>
      </c>
    </row>
    <row r="181" customFormat="false" ht="15.75" hidden="false" customHeight="false" outlineLevel="0" collapsed="false">
      <c r="A181" s="10" t="s">
        <v>16</v>
      </c>
      <c r="B181" s="10" t="s">
        <v>646</v>
      </c>
      <c r="C181" s="10" t="s">
        <v>647</v>
      </c>
      <c r="D181" s="10" t="s">
        <v>308</v>
      </c>
      <c r="E181" s="10" t="s">
        <v>96</v>
      </c>
      <c r="F181" s="11" t="n">
        <v>45061</v>
      </c>
      <c r="G181" s="12" t="n">
        <v>0.957107638888889</v>
      </c>
      <c r="H181" s="10" t="s">
        <v>37</v>
      </c>
      <c r="I181" s="13" t="n">
        <v>2</v>
      </c>
      <c r="J181" s="13" t="n">
        <v>87.92</v>
      </c>
      <c r="K181" s="13" t="n">
        <v>175.84</v>
      </c>
      <c r="L181" s="10" t="s">
        <v>648</v>
      </c>
      <c r="M181" s="10" t="s">
        <v>649</v>
      </c>
      <c r="N181" s="10"/>
      <c r="O181" s="10" t="s">
        <v>23</v>
      </c>
      <c r="P181" s="10" t="s">
        <v>24</v>
      </c>
    </row>
    <row r="182" customFormat="false" ht="15.75" hidden="false" customHeight="false" outlineLevel="0" collapsed="false">
      <c r="A182" s="10" t="s">
        <v>16</v>
      </c>
      <c r="B182" s="10" t="s">
        <v>650</v>
      </c>
      <c r="C182" s="10" t="s">
        <v>651</v>
      </c>
      <c r="D182" s="10" t="s">
        <v>652</v>
      </c>
      <c r="E182" s="10" t="s">
        <v>28</v>
      </c>
      <c r="F182" s="11" t="n">
        <v>45061</v>
      </c>
      <c r="G182" s="12" t="n">
        <v>0.94932130787037</v>
      </c>
      <c r="H182" s="10" t="s">
        <v>37</v>
      </c>
      <c r="I182" s="13" t="n">
        <v>1</v>
      </c>
      <c r="J182" s="13" t="n">
        <v>607</v>
      </c>
      <c r="K182" s="13" t="n">
        <v>607</v>
      </c>
      <c r="L182" s="10" t="s">
        <v>653</v>
      </c>
      <c r="M182" s="10" t="s">
        <v>654</v>
      </c>
      <c r="N182" s="10"/>
      <c r="O182" s="10" t="s">
        <v>23</v>
      </c>
      <c r="P182" s="10" t="s">
        <v>24</v>
      </c>
    </row>
    <row r="183" customFormat="false" ht="15.75" hidden="false" customHeight="false" outlineLevel="0" collapsed="false">
      <c r="A183" s="10" t="s">
        <v>16</v>
      </c>
      <c r="B183" s="10" t="s">
        <v>140</v>
      </c>
      <c r="C183" s="10" t="s">
        <v>141</v>
      </c>
      <c r="D183" s="10" t="s">
        <v>142</v>
      </c>
      <c r="E183" s="10" t="s">
        <v>28</v>
      </c>
      <c r="F183" s="11" t="n">
        <v>45061</v>
      </c>
      <c r="G183" s="12" t="n">
        <v>0.945757638888889</v>
      </c>
      <c r="H183" s="10" t="s">
        <v>37</v>
      </c>
      <c r="I183" s="13" t="n">
        <v>1</v>
      </c>
      <c r="J183" s="13" t="n">
        <v>755</v>
      </c>
      <c r="K183" s="13" t="n">
        <v>755</v>
      </c>
      <c r="L183" s="10" t="s">
        <v>655</v>
      </c>
      <c r="M183" s="10" t="s">
        <v>656</v>
      </c>
      <c r="N183" s="10"/>
      <c r="O183" s="10" t="s">
        <v>23</v>
      </c>
      <c r="P183" s="10" t="s">
        <v>24</v>
      </c>
    </row>
    <row r="184" customFormat="false" ht="15.75" hidden="false" customHeight="false" outlineLevel="0" collapsed="false">
      <c r="A184" s="10" t="s">
        <v>16</v>
      </c>
      <c r="B184" s="10" t="s">
        <v>657</v>
      </c>
      <c r="C184" s="10" t="s">
        <v>658</v>
      </c>
      <c r="D184" s="10" t="s">
        <v>659</v>
      </c>
      <c r="E184" s="10" t="s">
        <v>28</v>
      </c>
      <c r="F184" s="11" t="n">
        <v>45062</v>
      </c>
      <c r="G184" s="12" t="n">
        <v>0.953443333333333</v>
      </c>
      <c r="H184" s="10" t="s">
        <v>37</v>
      </c>
      <c r="I184" s="13" t="n">
        <v>1</v>
      </c>
      <c r="J184" s="13" t="n">
        <v>576</v>
      </c>
      <c r="K184" s="13" t="n">
        <v>576</v>
      </c>
      <c r="L184" s="10" t="s">
        <v>660</v>
      </c>
      <c r="M184" s="10" t="s">
        <v>661</v>
      </c>
      <c r="N184" s="10"/>
      <c r="O184" s="10" t="s">
        <v>23</v>
      </c>
      <c r="P184" s="10" t="s">
        <v>24</v>
      </c>
    </row>
    <row r="185" customFormat="false" ht="15.75" hidden="false" customHeight="false" outlineLevel="0" collapsed="false">
      <c r="A185" s="10" t="s">
        <v>16</v>
      </c>
      <c r="B185" s="10" t="s">
        <v>650</v>
      </c>
      <c r="C185" s="10" t="s">
        <v>651</v>
      </c>
      <c r="D185" s="10" t="s">
        <v>652</v>
      </c>
      <c r="E185" s="10" t="s">
        <v>28</v>
      </c>
      <c r="F185" s="11" t="n">
        <v>45062</v>
      </c>
      <c r="G185" s="12" t="n">
        <v>0.952269409722222</v>
      </c>
      <c r="H185" s="10" t="s">
        <v>37</v>
      </c>
      <c r="I185" s="13" t="n">
        <v>2</v>
      </c>
      <c r="J185" s="13" t="n">
        <v>607</v>
      </c>
      <c r="K185" s="13" t="n">
        <v>1214</v>
      </c>
      <c r="L185" s="10" t="s">
        <v>662</v>
      </c>
      <c r="M185" s="10" t="s">
        <v>663</v>
      </c>
      <c r="N185" s="10"/>
      <c r="O185" s="10" t="s">
        <v>23</v>
      </c>
      <c r="P185" s="10" t="s">
        <v>24</v>
      </c>
    </row>
    <row r="186" customFormat="false" ht="15.75" hidden="false" customHeight="false" outlineLevel="0" collapsed="false">
      <c r="A186" s="10" t="s">
        <v>16</v>
      </c>
      <c r="B186" s="10" t="s">
        <v>140</v>
      </c>
      <c r="C186" s="10" t="s">
        <v>141</v>
      </c>
      <c r="D186" s="10" t="s">
        <v>142</v>
      </c>
      <c r="E186" s="10" t="s">
        <v>28</v>
      </c>
      <c r="F186" s="11" t="n">
        <v>45062</v>
      </c>
      <c r="G186" s="12" t="n">
        <v>0.950423888888889</v>
      </c>
      <c r="H186" s="10" t="s">
        <v>37</v>
      </c>
      <c r="I186" s="13" t="n">
        <v>5</v>
      </c>
      <c r="J186" s="13" t="n">
        <v>755</v>
      </c>
      <c r="K186" s="13" t="n">
        <v>3775</v>
      </c>
      <c r="L186" s="10" t="s">
        <v>664</v>
      </c>
      <c r="M186" s="10" t="s">
        <v>665</v>
      </c>
      <c r="N186" s="10"/>
      <c r="O186" s="10" t="s">
        <v>23</v>
      </c>
      <c r="P186" s="10" t="s">
        <v>24</v>
      </c>
    </row>
    <row r="187" customFormat="false" ht="15.75" hidden="false" customHeight="false" outlineLevel="0" collapsed="false">
      <c r="A187" s="10" t="s">
        <v>16</v>
      </c>
      <c r="B187" s="10" t="s">
        <v>205</v>
      </c>
      <c r="C187" s="10" t="s">
        <v>206</v>
      </c>
      <c r="D187" s="10" t="s">
        <v>207</v>
      </c>
      <c r="E187" s="10" t="s">
        <v>208</v>
      </c>
      <c r="F187" s="11" t="n">
        <v>45062</v>
      </c>
      <c r="G187" s="12" t="n">
        <v>0.9497528125</v>
      </c>
      <c r="H187" s="10" t="s">
        <v>21</v>
      </c>
      <c r="I187" s="13" t="n">
        <v>6</v>
      </c>
      <c r="J187" s="13" t="n">
        <v>513.54</v>
      </c>
      <c r="K187" s="13" t="n">
        <v>3081.24</v>
      </c>
      <c r="L187" s="10" t="s">
        <v>666</v>
      </c>
      <c r="M187" s="10"/>
      <c r="N187" s="10"/>
      <c r="O187" s="10" t="s">
        <v>23</v>
      </c>
      <c r="P187" s="10" t="s">
        <v>24</v>
      </c>
    </row>
    <row r="188" customFormat="false" ht="15.75" hidden="false" customHeight="false" outlineLevel="0" collapsed="false">
      <c r="A188" s="10" t="s">
        <v>16</v>
      </c>
      <c r="B188" s="10" t="s">
        <v>140</v>
      </c>
      <c r="C188" s="10" t="s">
        <v>141</v>
      </c>
      <c r="D188" s="10" t="s">
        <v>142</v>
      </c>
      <c r="E188" s="10" t="s">
        <v>28</v>
      </c>
      <c r="F188" s="11" t="n">
        <v>45063</v>
      </c>
      <c r="G188" s="12" t="n">
        <v>0.996459895833333</v>
      </c>
      <c r="H188" s="10" t="s">
        <v>37</v>
      </c>
      <c r="I188" s="13" t="n">
        <v>8</v>
      </c>
      <c r="J188" s="13" t="n">
        <v>755</v>
      </c>
      <c r="K188" s="13" t="n">
        <v>6040</v>
      </c>
      <c r="L188" s="10" t="s">
        <v>667</v>
      </c>
      <c r="M188" s="10" t="s">
        <v>668</v>
      </c>
      <c r="N188" s="10"/>
      <c r="O188" s="10" t="s">
        <v>23</v>
      </c>
      <c r="P188" s="10" t="s">
        <v>24</v>
      </c>
    </row>
    <row r="189" customFormat="false" ht="15.75" hidden="false" customHeight="false" outlineLevel="0" collapsed="false">
      <c r="A189" s="10" t="s">
        <v>16</v>
      </c>
      <c r="B189" s="10" t="s">
        <v>669</v>
      </c>
      <c r="C189" s="10" t="s">
        <v>670</v>
      </c>
      <c r="D189" s="10" t="s">
        <v>65</v>
      </c>
      <c r="E189" s="10" t="s">
        <v>122</v>
      </c>
      <c r="F189" s="11" t="n">
        <v>45063</v>
      </c>
      <c r="G189" s="12" t="n">
        <v>0.590170335648148</v>
      </c>
      <c r="H189" s="10" t="s">
        <v>29</v>
      </c>
      <c r="I189" s="13" t="n">
        <v>672</v>
      </c>
      <c r="J189" s="13" t="n">
        <v>153</v>
      </c>
      <c r="K189" s="13" t="n">
        <v>102816</v>
      </c>
      <c r="L189" s="10" t="s">
        <v>671</v>
      </c>
      <c r="M189" s="10" t="s">
        <v>672</v>
      </c>
      <c r="N189" s="10" t="s">
        <v>673</v>
      </c>
      <c r="O189" s="10" t="s">
        <v>61</v>
      </c>
      <c r="P189" s="10" t="s">
        <v>62</v>
      </c>
    </row>
    <row r="190" customFormat="false" ht="15.75" hidden="false" customHeight="false" outlineLevel="0" collapsed="false">
      <c r="A190" s="10" t="s">
        <v>16</v>
      </c>
      <c r="B190" s="10" t="s">
        <v>674</v>
      </c>
      <c r="C190" s="10" t="s">
        <v>675</v>
      </c>
      <c r="D190" s="10" t="s">
        <v>676</v>
      </c>
      <c r="E190" s="10" t="s">
        <v>553</v>
      </c>
      <c r="F190" s="11" t="n">
        <v>45064</v>
      </c>
      <c r="G190" s="12" t="n">
        <v>0.512479965277778</v>
      </c>
      <c r="H190" s="10" t="s">
        <v>37</v>
      </c>
      <c r="I190" s="13" t="n">
        <v>1</v>
      </c>
      <c r="J190" s="13" t="n">
        <v>323</v>
      </c>
      <c r="K190" s="13" t="n">
        <v>323</v>
      </c>
      <c r="L190" s="10" t="s">
        <v>677</v>
      </c>
      <c r="M190" s="10" t="s">
        <v>678</v>
      </c>
      <c r="N190" s="10"/>
      <c r="O190" s="10" t="s">
        <v>61</v>
      </c>
      <c r="P190" s="10" t="s">
        <v>62</v>
      </c>
    </row>
    <row r="191" customFormat="false" ht="15.75" hidden="false" customHeight="false" outlineLevel="0" collapsed="false">
      <c r="A191" s="10" t="s">
        <v>16</v>
      </c>
      <c r="B191" s="10" t="s">
        <v>679</v>
      </c>
      <c r="C191" s="10" t="s">
        <v>680</v>
      </c>
      <c r="D191" s="10" t="s">
        <v>142</v>
      </c>
      <c r="E191" s="10" t="s">
        <v>28</v>
      </c>
      <c r="F191" s="11" t="n">
        <v>45064</v>
      </c>
      <c r="G191" s="12" t="n">
        <v>0.0439024421296296</v>
      </c>
      <c r="H191" s="10" t="s">
        <v>37</v>
      </c>
      <c r="I191" s="13" t="n">
        <v>1</v>
      </c>
      <c r="J191" s="13" t="n">
        <v>773</v>
      </c>
      <c r="K191" s="13" t="n">
        <v>773</v>
      </c>
      <c r="L191" s="10" t="s">
        <v>681</v>
      </c>
      <c r="M191" s="10" t="s">
        <v>682</v>
      </c>
      <c r="N191" s="10"/>
      <c r="O191" s="10" t="s">
        <v>23</v>
      </c>
      <c r="P191" s="10" t="s">
        <v>24</v>
      </c>
    </row>
    <row r="192" customFormat="false" ht="15.75" hidden="false" customHeight="false" outlineLevel="0" collapsed="false">
      <c r="A192" s="10" t="s">
        <v>16</v>
      </c>
      <c r="B192" s="10" t="s">
        <v>140</v>
      </c>
      <c r="C192" s="10" t="s">
        <v>141</v>
      </c>
      <c r="D192" s="10" t="s">
        <v>142</v>
      </c>
      <c r="E192" s="10" t="s">
        <v>28</v>
      </c>
      <c r="F192" s="11" t="n">
        <v>45065</v>
      </c>
      <c r="G192" s="12" t="n">
        <v>0.805701990740741</v>
      </c>
      <c r="H192" s="10" t="s">
        <v>37</v>
      </c>
      <c r="I192" s="13" t="n">
        <v>2</v>
      </c>
      <c r="J192" s="13" t="n">
        <v>755</v>
      </c>
      <c r="K192" s="13" t="n">
        <v>1510</v>
      </c>
      <c r="L192" s="10" t="s">
        <v>683</v>
      </c>
      <c r="M192" s="10" t="s">
        <v>684</v>
      </c>
      <c r="N192" s="10"/>
      <c r="O192" s="10" t="s">
        <v>23</v>
      </c>
      <c r="P192" s="10" t="s">
        <v>24</v>
      </c>
    </row>
    <row r="193" customFormat="false" ht="15.75" hidden="false" customHeight="false" outlineLevel="0" collapsed="false">
      <c r="A193" s="10" t="s">
        <v>16</v>
      </c>
      <c r="B193" s="10" t="s">
        <v>140</v>
      </c>
      <c r="C193" s="10" t="s">
        <v>141</v>
      </c>
      <c r="D193" s="10" t="s">
        <v>142</v>
      </c>
      <c r="E193" s="10" t="s">
        <v>28</v>
      </c>
      <c r="F193" s="11" t="n">
        <v>45065</v>
      </c>
      <c r="G193" s="12" t="n">
        <v>0.771822094907407</v>
      </c>
      <c r="H193" s="10" t="s">
        <v>37</v>
      </c>
      <c r="I193" s="13" t="n">
        <v>3</v>
      </c>
      <c r="J193" s="13" t="n">
        <v>755</v>
      </c>
      <c r="K193" s="13" t="n">
        <v>2265</v>
      </c>
      <c r="L193" s="10" t="s">
        <v>685</v>
      </c>
      <c r="M193" s="10" t="s">
        <v>686</v>
      </c>
      <c r="N193" s="10"/>
      <c r="O193" s="10" t="s">
        <v>23</v>
      </c>
      <c r="P193" s="10" t="s">
        <v>24</v>
      </c>
    </row>
    <row r="194" customFormat="false" ht="15.75" hidden="false" customHeight="false" outlineLevel="0" collapsed="false">
      <c r="A194" s="10" t="s">
        <v>16</v>
      </c>
      <c r="B194" s="10" t="s">
        <v>687</v>
      </c>
      <c r="C194" s="10" t="s">
        <v>688</v>
      </c>
      <c r="D194" s="10" t="s">
        <v>230</v>
      </c>
      <c r="E194" s="10" t="s">
        <v>231</v>
      </c>
      <c r="F194" s="11" t="n">
        <v>45066</v>
      </c>
      <c r="G194" s="12" t="n">
        <v>0.959184664351852</v>
      </c>
      <c r="H194" s="10" t="s">
        <v>37</v>
      </c>
      <c r="I194" s="13" t="n">
        <v>1</v>
      </c>
      <c r="J194" s="13" t="n">
        <v>484.71</v>
      </c>
      <c r="K194" s="13" t="n">
        <v>484.71</v>
      </c>
      <c r="L194" s="10" t="s">
        <v>689</v>
      </c>
      <c r="M194" s="10" t="s">
        <v>690</v>
      </c>
      <c r="N194" s="10"/>
      <c r="O194" s="10" t="s">
        <v>691</v>
      </c>
      <c r="P194" s="10" t="s">
        <v>692</v>
      </c>
    </row>
    <row r="195" customFormat="false" ht="15.75" hidden="false" customHeight="false" outlineLevel="0" collapsed="false">
      <c r="A195" s="10" t="s">
        <v>16</v>
      </c>
      <c r="B195" s="10" t="s">
        <v>693</v>
      </c>
      <c r="C195" s="10" t="s">
        <v>694</v>
      </c>
      <c r="D195" s="10" t="s">
        <v>622</v>
      </c>
      <c r="E195" s="10" t="s">
        <v>20</v>
      </c>
      <c r="F195" s="11" t="n">
        <v>45066</v>
      </c>
      <c r="G195" s="12" t="n">
        <v>0.834633275462963</v>
      </c>
      <c r="H195" s="10" t="s">
        <v>37</v>
      </c>
      <c r="I195" s="13" t="n">
        <v>53</v>
      </c>
      <c r="J195" s="13" t="n">
        <v>116</v>
      </c>
      <c r="K195" s="13" t="n">
        <v>6148</v>
      </c>
      <c r="L195" s="10" t="s">
        <v>695</v>
      </c>
      <c r="M195" s="10" t="s">
        <v>696</v>
      </c>
      <c r="N195" s="10"/>
      <c r="O195" s="10" t="s">
        <v>110</v>
      </c>
      <c r="P195" s="10" t="s">
        <v>111</v>
      </c>
    </row>
    <row r="196" customFormat="false" ht="15.75" hidden="false" customHeight="false" outlineLevel="0" collapsed="false">
      <c r="A196" s="10" t="s">
        <v>16</v>
      </c>
      <c r="B196" s="10" t="s">
        <v>140</v>
      </c>
      <c r="C196" s="10" t="s">
        <v>141</v>
      </c>
      <c r="D196" s="10" t="s">
        <v>142</v>
      </c>
      <c r="E196" s="10" t="s">
        <v>28</v>
      </c>
      <c r="F196" s="11" t="n">
        <v>45068</v>
      </c>
      <c r="G196" s="12" t="n">
        <v>0.898247407407407</v>
      </c>
      <c r="H196" s="10" t="s">
        <v>37</v>
      </c>
      <c r="I196" s="13" t="n">
        <v>1</v>
      </c>
      <c r="J196" s="13" t="n">
        <v>755</v>
      </c>
      <c r="K196" s="13" t="n">
        <v>755</v>
      </c>
      <c r="L196" s="10" t="s">
        <v>697</v>
      </c>
      <c r="M196" s="10" t="s">
        <v>698</v>
      </c>
      <c r="N196" s="10"/>
      <c r="O196" s="10" t="s">
        <v>23</v>
      </c>
      <c r="P196" s="10" t="s">
        <v>24</v>
      </c>
    </row>
    <row r="197" customFormat="false" ht="15.75" hidden="false" customHeight="false" outlineLevel="0" collapsed="false">
      <c r="A197" s="10" t="s">
        <v>16</v>
      </c>
      <c r="B197" s="10" t="s">
        <v>140</v>
      </c>
      <c r="C197" s="10" t="s">
        <v>141</v>
      </c>
      <c r="D197" s="10" t="s">
        <v>142</v>
      </c>
      <c r="E197" s="10" t="s">
        <v>28</v>
      </c>
      <c r="F197" s="11" t="n">
        <v>45069</v>
      </c>
      <c r="G197" s="12" t="n">
        <v>0.879882824074074</v>
      </c>
      <c r="H197" s="10" t="s">
        <v>37</v>
      </c>
      <c r="I197" s="13" t="n">
        <v>2</v>
      </c>
      <c r="J197" s="13" t="n">
        <v>755</v>
      </c>
      <c r="K197" s="13" t="n">
        <v>1510</v>
      </c>
      <c r="L197" s="10" t="s">
        <v>699</v>
      </c>
      <c r="M197" s="10" t="s">
        <v>700</v>
      </c>
      <c r="N197" s="10"/>
      <c r="O197" s="10" t="s">
        <v>23</v>
      </c>
      <c r="P197" s="10" t="s">
        <v>24</v>
      </c>
    </row>
    <row r="198" customFormat="false" ht="15.75" hidden="false" customHeight="false" outlineLevel="0" collapsed="false">
      <c r="A198" s="10" t="s">
        <v>16</v>
      </c>
      <c r="B198" s="10" t="s">
        <v>78</v>
      </c>
      <c r="C198" s="10" t="s">
        <v>79</v>
      </c>
      <c r="D198" s="10" t="s">
        <v>80</v>
      </c>
      <c r="E198" s="10" t="s">
        <v>28</v>
      </c>
      <c r="F198" s="11" t="n">
        <v>45069</v>
      </c>
      <c r="G198" s="12" t="n">
        <v>0.878743171296296</v>
      </c>
      <c r="H198" s="10" t="s">
        <v>37</v>
      </c>
      <c r="I198" s="13" t="n">
        <v>1</v>
      </c>
      <c r="J198" s="13" t="n">
        <v>170</v>
      </c>
      <c r="K198" s="13" t="n">
        <v>170</v>
      </c>
      <c r="L198" s="10" t="s">
        <v>701</v>
      </c>
      <c r="M198" s="10" t="s">
        <v>702</v>
      </c>
      <c r="N198" s="10"/>
      <c r="O198" s="10" t="s">
        <v>23</v>
      </c>
      <c r="P198" s="10" t="s">
        <v>24</v>
      </c>
    </row>
    <row r="199" customFormat="false" ht="15.75" hidden="false" customHeight="false" outlineLevel="0" collapsed="false">
      <c r="A199" s="10" t="s">
        <v>16</v>
      </c>
      <c r="B199" s="10" t="s">
        <v>507</v>
      </c>
      <c r="C199" s="10" t="s">
        <v>508</v>
      </c>
      <c r="D199" s="10" t="s">
        <v>95</v>
      </c>
      <c r="E199" s="10" t="s">
        <v>96</v>
      </c>
      <c r="F199" s="11" t="n">
        <v>45070</v>
      </c>
      <c r="G199" s="12" t="n">
        <v>0.935947037037037</v>
      </c>
      <c r="H199" s="10" t="s">
        <v>37</v>
      </c>
      <c r="I199" s="13" t="n">
        <v>2</v>
      </c>
      <c r="J199" s="13" t="n">
        <v>45.59</v>
      </c>
      <c r="K199" s="13" t="n">
        <v>91.18</v>
      </c>
      <c r="L199" s="10" t="s">
        <v>703</v>
      </c>
      <c r="M199" s="10" t="s">
        <v>704</v>
      </c>
      <c r="N199" s="10"/>
      <c r="O199" s="10" t="s">
        <v>23</v>
      </c>
      <c r="P199" s="10" t="s">
        <v>24</v>
      </c>
    </row>
    <row r="200" customFormat="false" ht="15.75" hidden="false" customHeight="false" outlineLevel="0" collapsed="false">
      <c r="A200" s="10" t="s">
        <v>16</v>
      </c>
      <c r="B200" s="10" t="s">
        <v>140</v>
      </c>
      <c r="C200" s="10" t="s">
        <v>141</v>
      </c>
      <c r="D200" s="10" t="s">
        <v>142</v>
      </c>
      <c r="E200" s="10" t="s">
        <v>28</v>
      </c>
      <c r="F200" s="11" t="n">
        <v>45070</v>
      </c>
      <c r="G200" s="12" t="n">
        <v>0.913605023148148</v>
      </c>
      <c r="H200" s="10" t="s">
        <v>37</v>
      </c>
      <c r="I200" s="13" t="n">
        <v>1</v>
      </c>
      <c r="J200" s="13" t="n">
        <v>755</v>
      </c>
      <c r="K200" s="13" t="n">
        <v>755</v>
      </c>
      <c r="L200" s="10" t="s">
        <v>705</v>
      </c>
      <c r="M200" s="10" t="s">
        <v>706</v>
      </c>
      <c r="N200" s="10"/>
      <c r="O200" s="10" t="s">
        <v>23</v>
      </c>
      <c r="P200" s="10" t="s">
        <v>24</v>
      </c>
    </row>
    <row r="201" customFormat="false" ht="15.75" hidden="false" customHeight="false" outlineLevel="0" collapsed="false">
      <c r="A201" s="10" t="s">
        <v>16</v>
      </c>
      <c r="B201" s="10" t="s">
        <v>707</v>
      </c>
      <c r="C201" s="10" t="s">
        <v>708</v>
      </c>
      <c r="D201" s="10" t="s">
        <v>337</v>
      </c>
      <c r="E201" s="10" t="s">
        <v>208</v>
      </c>
      <c r="F201" s="11" t="n">
        <v>45070</v>
      </c>
      <c r="G201" s="12" t="n">
        <v>0.709110555555556</v>
      </c>
      <c r="H201" s="10" t="s">
        <v>37</v>
      </c>
      <c r="I201" s="13" t="n">
        <v>1</v>
      </c>
      <c r="J201" s="13" t="n">
        <v>239.66</v>
      </c>
      <c r="K201" s="13" t="n">
        <v>239.66</v>
      </c>
      <c r="L201" s="10" t="s">
        <v>709</v>
      </c>
      <c r="M201" s="10" t="s">
        <v>710</v>
      </c>
      <c r="N201" s="10"/>
      <c r="O201" s="10" t="s">
        <v>61</v>
      </c>
      <c r="P201" s="10" t="s">
        <v>62</v>
      </c>
    </row>
    <row r="202" customFormat="false" ht="15.75" hidden="false" customHeight="false" outlineLevel="0" collapsed="false">
      <c r="A202" s="10" t="s">
        <v>16</v>
      </c>
      <c r="B202" s="10" t="s">
        <v>140</v>
      </c>
      <c r="C202" s="10" t="s">
        <v>141</v>
      </c>
      <c r="D202" s="10" t="s">
        <v>142</v>
      </c>
      <c r="E202" s="10" t="s">
        <v>28</v>
      </c>
      <c r="F202" s="11" t="n">
        <v>45072</v>
      </c>
      <c r="G202" s="12" t="n">
        <v>0.777374710648148</v>
      </c>
      <c r="H202" s="10" t="s">
        <v>37</v>
      </c>
      <c r="I202" s="13" t="n">
        <v>2</v>
      </c>
      <c r="J202" s="13" t="n">
        <v>755</v>
      </c>
      <c r="K202" s="13" t="n">
        <v>1510</v>
      </c>
      <c r="L202" s="10" t="s">
        <v>711</v>
      </c>
      <c r="M202" s="10" t="s">
        <v>712</v>
      </c>
      <c r="N202" s="10"/>
      <c r="O202" s="10" t="s">
        <v>23</v>
      </c>
      <c r="P202" s="10" t="s">
        <v>24</v>
      </c>
    </row>
    <row r="203" customFormat="false" ht="15.75" hidden="false" customHeight="false" outlineLevel="0" collapsed="false">
      <c r="A203" s="10" t="s">
        <v>16</v>
      </c>
      <c r="B203" s="10" t="s">
        <v>140</v>
      </c>
      <c r="C203" s="10" t="s">
        <v>141</v>
      </c>
      <c r="D203" s="10" t="s">
        <v>142</v>
      </c>
      <c r="E203" s="10" t="s">
        <v>28</v>
      </c>
      <c r="F203" s="11" t="n">
        <v>45072</v>
      </c>
      <c r="G203" s="12" t="n">
        <v>0.472055509259259</v>
      </c>
      <c r="H203" s="10" t="s">
        <v>37</v>
      </c>
      <c r="I203" s="13" t="n">
        <v>3</v>
      </c>
      <c r="J203" s="13" t="n">
        <v>755</v>
      </c>
      <c r="K203" s="13" t="n">
        <v>2265</v>
      </c>
      <c r="L203" s="10" t="s">
        <v>713</v>
      </c>
      <c r="M203" s="10" t="s">
        <v>714</v>
      </c>
      <c r="N203" s="10"/>
      <c r="O203" s="10" t="s">
        <v>23</v>
      </c>
      <c r="P203" s="10" t="s">
        <v>24</v>
      </c>
    </row>
    <row r="204" customFormat="false" ht="15.75" hidden="false" customHeight="false" outlineLevel="0" collapsed="false">
      <c r="A204" s="10" t="s">
        <v>16</v>
      </c>
      <c r="B204" s="10" t="s">
        <v>715</v>
      </c>
      <c r="C204" s="10" t="s">
        <v>716</v>
      </c>
      <c r="D204" s="10" t="s">
        <v>487</v>
      </c>
      <c r="E204" s="10" t="s">
        <v>333</v>
      </c>
      <c r="F204" s="11" t="n">
        <v>45073</v>
      </c>
      <c r="G204" s="12" t="n">
        <v>0.959635590277778</v>
      </c>
      <c r="H204" s="10" t="s">
        <v>37</v>
      </c>
      <c r="I204" s="13" t="n">
        <v>2</v>
      </c>
      <c r="J204" s="13" t="n">
        <v>1200</v>
      </c>
      <c r="K204" s="13" t="n">
        <v>2400</v>
      </c>
      <c r="L204" s="10" t="s">
        <v>717</v>
      </c>
      <c r="M204" s="10" t="s">
        <v>718</v>
      </c>
      <c r="N204" s="10"/>
      <c r="O204" s="10" t="s">
        <v>23</v>
      </c>
      <c r="P204" s="10" t="s">
        <v>24</v>
      </c>
    </row>
    <row r="205" customFormat="false" ht="15.75" hidden="false" customHeight="false" outlineLevel="0" collapsed="false">
      <c r="A205" s="10" t="s">
        <v>16</v>
      </c>
      <c r="B205" s="10" t="s">
        <v>719</v>
      </c>
      <c r="C205" s="10" t="s">
        <v>720</v>
      </c>
      <c r="D205" s="10" t="s">
        <v>19</v>
      </c>
      <c r="E205" s="10" t="s">
        <v>20</v>
      </c>
      <c r="F205" s="11" t="n">
        <v>45073</v>
      </c>
      <c r="G205" s="12" t="n">
        <v>0.520634722222222</v>
      </c>
      <c r="H205" s="10" t="s">
        <v>37</v>
      </c>
      <c r="I205" s="13" t="n">
        <v>2</v>
      </c>
      <c r="J205" s="13" t="n">
        <v>1800</v>
      </c>
      <c r="K205" s="13" t="n">
        <v>3600</v>
      </c>
      <c r="L205" s="10" t="s">
        <v>721</v>
      </c>
      <c r="M205" s="10" t="s">
        <v>722</v>
      </c>
      <c r="N205" s="10"/>
      <c r="O205" s="10" t="s">
        <v>61</v>
      </c>
      <c r="P205" s="10" t="s">
        <v>62</v>
      </c>
    </row>
    <row r="206" customFormat="false" ht="15.75" hidden="false" customHeight="false" outlineLevel="0" collapsed="false">
      <c r="A206" s="10" t="s">
        <v>16</v>
      </c>
      <c r="B206" s="10" t="s">
        <v>723</v>
      </c>
      <c r="C206" s="10" t="s">
        <v>724</v>
      </c>
      <c r="D206" s="10" t="s">
        <v>19</v>
      </c>
      <c r="E206" s="10" t="s">
        <v>20</v>
      </c>
      <c r="F206" s="11" t="n">
        <v>45073</v>
      </c>
      <c r="G206" s="12" t="n">
        <v>0.520312118055556</v>
      </c>
      <c r="H206" s="10" t="s">
        <v>37</v>
      </c>
      <c r="I206" s="13" t="n">
        <v>1</v>
      </c>
      <c r="J206" s="13" t="n">
        <v>195</v>
      </c>
      <c r="K206" s="13" t="n">
        <v>195</v>
      </c>
      <c r="L206" s="10" t="s">
        <v>725</v>
      </c>
      <c r="M206" s="10" t="s">
        <v>726</v>
      </c>
      <c r="N206" s="10"/>
      <c r="O206" s="10" t="s">
        <v>61</v>
      </c>
      <c r="P206" s="10" t="s">
        <v>62</v>
      </c>
    </row>
    <row r="207" customFormat="false" ht="15.75" hidden="false" customHeight="false" outlineLevel="0" collapsed="false">
      <c r="A207" s="10" t="s">
        <v>16</v>
      </c>
      <c r="B207" s="10" t="s">
        <v>727</v>
      </c>
      <c r="C207" s="10" t="s">
        <v>728</v>
      </c>
      <c r="D207" s="10" t="s">
        <v>19</v>
      </c>
      <c r="E207" s="10" t="s">
        <v>20</v>
      </c>
      <c r="F207" s="11" t="n">
        <v>45073</v>
      </c>
      <c r="G207" s="12" t="n">
        <v>0.519871759259259</v>
      </c>
      <c r="H207" s="10" t="s">
        <v>37</v>
      </c>
      <c r="I207" s="13" t="n">
        <v>1</v>
      </c>
      <c r="J207" s="13" t="n">
        <v>569</v>
      </c>
      <c r="K207" s="13" t="n">
        <v>569</v>
      </c>
      <c r="L207" s="10" t="s">
        <v>729</v>
      </c>
      <c r="M207" s="10" t="s">
        <v>730</v>
      </c>
      <c r="N207" s="10"/>
      <c r="O207" s="10" t="s">
        <v>61</v>
      </c>
      <c r="P207" s="10" t="s">
        <v>62</v>
      </c>
    </row>
    <row r="208" customFormat="false" ht="15.75" hidden="false" customHeight="false" outlineLevel="0" collapsed="false">
      <c r="A208" s="10" t="s">
        <v>16</v>
      </c>
      <c r="B208" s="10" t="s">
        <v>286</v>
      </c>
      <c r="C208" s="10" t="s">
        <v>287</v>
      </c>
      <c r="D208" s="10" t="s">
        <v>19</v>
      </c>
      <c r="E208" s="10" t="s">
        <v>20</v>
      </c>
      <c r="F208" s="11" t="n">
        <v>45073</v>
      </c>
      <c r="G208" s="12" t="n">
        <v>0.517900023148148</v>
      </c>
      <c r="H208" s="10" t="s">
        <v>37</v>
      </c>
      <c r="I208" s="13" t="n">
        <v>1</v>
      </c>
      <c r="J208" s="13" t="n">
        <v>2500</v>
      </c>
      <c r="K208" s="13" t="n">
        <v>2500</v>
      </c>
      <c r="L208" s="10" t="s">
        <v>731</v>
      </c>
      <c r="M208" s="10" t="s">
        <v>732</v>
      </c>
      <c r="N208" s="10"/>
      <c r="O208" s="10" t="s">
        <v>61</v>
      </c>
      <c r="P208" s="10" t="s">
        <v>62</v>
      </c>
    </row>
    <row r="209" customFormat="false" ht="15.75" hidden="false" customHeight="false" outlineLevel="0" collapsed="false">
      <c r="A209" s="10" t="s">
        <v>16</v>
      </c>
      <c r="B209" s="10" t="s">
        <v>733</v>
      </c>
      <c r="C209" s="10" t="s">
        <v>734</v>
      </c>
      <c r="D209" s="10" t="s">
        <v>735</v>
      </c>
      <c r="E209" s="10" t="s">
        <v>736</v>
      </c>
      <c r="F209" s="11" t="n">
        <v>45073</v>
      </c>
      <c r="G209" s="12" t="n">
        <v>0.477019675925926</v>
      </c>
      <c r="H209" s="10" t="s">
        <v>37</v>
      </c>
      <c r="I209" s="13" t="n">
        <v>1</v>
      </c>
      <c r="J209" s="13" t="n">
        <v>3214.33</v>
      </c>
      <c r="K209" s="13" t="n">
        <v>3214.33</v>
      </c>
      <c r="L209" s="10" t="s">
        <v>737</v>
      </c>
      <c r="M209" s="10" t="s">
        <v>738</v>
      </c>
      <c r="N209" s="10"/>
      <c r="O209" s="10" t="s">
        <v>61</v>
      </c>
      <c r="P209" s="10" t="s">
        <v>62</v>
      </c>
    </row>
    <row r="210" customFormat="false" ht="15.75" hidden="false" customHeight="false" outlineLevel="0" collapsed="false">
      <c r="A210" s="10" t="s">
        <v>16</v>
      </c>
      <c r="B210" s="10" t="s">
        <v>238</v>
      </c>
      <c r="C210" s="10" t="s">
        <v>239</v>
      </c>
      <c r="D210" s="10" t="s">
        <v>95</v>
      </c>
      <c r="E210" s="10" t="s">
        <v>96</v>
      </c>
      <c r="F210" s="11" t="n">
        <v>45074</v>
      </c>
      <c r="G210" s="12" t="n">
        <v>0.96523849537037</v>
      </c>
      <c r="H210" s="10" t="s">
        <v>37</v>
      </c>
      <c r="I210" s="13" t="n">
        <v>6</v>
      </c>
      <c r="J210" s="13" t="n">
        <v>55.25</v>
      </c>
      <c r="K210" s="13" t="n">
        <v>331.5</v>
      </c>
      <c r="L210" s="10" t="s">
        <v>739</v>
      </c>
      <c r="M210" s="10" t="s">
        <v>740</v>
      </c>
      <c r="N210" s="10"/>
      <c r="O210" s="10" t="s">
        <v>23</v>
      </c>
      <c r="P210" s="10" t="s">
        <v>24</v>
      </c>
    </row>
    <row r="211" customFormat="false" ht="15.75" hidden="false" customHeight="false" outlineLevel="0" collapsed="false">
      <c r="A211" s="10" t="s">
        <v>16</v>
      </c>
      <c r="B211" s="10" t="s">
        <v>210</v>
      </c>
      <c r="C211" s="10" t="s">
        <v>211</v>
      </c>
      <c r="D211" s="10" t="s">
        <v>212</v>
      </c>
      <c r="E211" s="10" t="s">
        <v>96</v>
      </c>
      <c r="F211" s="11" t="n">
        <v>45074</v>
      </c>
      <c r="G211" s="12" t="n">
        <v>0.964724259259259</v>
      </c>
      <c r="H211" s="10" t="s">
        <v>37</v>
      </c>
      <c r="I211" s="13" t="n">
        <v>4</v>
      </c>
      <c r="J211" s="13" t="n">
        <v>107.91</v>
      </c>
      <c r="K211" s="13" t="n">
        <v>431.64</v>
      </c>
      <c r="L211" s="10" t="s">
        <v>741</v>
      </c>
      <c r="M211" s="10" t="s">
        <v>742</v>
      </c>
      <c r="N211" s="10"/>
      <c r="O211" s="10" t="s">
        <v>23</v>
      </c>
      <c r="P211" s="10" t="s">
        <v>24</v>
      </c>
    </row>
    <row r="212" customFormat="false" ht="15.75" hidden="false" customHeight="false" outlineLevel="0" collapsed="false">
      <c r="A212" s="10" t="s">
        <v>16</v>
      </c>
      <c r="B212" s="10" t="s">
        <v>507</v>
      </c>
      <c r="C212" s="10" t="s">
        <v>508</v>
      </c>
      <c r="D212" s="10" t="s">
        <v>95</v>
      </c>
      <c r="E212" s="10" t="s">
        <v>96</v>
      </c>
      <c r="F212" s="11" t="n">
        <v>45074</v>
      </c>
      <c r="G212" s="12" t="n">
        <v>0.963978090277778</v>
      </c>
      <c r="H212" s="10" t="s">
        <v>37</v>
      </c>
      <c r="I212" s="13" t="n">
        <v>1</v>
      </c>
      <c r="J212" s="13" t="n">
        <v>45.59</v>
      </c>
      <c r="K212" s="13" t="n">
        <v>45.59</v>
      </c>
      <c r="L212" s="10" t="s">
        <v>743</v>
      </c>
      <c r="M212" s="10" t="s">
        <v>744</v>
      </c>
      <c r="N212" s="10"/>
      <c r="O212" s="10" t="s">
        <v>23</v>
      </c>
      <c r="P212" s="10" t="s">
        <v>24</v>
      </c>
    </row>
    <row r="213" customFormat="false" ht="15.75" hidden="false" customHeight="false" outlineLevel="0" collapsed="false">
      <c r="A213" s="10" t="s">
        <v>16</v>
      </c>
      <c r="B213" s="10" t="s">
        <v>745</v>
      </c>
      <c r="C213" s="10" t="s">
        <v>746</v>
      </c>
      <c r="D213" s="10" t="s">
        <v>747</v>
      </c>
      <c r="E213" s="10" t="s">
        <v>90</v>
      </c>
      <c r="F213" s="11" t="n">
        <v>45074</v>
      </c>
      <c r="G213" s="12" t="n">
        <v>0.839860462962963</v>
      </c>
      <c r="H213" s="10" t="s">
        <v>37</v>
      </c>
      <c r="I213" s="13" t="n">
        <v>1</v>
      </c>
      <c r="J213" s="13" t="n">
        <v>790.5</v>
      </c>
      <c r="K213" s="13" t="n">
        <v>790.5</v>
      </c>
      <c r="L213" s="10" t="s">
        <v>748</v>
      </c>
      <c r="M213" s="10" t="s">
        <v>749</v>
      </c>
      <c r="N213" s="10"/>
      <c r="O213" s="10" t="s">
        <v>23</v>
      </c>
      <c r="P213" s="10" t="s">
        <v>24</v>
      </c>
    </row>
    <row r="214" customFormat="false" ht="15.75" hidden="false" customHeight="false" outlineLevel="0" collapsed="false">
      <c r="A214" s="10" t="s">
        <v>16</v>
      </c>
      <c r="B214" s="10" t="s">
        <v>385</v>
      </c>
      <c r="C214" s="10" t="s">
        <v>386</v>
      </c>
      <c r="D214" s="10" t="s">
        <v>142</v>
      </c>
      <c r="E214" s="10" t="s">
        <v>28</v>
      </c>
      <c r="F214" s="11" t="n">
        <v>45074</v>
      </c>
      <c r="G214" s="12" t="n">
        <v>0.830230046296296</v>
      </c>
      <c r="H214" s="10" t="s">
        <v>37</v>
      </c>
      <c r="I214" s="13" t="n">
        <v>1</v>
      </c>
      <c r="J214" s="13" t="n">
        <v>1155</v>
      </c>
      <c r="K214" s="13" t="n">
        <v>1155</v>
      </c>
      <c r="L214" s="10" t="s">
        <v>750</v>
      </c>
      <c r="M214" s="10" t="s">
        <v>751</v>
      </c>
      <c r="N214" s="10"/>
      <c r="O214" s="10" t="s">
        <v>23</v>
      </c>
      <c r="P214" s="10" t="s">
        <v>24</v>
      </c>
    </row>
    <row r="215" customFormat="false" ht="15.75" hidden="false" customHeight="false" outlineLevel="0" collapsed="false">
      <c r="A215" s="10" t="s">
        <v>16</v>
      </c>
      <c r="B215" s="10" t="s">
        <v>752</v>
      </c>
      <c r="C215" s="10" t="s">
        <v>753</v>
      </c>
      <c r="D215" s="10" t="s">
        <v>754</v>
      </c>
      <c r="E215" s="10" t="s">
        <v>208</v>
      </c>
      <c r="F215" s="11" t="n">
        <v>45075</v>
      </c>
      <c r="G215" s="12" t="n">
        <v>0.919885509259259</v>
      </c>
      <c r="H215" s="10" t="s">
        <v>21</v>
      </c>
      <c r="I215" s="13" t="n">
        <v>6</v>
      </c>
      <c r="J215" s="13" t="n">
        <v>864.58</v>
      </c>
      <c r="K215" s="13" t="n">
        <v>5187.48</v>
      </c>
      <c r="L215" s="10" t="s">
        <v>755</v>
      </c>
      <c r="M215" s="10"/>
      <c r="N215" s="10"/>
      <c r="O215" s="10" t="s">
        <v>23</v>
      </c>
      <c r="P215" s="10" t="s">
        <v>24</v>
      </c>
    </row>
    <row r="216" customFormat="false" ht="15.75" hidden="false" customHeight="false" outlineLevel="0" collapsed="false">
      <c r="A216" s="10" t="s">
        <v>16</v>
      </c>
      <c r="B216" s="10" t="s">
        <v>756</v>
      </c>
      <c r="C216" s="10" t="s">
        <v>757</v>
      </c>
      <c r="D216" s="10" t="s">
        <v>758</v>
      </c>
      <c r="E216" s="10" t="s">
        <v>122</v>
      </c>
      <c r="F216" s="11" t="n">
        <v>45076</v>
      </c>
      <c r="G216" s="12" t="n">
        <v>0.951699305555556</v>
      </c>
      <c r="H216" s="10" t="s">
        <v>21</v>
      </c>
      <c r="I216" s="13" t="n">
        <v>3</v>
      </c>
      <c r="J216" s="13" t="n">
        <v>216</v>
      </c>
      <c r="K216" s="13" t="n">
        <v>648</v>
      </c>
      <c r="L216" s="10" t="s">
        <v>759</v>
      </c>
      <c r="M216" s="10"/>
      <c r="N216" s="10"/>
      <c r="O216" s="10" t="s">
        <v>23</v>
      </c>
      <c r="P216" s="10" t="s">
        <v>24</v>
      </c>
    </row>
    <row r="217" customFormat="false" ht="15.75" hidden="false" customHeight="false" outlineLevel="0" collapsed="false">
      <c r="A217" s="10" t="s">
        <v>16</v>
      </c>
      <c r="B217" s="10" t="s">
        <v>760</v>
      </c>
      <c r="C217" s="10" t="s">
        <v>761</v>
      </c>
      <c r="D217" s="10" t="s">
        <v>762</v>
      </c>
      <c r="E217" s="10" t="s">
        <v>736</v>
      </c>
      <c r="F217" s="11" t="n">
        <v>45076</v>
      </c>
      <c r="G217" s="12" t="n">
        <v>0.814601064814815</v>
      </c>
      <c r="H217" s="10" t="s">
        <v>21</v>
      </c>
      <c r="I217" s="13" t="n">
        <v>16</v>
      </c>
      <c r="J217" s="13" t="n">
        <v>1536.23</v>
      </c>
      <c r="K217" s="13" t="n">
        <v>24579.68</v>
      </c>
      <c r="L217" s="10" t="s">
        <v>763</v>
      </c>
      <c r="M217" s="10"/>
      <c r="N217" s="10"/>
      <c r="O217" s="10" t="s">
        <v>23</v>
      </c>
      <c r="P217" s="10" t="s">
        <v>24</v>
      </c>
    </row>
    <row r="218" customFormat="false" ht="15.75" hidden="false" customHeight="false" outlineLevel="0" collapsed="false">
      <c r="A218" s="10" t="s">
        <v>16</v>
      </c>
      <c r="B218" s="10" t="s">
        <v>764</v>
      </c>
      <c r="C218" s="10" t="s">
        <v>765</v>
      </c>
      <c r="D218" s="10" t="s">
        <v>85</v>
      </c>
      <c r="E218" s="10" t="s">
        <v>28</v>
      </c>
      <c r="F218" s="11" t="n">
        <v>45077</v>
      </c>
      <c r="G218" s="12" t="n">
        <v>0.81227119212963</v>
      </c>
      <c r="H218" s="10" t="s">
        <v>37</v>
      </c>
      <c r="I218" s="13" t="n">
        <v>1</v>
      </c>
      <c r="J218" s="13" t="n">
        <v>576</v>
      </c>
      <c r="K218" s="13" t="n">
        <v>576</v>
      </c>
      <c r="L218" s="10" t="s">
        <v>766</v>
      </c>
      <c r="M218" s="10" t="s">
        <v>767</v>
      </c>
      <c r="N218" s="10"/>
      <c r="O218" s="10" t="s">
        <v>23</v>
      </c>
      <c r="P218" s="10" t="s">
        <v>24</v>
      </c>
    </row>
    <row r="219" customFormat="false" ht="15.75" hidden="false" customHeight="false" outlineLevel="0" collapsed="false">
      <c r="A219" s="10" t="s">
        <v>16</v>
      </c>
      <c r="B219" s="10" t="s">
        <v>768</v>
      </c>
      <c r="C219" s="10" t="s">
        <v>769</v>
      </c>
      <c r="D219" s="10" t="s">
        <v>659</v>
      </c>
      <c r="E219" s="10" t="s">
        <v>28</v>
      </c>
      <c r="F219" s="11" t="n">
        <v>45077</v>
      </c>
      <c r="G219" s="12" t="n">
        <v>0.811155451388889</v>
      </c>
      <c r="H219" s="10" t="s">
        <v>37</v>
      </c>
      <c r="I219" s="13" t="n">
        <v>1</v>
      </c>
      <c r="J219" s="13" t="n">
        <v>726</v>
      </c>
      <c r="K219" s="13" t="n">
        <v>726</v>
      </c>
      <c r="L219" s="10" t="s">
        <v>770</v>
      </c>
      <c r="M219" s="10" t="s">
        <v>771</v>
      </c>
      <c r="N219" s="10"/>
      <c r="O219" s="10" t="s">
        <v>23</v>
      </c>
      <c r="P219" s="10" t="s">
        <v>24</v>
      </c>
    </row>
    <row r="220" customFormat="false" ht="15.75" hidden="false" customHeight="false" outlineLevel="0" collapsed="false">
      <c r="A220" s="10" t="s">
        <v>16</v>
      </c>
      <c r="B220" s="10" t="s">
        <v>772</v>
      </c>
      <c r="C220" s="10" t="s">
        <v>773</v>
      </c>
      <c r="D220" s="10" t="s">
        <v>747</v>
      </c>
      <c r="E220" s="10" t="s">
        <v>90</v>
      </c>
      <c r="F220" s="11" t="n">
        <v>45078</v>
      </c>
      <c r="G220" s="12" t="n">
        <v>0.535605821759259</v>
      </c>
      <c r="H220" s="10" t="s">
        <v>29</v>
      </c>
      <c r="I220" s="13" t="n">
        <v>278</v>
      </c>
      <c r="J220" s="13" t="n">
        <v>2200</v>
      </c>
      <c r="K220" s="13" t="n">
        <v>611600</v>
      </c>
      <c r="L220" s="10" t="s">
        <v>774</v>
      </c>
      <c r="M220" s="10" t="s">
        <v>775</v>
      </c>
      <c r="N220" s="10" t="s">
        <v>776</v>
      </c>
      <c r="O220" s="10" t="s">
        <v>61</v>
      </c>
      <c r="P220" s="10" t="s">
        <v>62</v>
      </c>
    </row>
    <row r="221" customFormat="false" ht="15.75" hidden="false" customHeight="false" outlineLevel="0" collapsed="false">
      <c r="A221" s="10" t="s">
        <v>16</v>
      </c>
      <c r="B221" s="10" t="s">
        <v>777</v>
      </c>
      <c r="C221" s="10" t="s">
        <v>778</v>
      </c>
      <c r="D221" s="10" t="s">
        <v>779</v>
      </c>
      <c r="E221" s="10" t="s">
        <v>28</v>
      </c>
      <c r="F221" s="11" t="n">
        <v>45080</v>
      </c>
      <c r="G221" s="12" t="n">
        <v>0.993037349537037</v>
      </c>
      <c r="H221" s="10" t="s">
        <v>21</v>
      </c>
      <c r="I221" s="13" t="n">
        <v>1</v>
      </c>
      <c r="J221" s="13" t="n">
        <v>960</v>
      </c>
      <c r="K221" s="13" t="n">
        <v>960</v>
      </c>
      <c r="L221" s="10" t="s">
        <v>780</v>
      </c>
      <c r="M221" s="10"/>
      <c r="N221" s="10"/>
      <c r="O221" s="10" t="s">
        <v>23</v>
      </c>
      <c r="P221" s="10" t="s">
        <v>24</v>
      </c>
    </row>
    <row r="222" customFormat="false" ht="15.75" hidden="false" customHeight="false" outlineLevel="0" collapsed="false">
      <c r="A222" s="10" t="s">
        <v>16</v>
      </c>
      <c r="B222" s="10" t="s">
        <v>781</v>
      </c>
      <c r="C222" s="10" t="s">
        <v>782</v>
      </c>
      <c r="D222" s="10" t="s">
        <v>783</v>
      </c>
      <c r="E222" s="10" t="s">
        <v>28</v>
      </c>
      <c r="F222" s="11" t="n">
        <v>45080</v>
      </c>
      <c r="G222" s="12" t="n">
        <v>0.787124456018519</v>
      </c>
      <c r="H222" s="10" t="s">
        <v>37</v>
      </c>
      <c r="I222" s="13" t="n">
        <v>1</v>
      </c>
      <c r="J222" s="13" t="n">
        <v>511</v>
      </c>
      <c r="K222" s="13" t="n">
        <v>511</v>
      </c>
      <c r="L222" s="10" t="s">
        <v>784</v>
      </c>
      <c r="M222" s="10" t="s">
        <v>785</v>
      </c>
      <c r="N222" s="10"/>
      <c r="O222" s="10" t="s">
        <v>23</v>
      </c>
      <c r="P222" s="10" t="s">
        <v>24</v>
      </c>
    </row>
    <row r="223" customFormat="false" ht="15.75" hidden="false" customHeight="false" outlineLevel="0" collapsed="false">
      <c r="A223" s="10" t="s">
        <v>16</v>
      </c>
      <c r="B223" s="10" t="s">
        <v>514</v>
      </c>
      <c r="C223" s="10" t="s">
        <v>515</v>
      </c>
      <c r="D223" s="10" t="s">
        <v>19</v>
      </c>
      <c r="E223" s="10" t="s">
        <v>20</v>
      </c>
      <c r="F223" s="11" t="n">
        <v>45081</v>
      </c>
      <c r="G223" s="12" t="n">
        <v>0.428590104166667</v>
      </c>
      <c r="H223" s="10" t="s">
        <v>37</v>
      </c>
      <c r="I223" s="13" t="n">
        <v>3</v>
      </c>
      <c r="J223" s="13" t="n">
        <v>2180</v>
      </c>
      <c r="K223" s="13" t="n">
        <v>6540</v>
      </c>
      <c r="L223" s="10" t="s">
        <v>786</v>
      </c>
      <c r="M223" s="10" t="s">
        <v>787</v>
      </c>
      <c r="N223" s="10"/>
      <c r="O223" s="10" t="s">
        <v>61</v>
      </c>
      <c r="P223" s="10" t="s">
        <v>62</v>
      </c>
    </row>
    <row r="224" customFormat="false" ht="15.75" hidden="false" customHeight="false" outlineLevel="0" collapsed="false">
      <c r="A224" s="10" t="s">
        <v>16</v>
      </c>
      <c r="B224" s="10" t="s">
        <v>719</v>
      </c>
      <c r="C224" s="10" t="s">
        <v>720</v>
      </c>
      <c r="D224" s="10" t="s">
        <v>19</v>
      </c>
      <c r="E224" s="10" t="s">
        <v>20</v>
      </c>
      <c r="F224" s="11" t="n">
        <v>45081</v>
      </c>
      <c r="G224" s="12" t="n">
        <v>0.426500497685185</v>
      </c>
      <c r="H224" s="10" t="s">
        <v>37</v>
      </c>
      <c r="I224" s="13" t="n">
        <v>4</v>
      </c>
      <c r="J224" s="13" t="n">
        <v>1800</v>
      </c>
      <c r="K224" s="13" t="n">
        <v>7200</v>
      </c>
      <c r="L224" s="10" t="s">
        <v>788</v>
      </c>
      <c r="M224" s="10" t="s">
        <v>789</v>
      </c>
      <c r="N224" s="10"/>
      <c r="O224" s="10" t="s">
        <v>61</v>
      </c>
      <c r="P224" s="10" t="s">
        <v>62</v>
      </c>
    </row>
    <row r="225" customFormat="false" ht="15.75" hidden="false" customHeight="false" outlineLevel="0" collapsed="false">
      <c r="A225" s="10" t="s">
        <v>16</v>
      </c>
      <c r="B225" s="10" t="s">
        <v>790</v>
      </c>
      <c r="C225" s="10" t="s">
        <v>791</v>
      </c>
      <c r="D225" s="10" t="s">
        <v>792</v>
      </c>
      <c r="E225" s="10" t="s">
        <v>107</v>
      </c>
      <c r="F225" s="11" t="n">
        <v>45081</v>
      </c>
      <c r="G225" s="12" t="n">
        <v>0.425783101851852</v>
      </c>
      <c r="H225" s="10" t="s">
        <v>37</v>
      </c>
      <c r="I225" s="13" t="n">
        <v>1</v>
      </c>
      <c r="J225" s="13" t="n">
        <v>17.41</v>
      </c>
      <c r="K225" s="13" t="n">
        <v>17.41</v>
      </c>
      <c r="L225" s="10" t="s">
        <v>793</v>
      </c>
      <c r="M225" s="10" t="s">
        <v>794</v>
      </c>
      <c r="N225" s="10"/>
      <c r="O225" s="10" t="s">
        <v>61</v>
      </c>
      <c r="P225" s="10" t="s">
        <v>62</v>
      </c>
    </row>
    <row r="226" customFormat="false" ht="15.75" hidden="false" customHeight="false" outlineLevel="0" collapsed="false">
      <c r="A226" s="10" t="s">
        <v>16</v>
      </c>
      <c r="B226" s="10" t="s">
        <v>795</v>
      </c>
      <c r="C226" s="10" t="s">
        <v>796</v>
      </c>
      <c r="D226" s="10" t="s">
        <v>758</v>
      </c>
      <c r="E226" s="10" t="s">
        <v>122</v>
      </c>
      <c r="F226" s="11" t="n">
        <v>45082</v>
      </c>
      <c r="G226" s="12" t="n">
        <v>0.904552476851852</v>
      </c>
      <c r="H226" s="10" t="s">
        <v>21</v>
      </c>
      <c r="I226" s="13" t="n">
        <v>14</v>
      </c>
      <c r="J226" s="13" t="n">
        <v>269.97</v>
      </c>
      <c r="K226" s="13" t="n">
        <v>3779.58</v>
      </c>
      <c r="L226" s="10" t="s">
        <v>797</v>
      </c>
      <c r="M226" s="10"/>
      <c r="N226" s="10"/>
      <c r="O226" s="10" t="s">
        <v>23</v>
      </c>
      <c r="P226" s="10" t="s">
        <v>24</v>
      </c>
    </row>
    <row r="227" customFormat="false" ht="15.75" hidden="false" customHeight="false" outlineLevel="0" collapsed="false">
      <c r="A227" s="10" t="s">
        <v>16</v>
      </c>
      <c r="B227" s="10" t="s">
        <v>596</v>
      </c>
      <c r="C227" s="10" t="s">
        <v>597</v>
      </c>
      <c r="D227" s="10" t="s">
        <v>19</v>
      </c>
      <c r="E227" s="10" t="s">
        <v>20</v>
      </c>
      <c r="F227" s="11" t="n">
        <v>45082</v>
      </c>
      <c r="G227" s="12" t="n">
        <v>0.870015173611111</v>
      </c>
      <c r="H227" s="10" t="s">
        <v>37</v>
      </c>
      <c r="I227" s="13" t="n">
        <v>1</v>
      </c>
      <c r="J227" s="13" t="n">
        <v>272</v>
      </c>
      <c r="K227" s="13" t="n">
        <v>272</v>
      </c>
      <c r="L227" s="10" t="s">
        <v>798</v>
      </c>
      <c r="M227" s="10" t="s">
        <v>799</v>
      </c>
      <c r="N227" s="10"/>
      <c r="O227" s="10" t="s">
        <v>23</v>
      </c>
      <c r="P227" s="10" t="s">
        <v>24</v>
      </c>
    </row>
    <row r="228" customFormat="false" ht="15.75" hidden="false" customHeight="false" outlineLevel="0" collapsed="false">
      <c r="A228" s="10" t="s">
        <v>16</v>
      </c>
      <c r="B228" s="10" t="s">
        <v>415</v>
      </c>
      <c r="C228" s="10" t="s">
        <v>416</v>
      </c>
      <c r="D228" s="10" t="s">
        <v>70</v>
      </c>
      <c r="E228" s="10" t="s">
        <v>71</v>
      </c>
      <c r="F228" s="11" t="n">
        <v>45082</v>
      </c>
      <c r="G228" s="12" t="n">
        <v>0.784257962962963</v>
      </c>
      <c r="H228" s="10" t="s">
        <v>37</v>
      </c>
      <c r="I228" s="13" t="n">
        <v>11</v>
      </c>
      <c r="J228" s="13" t="n">
        <v>52.7</v>
      </c>
      <c r="K228" s="13" t="n">
        <v>579.7</v>
      </c>
      <c r="L228" s="10" t="s">
        <v>800</v>
      </c>
      <c r="M228" s="10" t="s">
        <v>801</v>
      </c>
      <c r="N228" s="10"/>
      <c r="O228" s="10" t="s">
        <v>23</v>
      </c>
      <c r="P228" s="10" t="s">
        <v>24</v>
      </c>
    </row>
    <row r="229" customFormat="false" ht="15.75" hidden="false" customHeight="false" outlineLevel="0" collapsed="false">
      <c r="A229" s="10" t="s">
        <v>16</v>
      </c>
      <c r="B229" s="10" t="s">
        <v>802</v>
      </c>
      <c r="C229" s="10" t="s">
        <v>803</v>
      </c>
      <c r="D229" s="10" t="s">
        <v>70</v>
      </c>
      <c r="E229" s="10" t="s">
        <v>71</v>
      </c>
      <c r="F229" s="11" t="n">
        <v>45082</v>
      </c>
      <c r="G229" s="12" t="n">
        <v>0.783231666666667</v>
      </c>
      <c r="H229" s="10" t="s">
        <v>37</v>
      </c>
      <c r="I229" s="13" t="n">
        <v>3</v>
      </c>
      <c r="J229" s="13" t="n">
        <v>52.7</v>
      </c>
      <c r="K229" s="13" t="n">
        <v>158.1</v>
      </c>
      <c r="L229" s="10" t="s">
        <v>804</v>
      </c>
      <c r="M229" s="10" t="s">
        <v>805</v>
      </c>
      <c r="N229" s="10"/>
      <c r="O229" s="10" t="s">
        <v>23</v>
      </c>
      <c r="P229" s="10" t="s">
        <v>24</v>
      </c>
    </row>
    <row r="230" customFormat="false" ht="15.75" hidden="false" customHeight="false" outlineLevel="0" collapsed="false">
      <c r="A230" s="10" t="s">
        <v>16</v>
      </c>
      <c r="B230" s="10" t="s">
        <v>806</v>
      </c>
      <c r="C230" s="10" t="s">
        <v>807</v>
      </c>
      <c r="D230" s="10" t="s">
        <v>121</v>
      </c>
      <c r="E230" s="10" t="s">
        <v>66</v>
      </c>
      <c r="F230" s="11" t="n">
        <v>45083</v>
      </c>
      <c r="G230" s="12" t="n">
        <v>0.861500590277778</v>
      </c>
      <c r="H230" s="10" t="s">
        <v>37</v>
      </c>
      <c r="I230" s="13" t="n">
        <v>1</v>
      </c>
      <c r="J230" s="13" t="n">
        <v>129.6</v>
      </c>
      <c r="K230" s="13" t="n">
        <v>129.6</v>
      </c>
      <c r="L230" s="10" t="s">
        <v>808</v>
      </c>
      <c r="M230" s="10" t="s">
        <v>809</v>
      </c>
      <c r="N230" s="10"/>
      <c r="O230" s="10" t="s">
        <v>23</v>
      </c>
      <c r="P230" s="10" t="s">
        <v>24</v>
      </c>
    </row>
    <row r="231" customFormat="false" ht="15.75" hidden="false" customHeight="false" outlineLevel="0" collapsed="false">
      <c r="A231" s="10" t="s">
        <v>16</v>
      </c>
      <c r="B231" s="10" t="s">
        <v>39</v>
      </c>
      <c r="C231" s="10" t="s">
        <v>40</v>
      </c>
      <c r="D231" s="10" t="s">
        <v>35</v>
      </c>
      <c r="E231" s="10" t="s">
        <v>36</v>
      </c>
      <c r="F231" s="11" t="n">
        <v>45083</v>
      </c>
      <c r="G231" s="12" t="n">
        <v>0.859882511574074</v>
      </c>
      <c r="H231" s="10" t="s">
        <v>37</v>
      </c>
      <c r="I231" s="13" t="n">
        <v>2</v>
      </c>
      <c r="J231" s="13" t="n">
        <v>126.67</v>
      </c>
      <c r="K231" s="13" t="n">
        <v>253.34</v>
      </c>
      <c r="L231" s="10" t="s">
        <v>810</v>
      </c>
      <c r="M231" s="10" t="s">
        <v>811</v>
      </c>
      <c r="N231" s="10"/>
      <c r="O231" s="10" t="s">
        <v>23</v>
      </c>
      <c r="P231" s="10" t="s">
        <v>24</v>
      </c>
    </row>
    <row r="232" customFormat="false" ht="15.75" hidden="false" customHeight="false" outlineLevel="0" collapsed="false">
      <c r="A232" s="10" t="s">
        <v>16</v>
      </c>
      <c r="B232" s="10" t="s">
        <v>812</v>
      </c>
      <c r="C232" s="10" t="s">
        <v>813</v>
      </c>
      <c r="D232" s="10" t="s">
        <v>106</v>
      </c>
      <c r="E232" s="10" t="s">
        <v>122</v>
      </c>
      <c r="F232" s="11" t="n">
        <v>45083</v>
      </c>
      <c r="G232" s="12" t="n">
        <v>0.516256990740741</v>
      </c>
      <c r="H232" s="10" t="s">
        <v>29</v>
      </c>
      <c r="I232" s="13" t="n">
        <v>80</v>
      </c>
      <c r="J232" s="13" t="n">
        <v>159.8</v>
      </c>
      <c r="K232" s="13" t="n">
        <v>12784</v>
      </c>
      <c r="L232" s="10" t="s">
        <v>814</v>
      </c>
      <c r="M232" s="10" t="s">
        <v>815</v>
      </c>
      <c r="N232" s="10" t="s">
        <v>816</v>
      </c>
      <c r="O232" s="10" t="s">
        <v>61</v>
      </c>
      <c r="P232" s="10" t="s">
        <v>62</v>
      </c>
    </row>
    <row r="233" customFormat="false" ht="15.75" hidden="false" customHeight="false" outlineLevel="0" collapsed="false">
      <c r="A233" s="10" t="s">
        <v>16</v>
      </c>
      <c r="B233" s="10" t="s">
        <v>817</v>
      </c>
      <c r="C233" s="10" t="s">
        <v>818</v>
      </c>
      <c r="D233" s="10" t="s">
        <v>819</v>
      </c>
      <c r="E233" s="10" t="s">
        <v>90</v>
      </c>
      <c r="F233" s="11" t="n">
        <v>45084</v>
      </c>
      <c r="G233" s="12" t="n">
        <v>0.912403136574074</v>
      </c>
      <c r="H233" s="10" t="s">
        <v>37</v>
      </c>
      <c r="I233" s="13" t="n">
        <v>21</v>
      </c>
      <c r="J233" s="13" t="n">
        <v>1680</v>
      </c>
      <c r="K233" s="13" t="n">
        <v>35280</v>
      </c>
      <c r="L233" s="10" t="s">
        <v>820</v>
      </c>
      <c r="M233" s="10" t="s">
        <v>821</v>
      </c>
      <c r="N233" s="10"/>
      <c r="O233" s="10" t="s">
        <v>23</v>
      </c>
      <c r="P233" s="10" t="s">
        <v>24</v>
      </c>
    </row>
    <row r="234" customFormat="false" ht="15.75" hidden="false" customHeight="false" outlineLevel="0" collapsed="false">
      <c r="A234" s="10" t="s">
        <v>16</v>
      </c>
      <c r="B234" s="10" t="s">
        <v>822</v>
      </c>
      <c r="C234" s="10" t="s">
        <v>823</v>
      </c>
      <c r="D234" s="10" t="s">
        <v>622</v>
      </c>
      <c r="E234" s="10" t="s">
        <v>20</v>
      </c>
      <c r="F234" s="11" t="n">
        <v>45084</v>
      </c>
      <c r="G234" s="12" t="n">
        <v>0.540494189814815</v>
      </c>
      <c r="H234" s="10" t="s">
        <v>37</v>
      </c>
      <c r="I234" s="13" t="n">
        <v>2</v>
      </c>
      <c r="J234" s="13" t="n">
        <v>234</v>
      </c>
      <c r="K234" s="13" t="n">
        <v>468</v>
      </c>
      <c r="L234" s="10" t="s">
        <v>824</v>
      </c>
      <c r="M234" s="10" t="s">
        <v>825</v>
      </c>
      <c r="N234" s="10"/>
      <c r="O234" s="10" t="s">
        <v>61</v>
      </c>
      <c r="P234" s="10" t="s">
        <v>62</v>
      </c>
    </row>
    <row r="235" customFormat="false" ht="15.75" hidden="false" customHeight="false" outlineLevel="0" collapsed="false">
      <c r="A235" s="10" t="s">
        <v>16</v>
      </c>
      <c r="B235" s="10" t="s">
        <v>826</v>
      </c>
      <c r="C235" s="10" t="s">
        <v>827</v>
      </c>
      <c r="D235" s="10" t="s">
        <v>19</v>
      </c>
      <c r="E235" s="10" t="s">
        <v>20</v>
      </c>
      <c r="F235" s="11" t="n">
        <v>45084</v>
      </c>
      <c r="G235" s="12" t="n">
        <v>0.539576377314815</v>
      </c>
      <c r="H235" s="10" t="s">
        <v>37</v>
      </c>
      <c r="I235" s="13" t="n">
        <v>8</v>
      </c>
      <c r="J235" s="13" t="n">
        <v>1190</v>
      </c>
      <c r="K235" s="13" t="n">
        <v>9520</v>
      </c>
      <c r="L235" s="10" t="s">
        <v>828</v>
      </c>
      <c r="M235" s="10" t="s">
        <v>829</v>
      </c>
      <c r="N235" s="10"/>
      <c r="O235" s="10" t="s">
        <v>61</v>
      </c>
      <c r="P235" s="10" t="s">
        <v>62</v>
      </c>
    </row>
    <row r="236" customFormat="false" ht="15.75" hidden="false" customHeight="false" outlineLevel="0" collapsed="false">
      <c r="A236" s="10" t="s">
        <v>16</v>
      </c>
      <c r="B236" s="10" t="s">
        <v>830</v>
      </c>
      <c r="C236" s="10" t="s">
        <v>831</v>
      </c>
      <c r="D236" s="10" t="s">
        <v>832</v>
      </c>
      <c r="E236" s="10" t="s">
        <v>90</v>
      </c>
      <c r="F236" s="11" t="n">
        <v>45085</v>
      </c>
      <c r="G236" s="12" t="n">
        <v>0.420089386574074</v>
      </c>
      <c r="H236" s="10" t="s">
        <v>29</v>
      </c>
      <c r="I236" s="13" t="n">
        <v>3</v>
      </c>
      <c r="J236" s="13" t="n">
        <v>1825</v>
      </c>
      <c r="K236" s="13" t="n">
        <v>5475</v>
      </c>
      <c r="L236" s="10" t="s">
        <v>833</v>
      </c>
      <c r="M236" s="10" t="s">
        <v>834</v>
      </c>
      <c r="N236" s="10" t="s">
        <v>835</v>
      </c>
      <c r="O236" s="10" t="s">
        <v>61</v>
      </c>
      <c r="P236" s="10" t="s">
        <v>62</v>
      </c>
    </row>
    <row r="237" customFormat="false" ht="15.75" hidden="false" customHeight="false" outlineLevel="0" collapsed="false">
      <c r="A237" s="10" t="s">
        <v>16</v>
      </c>
      <c r="B237" s="10" t="s">
        <v>399</v>
      </c>
      <c r="C237" s="10" t="s">
        <v>400</v>
      </c>
      <c r="D237" s="10" t="s">
        <v>230</v>
      </c>
      <c r="E237" s="10" t="s">
        <v>231</v>
      </c>
      <c r="F237" s="11" t="n">
        <v>45086</v>
      </c>
      <c r="G237" s="12" t="n">
        <v>0.718477025462963</v>
      </c>
      <c r="H237" s="10" t="s">
        <v>37</v>
      </c>
      <c r="I237" s="13" t="n">
        <v>1</v>
      </c>
      <c r="J237" s="13" t="n">
        <v>987.91</v>
      </c>
      <c r="K237" s="13" t="n">
        <v>987.91</v>
      </c>
      <c r="L237" s="10" t="s">
        <v>836</v>
      </c>
      <c r="M237" s="10" t="s">
        <v>837</v>
      </c>
      <c r="N237" s="10"/>
      <c r="O237" s="10" t="s">
        <v>23</v>
      </c>
      <c r="P237" s="10" t="s">
        <v>24</v>
      </c>
    </row>
    <row r="238" customFormat="false" ht="15.75" hidden="false" customHeight="false" outlineLevel="0" collapsed="false">
      <c r="A238" s="10" t="s">
        <v>16</v>
      </c>
      <c r="B238" s="10" t="s">
        <v>596</v>
      </c>
      <c r="C238" s="10" t="s">
        <v>597</v>
      </c>
      <c r="D238" s="10" t="s">
        <v>19</v>
      </c>
      <c r="E238" s="10" t="s">
        <v>20</v>
      </c>
      <c r="F238" s="11" t="n">
        <v>45086</v>
      </c>
      <c r="G238" s="12" t="n">
        <v>0.7170209375</v>
      </c>
      <c r="H238" s="10" t="s">
        <v>37</v>
      </c>
      <c r="I238" s="13" t="n">
        <v>1</v>
      </c>
      <c r="J238" s="13" t="n">
        <v>272</v>
      </c>
      <c r="K238" s="13" t="n">
        <v>272</v>
      </c>
      <c r="L238" s="10" t="s">
        <v>838</v>
      </c>
      <c r="M238" s="10" t="s">
        <v>839</v>
      </c>
      <c r="N238" s="10"/>
      <c r="O238" s="10" t="s">
        <v>23</v>
      </c>
      <c r="P238" s="10" t="s">
        <v>24</v>
      </c>
    </row>
    <row r="239" customFormat="false" ht="15.75" hidden="false" customHeight="false" outlineLevel="0" collapsed="false">
      <c r="A239" s="10" t="s">
        <v>16</v>
      </c>
      <c r="B239" s="10" t="s">
        <v>840</v>
      </c>
      <c r="C239" s="10" t="s">
        <v>841</v>
      </c>
      <c r="D239" s="10" t="s">
        <v>842</v>
      </c>
      <c r="E239" s="10" t="s">
        <v>28</v>
      </c>
      <c r="F239" s="11" t="n">
        <v>45086</v>
      </c>
      <c r="G239" s="12" t="n">
        <v>0.674516759259259</v>
      </c>
      <c r="H239" s="10" t="s">
        <v>37</v>
      </c>
      <c r="I239" s="13" t="n">
        <v>1</v>
      </c>
      <c r="J239" s="13" t="n">
        <v>669.6</v>
      </c>
      <c r="K239" s="13" t="n">
        <v>669.6</v>
      </c>
      <c r="L239" s="10" t="s">
        <v>843</v>
      </c>
      <c r="M239" s="10" t="s">
        <v>844</v>
      </c>
      <c r="N239" s="10"/>
      <c r="O239" s="10" t="s">
        <v>23</v>
      </c>
      <c r="P239" s="10" t="s">
        <v>24</v>
      </c>
    </row>
    <row r="240" customFormat="false" ht="15.75" hidden="false" customHeight="false" outlineLevel="0" collapsed="false">
      <c r="A240" s="10" t="s">
        <v>16</v>
      </c>
      <c r="B240" s="10" t="s">
        <v>845</v>
      </c>
      <c r="C240" s="10" t="s">
        <v>846</v>
      </c>
      <c r="D240" s="10" t="s">
        <v>121</v>
      </c>
      <c r="E240" s="10" t="s">
        <v>122</v>
      </c>
      <c r="F240" s="11" t="n">
        <v>45087</v>
      </c>
      <c r="G240" s="12" t="n">
        <v>0.925562615740741</v>
      </c>
      <c r="H240" s="10" t="s">
        <v>21</v>
      </c>
      <c r="I240" s="13" t="n">
        <v>34</v>
      </c>
      <c r="J240" s="13" t="n">
        <v>129.6</v>
      </c>
      <c r="K240" s="13" t="n">
        <v>4406.4</v>
      </c>
      <c r="L240" s="10" t="s">
        <v>847</v>
      </c>
      <c r="M240" s="10"/>
      <c r="N240" s="10"/>
      <c r="O240" s="10" t="s">
        <v>23</v>
      </c>
      <c r="P240" s="10" t="s">
        <v>24</v>
      </c>
    </row>
    <row r="241" customFormat="false" ht="15.75" hidden="false" customHeight="false" outlineLevel="0" collapsed="false">
      <c r="A241" s="10" t="s">
        <v>16</v>
      </c>
      <c r="B241" s="10" t="s">
        <v>848</v>
      </c>
      <c r="C241" s="10" t="s">
        <v>849</v>
      </c>
      <c r="D241" s="10" t="s">
        <v>850</v>
      </c>
      <c r="E241" s="10" t="s">
        <v>66</v>
      </c>
      <c r="F241" s="11" t="n">
        <v>45089</v>
      </c>
      <c r="G241" s="12" t="n">
        <v>0.93387775462963</v>
      </c>
      <c r="H241" s="10" t="s">
        <v>21</v>
      </c>
      <c r="I241" s="13" t="n">
        <v>5</v>
      </c>
      <c r="J241" s="13" t="n">
        <v>152.86</v>
      </c>
      <c r="K241" s="13" t="n">
        <v>764.3</v>
      </c>
      <c r="L241" s="10" t="s">
        <v>851</v>
      </c>
      <c r="M241" s="10"/>
      <c r="N241" s="10"/>
      <c r="O241" s="10" t="s">
        <v>23</v>
      </c>
      <c r="P241" s="10" t="s">
        <v>24</v>
      </c>
    </row>
    <row r="242" customFormat="false" ht="15.75" hidden="false" customHeight="false" outlineLevel="0" collapsed="false">
      <c r="A242" s="10" t="s">
        <v>16</v>
      </c>
      <c r="B242" s="10" t="s">
        <v>852</v>
      </c>
      <c r="C242" s="10" t="s">
        <v>853</v>
      </c>
      <c r="D242" s="10" t="s">
        <v>854</v>
      </c>
      <c r="E242" s="10" t="s">
        <v>231</v>
      </c>
      <c r="F242" s="11" t="n">
        <v>45089</v>
      </c>
      <c r="G242" s="12" t="n">
        <v>0.814050208333333</v>
      </c>
      <c r="H242" s="10" t="s">
        <v>37</v>
      </c>
      <c r="I242" s="13" t="n">
        <v>1</v>
      </c>
      <c r="J242" s="13" t="n">
        <v>571.67</v>
      </c>
      <c r="K242" s="13" t="n">
        <v>571.67</v>
      </c>
      <c r="L242" s="10" t="s">
        <v>855</v>
      </c>
      <c r="M242" s="10" t="s">
        <v>856</v>
      </c>
      <c r="N242" s="10"/>
      <c r="O242" s="10" t="s">
        <v>23</v>
      </c>
      <c r="P242" s="10" t="s">
        <v>24</v>
      </c>
    </row>
    <row r="243" customFormat="false" ht="15.75" hidden="false" customHeight="false" outlineLevel="0" collapsed="false">
      <c r="A243" s="10" t="s">
        <v>16</v>
      </c>
      <c r="B243" s="10" t="s">
        <v>679</v>
      </c>
      <c r="C243" s="10" t="s">
        <v>680</v>
      </c>
      <c r="D243" s="10" t="s">
        <v>142</v>
      </c>
      <c r="E243" s="10" t="s">
        <v>28</v>
      </c>
      <c r="F243" s="11" t="n">
        <v>45089</v>
      </c>
      <c r="G243" s="12" t="n">
        <v>0.812744548611111</v>
      </c>
      <c r="H243" s="10" t="s">
        <v>37</v>
      </c>
      <c r="I243" s="13" t="n">
        <v>2</v>
      </c>
      <c r="J243" s="13" t="n">
        <v>839</v>
      </c>
      <c r="K243" s="13" t="n">
        <v>1678</v>
      </c>
      <c r="L243" s="10" t="s">
        <v>857</v>
      </c>
      <c r="M243" s="10" t="s">
        <v>858</v>
      </c>
      <c r="N243" s="10"/>
      <c r="O243" s="10" t="s">
        <v>23</v>
      </c>
      <c r="P243" s="10" t="s">
        <v>24</v>
      </c>
    </row>
    <row r="244" customFormat="false" ht="15.75" hidden="false" customHeight="false" outlineLevel="0" collapsed="false">
      <c r="A244" s="10" t="s">
        <v>16</v>
      </c>
      <c r="B244" s="10" t="s">
        <v>859</v>
      </c>
      <c r="C244" s="10" t="s">
        <v>860</v>
      </c>
      <c r="D244" s="10" t="s">
        <v>308</v>
      </c>
      <c r="E244" s="10" t="s">
        <v>96</v>
      </c>
      <c r="F244" s="11" t="n">
        <v>45090</v>
      </c>
      <c r="G244" s="12" t="n">
        <v>0.952468321759259</v>
      </c>
      <c r="H244" s="10" t="s">
        <v>37</v>
      </c>
      <c r="I244" s="13" t="n">
        <v>3</v>
      </c>
      <c r="J244" s="13" t="n">
        <v>184.17</v>
      </c>
      <c r="K244" s="13" t="n">
        <v>552.51</v>
      </c>
      <c r="L244" s="10" t="s">
        <v>861</v>
      </c>
      <c r="M244" s="10" t="s">
        <v>862</v>
      </c>
      <c r="N244" s="10"/>
      <c r="O244" s="10" t="s">
        <v>23</v>
      </c>
      <c r="P244" s="10" t="s">
        <v>24</v>
      </c>
    </row>
    <row r="245" customFormat="false" ht="15.75" hidden="false" customHeight="false" outlineLevel="0" collapsed="false">
      <c r="A245" s="10" t="s">
        <v>16</v>
      </c>
      <c r="B245" s="10" t="s">
        <v>863</v>
      </c>
      <c r="C245" s="10" t="s">
        <v>864</v>
      </c>
      <c r="D245" s="10" t="s">
        <v>308</v>
      </c>
      <c r="E245" s="10" t="s">
        <v>96</v>
      </c>
      <c r="F245" s="11" t="n">
        <v>45090</v>
      </c>
      <c r="G245" s="12" t="n">
        <v>0.951193298611111</v>
      </c>
      <c r="H245" s="10" t="s">
        <v>37</v>
      </c>
      <c r="I245" s="13" t="n">
        <v>1</v>
      </c>
      <c r="J245" s="13" t="n">
        <v>184.17</v>
      </c>
      <c r="K245" s="13" t="n">
        <v>184.17</v>
      </c>
      <c r="L245" s="10" t="s">
        <v>865</v>
      </c>
      <c r="M245" s="10" t="s">
        <v>866</v>
      </c>
      <c r="N245" s="10"/>
      <c r="O245" s="10" t="s">
        <v>23</v>
      </c>
      <c r="P245" s="10" t="s">
        <v>24</v>
      </c>
    </row>
    <row r="246" customFormat="false" ht="15.75" hidden="false" customHeight="false" outlineLevel="0" collapsed="false">
      <c r="A246" s="10" t="s">
        <v>16</v>
      </c>
      <c r="B246" s="10" t="s">
        <v>867</v>
      </c>
      <c r="C246" s="10" t="s">
        <v>868</v>
      </c>
      <c r="D246" s="10" t="s">
        <v>633</v>
      </c>
      <c r="E246" s="10" t="s">
        <v>208</v>
      </c>
      <c r="F246" s="11" t="n">
        <v>45090</v>
      </c>
      <c r="G246" s="12" t="n">
        <v>0.950039386574074</v>
      </c>
      <c r="H246" s="10" t="s">
        <v>37</v>
      </c>
      <c r="I246" s="13" t="n">
        <v>2</v>
      </c>
      <c r="J246" s="13" t="n">
        <v>135</v>
      </c>
      <c r="K246" s="13" t="n">
        <v>270</v>
      </c>
      <c r="L246" s="10" t="s">
        <v>869</v>
      </c>
      <c r="M246" s="10" t="s">
        <v>870</v>
      </c>
      <c r="N246" s="10"/>
      <c r="O246" s="10" t="s">
        <v>23</v>
      </c>
      <c r="P246" s="10" t="s">
        <v>24</v>
      </c>
    </row>
    <row r="247" customFormat="false" ht="15.75" hidden="false" customHeight="false" outlineLevel="0" collapsed="false">
      <c r="A247" s="10" t="s">
        <v>16</v>
      </c>
      <c r="B247" s="10" t="s">
        <v>631</v>
      </c>
      <c r="C247" s="10" t="s">
        <v>632</v>
      </c>
      <c r="D247" s="10" t="s">
        <v>633</v>
      </c>
      <c r="E247" s="10" t="s">
        <v>208</v>
      </c>
      <c r="F247" s="11" t="n">
        <v>45090</v>
      </c>
      <c r="G247" s="12" t="n">
        <v>0.948170335648148</v>
      </c>
      <c r="H247" s="10" t="s">
        <v>37</v>
      </c>
      <c r="I247" s="13" t="n">
        <v>1</v>
      </c>
      <c r="J247" s="13" t="n">
        <v>135</v>
      </c>
      <c r="K247" s="13" t="n">
        <v>135</v>
      </c>
      <c r="L247" s="10" t="s">
        <v>871</v>
      </c>
      <c r="M247" s="10" t="s">
        <v>872</v>
      </c>
      <c r="N247" s="10"/>
      <c r="O247" s="10" t="s">
        <v>23</v>
      </c>
      <c r="P247" s="10" t="s">
        <v>24</v>
      </c>
    </row>
    <row r="248" customFormat="false" ht="15.75" hidden="false" customHeight="false" outlineLevel="0" collapsed="false">
      <c r="A248" s="10" t="s">
        <v>16</v>
      </c>
      <c r="B248" s="10" t="s">
        <v>873</v>
      </c>
      <c r="C248" s="10" t="s">
        <v>874</v>
      </c>
      <c r="D248" s="10" t="s">
        <v>106</v>
      </c>
      <c r="E248" s="10" t="s">
        <v>148</v>
      </c>
      <c r="F248" s="11" t="n">
        <v>45090</v>
      </c>
      <c r="G248" s="12" t="n">
        <v>0.638944652777778</v>
      </c>
      <c r="H248" s="10" t="s">
        <v>37</v>
      </c>
      <c r="I248" s="13" t="n">
        <v>6</v>
      </c>
      <c r="J248" s="13" t="n">
        <v>519.82</v>
      </c>
      <c r="K248" s="13" t="n">
        <v>3118.92</v>
      </c>
      <c r="L248" s="10" t="s">
        <v>875</v>
      </c>
      <c r="M248" s="10" t="s">
        <v>876</v>
      </c>
      <c r="N248" s="10"/>
      <c r="O248" s="10" t="s">
        <v>61</v>
      </c>
      <c r="P248" s="10" t="s">
        <v>62</v>
      </c>
    </row>
    <row r="249" customFormat="false" ht="15.75" hidden="false" customHeight="false" outlineLevel="0" collapsed="false">
      <c r="A249" s="10" t="s">
        <v>16</v>
      </c>
      <c r="B249" s="10" t="s">
        <v>873</v>
      </c>
      <c r="C249" s="10" t="s">
        <v>874</v>
      </c>
      <c r="D249" s="10" t="s">
        <v>106</v>
      </c>
      <c r="E249" s="10" t="s">
        <v>148</v>
      </c>
      <c r="F249" s="11" t="n">
        <v>45090</v>
      </c>
      <c r="G249" s="12" t="n">
        <v>0.63790099537037</v>
      </c>
      <c r="H249" s="10" t="s">
        <v>29</v>
      </c>
      <c r="I249" s="13" t="n">
        <v>3</v>
      </c>
      <c r="J249" s="13" t="n">
        <v>519.82</v>
      </c>
      <c r="K249" s="13" t="n">
        <v>1559.46</v>
      </c>
      <c r="L249" s="10" t="s">
        <v>877</v>
      </c>
      <c r="M249" s="10" t="s">
        <v>878</v>
      </c>
      <c r="N249" s="10" t="s">
        <v>879</v>
      </c>
      <c r="O249" s="10" t="s">
        <v>61</v>
      </c>
      <c r="P249" s="10" t="s">
        <v>62</v>
      </c>
    </row>
    <row r="250" customFormat="false" ht="15.75" hidden="false" customHeight="false" outlineLevel="0" collapsed="false">
      <c r="A250" s="10" t="s">
        <v>16</v>
      </c>
      <c r="B250" s="10" t="s">
        <v>873</v>
      </c>
      <c r="C250" s="10" t="s">
        <v>874</v>
      </c>
      <c r="D250" s="10" t="s">
        <v>106</v>
      </c>
      <c r="E250" s="10" t="s">
        <v>148</v>
      </c>
      <c r="F250" s="11" t="n">
        <v>45090</v>
      </c>
      <c r="G250" s="12" t="n">
        <v>0.637308148148148</v>
      </c>
      <c r="H250" s="10" t="s">
        <v>29</v>
      </c>
      <c r="I250" s="13" t="n">
        <v>5</v>
      </c>
      <c r="J250" s="13" t="n">
        <v>519.82</v>
      </c>
      <c r="K250" s="13" t="n">
        <v>2599.1</v>
      </c>
      <c r="L250" s="10" t="s">
        <v>880</v>
      </c>
      <c r="M250" s="10" t="s">
        <v>881</v>
      </c>
      <c r="N250" s="10" t="s">
        <v>882</v>
      </c>
      <c r="O250" s="10" t="s">
        <v>61</v>
      </c>
      <c r="P250" s="10" t="s">
        <v>62</v>
      </c>
    </row>
    <row r="251" customFormat="false" ht="15.75" hidden="false" customHeight="false" outlineLevel="0" collapsed="false">
      <c r="A251" s="10" t="s">
        <v>16</v>
      </c>
      <c r="B251" s="10" t="s">
        <v>883</v>
      </c>
      <c r="C251" s="10" t="s">
        <v>884</v>
      </c>
      <c r="D251" s="10" t="s">
        <v>230</v>
      </c>
      <c r="E251" s="10" t="s">
        <v>231</v>
      </c>
      <c r="F251" s="11" t="n">
        <v>45091</v>
      </c>
      <c r="G251" s="12" t="n">
        <v>0.907469398148148</v>
      </c>
      <c r="H251" s="10" t="s">
        <v>37</v>
      </c>
      <c r="I251" s="13" t="n">
        <v>1</v>
      </c>
      <c r="J251" s="13" t="n">
        <v>540.66</v>
      </c>
      <c r="K251" s="13" t="n">
        <v>540.66</v>
      </c>
      <c r="L251" s="10" t="s">
        <v>885</v>
      </c>
      <c r="M251" s="10" t="s">
        <v>886</v>
      </c>
      <c r="N251" s="10"/>
      <c r="O251" s="10" t="s">
        <v>23</v>
      </c>
      <c r="P251" s="10" t="s">
        <v>24</v>
      </c>
    </row>
    <row r="252" customFormat="false" ht="15.75" hidden="false" customHeight="false" outlineLevel="0" collapsed="false">
      <c r="A252" s="10" t="s">
        <v>16</v>
      </c>
      <c r="B252" s="10" t="s">
        <v>424</v>
      </c>
      <c r="C252" s="10" t="s">
        <v>425</v>
      </c>
      <c r="D252" s="10" t="s">
        <v>426</v>
      </c>
      <c r="E252" s="10" t="s">
        <v>71</v>
      </c>
      <c r="F252" s="11" t="n">
        <v>45093</v>
      </c>
      <c r="G252" s="12" t="n">
        <v>0.755747280092593</v>
      </c>
      <c r="H252" s="10" t="s">
        <v>37</v>
      </c>
      <c r="I252" s="13" t="n">
        <v>4</v>
      </c>
      <c r="J252" s="13" t="n">
        <v>143.67</v>
      </c>
      <c r="K252" s="13" t="n">
        <v>574.68</v>
      </c>
      <c r="L252" s="10" t="s">
        <v>887</v>
      </c>
      <c r="M252" s="10" t="s">
        <v>888</v>
      </c>
      <c r="N252" s="10"/>
      <c r="O252" s="10" t="s">
        <v>23</v>
      </c>
      <c r="P252" s="10" t="s">
        <v>24</v>
      </c>
    </row>
    <row r="253" customFormat="false" ht="15.75" hidden="false" customHeight="false" outlineLevel="0" collapsed="false">
      <c r="A253" s="10" t="s">
        <v>16</v>
      </c>
      <c r="B253" s="10" t="s">
        <v>822</v>
      </c>
      <c r="C253" s="10" t="s">
        <v>823</v>
      </c>
      <c r="D253" s="10" t="s">
        <v>622</v>
      </c>
      <c r="E253" s="10" t="s">
        <v>20</v>
      </c>
      <c r="F253" s="11" t="n">
        <v>45093</v>
      </c>
      <c r="G253" s="12" t="n">
        <v>0.751482060185185</v>
      </c>
      <c r="H253" s="10" t="s">
        <v>37</v>
      </c>
      <c r="I253" s="13" t="n">
        <v>3</v>
      </c>
      <c r="J253" s="13" t="n">
        <v>234</v>
      </c>
      <c r="K253" s="13" t="n">
        <v>702</v>
      </c>
      <c r="L253" s="10" t="s">
        <v>889</v>
      </c>
      <c r="M253" s="10" t="s">
        <v>890</v>
      </c>
      <c r="N253" s="10"/>
      <c r="O253" s="10" t="s">
        <v>23</v>
      </c>
      <c r="P253" s="10" t="s">
        <v>24</v>
      </c>
    </row>
    <row r="254" customFormat="false" ht="15.75" hidden="false" customHeight="false" outlineLevel="0" collapsed="false">
      <c r="A254" s="10" t="s">
        <v>16</v>
      </c>
      <c r="B254" s="10" t="s">
        <v>657</v>
      </c>
      <c r="C254" s="10" t="s">
        <v>658</v>
      </c>
      <c r="D254" s="10" t="s">
        <v>659</v>
      </c>
      <c r="E254" s="10" t="s">
        <v>28</v>
      </c>
      <c r="F254" s="11" t="n">
        <v>45094</v>
      </c>
      <c r="G254" s="12" t="n">
        <v>0.884680810185185</v>
      </c>
      <c r="H254" s="10" t="s">
        <v>37</v>
      </c>
      <c r="I254" s="13" t="n">
        <v>1</v>
      </c>
      <c r="J254" s="13" t="n">
        <v>576</v>
      </c>
      <c r="K254" s="13" t="n">
        <v>576</v>
      </c>
      <c r="L254" s="10" t="s">
        <v>891</v>
      </c>
      <c r="M254" s="10" t="s">
        <v>892</v>
      </c>
      <c r="N254" s="10"/>
      <c r="O254" s="10" t="s">
        <v>23</v>
      </c>
      <c r="P254" s="10" t="s">
        <v>24</v>
      </c>
    </row>
    <row r="255" customFormat="false" ht="15.75" hidden="false" customHeight="false" outlineLevel="0" collapsed="false">
      <c r="A255" s="10" t="s">
        <v>16</v>
      </c>
      <c r="B255" s="10" t="s">
        <v>893</v>
      </c>
      <c r="C255" s="10" t="s">
        <v>894</v>
      </c>
      <c r="D255" s="10" t="s">
        <v>895</v>
      </c>
      <c r="E255" s="10" t="s">
        <v>66</v>
      </c>
      <c r="F255" s="11" t="n">
        <v>45095</v>
      </c>
      <c r="G255" s="12" t="n">
        <v>0.9411259375</v>
      </c>
      <c r="H255" s="10" t="s">
        <v>21</v>
      </c>
      <c r="I255" s="13" t="n">
        <v>4</v>
      </c>
      <c r="J255" s="13" t="n">
        <v>148.56</v>
      </c>
      <c r="K255" s="13" t="n">
        <v>594.24</v>
      </c>
      <c r="L255" s="10" t="s">
        <v>896</v>
      </c>
      <c r="M255" s="10"/>
      <c r="N255" s="10"/>
      <c r="O255" s="10" t="s">
        <v>23</v>
      </c>
      <c r="P255" s="10" t="s">
        <v>24</v>
      </c>
    </row>
    <row r="256" customFormat="false" ht="15.75" hidden="false" customHeight="false" outlineLevel="0" collapsed="false">
      <c r="A256" s="10" t="s">
        <v>16</v>
      </c>
      <c r="B256" s="10" t="s">
        <v>897</v>
      </c>
      <c r="C256" s="10" t="s">
        <v>898</v>
      </c>
      <c r="D256" s="10" t="s">
        <v>854</v>
      </c>
      <c r="E256" s="10" t="s">
        <v>107</v>
      </c>
      <c r="F256" s="11" t="n">
        <v>45095</v>
      </c>
      <c r="G256" s="12" t="n">
        <v>0.93914724537037</v>
      </c>
      <c r="H256" s="10" t="s">
        <v>37</v>
      </c>
      <c r="I256" s="13" t="n">
        <v>1</v>
      </c>
      <c r="J256" s="13" t="n">
        <v>242.5</v>
      </c>
      <c r="K256" s="13" t="n">
        <v>242.5</v>
      </c>
      <c r="L256" s="10" t="s">
        <v>899</v>
      </c>
      <c r="M256" s="10" t="s">
        <v>900</v>
      </c>
      <c r="N256" s="10"/>
      <c r="O256" s="10" t="s">
        <v>23</v>
      </c>
      <c r="P256" s="10" t="s">
        <v>24</v>
      </c>
    </row>
    <row r="257" customFormat="false" ht="15.75" hidden="false" customHeight="false" outlineLevel="0" collapsed="false">
      <c r="A257" s="10" t="s">
        <v>16</v>
      </c>
      <c r="B257" s="10" t="s">
        <v>901</v>
      </c>
      <c r="C257" s="10" t="s">
        <v>902</v>
      </c>
      <c r="D257" s="10" t="s">
        <v>487</v>
      </c>
      <c r="E257" s="10" t="s">
        <v>333</v>
      </c>
      <c r="F257" s="11" t="n">
        <v>45095</v>
      </c>
      <c r="G257" s="12" t="n">
        <v>0.937896585648148</v>
      </c>
      <c r="H257" s="10" t="s">
        <v>21</v>
      </c>
      <c r="I257" s="13" t="n">
        <v>8</v>
      </c>
      <c r="J257" s="13" t="n">
        <v>85</v>
      </c>
      <c r="K257" s="13" t="n">
        <v>680</v>
      </c>
      <c r="L257" s="10" t="s">
        <v>903</v>
      </c>
      <c r="M257" s="10"/>
      <c r="N257" s="10"/>
      <c r="O257" s="10" t="s">
        <v>23</v>
      </c>
      <c r="P257" s="10" t="s">
        <v>24</v>
      </c>
    </row>
    <row r="258" customFormat="false" ht="15.75" hidden="false" customHeight="false" outlineLevel="0" collapsed="false">
      <c r="A258" s="10" t="s">
        <v>16</v>
      </c>
      <c r="B258" s="10" t="s">
        <v>385</v>
      </c>
      <c r="C258" s="10" t="s">
        <v>386</v>
      </c>
      <c r="D258" s="10" t="s">
        <v>142</v>
      </c>
      <c r="E258" s="10" t="s">
        <v>28</v>
      </c>
      <c r="F258" s="11" t="n">
        <v>45096</v>
      </c>
      <c r="G258" s="12" t="n">
        <v>0.838093194444444</v>
      </c>
      <c r="H258" s="10" t="s">
        <v>37</v>
      </c>
      <c r="I258" s="13" t="n">
        <v>1</v>
      </c>
      <c r="J258" s="13" t="n">
        <v>1176</v>
      </c>
      <c r="K258" s="13" t="n">
        <v>1176</v>
      </c>
      <c r="L258" s="10" t="s">
        <v>904</v>
      </c>
      <c r="M258" s="10" t="s">
        <v>905</v>
      </c>
      <c r="N258" s="10"/>
      <c r="O258" s="10" t="s">
        <v>23</v>
      </c>
      <c r="P258" s="10" t="s">
        <v>24</v>
      </c>
    </row>
    <row r="259" customFormat="false" ht="15.75" hidden="false" customHeight="false" outlineLevel="0" collapsed="false">
      <c r="A259" s="10" t="s">
        <v>16</v>
      </c>
      <c r="B259" s="10" t="s">
        <v>210</v>
      </c>
      <c r="C259" s="10" t="s">
        <v>211</v>
      </c>
      <c r="D259" s="10" t="s">
        <v>212</v>
      </c>
      <c r="E259" s="10" t="s">
        <v>96</v>
      </c>
      <c r="F259" s="11" t="n">
        <v>45097</v>
      </c>
      <c r="G259" s="12" t="n">
        <v>0.883016261574074</v>
      </c>
      <c r="H259" s="10" t="s">
        <v>37</v>
      </c>
      <c r="I259" s="13" t="n">
        <v>2</v>
      </c>
      <c r="J259" s="13" t="n">
        <v>107.91</v>
      </c>
      <c r="K259" s="13" t="n">
        <v>215.82</v>
      </c>
      <c r="L259" s="10" t="s">
        <v>906</v>
      </c>
      <c r="M259" s="10" t="s">
        <v>907</v>
      </c>
      <c r="N259" s="10"/>
      <c r="O259" s="10" t="s">
        <v>23</v>
      </c>
      <c r="P259" s="10" t="s">
        <v>24</v>
      </c>
    </row>
    <row r="260" customFormat="false" ht="15.75" hidden="false" customHeight="false" outlineLevel="0" collapsed="false">
      <c r="A260" s="10" t="s">
        <v>16</v>
      </c>
      <c r="B260" s="10" t="s">
        <v>908</v>
      </c>
      <c r="C260" s="10" t="s">
        <v>909</v>
      </c>
      <c r="D260" s="10" t="s">
        <v>95</v>
      </c>
      <c r="E260" s="10" t="s">
        <v>96</v>
      </c>
      <c r="F260" s="11" t="n">
        <v>45097</v>
      </c>
      <c r="G260" s="12" t="n">
        <v>0.875764340277778</v>
      </c>
      <c r="H260" s="10" t="s">
        <v>37</v>
      </c>
      <c r="I260" s="13" t="n">
        <v>1</v>
      </c>
      <c r="J260" s="13" t="n">
        <v>45.71</v>
      </c>
      <c r="K260" s="13" t="n">
        <v>45.71</v>
      </c>
      <c r="L260" s="10" t="s">
        <v>910</v>
      </c>
      <c r="M260" s="10" t="s">
        <v>911</v>
      </c>
      <c r="N260" s="10"/>
      <c r="O260" s="10" t="s">
        <v>23</v>
      </c>
      <c r="P260" s="10" t="s">
        <v>24</v>
      </c>
    </row>
    <row r="261" customFormat="false" ht="15.75" hidden="false" customHeight="false" outlineLevel="0" collapsed="false">
      <c r="A261" s="10" t="s">
        <v>16</v>
      </c>
      <c r="B261" s="10" t="s">
        <v>238</v>
      </c>
      <c r="C261" s="10" t="s">
        <v>239</v>
      </c>
      <c r="D261" s="10" t="s">
        <v>95</v>
      </c>
      <c r="E261" s="10" t="s">
        <v>96</v>
      </c>
      <c r="F261" s="11" t="n">
        <v>45097</v>
      </c>
      <c r="G261" s="12" t="n">
        <v>0.874719664351852</v>
      </c>
      <c r="H261" s="10" t="s">
        <v>37</v>
      </c>
      <c r="I261" s="13" t="n">
        <v>1</v>
      </c>
      <c r="J261" s="13" t="n">
        <v>54.99</v>
      </c>
      <c r="K261" s="13" t="n">
        <v>54.99</v>
      </c>
      <c r="L261" s="10" t="s">
        <v>912</v>
      </c>
      <c r="M261" s="10" t="s">
        <v>913</v>
      </c>
      <c r="N261" s="10"/>
      <c r="O261" s="10" t="s">
        <v>23</v>
      </c>
      <c r="P261" s="10" t="s">
        <v>24</v>
      </c>
    </row>
    <row r="262" customFormat="false" ht="15.75" hidden="false" customHeight="false" outlineLevel="0" collapsed="false">
      <c r="A262" s="10" t="s">
        <v>16</v>
      </c>
      <c r="B262" s="10" t="s">
        <v>366</v>
      </c>
      <c r="C262" s="10" t="s">
        <v>367</v>
      </c>
      <c r="D262" s="10" t="s">
        <v>142</v>
      </c>
      <c r="E262" s="10" t="s">
        <v>28</v>
      </c>
      <c r="F262" s="11" t="n">
        <v>45098</v>
      </c>
      <c r="G262" s="12" t="n">
        <v>0.947511608796296</v>
      </c>
      <c r="H262" s="10" t="s">
        <v>37</v>
      </c>
      <c r="I262" s="13" t="n">
        <v>1</v>
      </c>
      <c r="J262" s="13" t="n">
        <v>672</v>
      </c>
      <c r="K262" s="13" t="n">
        <v>672</v>
      </c>
      <c r="L262" s="10" t="s">
        <v>914</v>
      </c>
      <c r="M262" s="10" t="s">
        <v>915</v>
      </c>
      <c r="N262" s="10"/>
      <c r="O262" s="10" t="s">
        <v>23</v>
      </c>
      <c r="P262" s="10" t="s">
        <v>24</v>
      </c>
    </row>
    <row r="263" customFormat="false" ht="15.75" hidden="false" customHeight="false" outlineLevel="0" collapsed="false">
      <c r="A263" s="10" t="s">
        <v>16</v>
      </c>
      <c r="B263" s="10" t="s">
        <v>916</v>
      </c>
      <c r="C263" s="10" t="s">
        <v>917</v>
      </c>
      <c r="D263" s="10" t="s">
        <v>202</v>
      </c>
      <c r="E263" s="10" t="s">
        <v>122</v>
      </c>
      <c r="F263" s="11" t="n">
        <v>45098</v>
      </c>
      <c r="G263" s="12" t="n">
        <v>0.946062314814815</v>
      </c>
      <c r="H263" s="10" t="s">
        <v>29</v>
      </c>
      <c r="I263" s="13" t="n">
        <v>11</v>
      </c>
      <c r="J263" s="13" t="n">
        <v>148.14</v>
      </c>
      <c r="K263" s="13" t="n">
        <v>1629.54</v>
      </c>
      <c r="L263" s="10" t="s">
        <v>918</v>
      </c>
      <c r="M263" s="10" t="s">
        <v>919</v>
      </c>
      <c r="N263" s="10" t="s">
        <v>920</v>
      </c>
      <c r="O263" s="10" t="s">
        <v>23</v>
      </c>
      <c r="P263" s="10" t="s">
        <v>24</v>
      </c>
    </row>
    <row r="264" customFormat="false" ht="15.75" hidden="false" customHeight="false" outlineLevel="0" collapsed="false">
      <c r="A264" s="10" t="s">
        <v>16</v>
      </c>
      <c r="B264" s="10" t="s">
        <v>921</v>
      </c>
      <c r="C264" s="10" t="s">
        <v>922</v>
      </c>
      <c r="D264" s="10" t="s">
        <v>923</v>
      </c>
      <c r="E264" s="10" t="s">
        <v>924</v>
      </c>
      <c r="F264" s="11" t="n">
        <v>45099</v>
      </c>
      <c r="G264" s="12" t="n">
        <v>0.741545335648148</v>
      </c>
      <c r="H264" s="10" t="s">
        <v>37</v>
      </c>
      <c r="I264" s="13" t="n">
        <v>555</v>
      </c>
      <c r="J264" s="13" t="n">
        <v>191.67</v>
      </c>
      <c r="K264" s="13" t="n">
        <v>106376.85</v>
      </c>
      <c r="L264" s="10" t="s">
        <v>925</v>
      </c>
      <c r="M264" s="10" t="s">
        <v>926</v>
      </c>
      <c r="N264" s="10"/>
      <c r="O264" s="10" t="s">
        <v>61</v>
      </c>
      <c r="P264" s="10" t="s">
        <v>62</v>
      </c>
    </row>
    <row r="265" customFormat="false" ht="15.75" hidden="false" customHeight="false" outlineLevel="0" collapsed="false">
      <c r="A265" s="10" t="s">
        <v>16</v>
      </c>
      <c r="B265" s="10" t="s">
        <v>140</v>
      </c>
      <c r="C265" s="10" t="s">
        <v>141</v>
      </c>
      <c r="D265" s="10" t="s">
        <v>142</v>
      </c>
      <c r="E265" s="10" t="s">
        <v>28</v>
      </c>
      <c r="F265" s="11" t="n">
        <v>45100</v>
      </c>
      <c r="G265" s="12" t="n">
        <v>0.741748240740741</v>
      </c>
      <c r="H265" s="10" t="s">
        <v>37</v>
      </c>
      <c r="I265" s="13" t="n">
        <v>2</v>
      </c>
      <c r="J265" s="13" t="n">
        <v>847</v>
      </c>
      <c r="K265" s="13" t="n">
        <v>1694</v>
      </c>
      <c r="L265" s="10" t="s">
        <v>927</v>
      </c>
      <c r="M265" s="10" t="s">
        <v>928</v>
      </c>
      <c r="N265" s="10"/>
      <c r="O265" s="10" t="s">
        <v>23</v>
      </c>
      <c r="P265" s="10" t="s">
        <v>24</v>
      </c>
    </row>
    <row r="266" customFormat="false" ht="15.75" hidden="false" customHeight="false" outlineLevel="0" collapsed="false">
      <c r="A266" s="10" t="s">
        <v>16</v>
      </c>
      <c r="B266" s="10" t="s">
        <v>929</v>
      </c>
      <c r="C266" s="10" t="s">
        <v>930</v>
      </c>
      <c r="D266" s="10" t="s">
        <v>832</v>
      </c>
      <c r="E266" s="10" t="s">
        <v>90</v>
      </c>
      <c r="F266" s="11" t="n">
        <v>45101</v>
      </c>
      <c r="G266" s="12" t="n">
        <v>0.426222048611111</v>
      </c>
      <c r="H266" s="10" t="s">
        <v>37</v>
      </c>
      <c r="I266" s="13" t="n">
        <v>370</v>
      </c>
      <c r="J266" s="13" t="n">
        <v>2100</v>
      </c>
      <c r="K266" s="13" t="n">
        <v>777000</v>
      </c>
      <c r="L266" s="10" t="s">
        <v>931</v>
      </c>
      <c r="M266" s="10" t="s">
        <v>932</v>
      </c>
      <c r="N266" s="10"/>
      <c r="O266" s="10" t="s">
        <v>61</v>
      </c>
      <c r="P266" s="10" t="s">
        <v>62</v>
      </c>
    </row>
    <row r="267" customFormat="false" ht="15.75" hidden="false" customHeight="false" outlineLevel="0" collapsed="false">
      <c r="A267" s="10" t="s">
        <v>16</v>
      </c>
      <c r="B267" s="10" t="s">
        <v>921</v>
      </c>
      <c r="C267" s="10" t="s">
        <v>922</v>
      </c>
      <c r="D267" s="10" t="s">
        <v>923</v>
      </c>
      <c r="E267" s="10" t="s">
        <v>924</v>
      </c>
      <c r="F267" s="11" t="n">
        <v>45101</v>
      </c>
      <c r="G267" s="12" t="n">
        <v>0.422748113425926</v>
      </c>
      <c r="H267" s="10" t="s">
        <v>37</v>
      </c>
      <c r="I267" s="13" t="n">
        <v>555</v>
      </c>
      <c r="J267" s="13" t="n">
        <v>191.67</v>
      </c>
      <c r="K267" s="13" t="n">
        <v>106376.85</v>
      </c>
      <c r="L267" s="10" t="s">
        <v>933</v>
      </c>
      <c r="M267" s="10" t="s">
        <v>934</v>
      </c>
      <c r="N267" s="10"/>
      <c r="O267" s="10" t="s">
        <v>61</v>
      </c>
      <c r="P267" s="10" t="s">
        <v>62</v>
      </c>
    </row>
    <row r="268" customFormat="false" ht="15.75" hidden="false" customHeight="false" outlineLevel="0" collapsed="false">
      <c r="A268" s="10" t="s">
        <v>16</v>
      </c>
      <c r="B268" s="10" t="s">
        <v>935</v>
      </c>
      <c r="C268" s="10" t="s">
        <v>936</v>
      </c>
      <c r="D268" s="10" t="s">
        <v>937</v>
      </c>
      <c r="E268" s="10" t="s">
        <v>71</v>
      </c>
      <c r="F268" s="11" t="n">
        <v>45102</v>
      </c>
      <c r="G268" s="12" t="n">
        <v>0.0425655902777778</v>
      </c>
      <c r="H268" s="10" t="s">
        <v>21</v>
      </c>
      <c r="I268" s="13" t="n">
        <v>1</v>
      </c>
      <c r="J268" s="13" t="n">
        <v>278.15</v>
      </c>
      <c r="K268" s="13" t="n">
        <v>278.15</v>
      </c>
      <c r="L268" s="10" t="s">
        <v>938</v>
      </c>
      <c r="M268" s="10"/>
      <c r="N268" s="10"/>
      <c r="O268" s="10" t="s">
        <v>23</v>
      </c>
      <c r="P268" s="10" t="s">
        <v>24</v>
      </c>
    </row>
    <row r="269" customFormat="false" ht="15.75" hidden="false" customHeight="false" outlineLevel="0" collapsed="false">
      <c r="A269" s="10" t="s">
        <v>16</v>
      </c>
      <c r="B269" s="10" t="s">
        <v>650</v>
      </c>
      <c r="C269" s="10" t="s">
        <v>651</v>
      </c>
      <c r="D269" s="10" t="s">
        <v>652</v>
      </c>
      <c r="E269" s="10" t="s">
        <v>28</v>
      </c>
      <c r="F269" s="11" t="n">
        <v>45102</v>
      </c>
      <c r="G269" s="12" t="n">
        <v>0.0254548958333333</v>
      </c>
      <c r="H269" s="10" t="s">
        <v>37</v>
      </c>
      <c r="I269" s="13" t="n">
        <v>1</v>
      </c>
      <c r="J269" s="13" t="n">
        <v>672</v>
      </c>
      <c r="K269" s="13" t="n">
        <v>672</v>
      </c>
      <c r="L269" s="10" t="s">
        <v>939</v>
      </c>
      <c r="M269" s="10" t="s">
        <v>940</v>
      </c>
      <c r="N269" s="10"/>
      <c r="O269" s="10" t="s">
        <v>23</v>
      </c>
      <c r="P269" s="10" t="s">
        <v>24</v>
      </c>
    </row>
    <row r="270" customFormat="false" ht="15.75" hidden="false" customHeight="false" outlineLevel="0" collapsed="false">
      <c r="A270" s="10" t="s">
        <v>16</v>
      </c>
      <c r="B270" s="10" t="s">
        <v>941</v>
      </c>
      <c r="C270" s="10" t="s">
        <v>942</v>
      </c>
      <c r="D270" s="10" t="s">
        <v>652</v>
      </c>
      <c r="E270" s="10" t="s">
        <v>28</v>
      </c>
      <c r="F270" s="11" t="n">
        <v>45102</v>
      </c>
      <c r="G270" s="12" t="n">
        <v>0.0231460185185185</v>
      </c>
      <c r="H270" s="10" t="s">
        <v>37</v>
      </c>
      <c r="I270" s="13" t="n">
        <v>1</v>
      </c>
      <c r="J270" s="13" t="n">
        <v>813</v>
      </c>
      <c r="K270" s="13" t="n">
        <v>813</v>
      </c>
      <c r="L270" s="10" t="s">
        <v>943</v>
      </c>
      <c r="M270" s="10" t="s">
        <v>944</v>
      </c>
      <c r="N270" s="10"/>
      <c r="O270" s="10" t="s">
        <v>23</v>
      </c>
      <c r="P270" s="10" t="s">
        <v>24</v>
      </c>
    </row>
    <row r="271" customFormat="false" ht="15.75" hidden="false" customHeight="false" outlineLevel="0" collapsed="false">
      <c r="A271" s="10" t="s">
        <v>16</v>
      </c>
      <c r="B271" s="10" t="s">
        <v>140</v>
      </c>
      <c r="C271" s="10" t="s">
        <v>141</v>
      </c>
      <c r="D271" s="10" t="s">
        <v>142</v>
      </c>
      <c r="E271" s="10" t="s">
        <v>28</v>
      </c>
      <c r="F271" s="11" t="n">
        <v>45102</v>
      </c>
      <c r="G271" s="12" t="n">
        <v>0.0220006481481481</v>
      </c>
      <c r="H271" s="10" t="s">
        <v>37</v>
      </c>
      <c r="I271" s="13" t="n">
        <v>2</v>
      </c>
      <c r="J271" s="13" t="n">
        <v>813</v>
      </c>
      <c r="K271" s="13" t="n">
        <v>1626</v>
      </c>
      <c r="L271" s="10" t="s">
        <v>945</v>
      </c>
      <c r="M271" s="10" t="s">
        <v>946</v>
      </c>
      <c r="N271" s="10"/>
      <c r="O271" s="10" t="s">
        <v>23</v>
      </c>
      <c r="P271" s="10" t="s">
        <v>24</v>
      </c>
    </row>
    <row r="272" customFormat="false" ht="15.75" hidden="false" customHeight="false" outlineLevel="0" collapsed="false">
      <c r="A272" s="10" t="s">
        <v>16</v>
      </c>
      <c r="B272" s="10" t="s">
        <v>947</v>
      </c>
      <c r="C272" s="10" t="s">
        <v>948</v>
      </c>
      <c r="D272" s="10" t="s">
        <v>949</v>
      </c>
      <c r="E272" s="10" t="s">
        <v>28</v>
      </c>
      <c r="F272" s="11" t="n">
        <v>45102</v>
      </c>
      <c r="G272" s="12" t="n">
        <v>0.0209813078703704</v>
      </c>
      <c r="H272" s="10" t="s">
        <v>37</v>
      </c>
      <c r="I272" s="13" t="n">
        <v>1</v>
      </c>
      <c r="J272" s="13" t="n">
        <v>520</v>
      </c>
      <c r="K272" s="13" t="n">
        <v>520</v>
      </c>
      <c r="L272" s="10" t="s">
        <v>950</v>
      </c>
      <c r="M272" s="10" t="s">
        <v>951</v>
      </c>
      <c r="N272" s="10"/>
      <c r="O272" s="10" t="s">
        <v>23</v>
      </c>
      <c r="P272" s="10" t="s">
        <v>24</v>
      </c>
    </row>
    <row r="273" customFormat="false" ht="15.75" hidden="false" customHeight="false" outlineLevel="0" collapsed="false">
      <c r="A273" s="10" t="s">
        <v>16</v>
      </c>
      <c r="B273" s="10" t="s">
        <v>947</v>
      </c>
      <c r="C273" s="10" t="s">
        <v>948</v>
      </c>
      <c r="D273" s="10" t="s">
        <v>949</v>
      </c>
      <c r="E273" s="10" t="s">
        <v>28</v>
      </c>
      <c r="F273" s="11" t="n">
        <v>45103</v>
      </c>
      <c r="G273" s="12" t="n">
        <v>0.051127650462963</v>
      </c>
      <c r="H273" s="10" t="s">
        <v>21</v>
      </c>
      <c r="I273" s="13" t="n">
        <v>1</v>
      </c>
      <c r="J273" s="13" t="n">
        <v>520</v>
      </c>
      <c r="K273" s="13" t="n">
        <v>520</v>
      </c>
      <c r="L273" s="10" t="s">
        <v>952</v>
      </c>
      <c r="M273" s="10"/>
      <c r="N273" s="10"/>
      <c r="O273" s="10" t="s">
        <v>23</v>
      </c>
      <c r="P273" s="10" t="s">
        <v>24</v>
      </c>
    </row>
    <row r="274" customFormat="false" ht="15.75" hidden="false" customHeight="false" outlineLevel="0" collapsed="false">
      <c r="A274" s="10" t="s">
        <v>16</v>
      </c>
      <c r="B274" s="10" t="s">
        <v>883</v>
      </c>
      <c r="C274" s="10" t="s">
        <v>884</v>
      </c>
      <c r="D274" s="10" t="s">
        <v>230</v>
      </c>
      <c r="E274" s="10" t="s">
        <v>231</v>
      </c>
      <c r="F274" s="11" t="n">
        <v>45103</v>
      </c>
      <c r="G274" s="12" t="n">
        <v>0.0182868171296296</v>
      </c>
      <c r="H274" s="10" t="s">
        <v>37</v>
      </c>
      <c r="I274" s="13" t="n">
        <v>1</v>
      </c>
      <c r="J274" s="13" t="n">
        <v>540.66</v>
      </c>
      <c r="K274" s="13" t="n">
        <v>540.66</v>
      </c>
      <c r="L274" s="10" t="s">
        <v>953</v>
      </c>
      <c r="M274" s="10" t="s">
        <v>954</v>
      </c>
      <c r="N274" s="10"/>
      <c r="O274" s="10" t="s">
        <v>23</v>
      </c>
      <c r="P274" s="10" t="s">
        <v>24</v>
      </c>
    </row>
    <row r="275" customFormat="false" ht="15.75" hidden="false" customHeight="false" outlineLevel="0" collapsed="false">
      <c r="A275" s="10" t="s">
        <v>16</v>
      </c>
      <c r="B275" s="10" t="s">
        <v>472</v>
      </c>
      <c r="C275" s="10" t="s">
        <v>473</v>
      </c>
      <c r="D275" s="10" t="s">
        <v>230</v>
      </c>
      <c r="E275" s="10" t="s">
        <v>231</v>
      </c>
      <c r="F275" s="11" t="n">
        <v>45103</v>
      </c>
      <c r="G275" s="12" t="n">
        <v>0.0162060185185185</v>
      </c>
      <c r="H275" s="10" t="s">
        <v>37</v>
      </c>
      <c r="I275" s="13" t="n">
        <v>1</v>
      </c>
      <c r="J275" s="13" t="n">
        <v>614.12</v>
      </c>
      <c r="K275" s="13" t="n">
        <v>614.12</v>
      </c>
      <c r="L275" s="10" t="s">
        <v>955</v>
      </c>
      <c r="M275" s="10" t="s">
        <v>956</v>
      </c>
      <c r="N275" s="10"/>
      <c r="O275" s="10" t="s">
        <v>23</v>
      </c>
      <c r="P275" s="10" t="s">
        <v>24</v>
      </c>
    </row>
    <row r="276" customFormat="false" ht="15.75" hidden="false" customHeight="false" outlineLevel="0" collapsed="false">
      <c r="A276" s="10" t="s">
        <v>16</v>
      </c>
      <c r="B276" s="10" t="s">
        <v>650</v>
      </c>
      <c r="C276" s="10" t="s">
        <v>651</v>
      </c>
      <c r="D276" s="10" t="s">
        <v>652</v>
      </c>
      <c r="E276" s="10" t="s">
        <v>28</v>
      </c>
      <c r="F276" s="11" t="n">
        <v>45103</v>
      </c>
      <c r="G276" s="12" t="n">
        <v>0.0150900115740741</v>
      </c>
      <c r="H276" s="10" t="s">
        <v>37</v>
      </c>
      <c r="I276" s="13" t="n">
        <v>1</v>
      </c>
      <c r="J276" s="13" t="n">
        <v>672</v>
      </c>
      <c r="K276" s="13" t="n">
        <v>672</v>
      </c>
      <c r="L276" s="10" t="s">
        <v>957</v>
      </c>
      <c r="M276" s="10" t="s">
        <v>958</v>
      </c>
      <c r="N276" s="10"/>
      <c r="O276" s="10" t="s">
        <v>23</v>
      </c>
      <c r="P276" s="10" t="s">
        <v>24</v>
      </c>
    </row>
    <row r="277" customFormat="false" ht="15.75" hidden="false" customHeight="false" outlineLevel="0" collapsed="false">
      <c r="A277" s="10" t="s">
        <v>16</v>
      </c>
      <c r="B277" s="10" t="s">
        <v>941</v>
      </c>
      <c r="C277" s="10" t="s">
        <v>942</v>
      </c>
      <c r="D277" s="10" t="s">
        <v>652</v>
      </c>
      <c r="E277" s="10" t="s">
        <v>28</v>
      </c>
      <c r="F277" s="11" t="n">
        <v>45103</v>
      </c>
      <c r="G277" s="12" t="n">
        <v>0.0144387962962963</v>
      </c>
      <c r="H277" s="10" t="s">
        <v>37</v>
      </c>
      <c r="I277" s="13" t="n">
        <v>1</v>
      </c>
      <c r="J277" s="13" t="n">
        <v>813</v>
      </c>
      <c r="K277" s="13" t="n">
        <v>813</v>
      </c>
      <c r="L277" s="10" t="s">
        <v>959</v>
      </c>
      <c r="M277" s="10" t="s">
        <v>960</v>
      </c>
      <c r="N277" s="10"/>
      <c r="O277" s="10" t="s">
        <v>23</v>
      </c>
      <c r="P277" s="10" t="s">
        <v>24</v>
      </c>
    </row>
    <row r="278" customFormat="false" ht="15.75" hidden="false" customHeight="false" outlineLevel="0" collapsed="false">
      <c r="A278" s="10" t="s">
        <v>16</v>
      </c>
      <c r="B278" s="10" t="s">
        <v>140</v>
      </c>
      <c r="C278" s="10" t="s">
        <v>141</v>
      </c>
      <c r="D278" s="10" t="s">
        <v>142</v>
      </c>
      <c r="E278" s="10" t="s">
        <v>28</v>
      </c>
      <c r="F278" s="11" t="n">
        <v>45103</v>
      </c>
      <c r="G278" s="12" t="n">
        <v>0.013660625</v>
      </c>
      <c r="H278" s="10" t="s">
        <v>37</v>
      </c>
      <c r="I278" s="13" t="n">
        <v>2</v>
      </c>
      <c r="J278" s="13" t="n">
        <v>813</v>
      </c>
      <c r="K278" s="13" t="n">
        <v>1626</v>
      </c>
      <c r="L278" s="10" t="s">
        <v>961</v>
      </c>
      <c r="M278" s="10" t="s">
        <v>962</v>
      </c>
      <c r="N278" s="10"/>
      <c r="O278" s="10" t="s">
        <v>23</v>
      </c>
      <c r="P278" s="10" t="s">
        <v>24</v>
      </c>
    </row>
    <row r="279" customFormat="false" ht="15.75" hidden="false" customHeight="false" outlineLevel="0" collapsed="false">
      <c r="A279" s="10" t="s">
        <v>16</v>
      </c>
      <c r="B279" s="10" t="s">
        <v>963</v>
      </c>
      <c r="C279" s="10" t="s">
        <v>964</v>
      </c>
      <c r="D279" s="10" t="s">
        <v>567</v>
      </c>
      <c r="E279" s="10" t="s">
        <v>568</v>
      </c>
      <c r="F279" s="11" t="n">
        <v>45104</v>
      </c>
      <c r="G279" s="12" t="n">
        <v>0.994976006944444</v>
      </c>
      <c r="H279" s="10" t="s">
        <v>37</v>
      </c>
      <c r="I279" s="13" t="n">
        <v>1</v>
      </c>
      <c r="J279" s="13" t="n">
        <v>2690</v>
      </c>
      <c r="K279" s="13" t="n">
        <v>2690</v>
      </c>
      <c r="L279" s="10" t="s">
        <v>965</v>
      </c>
      <c r="M279" s="10" t="s">
        <v>966</v>
      </c>
      <c r="N279" s="10"/>
      <c r="O279" s="10" t="s">
        <v>23</v>
      </c>
      <c r="P279" s="10" t="s">
        <v>24</v>
      </c>
    </row>
    <row r="280" customFormat="false" ht="15.75" hidden="false" customHeight="false" outlineLevel="0" collapsed="false">
      <c r="A280" s="10" t="s">
        <v>16</v>
      </c>
      <c r="B280" s="10" t="s">
        <v>967</v>
      </c>
      <c r="C280" s="10" t="s">
        <v>968</v>
      </c>
      <c r="D280" s="10" t="s">
        <v>832</v>
      </c>
      <c r="E280" s="10" t="s">
        <v>90</v>
      </c>
      <c r="F280" s="11" t="n">
        <v>45104</v>
      </c>
      <c r="G280" s="12" t="n">
        <v>0.353449050925926</v>
      </c>
      <c r="H280" s="10" t="s">
        <v>29</v>
      </c>
      <c r="I280" s="13" t="n">
        <v>3</v>
      </c>
      <c r="J280" s="13" t="n">
        <v>1450</v>
      </c>
      <c r="K280" s="13" t="n">
        <v>4350</v>
      </c>
      <c r="L280" s="10" t="s">
        <v>969</v>
      </c>
      <c r="M280" s="10" t="s">
        <v>970</v>
      </c>
      <c r="N280" s="10" t="s">
        <v>971</v>
      </c>
      <c r="O280" s="10" t="s">
        <v>61</v>
      </c>
      <c r="P280" s="10" t="s">
        <v>62</v>
      </c>
    </row>
    <row r="281" customFormat="false" ht="15.75" hidden="false" customHeight="false" outlineLevel="0" collapsed="false">
      <c r="A281" s="10" t="s">
        <v>16</v>
      </c>
      <c r="B281" s="10" t="s">
        <v>972</v>
      </c>
      <c r="C281" s="10" t="s">
        <v>973</v>
      </c>
      <c r="D281" s="10" t="s">
        <v>974</v>
      </c>
      <c r="E281" s="10" t="s">
        <v>568</v>
      </c>
      <c r="F281" s="11" t="n">
        <v>45104</v>
      </c>
      <c r="G281" s="12" t="n">
        <v>0.0332824305555556</v>
      </c>
      <c r="H281" s="10" t="s">
        <v>37</v>
      </c>
      <c r="I281" s="13" t="n">
        <v>1</v>
      </c>
      <c r="J281" s="13" t="n">
        <v>870</v>
      </c>
      <c r="K281" s="13" t="n">
        <v>870</v>
      </c>
      <c r="L281" s="10" t="s">
        <v>975</v>
      </c>
      <c r="M281" s="10" t="s">
        <v>976</v>
      </c>
      <c r="N281" s="10"/>
      <c r="O281" s="10" t="s">
        <v>23</v>
      </c>
      <c r="P281" s="10" t="s">
        <v>24</v>
      </c>
    </row>
    <row r="282" customFormat="false" ht="15.75" hidden="false" customHeight="false" outlineLevel="0" collapsed="false">
      <c r="A282" s="10" t="s">
        <v>16</v>
      </c>
      <c r="B282" s="10" t="s">
        <v>140</v>
      </c>
      <c r="C282" s="10" t="s">
        <v>141</v>
      </c>
      <c r="D282" s="10" t="s">
        <v>142</v>
      </c>
      <c r="E282" s="10" t="s">
        <v>28</v>
      </c>
      <c r="F282" s="11" t="n">
        <v>45104</v>
      </c>
      <c r="G282" s="12" t="n">
        <v>0.0315817939814815</v>
      </c>
      <c r="H282" s="10" t="s">
        <v>37</v>
      </c>
      <c r="I282" s="13" t="n">
        <v>1</v>
      </c>
      <c r="J282" s="13" t="n">
        <v>813</v>
      </c>
      <c r="K282" s="13" t="n">
        <v>813</v>
      </c>
      <c r="L282" s="10" t="s">
        <v>977</v>
      </c>
      <c r="M282" s="10" t="s">
        <v>978</v>
      </c>
      <c r="N282" s="10"/>
      <c r="O282" s="10" t="s">
        <v>23</v>
      </c>
      <c r="P282" s="10" t="s">
        <v>24</v>
      </c>
    </row>
    <row r="283" customFormat="false" ht="15.75" hidden="false" customHeight="false" outlineLevel="0" collapsed="false">
      <c r="A283" s="10" t="s">
        <v>16</v>
      </c>
      <c r="B283" s="10" t="s">
        <v>941</v>
      </c>
      <c r="C283" s="10" t="s">
        <v>942</v>
      </c>
      <c r="D283" s="10" t="s">
        <v>652</v>
      </c>
      <c r="E283" s="10" t="s">
        <v>28</v>
      </c>
      <c r="F283" s="11" t="n">
        <v>45104</v>
      </c>
      <c r="G283" s="12" t="n">
        <v>0.0294287962962963</v>
      </c>
      <c r="H283" s="10" t="s">
        <v>37</v>
      </c>
      <c r="I283" s="13" t="n">
        <v>1</v>
      </c>
      <c r="J283" s="13" t="n">
        <v>813</v>
      </c>
      <c r="K283" s="13" t="n">
        <v>813</v>
      </c>
      <c r="L283" s="10" t="s">
        <v>979</v>
      </c>
      <c r="M283" s="10" t="s">
        <v>980</v>
      </c>
      <c r="N283" s="10"/>
      <c r="O283" s="10" t="s">
        <v>23</v>
      </c>
      <c r="P283" s="10" t="s">
        <v>24</v>
      </c>
    </row>
    <row r="284" customFormat="false" ht="15.75" hidden="false" customHeight="false" outlineLevel="0" collapsed="false">
      <c r="A284" s="10" t="s">
        <v>16</v>
      </c>
      <c r="B284" s="10" t="s">
        <v>481</v>
      </c>
      <c r="C284" s="10" t="s">
        <v>482</v>
      </c>
      <c r="D284" s="10" t="s">
        <v>483</v>
      </c>
      <c r="E284" s="10" t="s">
        <v>148</v>
      </c>
      <c r="F284" s="11" t="n">
        <v>45104</v>
      </c>
      <c r="G284" s="12" t="n">
        <v>0.00740525462962963</v>
      </c>
      <c r="H284" s="10" t="s">
        <v>21</v>
      </c>
      <c r="I284" s="13" t="n">
        <v>32</v>
      </c>
      <c r="J284" s="13" t="n">
        <v>428.4</v>
      </c>
      <c r="K284" s="13" t="n">
        <v>13708.8</v>
      </c>
      <c r="L284" s="10" t="s">
        <v>129</v>
      </c>
      <c r="M284" s="10"/>
      <c r="N284" s="10"/>
      <c r="O284" s="10" t="s">
        <v>23</v>
      </c>
      <c r="P284" s="10" t="s">
        <v>24</v>
      </c>
    </row>
    <row r="285" customFormat="false" ht="15.75" hidden="false" customHeight="false" outlineLevel="0" collapsed="false">
      <c r="A285" s="10" t="s">
        <v>16</v>
      </c>
      <c r="B285" s="10" t="s">
        <v>650</v>
      </c>
      <c r="C285" s="10" t="s">
        <v>651</v>
      </c>
      <c r="D285" s="10" t="s">
        <v>652</v>
      </c>
      <c r="E285" s="10" t="s">
        <v>28</v>
      </c>
      <c r="F285" s="11" t="n">
        <v>45105</v>
      </c>
      <c r="G285" s="12" t="n">
        <v>0.0932780324074074</v>
      </c>
      <c r="H285" s="10" t="s">
        <v>37</v>
      </c>
      <c r="I285" s="13" t="n">
        <v>1</v>
      </c>
      <c r="J285" s="13" t="n">
        <v>672</v>
      </c>
      <c r="K285" s="13" t="n">
        <v>672</v>
      </c>
      <c r="L285" s="10" t="s">
        <v>981</v>
      </c>
      <c r="M285" s="10" t="s">
        <v>982</v>
      </c>
      <c r="N285" s="10"/>
      <c r="O285" s="10" t="s">
        <v>23</v>
      </c>
      <c r="P285" s="10" t="s">
        <v>24</v>
      </c>
    </row>
    <row r="286" customFormat="false" ht="15.75" hidden="false" customHeight="false" outlineLevel="0" collapsed="false">
      <c r="A286" s="10" t="s">
        <v>16</v>
      </c>
      <c r="B286" s="10" t="s">
        <v>385</v>
      </c>
      <c r="C286" s="10" t="s">
        <v>386</v>
      </c>
      <c r="D286" s="10" t="s">
        <v>142</v>
      </c>
      <c r="E286" s="10" t="s">
        <v>28</v>
      </c>
      <c r="F286" s="11" t="n">
        <v>45105</v>
      </c>
      <c r="G286" s="12" t="n">
        <v>0.0925543287037037</v>
      </c>
      <c r="H286" s="10" t="s">
        <v>37</v>
      </c>
      <c r="I286" s="13" t="n">
        <v>1</v>
      </c>
      <c r="J286" s="13" t="n">
        <v>1196</v>
      </c>
      <c r="K286" s="13" t="n">
        <v>1196</v>
      </c>
      <c r="L286" s="10" t="s">
        <v>983</v>
      </c>
      <c r="M286" s="10" t="s">
        <v>984</v>
      </c>
      <c r="N286" s="10"/>
      <c r="O286" s="10" t="s">
        <v>23</v>
      </c>
      <c r="P286" s="10" t="s">
        <v>24</v>
      </c>
    </row>
    <row r="287" customFormat="false" ht="15.75" hidden="false" customHeight="false" outlineLevel="0" collapsed="false">
      <c r="A287" s="10" t="s">
        <v>16</v>
      </c>
      <c r="B287" s="10" t="s">
        <v>985</v>
      </c>
      <c r="C287" s="10" t="s">
        <v>986</v>
      </c>
      <c r="D287" s="10" t="s">
        <v>854</v>
      </c>
      <c r="E287" s="10" t="s">
        <v>107</v>
      </c>
      <c r="F287" s="11" t="n">
        <v>45105</v>
      </c>
      <c r="G287" s="12" t="n">
        <v>0.0555539467592593</v>
      </c>
      <c r="H287" s="10" t="s">
        <v>37</v>
      </c>
      <c r="I287" s="13" t="n">
        <v>1</v>
      </c>
      <c r="J287" s="13" t="n">
        <v>142.08</v>
      </c>
      <c r="K287" s="13" t="n">
        <v>142.08</v>
      </c>
      <c r="L287" s="10" t="s">
        <v>987</v>
      </c>
      <c r="M287" s="10" t="s">
        <v>988</v>
      </c>
      <c r="N287" s="10"/>
      <c r="O287" s="10" t="s">
        <v>23</v>
      </c>
      <c r="P287" s="10" t="s">
        <v>24</v>
      </c>
    </row>
    <row r="288" customFormat="false" ht="15.75" hidden="false" customHeight="false" outlineLevel="0" collapsed="false">
      <c r="A288" s="10" t="s">
        <v>16</v>
      </c>
      <c r="B288" s="10" t="s">
        <v>985</v>
      </c>
      <c r="C288" s="10" t="s">
        <v>986</v>
      </c>
      <c r="D288" s="10" t="s">
        <v>854</v>
      </c>
      <c r="E288" s="10" t="s">
        <v>107</v>
      </c>
      <c r="F288" s="11" t="n">
        <v>45105</v>
      </c>
      <c r="G288" s="12" t="n">
        <v>0.0533157407407407</v>
      </c>
      <c r="H288" s="10" t="s">
        <v>37</v>
      </c>
      <c r="I288" s="13" t="n">
        <v>1</v>
      </c>
      <c r="J288" s="13" t="n">
        <v>142.08</v>
      </c>
      <c r="K288" s="13" t="n">
        <v>142.08</v>
      </c>
      <c r="L288" s="10" t="s">
        <v>989</v>
      </c>
      <c r="M288" s="10" t="s">
        <v>990</v>
      </c>
      <c r="N288" s="10"/>
      <c r="O288" s="10" t="s">
        <v>23</v>
      </c>
      <c r="P288" s="10" t="s">
        <v>24</v>
      </c>
    </row>
    <row r="289" customFormat="false" ht="15.75" hidden="false" customHeight="false" outlineLevel="0" collapsed="false">
      <c r="A289" s="10" t="s">
        <v>16</v>
      </c>
      <c r="B289" s="10" t="s">
        <v>897</v>
      </c>
      <c r="C289" s="10" t="s">
        <v>898</v>
      </c>
      <c r="D289" s="10" t="s">
        <v>854</v>
      </c>
      <c r="E289" s="10" t="s">
        <v>107</v>
      </c>
      <c r="F289" s="11" t="n">
        <v>45109</v>
      </c>
      <c r="G289" s="12" t="n">
        <v>0.918009791666667</v>
      </c>
      <c r="H289" s="10" t="s">
        <v>37</v>
      </c>
      <c r="I289" s="13" t="n">
        <v>1</v>
      </c>
      <c r="J289" s="13" t="n">
        <v>242.5</v>
      </c>
      <c r="K289" s="13" t="n">
        <v>242.5</v>
      </c>
      <c r="L289" s="10" t="s">
        <v>991</v>
      </c>
      <c r="M289" s="10" t="s">
        <v>992</v>
      </c>
      <c r="N289" s="10"/>
      <c r="O289" s="10" t="s">
        <v>23</v>
      </c>
      <c r="P289" s="10" t="s">
        <v>24</v>
      </c>
    </row>
    <row r="290" customFormat="false" ht="15.75" hidden="false" customHeight="false" outlineLevel="0" collapsed="false">
      <c r="A290" s="10" t="s">
        <v>16</v>
      </c>
      <c r="B290" s="10" t="s">
        <v>993</v>
      </c>
      <c r="C290" s="10" t="s">
        <v>994</v>
      </c>
      <c r="D290" s="10" t="s">
        <v>132</v>
      </c>
      <c r="E290" s="10" t="s">
        <v>96</v>
      </c>
      <c r="F290" s="11" t="n">
        <v>45110</v>
      </c>
      <c r="G290" s="12" t="n">
        <v>0.875133402777778</v>
      </c>
      <c r="H290" s="10" t="s">
        <v>37</v>
      </c>
      <c r="I290" s="13" t="n">
        <v>1</v>
      </c>
      <c r="J290" s="13" t="n">
        <v>289.5</v>
      </c>
      <c r="K290" s="13" t="n">
        <v>289.5</v>
      </c>
      <c r="L290" s="10" t="s">
        <v>995</v>
      </c>
      <c r="M290" s="10" t="s">
        <v>996</v>
      </c>
      <c r="N290" s="10"/>
      <c r="O290" s="10" t="s">
        <v>23</v>
      </c>
      <c r="P290" s="10" t="s">
        <v>24</v>
      </c>
    </row>
    <row r="291" customFormat="false" ht="15.75" hidden="false" customHeight="false" outlineLevel="0" collapsed="false">
      <c r="A291" s="10" t="s">
        <v>16</v>
      </c>
      <c r="B291" s="10" t="s">
        <v>997</v>
      </c>
      <c r="C291" s="10" t="s">
        <v>998</v>
      </c>
      <c r="D291" s="10" t="s">
        <v>999</v>
      </c>
      <c r="E291" s="10" t="s">
        <v>96</v>
      </c>
      <c r="F291" s="11" t="n">
        <v>45110</v>
      </c>
      <c r="G291" s="12" t="n">
        <v>0.870953784722222</v>
      </c>
      <c r="H291" s="10" t="s">
        <v>37</v>
      </c>
      <c r="I291" s="13" t="n">
        <v>2</v>
      </c>
      <c r="J291" s="13" t="n">
        <v>399.79</v>
      </c>
      <c r="K291" s="13" t="n">
        <v>799.58</v>
      </c>
      <c r="L291" s="10" t="s">
        <v>1000</v>
      </c>
      <c r="M291" s="10" t="s">
        <v>1001</v>
      </c>
      <c r="N291" s="10"/>
      <c r="O291" s="10" t="s">
        <v>23</v>
      </c>
      <c r="P291" s="10" t="s">
        <v>24</v>
      </c>
    </row>
    <row r="292" customFormat="false" ht="15.75" hidden="false" customHeight="false" outlineLevel="0" collapsed="false">
      <c r="A292" s="10" t="s">
        <v>16</v>
      </c>
      <c r="B292" s="10" t="s">
        <v>1002</v>
      </c>
      <c r="C292" s="10" t="s">
        <v>1003</v>
      </c>
      <c r="D292" s="10" t="s">
        <v>1004</v>
      </c>
      <c r="E292" s="10" t="s">
        <v>96</v>
      </c>
      <c r="F292" s="11" t="n">
        <v>45110</v>
      </c>
      <c r="G292" s="12" t="n">
        <v>0.868793599537037</v>
      </c>
      <c r="H292" s="10" t="s">
        <v>37</v>
      </c>
      <c r="I292" s="13" t="n">
        <v>1</v>
      </c>
      <c r="J292" s="13" t="n">
        <v>119</v>
      </c>
      <c r="K292" s="13" t="n">
        <v>119</v>
      </c>
      <c r="L292" s="10" t="s">
        <v>1005</v>
      </c>
      <c r="M292" s="10" t="s">
        <v>1006</v>
      </c>
      <c r="N292" s="10"/>
      <c r="O292" s="10" t="s">
        <v>23</v>
      </c>
      <c r="P292" s="10" t="s">
        <v>24</v>
      </c>
    </row>
    <row r="293" customFormat="false" ht="15.75" hidden="false" customHeight="false" outlineLevel="0" collapsed="false">
      <c r="A293" s="10" t="s">
        <v>16</v>
      </c>
      <c r="B293" s="10" t="s">
        <v>1007</v>
      </c>
      <c r="C293" s="10" t="s">
        <v>1008</v>
      </c>
      <c r="D293" s="10" t="s">
        <v>70</v>
      </c>
      <c r="E293" s="10" t="s">
        <v>71</v>
      </c>
      <c r="F293" s="11" t="n">
        <v>45110</v>
      </c>
      <c r="G293" s="12" t="n">
        <v>0.862046087962963</v>
      </c>
      <c r="H293" s="10" t="s">
        <v>37</v>
      </c>
      <c r="I293" s="13" t="n">
        <v>1</v>
      </c>
      <c r="J293" s="13" t="n">
        <v>189.3</v>
      </c>
      <c r="K293" s="13" t="n">
        <v>189.3</v>
      </c>
      <c r="L293" s="10" t="s">
        <v>1009</v>
      </c>
      <c r="M293" s="10" t="s">
        <v>1010</v>
      </c>
      <c r="N293" s="10"/>
      <c r="O293" s="10" t="s">
        <v>23</v>
      </c>
      <c r="P293" s="10" t="s">
        <v>24</v>
      </c>
    </row>
    <row r="294" customFormat="false" ht="15.75" hidden="false" customHeight="false" outlineLevel="0" collapsed="false">
      <c r="A294" s="10" t="s">
        <v>16</v>
      </c>
      <c r="B294" s="10" t="s">
        <v>385</v>
      </c>
      <c r="C294" s="10" t="s">
        <v>386</v>
      </c>
      <c r="D294" s="10" t="s">
        <v>142</v>
      </c>
      <c r="E294" s="10" t="s">
        <v>28</v>
      </c>
      <c r="F294" s="11" t="n">
        <v>45110</v>
      </c>
      <c r="G294" s="12" t="n">
        <v>0.797594398148148</v>
      </c>
      <c r="H294" s="10" t="s">
        <v>37</v>
      </c>
      <c r="I294" s="13" t="n">
        <v>1</v>
      </c>
      <c r="J294" s="13" t="n">
        <v>1196</v>
      </c>
      <c r="K294" s="13" t="n">
        <v>1196</v>
      </c>
      <c r="L294" s="10" t="s">
        <v>1011</v>
      </c>
      <c r="M294" s="10" t="s">
        <v>1012</v>
      </c>
      <c r="N294" s="10"/>
      <c r="O294" s="10" t="s">
        <v>23</v>
      </c>
      <c r="P294" s="10" t="s">
        <v>24</v>
      </c>
    </row>
    <row r="295" customFormat="false" ht="15.75" hidden="false" customHeight="false" outlineLevel="0" collapsed="false">
      <c r="A295" s="10" t="s">
        <v>16</v>
      </c>
      <c r="B295" s="10" t="s">
        <v>606</v>
      </c>
      <c r="C295" s="10" t="s">
        <v>607</v>
      </c>
      <c r="D295" s="10" t="s">
        <v>487</v>
      </c>
      <c r="E295" s="10" t="s">
        <v>20</v>
      </c>
      <c r="F295" s="11" t="n">
        <v>45110</v>
      </c>
      <c r="G295" s="12" t="n">
        <v>0.779273761574074</v>
      </c>
      <c r="H295" s="10" t="s">
        <v>37</v>
      </c>
      <c r="I295" s="13" t="n">
        <v>6</v>
      </c>
      <c r="J295" s="13" t="n">
        <v>1150</v>
      </c>
      <c r="K295" s="13" t="n">
        <v>6900</v>
      </c>
      <c r="L295" s="10" t="s">
        <v>1013</v>
      </c>
      <c r="M295" s="10" t="s">
        <v>1014</v>
      </c>
      <c r="N295" s="10"/>
      <c r="O295" s="10" t="s">
        <v>110</v>
      </c>
      <c r="P295" s="10" t="s">
        <v>111</v>
      </c>
    </row>
    <row r="296" customFormat="false" ht="15.75" hidden="false" customHeight="false" outlineLevel="0" collapsed="false">
      <c r="A296" s="10" t="s">
        <v>16</v>
      </c>
      <c r="B296" s="10" t="s">
        <v>1015</v>
      </c>
      <c r="C296" s="10" t="s">
        <v>1016</v>
      </c>
      <c r="D296" s="10" t="s">
        <v>762</v>
      </c>
      <c r="E296" s="10" t="s">
        <v>736</v>
      </c>
      <c r="F296" s="11" t="n">
        <v>45110</v>
      </c>
      <c r="G296" s="12" t="n">
        <v>0.769055231481481</v>
      </c>
      <c r="H296" s="10" t="s">
        <v>37</v>
      </c>
      <c r="I296" s="13" t="n">
        <v>1</v>
      </c>
      <c r="J296" s="13" t="n">
        <v>2430.16</v>
      </c>
      <c r="K296" s="13" t="n">
        <v>2430.16</v>
      </c>
      <c r="L296" s="10" t="s">
        <v>1017</v>
      </c>
      <c r="M296" s="10" t="s">
        <v>1018</v>
      </c>
      <c r="N296" s="10"/>
      <c r="O296" s="10" t="s">
        <v>110</v>
      </c>
      <c r="P296" s="10" t="s">
        <v>111</v>
      </c>
    </row>
    <row r="297" customFormat="false" ht="15.75" hidden="false" customHeight="false" outlineLevel="0" collapsed="false">
      <c r="A297" s="10" t="s">
        <v>16</v>
      </c>
      <c r="B297" s="10" t="s">
        <v>1019</v>
      </c>
      <c r="C297" s="10" t="s">
        <v>1020</v>
      </c>
      <c r="D297" s="10" t="s">
        <v>758</v>
      </c>
      <c r="E297" s="10" t="s">
        <v>122</v>
      </c>
      <c r="F297" s="11" t="n">
        <v>45111</v>
      </c>
      <c r="G297" s="12" t="n">
        <v>0.96576255787037</v>
      </c>
      <c r="H297" s="10" t="s">
        <v>21</v>
      </c>
      <c r="I297" s="13" t="n">
        <v>2</v>
      </c>
      <c r="J297" s="13" t="n">
        <v>215.98</v>
      </c>
      <c r="K297" s="13" t="n">
        <v>431.96</v>
      </c>
      <c r="L297" s="10" t="s">
        <v>1021</v>
      </c>
      <c r="M297" s="10"/>
      <c r="N297" s="10"/>
      <c r="O297" s="10" t="s">
        <v>23</v>
      </c>
      <c r="P297" s="10" t="s">
        <v>24</v>
      </c>
    </row>
    <row r="298" customFormat="false" ht="15.75" hidden="false" customHeight="false" outlineLevel="0" collapsed="false">
      <c r="A298" s="10" t="s">
        <v>16</v>
      </c>
      <c r="B298" s="10" t="s">
        <v>1022</v>
      </c>
      <c r="C298" s="10" t="s">
        <v>1023</v>
      </c>
      <c r="D298" s="10" t="s">
        <v>230</v>
      </c>
      <c r="E298" s="10" t="s">
        <v>231</v>
      </c>
      <c r="F298" s="11" t="n">
        <v>45111</v>
      </c>
      <c r="G298" s="12" t="n">
        <v>0.894642777777778</v>
      </c>
      <c r="H298" s="10" t="s">
        <v>37</v>
      </c>
      <c r="I298" s="13" t="n">
        <v>1</v>
      </c>
      <c r="J298" s="13" t="n">
        <v>188.49</v>
      </c>
      <c r="K298" s="13" t="n">
        <v>188.49</v>
      </c>
      <c r="L298" s="10" t="s">
        <v>1024</v>
      </c>
      <c r="M298" s="10" t="s">
        <v>1025</v>
      </c>
      <c r="N298" s="10"/>
      <c r="O298" s="10" t="s">
        <v>23</v>
      </c>
      <c r="P298" s="10" t="s">
        <v>24</v>
      </c>
    </row>
    <row r="299" customFormat="false" ht="15.75" hidden="false" customHeight="false" outlineLevel="0" collapsed="false">
      <c r="A299" s="10" t="s">
        <v>16</v>
      </c>
      <c r="B299" s="10" t="s">
        <v>389</v>
      </c>
      <c r="C299" s="10" t="s">
        <v>390</v>
      </c>
      <c r="D299" s="10" t="s">
        <v>19</v>
      </c>
      <c r="E299" s="10" t="s">
        <v>20</v>
      </c>
      <c r="F299" s="11" t="n">
        <v>45111</v>
      </c>
      <c r="G299" s="12" t="n">
        <v>0.860856261574074</v>
      </c>
      <c r="H299" s="10" t="s">
        <v>37</v>
      </c>
      <c r="I299" s="13" t="n">
        <v>11</v>
      </c>
      <c r="J299" s="13" t="n">
        <v>497</v>
      </c>
      <c r="K299" s="13" t="n">
        <v>5467</v>
      </c>
      <c r="L299" s="10" t="s">
        <v>1026</v>
      </c>
      <c r="M299" s="10" t="s">
        <v>1027</v>
      </c>
      <c r="N299" s="10"/>
      <c r="O299" s="10" t="s">
        <v>23</v>
      </c>
      <c r="P299" s="10" t="s">
        <v>24</v>
      </c>
    </row>
    <row r="300" customFormat="false" ht="15.75" hidden="false" customHeight="false" outlineLevel="0" collapsed="false">
      <c r="A300" s="10" t="s">
        <v>16</v>
      </c>
      <c r="B300" s="10" t="s">
        <v>719</v>
      </c>
      <c r="C300" s="10" t="s">
        <v>720</v>
      </c>
      <c r="D300" s="10" t="s">
        <v>19</v>
      </c>
      <c r="E300" s="10" t="s">
        <v>20</v>
      </c>
      <c r="F300" s="11" t="n">
        <v>45111</v>
      </c>
      <c r="G300" s="12" t="n">
        <v>0.360914351851852</v>
      </c>
      <c r="H300" s="10" t="s">
        <v>37</v>
      </c>
      <c r="I300" s="13" t="n">
        <v>1</v>
      </c>
      <c r="J300" s="13" t="n">
        <v>1843</v>
      </c>
      <c r="K300" s="13" t="n">
        <v>1843</v>
      </c>
      <c r="L300" s="10" t="s">
        <v>1028</v>
      </c>
      <c r="M300" s="10" t="s">
        <v>1029</v>
      </c>
      <c r="N300" s="10"/>
      <c r="O300" s="10" t="s">
        <v>61</v>
      </c>
      <c r="P300" s="10" t="s">
        <v>62</v>
      </c>
    </row>
    <row r="301" customFormat="false" ht="15.75" hidden="false" customHeight="false" outlineLevel="0" collapsed="false">
      <c r="A301" s="10" t="s">
        <v>16</v>
      </c>
      <c r="B301" s="10" t="s">
        <v>1030</v>
      </c>
      <c r="C301" s="10" t="s">
        <v>1031</v>
      </c>
      <c r="D301" s="10" t="s">
        <v>1032</v>
      </c>
      <c r="E301" s="10" t="s">
        <v>71</v>
      </c>
      <c r="F301" s="11" t="n">
        <v>45112</v>
      </c>
      <c r="G301" s="12" t="n">
        <v>0.899363113425926</v>
      </c>
      <c r="H301" s="10" t="s">
        <v>37</v>
      </c>
      <c r="I301" s="13" t="n">
        <v>1</v>
      </c>
      <c r="J301" s="13" t="n">
        <v>191.25</v>
      </c>
      <c r="K301" s="13" t="n">
        <v>191.25</v>
      </c>
      <c r="L301" s="10" t="s">
        <v>1033</v>
      </c>
      <c r="M301" s="10" t="s">
        <v>1034</v>
      </c>
      <c r="N301" s="10"/>
      <c r="O301" s="10" t="s">
        <v>23</v>
      </c>
      <c r="P301" s="10" t="s">
        <v>24</v>
      </c>
    </row>
    <row r="302" customFormat="false" ht="15.75" hidden="false" customHeight="false" outlineLevel="0" collapsed="false">
      <c r="A302" s="10" t="s">
        <v>16</v>
      </c>
      <c r="B302" s="10" t="s">
        <v>342</v>
      </c>
      <c r="C302" s="10" t="s">
        <v>343</v>
      </c>
      <c r="D302" s="10" t="s">
        <v>230</v>
      </c>
      <c r="E302" s="10" t="s">
        <v>231</v>
      </c>
      <c r="F302" s="11" t="n">
        <v>45112</v>
      </c>
      <c r="G302" s="12" t="n">
        <v>0.649570185185185</v>
      </c>
      <c r="H302" s="10" t="s">
        <v>29</v>
      </c>
      <c r="I302" s="13" t="n">
        <v>576</v>
      </c>
      <c r="J302" s="13" t="n">
        <v>188.49</v>
      </c>
      <c r="K302" s="13" t="n">
        <v>108570.24</v>
      </c>
      <c r="L302" s="10" t="s">
        <v>1035</v>
      </c>
      <c r="M302" s="10" t="s">
        <v>1036</v>
      </c>
      <c r="N302" s="10" t="s">
        <v>1037</v>
      </c>
      <c r="O302" s="10" t="s">
        <v>61</v>
      </c>
      <c r="P302" s="10" t="s">
        <v>62</v>
      </c>
    </row>
    <row r="303" customFormat="false" ht="15.75" hidden="false" customHeight="false" outlineLevel="0" collapsed="false">
      <c r="A303" s="10" t="s">
        <v>16</v>
      </c>
      <c r="B303" s="10" t="s">
        <v>1038</v>
      </c>
      <c r="C303" s="10" t="s">
        <v>1039</v>
      </c>
      <c r="D303" s="10" t="s">
        <v>106</v>
      </c>
      <c r="E303" s="10" t="s">
        <v>122</v>
      </c>
      <c r="F303" s="11" t="n">
        <v>45113</v>
      </c>
      <c r="G303" s="12" t="n">
        <v>0.655101273148148</v>
      </c>
      <c r="H303" s="10" t="s">
        <v>29</v>
      </c>
      <c r="I303" s="13" t="n">
        <v>69</v>
      </c>
      <c r="J303" s="13" t="n">
        <v>159.8</v>
      </c>
      <c r="K303" s="13" t="n">
        <v>11026.2</v>
      </c>
      <c r="L303" s="10" t="s">
        <v>1040</v>
      </c>
      <c r="M303" s="10" t="s">
        <v>1041</v>
      </c>
      <c r="N303" s="10" t="s">
        <v>1042</v>
      </c>
      <c r="O303" s="10" t="s">
        <v>61</v>
      </c>
      <c r="P303" s="10" t="s">
        <v>62</v>
      </c>
    </row>
    <row r="304" customFormat="false" ht="15.75" hidden="false" customHeight="false" outlineLevel="0" collapsed="false">
      <c r="A304" s="10" t="s">
        <v>16</v>
      </c>
      <c r="B304" s="10" t="s">
        <v>1043</v>
      </c>
      <c r="C304" s="10" t="s">
        <v>1044</v>
      </c>
      <c r="D304" s="10" t="s">
        <v>854</v>
      </c>
      <c r="E304" s="10" t="s">
        <v>107</v>
      </c>
      <c r="F304" s="11" t="n">
        <v>45114</v>
      </c>
      <c r="G304" s="12" t="n">
        <v>0.75510068287037</v>
      </c>
      <c r="H304" s="10" t="s">
        <v>37</v>
      </c>
      <c r="I304" s="13" t="n">
        <v>1</v>
      </c>
      <c r="J304" s="13" t="n">
        <v>242.5</v>
      </c>
      <c r="K304" s="13" t="n">
        <v>242.5</v>
      </c>
      <c r="L304" s="10" t="s">
        <v>1045</v>
      </c>
      <c r="M304" s="10" t="s">
        <v>1046</v>
      </c>
      <c r="N304" s="10"/>
      <c r="O304" s="10" t="s">
        <v>23</v>
      </c>
      <c r="P304" s="10" t="s">
        <v>24</v>
      </c>
    </row>
    <row r="305" customFormat="false" ht="15.75" hidden="false" customHeight="false" outlineLevel="0" collapsed="false">
      <c r="A305" s="10" t="s">
        <v>16</v>
      </c>
      <c r="B305" s="10" t="s">
        <v>1047</v>
      </c>
      <c r="C305" s="10" t="s">
        <v>1048</v>
      </c>
      <c r="D305" s="10" t="s">
        <v>659</v>
      </c>
      <c r="E305" s="10" t="s">
        <v>28</v>
      </c>
      <c r="F305" s="11" t="n">
        <v>45114</v>
      </c>
      <c r="G305" s="12" t="n">
        <v>0.673474849537037</v>
      </c>
      <c r="H305" s="10" t="s">
        <v>37</v>
      </c>
      <c r="I305" s="13" t="n">
        <v>1</v>
      </c>
      <c r="J305" s="13" t="n">
        <v>576</v>
      </c>
      <c r="K305" s="13" t="n">
        <v>576</v>
      </c>
      <c r="L305" s="10" t="s">
        <v>1049</v>
      </c>
      <c r="M305" s="10" t="s">
        <v>1050</v>
      </c>
      <c r="N305" s="10"/>
      <c r="O305" s="10" t="s">
        <v>23</v>
      </c>
      <c r="P305" s="10" t="s">
        <v>24</v>
      </c>
    </row>
    <row r="306" customFormat="false" ht="15.75" hidden="false" customHeight="false" outlineLevel="0" collapsed="false">
      <c r="A306" s="10" t="s">
        <v>16</v>
      </c>
      <c r="B306" s="10" t="s">
        <v>650</v>
      </c>
      <c r="C306" s="10" t="s">
        <v>651</v>
      </c>
      <c r="D306" s="10" t="s">
        <v>652</v>
      </c>
      <c r="E306" s="10" t="s">
        <v>28</v>
      </c>
      <c r="F306" s="11" t="n">
        <v>45115</v>
      </c>
      <c r="G306" s="12" t="n">
        <v>0.887904953703704</v>
      </c>
      <c r="H306" s="10" t="s">
        <v>37</v>
      </c>
      <c r="I306" s="13" t="n">
        <v>1</v>
      </c>
      <c r="J306" s="13" t="n">
        <v>677.4</v>
      </c>
      <c r="K306" s="13" t="n">
        <v>677.4</v>
      </c>
      <c r="L306" s="10" t="s">
        <v>1051</v>
      </c>
      <c r="M306" s="10" t="s">
        <v>1052</v>
      </c>
      <c r="N306" s="10"/>
      <c r="O306" s="10" t="s">
        <v>23</v>
      </c>
      <c r="P306" s="10" t="s">
        <v>24</v>
      </c>
    </row>
    <row r="307" customFormat="false" ht="15.75" hidden="false" customHeight="false" outlineLevel="0" collapsed="false">
      <c r="A307" s="10" t="s">
        <v>16</v>
      </c>
      <c r="B307" s="10" t="s">
        <v>140</v>
      </c>
      <c r="C307" s="10" t="s">
        <v>141</v>
      </c>
      <c r="D307" s="10" t="s">
        <v>142</v>
      </c>
      <c r="E307" s="10" t="s">
        <v>28</v>
      </c>
      <c r="F307" s="11" t="n">
        <v>45115</v>
      </c>
      <c r="G307" s="12" t="n">
        <v>0.887265925925926</v>
      </c>
      <c r="H307" s="10" t="s">
        <v>37</v>
      </c>
      <c r="I307" s="13" t="n">
        <v>1</v>
      </c>
      <c r="J307" s="13" t="n">
        <v>872</v>
      </c>
      <c r="K307" s="13" t="n">
        <v>872</v>
      </c>
      <c r="L307" s="10" t="s">
        <v>1053</v>
      </c>
      <c r="M307" s="10" t="s">
        <v>1054</v>
      </c>
      <c r="N307" s="10"/>
      <c r="O307" s="10" t="s">
        <v>23</v>
      </c>
      <c r="P307" s="10" t="s">
        <v>24</v>
      </c>
    </row>
    <row r="308" customFormat="false" ht="15.75" hidden="false" customHeight="false" outlineLevel="0" collapsed="false">
      <c r="A308" s="10" t="s">
        <v>16</v>
      </c>
      <c r="B308" s="10" t="s">
        <v>1047</v>
      </c>
      <c r="C308" s="10" t="s">
        <v>1048</v>
      </c>
      <c r="D308" s="10" t="s">
        <v>659</v>
      </c>
      <c r="E308" s="10" t="s">
        <v>28</v>
      </c>
      <c r="F308" s="11" t="n">
        <v>45115</v>
      </c>
      <c r="G308" s="12" t="n">
        <v>0.886173298611111</v>
      </c>
      <c r="H308" s="10" t="s">
        <v>37</v>
      </c>
      <c r="I308" s="13" t="n">
        <v>1</v>
      </c>
      <c r="J308" s="13" t="n">
        <v>576</v>
      </c>
      <c r="K308" s="13" t="n">
        <v>576</v>
      </c>
      <c r="L308" s="10" t="s">
        <v>1055</v>
      </c>
      <c r="M308" s="10" t="s">
        <v>1056</v>
      </c>
      <c r="N308" s="10"/>
      <c r="O308" s="10" t="s">
        <v>23</v>
      </c>
      <c r="P308" s="10" t="s">
        <v>24</v>
      </c>
    </row>
    <row r="309" customFormat="false" ht="15.75" hidden="false" customHeight="false" outlineLevel="0" collapsed="false">
      <c r="A309" s="10" t="s">
        <v>16</v>
      </c>
      <c r="B309" s="10" t="s">
        <v>1057</v>
      </c>
      <c r="C309" s="10" t="s">
        <v>1058</v>
      </c>
      <c r="D309" s="10" t="s">
        <v>89</v>
      </c>
      <c r="E309" s="10" t="s">
        <v>431</v>
      </c>
      <c r="F309" s="11" t="n">
        <v>45116</v>
      </c>
      <c r="G309" s="12" t="n">
        <v>0.942694155092593</v>
      </c>
      <c r="H309" s="10" t="s">
        <v>21</v>
      </c>
      <c r="I309" s="13" t="n">
        <v>2</v>
      </c>
      <c r="J309" s="13" t="n">
        <v>300</v>
      </c>
      <c r="K309" s="13" t="n">
        <v>600</v>
      </c>
      <c r="L309" s="10" t="s">
        <v>1059</v>
      </c>
      <c r="M309" s="10"/>
      <c r="N309" s="10"/>
      <c r="O309" s="10" t="s">
        <v>23</v>
      </c>
      <c r="P309" s="10" t="s">
        <v>24</v>
      </c>
    </row>
    <row r="310" customFormat="false" ht="15.75" hidden="false" customHeight="false" outlineLevel="0" collapsed="false">
      <c r="A310" s="10" t="s">
        <v>16</v>
      </c>
      <c r="B310" s="10" t="s">
        <v>1060</v>
      </c>
      <c r="C310" s="10" t="s">
        <v>1061</v>
      </c>
      <c r="D310" s="10" t="s">
        <v>1062</v>
      </c>
      <c r="E310" s="10" t="s">
        <v>28</v>
      </c>
      <c r="F310" s="11" t="n">
        <v>45116</v>
      </c>
      <c r="G310" s="12" t="n">
        <v>0.848528587962963</v>
      </c>
      <c r="H310" s="10" t="s">
        <v>37</v>
      </c>
      <c r="I310" s="13" t="n">
        <v>1</v>
      </c>
      <c r="J310" s="13" t="n">
        <v>994.35</v>
      </c>
      <c r="K310" s="13" t="n">
        <v>994.35</v>
      </c>
      <c r="L310" s="10" t="s">
        <v>1063</v>
      </c>
      <c r="M310" s="10" t="s">
        <v>1064</v>
      </c>
      <c r="N310" s="10"/>
      <c r="O310" s="10" t="s">
        <v>23</v>
      </c>
      <c r="P310" s="10" t="s">
        <v>24</v>
      </c>
    </row>
    <row r="311" customFormat="false" ht="15.75" hidden="false" customHeight="false" outlineLevel="0" collapsed="false">
      <c r="A311" s="10" t="s">
        <v>16</v>
      </c>
      <c r="B311" s="10" t="s">
        <v>1065</v>
      </c>
      <c r="C311" s="10" t="s">
        <v>1066</v>
      </c>
      <c r="D311" s="10" t="s">
        <v>106</v>
      </c>
      <c r="E311" s="10" t="s">
        <v>122</v>
      </c>
      <c r="F311" s="11" t="n">
        <v>45116</v>
      </c>
      <c r="G311" s="12" t="n">
        <v>0.742285497685185</v>
      </c>
      <c r="H311" s="10" t="s">
        <v>29</v>
      </c>
      <c r="I311" s="13" t="n">
        <v>203</v>
      </c>
      <c r="J311" s="13" t="n">
        <v>159.81</v>
      </c>
      <c r="K311" s="13" t="n">
        <v>32441.43</v>
      </c>
      <c r="L311" s="10" t="s">
        <v>1067</v>
      </c>
      <c r="M311" s="10" t="s">
        <v>1068</v>
      </c>
      <c r="N311" s="10" t="s">
        <v>1069</v>
      </c>
      <c r="O311" s="10" t="s">
        <v>61</v>
      </c>
      <c r="P311" s="10" t="s">
        <v>62</v>
      </c>
    </row>
    <row r="312" customFormat="false" ht="15.75" hidden="false" customHeight="false" outlineLevel="0" collapsed="false">
      <c r="A312" s="10" t="s">
        <v>16</v>
      </c>
      <c r="B312" s="10" t="s">
        <v>210</v>
      </c>
      <c r="C312" s="10" t="s">
        <v>211</v>
      </c>
      <c r="D312" s="10" t="s">
        <v>212</v>
      </c>
      <c r="E312" s="10" t="s">
        <v>96</v>
      </c>
      <c r="F312" s="11" t="n">
        <v>45116</v>
      </c>
      <c r="G312" s="12" t="n">
        <v>0.00119193287037037</v>
      </c>
      <c r="H312" s="10" t="s">
        <v>37</v>
      </c>
      <c r="I312" s="13" t="n">
        <v>1</v>
      </c>
      <c r="J312" s="13" t="n">
        <v>107.91</v>
      </c>
      <c r="K312" s="13" t="n">
        <v>107.91</v>
      </c>
      <c r="L312" s="10" t="s">
        <v>1070</v>
      </c>
      <c r="M312" s="10" t="s">
        <v>1071</v>
      </c>
      <c r="N312" s="10"/>
      <c r="O312" s="10" t="s">
        <v>23</v>
      </c>
      <c r="P312" s="10" t="s">
        <v>24</v>
      </c>
    </row>
    <row r="313" customFormat="false" ht="15.75" hidden="false" customHeight="false" outlineLevel="0" collapsed="false">
      <c r="A313" s="10" t="s">
        <v>16</v>
      </c>
      <c r="B313" s="10" t="s">
        <v>908</v>
      </c>
      <c r="C313" s="10" t="s">
        <v>909</v>
      </c>
      <c r="D313" s="10" t="s">
        <v>95</v>
      </c>
      <c r="E313" s="10" t="s">
        <v>96</v>
      </c>
      <c r="F313" s="11" t="n">
        <v>45116</v>
      </c>
      <c r="G313" s="12" t="n">
        <v>0.000227314814814815</v>
      </c>
      <c r="H313" s="10" t="s">
        <v>37</v>
      </c>
      <c r="I313" s="13" t="n">
        <v>2</v>
      </c>
      <c r="J313" s="13" t="n">
        <v>45.59</v>
      </c>
      <c r="K313" s="13" t="n">
        <v>91.18</v>
      </c>
      <c r="L313" s="10" t="s">
        <v>1072</v>
      </c>
      <c r="M313" s="10" t="s">
        <v>1073</v>
      </c>
      <c r="N313" s="10"/>
      <c r="O313" s="10" t="s">
        <v>23</v>
      </c>
      <c r="P313" s="10" t="s">
        <v>24</v>
      </c>
    </row>
    <row r="314" customFormat="false" ht="15.75" hidden="false" customHeight="false" outlineLevel="0" collapsed="false">
      <c r="A314" s="10" t="s">
        <v>16</v>
      </c>
      <c r="B314" s="10" t="s">
        <v>1074</v>
      </c>
      <c r="C314" s="10" t="s">
        <v>1075</v>
      </c>
      <c r="D314" s="10" t="s">
        <v>895</v>
      </c>
      <c r="E314" s="10" t="s">
        <v>66</v>
      </c>
      <c r="F314" s="11" t="n">
        <v>45117</v>
      </c>
      <c r="G314" s="12" t="n">
        <v>0.980320115740741</v>
      </c>
      <c r="H314" s="10" t="s">
        <v>21</v>
      </c>
      <c r="I314" s="13" t="n">
        <v>1</v>
      </c>
      <c r="J314" s="13" t="n">
        <v>148.55</v>
      </c>
      <c r="K314" s="13" t="n">
        <v>148.55</v>
      </c>
      <c r="L314" s="10" t="s">
        <v>1076</v>
      </c>
      <c r="M314" s="10"/>
      <c r="N314" s="10"/>
      <c r="O314" s="10" t="s">
        <v>23</v>
      </c>
      <c r="P314" s="10" t="s">
        <v>24</v>
      </c>
    </row>
    <row r="315" customFormat="false" ht="15.75" hidden="false" customHeight="false" outlineLevel="0" collapsed="false">
      <c r="A315" s="10" t="s">
        <v>16</v>
      </c>
      <c r="B315" s="10" t="s">
        <v>620</v>
      </c>
      <c r="C315" s="10" t="s">
        <v>621</v>
      </c>
      <c r="D315" s="10" t="s">
        <v>622</v>
      </c>
      <c r="E315" s="10" t="s">
        <v>20</v>
      </c>
      <c r="F315" s="11" t="n">
        <v>45117</v>
      </c>
      <c r="G315" s="12" t="n">
        <v>0.976897743055556</v>
      </c>
      <c r="H315" s="10" t="s">
        <v>37</v>
      </c>
      <c r="I315" s="13" t="n">
        <v>6</v>
      </c>
      <c r="J315" s="13" t="n">
        <v>246</v>
      </c>
      <c r="K315" s="13" t="n">
        <v>1476</v>
      </c>
      <c r="L315" s="10" t="s">
        <v>1077</v>
      </c>
      <c r="M315" s="10" t="s">
        <v>1078</v>
      </c>
      <c r="N315" s="10"/>
      <c r="O315" s="10" t="s">
        <v>23</v>
      </c>
      <c r="P315" s="10" t="s">
        <v>24</v>
      </c>
    </row>
    <row r="316" customFormat="false" ht="15.75" hidden="false" customHeight="false" outlineLevel="0" collapsed="false">
      <c r="A316" s="10" t="s">
        <v>16</v>
      </c>
      <c r="B316" s="10" t="s">
        <v>1079</v>
      </c>
      <c r="C316" s="10" t="s">
        <v>1080</v>
      </c>
      <c r="D316" s="10" t="s">
        <v>622</v>
      </c>
      <c r="E316" s="10" t="s">
        <v>20</v>
      </c>
      <c r="F316" s="11" t="n">
        <v>45117</v>
      </c>
      <c r="G316" s="12" t="n">
        <v>0.97179162037037</v>
      </c>
      <c r="H316" s="10" t="s">
        <v>37</v>
      </c>
      <c r="I316" s="13" t="n">
        <v>6</v>
      </c>
      <c r="J316" s="13" t="n">
        <v>500</v>
      </c>
      <c r="K316" s="13" t="n">
        <v>3000</v>
      </c>
      <c r="L316" s="10" t="s">
        <v>1081</v>
      </c>
      <c r="M316" s="10" t="s">
        <v>1082</v>
      </c>
      <c r="N316" s="10"/>
      <c r="O316" s="10" t="s">
        <v>23</v>
      </c>
      <c r="P316" s="10" t="s">
        <v>24</v>
      </c>
    </row>
    <row r="317" customFormat="false" ht="15.75" hidden="false" customHeight="false" outlineLevel="0" collapsed="false">
      <c r="A317" s="10" t="s">
        <v>16</v>
      </c>
      <c r="B317" s="10" t="s">
        <v>140</v>
      </c>
      <c r="C317" s="10" t="s">
        <v>141</v>
      </c>
      <c r="D317" s="10" t="s">
        <v>142</v>
      </c>
      <c r="E317" s="10" t="s">
        <v>28</v>
      </c>
      <c r="F317" s="11" t="n">
        <v>45117</v>
      </c>
      <c r="G317" s="12" t="n">
        <v>0.906717604166667</v>
      </c>
      <c r="H317" s="10" t="s">
        <v>37</v>
      </c>
      <c r="I317" s="13" t="n">
        <v>1</v>
      </c>
      <c r="J317" s="13" t="n">
        <v>856</v>
      </c>
      <c r="K317" s="13" t="n">
        <v>856</v>
      </c>
      <c r="L317" s="10" t="s">
        <v>1083</v>
      </c>
      <c r="M317" s="10" t="s">
        <v>1084</v>
      </c>
      <c r="N317" s="10"/>
      <c r="O317" s="10" t="s">
        <v>23</v>
      </c>
      <c r="P317" s="10" t="s">
        <v>24</v>
      </c>
    </row>
    <row r="318" customFormat="false" ht="15.75" hidden="false" customHeight="false" outlineLevel="0" collapsed="false">
      <c r="A318" s="10" t="s">
        <v>16</v>
      </c>
      <c r="B318" s="10" t="s">
        <v>1085</v>
      </c>
      <c r="C318" s="10" t="s">
        <v>1086</v>
      </c>
      <c r="D318" s="10" t="s">
        <v>19</v>
      </c>
      <c r="E318" s="10" t="s">
        <v>20</v>
      </c>
      <c r="F318" s="11" t="n">
        <v>45117</v>
      </c>
      <c r="G318" s="12" t="n">
        <v>0.781304421296296</v>
      </c>
      <c r="H318" s="10" t="s">
        <v>37</v>
      </c>
      <c r="I318" s="13" t="n">
        <v>14</v>
      </c>
      <c r="J318" s="13" t="n">
        <v>225</v>
      </c>
      <c r="K318" s="13" t="n">
        <v>3150</v>
      </c>
      <c r="L318" s="10" t="s">
        <v>1087</v>
      </c>
      <c r="M318" s="10" t="s">
        <v>1088</v>
      </c>
      <c r="N318" s="10"/>
      <c r="O318" s="10" t="s">
        <v>23</v>
      </c>
      <c r="P318" s="10" t="s">
        <v>24</v>
      </c>
    </row>
    <row r="319" customFormat="false" ht="15.75" hidden="false" customHeight="false" outlineLevel="0" collapsed="false">
      <c r="A319" s="10" t="s">
        <v>16</v>
      </c>
      <c r="B319" s="10" t="s">
        <v>1089</v>
      </c>
      <c r="C319" s="10" t="s">
        <v>1090</v>
      </c>
      <c r="D319" s="10" t="s">
        <v>85</v>
      </c>
      <c r="E319" s="10" t="s">
        <v>28</v>
      </c>
      <c r="F319" s="11" t="n">
        <v>45117</v>
      </c>
      <c r="G319" s="12" t="n">
        <v>0.48799443287037</v>
      </c>
      <c r="H319" s="10" t="s">
        <v>29</v>
      </c>
      <c r="I319" s="13" t="n">
        <v>264</v>
      </c>
      <c r="J319" s="13" t="n">
        <v>520</v>
      </c>
      <c r="K319" s="13" t="n">
        <v>137280</v>
      </c>
      <c r="L319" s="10" t="s">
        <v>1091</v>
      </c>
      <c r="M319" s="10" t="s">
        <v>1092</v>
      </c>
      <c r="N319" s="10" t="s">
        <v>1093</v>
      </c>
      <c r="O319" s="10" t="s">
        <v>61</v>
      </c>
      <c r="P319" s="10" t="s">
        <v>62</v>
      </c>
    </row>
    <row r="320" customFormat="false" ht="15.75" hidden="false" customHeight="false" outlineLevel="0" collapsed="false">
      <c r="A320" s="10" t="s">
        <v>16</v>
      </c>
      <c r="B320" s="10" t="s">
        <v>1094</v>
      </c>
      <c r="C320" s="10" t="s">
        <v>1095</v>
      </c>
      <c r="D320" s="10" t="s">
        <v>758</v>
      </c>
      <c r="E320" s="10" t="s">
        <v>122</v>
      </c>
      <c r="F320" s="11" t="n">
        <v>45117</v>
      </c>
      <c r="G320" s="12" t="n">
        <v>0.402296851851852</v>
      </c>
      <c r="H320" s="10" t="s">
        <v>29</v>
      </c>
      <c r="I320" s="13" t="n">
        <v>39</v>
      </c>
      <c r="J320" s="13" t="n">
        <v>216</v>
      </c>
      <c r="K320" s="13" t="n">
        <v>8424</v>
      </c>
      <c r="L320" s="10" t="s">
        <v>1096</v>
      </c>
      <c r="M320" s="10" t="s">
        <v>1097</v>
      </c>
      <c r="N320" s="10" t="s">
        <v>1093</v>
      </c>
      <c r="O320" s="10" t="s">
        <v>61</v>
      </c>
      <c r="P320" s="10" t="s">
        <v>62</v>
      </c>
    </row>
    <row r="321" customFormat="false" ht="15.75" hidden="false" customHeight="false" outlineLevel="0" collapsed="false">
      <c r="A321" s="10" t="s">
        <v>16</v>
      </c>
      <c r="B321" s="10" t="s">
        <v>941</v>
      </c>
      <c r="C321" s="10" t="s">
        <v>942</v>
      </c>
      <c r="D321" s="10" t="s">
        <v>652</v>
      </c>
      <c r="E321" s="10" t="s">
        <v>28</v>
      </c>
      <c r="F321" s="11" t="n">
        <v>45118</v>
      </c>
      <c r="G321" s="12" t="n">
        <v>0.979033032407407</v>
      </c>
      <c r="H321" s="10" t="s">
        <v>37</v>
      </c>
      <c r="I321" s="13" t="n">
        <v>1</v>
      </c>
      <c r="J321" s="13" t="n">
        <v>856</v>
      </c>
      <c r="K321" s="13" t="n">
        <v>856</v>
      </c>
      <c r="L321" s="10" t="s">
        <v>1098</v>
      </c>
      <c r="M321" s="10" t="s">
        <v>1099</v>
      </c>
      <c r="N321" s="10"/>
      <c r="O321" s="10" t="s">
        <v>23</v>
      </c>
      <c r="P321" s="10" t="s">
        <v>24</v>
      </c>
    </row>
    <row r="322" customFormat="false" ht="15.75" hidden="false" customHeight="false" outlineLevel="0" collapsed="false">
      <c r="A322" s="10" t="s">
        <v>16</v>
      </c>
      <c r="B322" s="10" t="s">
        <v>1100</v>
      </c>
      <c r="C322" s="10" t="s">
        <v>1101</v>
      </c>
      <c r="D322" s="10" t="s">
        <v>19</v>
      </c>
      <c r="E322" s="10" t="s">
        <v>20</v>
      </c>
      <c r="F322" s="11" t="n">
        <v>45118</v>
      </c>
      <c r="G322" s="12" t="n">
        <v>0.529663888888889</v>
      </c>
      <c r="H322" s="10" t="s">
        <v>37</v>
      </c>
      <c r="I322" s="13" t="n">
        <v>1</v>
      </c>
      <c r="J322" s="13" t="n">
        <v>1357</v>
      </c>
      <c r="K322" s="13" t="n">
        <v>1357</v>
      </c>
      <c r="L322" s="10" t="s">
        <v>1102</v>
      </c>
      <c r="M322" s="10" t="s">
        <v>1103</v>
      </c>
      <c r="N322" s="10"/>
      <c r="O322" s="10" t="s">
        <v>61</v>
      </c>
      <c r="P322" s="10" t="s">
        <v>62</v>
      </c>
    </row>
    <row r="323" customFormat="false" ht="15.75" hidden="false" customHeight="false" outlineLevel="0" collapsed="false">
      <c r="A323" s="10" t="s">
        <v>16</v>
      </c>
      <c r="B323" s="10" t="s">
        <v>286</v>
      </c>
      <c r="C323" s="10" t="s">
        <v>287</v>
      </c>
      <c r="D323" s="10" t="s">
        <v>19</v>
      </c>
      <c r="E323" s="10" t="s">
        <v>20</v>
      </c>
      <c r="F323" s="11" t="n">
        <v>45118</v>
      </c>
      <c r="G323" s="12" t="n">
        <v>0.529286712962963</v>
      </c>
      <c r="H323" s="10" t="s">
        <v>37</v>
      </c>
      <c r="I323" s="13" t="n">
        <v>4</v>
      </c>
      <c r="J323" s="13" t="n">
        <v>2432</v>
      </c>
      <c r="K323" s="13" t="n">
        <v>9728</v>
      </c>
      <c r="L323" s="10" t="s">
        <v>1104</v>
      </c>
      <c r="M323" s="10" t="s">
        <v>1105</v>
      </c>
      <c r="N323" s="10"/>
      <c r="O323" s="10" t="s">
        <v>61</v>
      </c>
      <c r="P323" s="10" t="s">
        <v>62</v>
      </c>
    </row>
    <row r="324" customFormat="false" ht="15.75" hidden="false" customHeight="false" outlineLevel="0" collapsed="false">
      <c r="A324" s="10" t="s">
        <v>16</v>
      </c>
      <c r="B324" s="10" t="s">
        <v>723</v>
      </c>
      <c r="C324" s="10" t="s">
        <v>724</v>
      </c>
      <c r="D324" s="10" t="s">
        <v>19</v>
      </c>
      <c r="E324" s="10" t="s">
        <v>20</v>
      </c>
      <c r="F324" s="11" t="n">
        <v>45118</v>
      </c>
      <c r="G324" s="12" t="n">
        <v>0.528183564814815</v>
      </c>
      <c r="H324" s="10" t="s">
        <v>37</v>
      </c>
      <c r="I324" s="13" t="n">
        <v>1</v>
      </c>
      <c r="J324" s="13" t="n">
        <v>190</v>
      </c>
      <c r="K324" s="13" t="n">
        <v>190</v>
      </c>
      <c r="L324" s="10" t="s">
        <v>1106</v>
      </c>
      <c r="M324" s="10" t="s">
        <v>1107</v>
      </c>
      <c r="N324" s="10"/>
      <c r="O324" s="10" t="s">
        <v>61</v>
      </c>
      <c r="P324" s="10" t="s">
        <v>62</v>
      </c>
    </row>
    <row r="325" customFormat="false" ht="15.75" hidden="false" customHeight="false" outlineLevel="0" collapsed="false">
      <c r="A325" s="10" t="s">
        <v>16</v>
      </c>
      <c r="B325" s="10" t="s">
        <v>514</v>
      </c>
      <c r="C325" s="10" t="s">
        <v>515</v>
      </c>
      <c r="D325" s="10" t="s">
        <v>19</v>
      </c>
      <c r="E325" s="10" t="s">
        <v>20</v>
      </c>
      <c r="F325" s="11" t="n">
        <v>45118</v>
      </c>
      <c r="G325" s="12" t="n">
        <v>0.52750662037037</v>
      </c>
      <c r="H325" s="10" t="s">
        <v>37</v>
      </c>
      <c r="I325" s="13" t="n">
        <v>2</v>
      </c>
      <c r="J325" s="13" t="n">
        <v>2180</v>
      </c>
      <c r="K325" s="13" t="n">
        <v>4360</v>
      </c>
      <c r="L325" s="10" t="s">
        <v>1108</v>
      </c>
      <c r="M325" s="10" t="s">
        <v>1109</v>
      </c>
      <c r="N325" s="10"/>
      <c r="O325" s="10" t="s">
        <v>61</v>
      </c>
      <c r="P325" s="10" t="s">
        <v>62</v>
      </c>
    </row>
    <row r="326" customFormat="false" ht="15.75" hidden="false" customHeight="false" outlineLevel="0" collapsed="false">
      <c r="A326" s="10" t="s">
        <v>16</v>
      </c>
      <c r="B326" s="10" t="s">
        <v>822</v>
      </c>
      <c r="C326" s="10" t="s">
        <v>823</v>
      </c>
      <c r="D326" s="10" t="s">
        <v>622</v>
      </c>
      <c r="E326" s="10" t="s">
        <v>20</v>
      </c>
      <c r="F326" s="11" t="n">
        <v>45118</v>
      </c>
      <c r="G326" s="12" t="n">
        <v>0.526723229166667</v>
      </c>
      <c r="H326" s="10" t="s">
        <v>37</v>
      </c>
      <c r="I326" s="13" t="n">
        <v>181</v>
      </c>
      <c r="J326" s="13" t="n">
        <v>234</v>
      </c>
      <c r="K326" s="13" t="n">
        <v>42354</v>
      </c>
      <c r="L326" s="10" t="s">
        <v>1110</v>
      </c>
      <c r="M326" s="10" t="s">
        <v>1111</v>
      </c>
      <c r="N326" s="10"/>
      <c r="O326" s="10" t="s">
        <v>61</v>
      </c>
      <c r="P326" s="10" t="s">
        <v>62</v>
      </c>
    </row>
    <row r="327" customFormat="false" ht="15.75" hidden="false" customHeight="false" outlineLevel="0" collapsed="false">
      <c r="A327" s="10" t="s">
        <v>16</v>
      </c>
      <c r="B327" s="10" t="s">
        <v>210</v>
      </c>
      <c r="C327" s="10" t="s">
        <v>211</v>
      </c>
      <c r="D327" s="10" t="s">
        <v>212</v>
      </c>
      <c r="E327" s="10" t="s">
        <v>96</v>
      </c>
      <c r="F327" s="11" t="n">
        <v>45119</v>
      </c>
      <c r="G327" s="12" t="n">
        <v>0.946235335648148</v>
      </c>
      <c r="H327" s="10" t="s">
        <v>37</v>
      </c>
      <c r="I327" s="13" t="n">
        <v>2</v>
      </c>
      <c r="J327" s="13" t="n">
        <v>107.91</v>
      </c>
      <c r="K327" s="13" t="n">
        <v>215.82</v>
      </c>
      <c r="L327" s="10" t="s">
        <v>1112</v>
      </c>
      <c r="M327" s="10" t="s">
        <v>1113</v>
      </c>
      <c r="N327" s="10"/>
      <c r="O327" s="10" t="s">
        <v>23</v>
      </c>
      <c r="P327" s="10" t="s">
        <v>24</v>
      </c>
    </row>
    <row r="328" customFormat="false" ht="15.75" hidden="false" customHeight="false" outlineLevel="0" collapsed="false">
      <c r="A328" s="10" t="s">
        <v>16</v>
      </c>
      <c r="B328" s="10" t="s">
        <v>1114</v>
      </c>
      <c r="C328" s="10" t="s">
        <v>1115</v>
      </c>
      <c r="D328" s="10" t="s">
        <v>101</v>
      </c>
      <c r="E328" s="10" t="s">
        <v>96</v>
      </c>
      <c r="F328" s="11" t="n">
        <v>45119</v>
      </c>
      <c r="G328" s="12" t="n">
        <v>0.9453096875</v>
      </c>
      <c r="H328" s="10" t="s">
        <v>37</v>
      </c>
      <c r="I328" s="13" t="n">
        <v>1</v>
      </c>
      <c r="J328" s="13" t="n">
        <v>274.5</v>
      </c>
      <c r="K328" s="13" t="n">
        <v>274.5</v>
      </c>
      <c r="L328" s="10" t="s">
        <v>1116</v>
      </c>
      <c r="M328" s="10" t="s">
        <v>1117</v>
      </c>
      <c r="N328" s="10"/>
      <c r="O328" s="10" t="s">
        <v>23</v>
      </c>
      <c r="P328" s="10" t="s">
        <v>24</v>
      </c>
    </row>
    <row r="329" customFormat="false" ht="15.75" hidden="false" customHeight="false" outlineLevel="0" collapsed="false">
      <c r="A329" s="10" t="s">
        <v>16</v>
      </c>
      <c r="B329" s="10" t="s">
        <v>1118</v>
      </c>
      <c r="C329" s="10" t="s">
        <v>1119</v>
      </c>
      <c r="D329" s="10" t="s">
        <v>101</v>
      </c>
      <c r="E329" s="10" t="s">
        <v>96</v>
      </c>
      <c r="F329" s="11" t="n">
        <v>45119</v>
      </c>
      <c r="G329" s="12" t="n">
        <v>0.941715844907407</v>
      </c>
      <c r="H329" s="10" t="s">
        <v>37</v>
      </c>
      <c r="I329" s="13" t="n">
        <v>8</v>
      </c>
      <c r="J329" s="13" t="n">
        <v>111</v>
      </c>
      <c r="K329" s="13" t="n">
        <v>888</v>
      </c>
      <c r="L329" s="10" t="s">
        <v>1120</v>
      </c>
      <c r="M329" s="10" t="s">
        <v>1121</v>
      </c>
      <c r="N329" s="10"/>
      <c r="O329" s="10" t="s">
        <v>23</v>
      </c>
      <c r="P329" s="10" t="s">
        <v>24</v>
      </c>
    </row>
    <row r="330" customFormat="false" ht="15.75" hidden="false" customHeight="false" outlineLevel="0" collapsed="false">
      <c r="A330" s="10" t="s">
        <v>16</v>
      </c>
      <c r="B330" s="10" t="s">
        <v>657</v>
      </c>
      <c r="C330" s="10" t="s">
        <v>658</v>
      </c>
      <c r="D330" s="10" t="s">
        <v>659</v>
      </c>
      <c r="E330" s="10" t="s">
        <v>28</v>
      </c>
      <c r="F330" s="11" t="n">
        <v>45119</v>
      </c>
      <c r="G330" s="12" t="n">
        <v>0.920185173611111</v>
      </c>
      <c r="H330" s="10" t="s">
        <v>37</v>
      </c>
      <c r="I330" s="13" t="n">
        <v>1</v>
      </c>
      <c r="J330" s="13" t="n">
        <v>576</v>
      </c>
      <c r="K330" s="13" t="n">
        <v>576</v>
      </c>
      <c r="L330" s="10" t="s">
        <v>1122</v>
      </c>
      <c r="M330" s="10" t="s">
        <v>1123</v>
      </c>
      <c r="N330" s="10"/>
      <c r="O330" s="10" t="s">
        <v>23</v>
      </c>
      <c r="P330" s="10" t="s">
        <v>24</v>
      </c>
    </row>
    <row r="331" customFormat="false" ht="15.75" hidden="false" customHeight="false" outlineLevel="0" collapsed="false">
      <c r="A331" s="10" t="s">
        <v>16</v>
      </c>
      <c r="B331" s="10" t="s">
        <v>650</v>
      </c>
      <c r="C331" s="10" t="s">
        <v>651</v>
      </c>
      <c r="D331" s="10" t="s">
        <v>652</v>
      </c>
      <c r="E331" s="10" t="s">
        <v>28</v>
      </c>
      <c r="F331" s="11" t="n">
        <v>45122</v>
      </c>
      <c r="G331" s="12" t="n">
        <v>0.968928009259259</v>
      </c>
      <c r="H331" s="10" t="s">
        <v>37</v>
      </c>
      <c r="I331" s="13" t="n">
        <v>1</v>
      </c>
      <c r="J331" s="13" t="n">
        <v>670</v>
      </c>
      <c r="K331" s="13" t="n">
        <v>670</v>
      </c>
      <c r="L331" s="10" t="s">
        <v>1124</v>
      </c>
      <c r="M331" s="10" t="s">
        <v>1125</v>
      </c>
      <c r="N331" s="10"/>
      <c r="O331" s="10" t="s">
        <v>23</v>
      </c>
      <c r="P331" s="10" t="s">
        <v>24</v>
      </c>
    </row>
    <row r="332" customFormat="false" ht="15.75" hidden="false" customHeight="false" outlineLevel="0" collapsed="false">
      <c r="A332" s="10" t="s">
        <v>16</v>
      </c>
      <c r="B332" s="10" t="s">
        <v>650</v>
      </c>
      <c r="C332" s="10" t="s">
        <v>651</v>
      </c>
      <c r="D332" s="10" t="s">
        <v>652</v>
      </c>
      <c r="E332" s="10" t="s">
        <v>28</v>
      </c>
      <c r="F332" s="11" t="n">
        <v>45122</v>
      </c>
      <c r="G332" s="12" t="n">
        <v>0.968925393518518</v>
      </c>
      <c r="H332" s="10" t="s">
        <v>37</v>
      </c>
      <c r="I332" s="13" t="n">
        <v>1</v>
      </c>
      <c r="J332" s="13" t="n">
        <v>670</v>
      </c>
      <c r="K332" s="13" t="n">
        <v>670</v>
      </c>
      <c r="L332" s="10" t="s">
        <v>1124</v>
      </c>
      <c r="M332" s="10" t="s">
        <v>1125</v>
      </c>
      <c r="N332" s="10"/>
      <c r="O332" s="10" t="s">
        <v>23</v>
      </c>
      <c r="P332" s="10" t="s">
        <v>24</v>
      </c>
    </row>
    <row r="333" customFormat="false" ht="15.75" hidden="false" customHeight="false" outlineLevel="0" collapsed="false">
      <c r="A333" s="10" t="s">
        <v>16</v>
      </c>
      <c r="B333" s="10" t="s">
        <v>140</v>
      </c>
      <c r="C333" s="10" t="s">
        <v>141</v>
      </c>
      <c r="D333" s="10" t="s">
        <v>142</v>
      </c>
      <c r="E333" s="10" t="s">
        <v>28</v>
      </c>
      <c r="F333" s="11" t="n">
        <v>45122</v>
      </c>
      <c r="G333" s="12" t="n">
        <v>0.967591828703704</v>
      </c>
      <c r="H333" s="10" t="s">
        <v>37</v>
      </c>
      <c r="I333" s="13" t="n">
        <v>3</v>
      </c>
      <c r="J333" s="13" t="n">
        <v>885</v>
      </c>
      <c r="K333" s="13" t="n">
        <v>2655</v>
      </c>
      <c r="L333" s="10" t="s">
        <v>1126</v>
      </c>
      <c r="M333" s="10" t="s">
        <v>1127</v>
      </c>
      <c r="N333" s="10"/>
      <c r="O333" s="10" t="s">
        <v>23</v>
      </c>
      <c r="P333" s="10" t="s">
        <v>24</v>
      </c>
    </row>
    <row r="334" customFormat="false" ht="15.75" hidden="false" customHeight="false" outlineLevel="0" collapsed="false">
      <c r="A334" s="10" t="s">
        <v>16</v>
      </c>
      <c r="B334" s="10" t="s">
        <v>1128</v>
      </c>
      <c r="C334" s="10" t="s">
        <v>1129</v>
      </c>
      <c r="D334" s="10" t="s">
        <v>652</v>
      </c>
      <c r="E334" s="10" t="s">
        <v>28</v>
      </c>
      <c r="F334" s="11" t="n">
        <v>45122</v>
      </c>
      <c r="G334" s="12" t="n">
        <v>0.914099583333333</v>
      </c>
      <c r="H334" s="10" t="s">
        <v>37</v>
      </c>
      <c r="I334" s="13" t="n">
        <v>1</v>
      </c>
      <c r="J334" s="13" t="n">
        <v>1206</v>
      </c>
      <c r="K334" s="13" t="n">
        <v>1206</v>
      </c>
      <c r="L334" s="10" t="s">
        <v>1130</v>
      </c>
      <c r="M334" s="10" t="s">
        <v>1131</v>
      </c>
      <c r="N334" s="10"/>
      <c r="O334" s="10" t="s">
        <v>23</v>
      </c>
      <c r="P334" s="10" t="s">
        <v>24</v>
      </c>
    </row>
    <row r="335" customFormat="false" ht="15.75" hidden="false" customHeight="false" outlineLevel="0" collapsed="false">
      <c r="A335" s="10" t="s">
        <v>16</v>
      </c>
      <c r="B335" s="10" t="s">
        <v>385</v>
      </c>
      <c r="C335" s="10" t="s">
        <v>386</v>
      </c>
      <c r="D335" s="10" t="s">
        <v>142</v>
      </c>
      <c r="E335" s="10" t="s">
        <v>28</v>
      </c>
      <c r="F335" s="11" t="n">
        <v>45122</v>
      </c>
      <c r="G335" s="12" t="n">
        <v>0.859877175925926</v>
      </c>
      <c r="H335" s="10" t="s">
        <v>37</v>
      </c>
      <c r="I335" s="13" t="n">
        <v>1</v>
      </c>
      <c r="J335" s="13" t="n">
        <v>1226</v>
      </c>
      <c r="K335" s="13" t="n">
        <v>1226</v>
      </c>
      <c r="L335" s="10" t="s">
        <v>1132</v>
      </c>
      <c r="M335" s="10" t="s">
        <v>1133</v>
      </c>
      <c r="N335" s="10"/>
      <c r="O335" s="10" t="s">
        <v>23</v>
      </c>
      <c r="P335" s="10" t="s">
        <v>24</v>
      </c>
    </row>
    <row r="336" customFormat="false" ht="15.75" hidden="false" customHeight="false" outlineLevel="0" collapsed="false">
      <c r="A336" s="10" t="s">
        <v>16</v>
      </c>
      <c r="B336" s="10" t="s">
        <v>908</v>
      </c>
      <c r="C336" s="10" t="s">
        <v>909</v>
      </c>
      <c r="D336" s="10" t="s">
        <v>95</v>
      </c>
      <c r="E336" s="10" t="s">
        <v>96</v>
      </c>
      <c r="F336" s="11" t="n">
        <v>45123</v>
      </c>
      <c r="G336" s="12" t="n">
        <v>0.918979849537037</v>
      </c>
      <c r="H336" s="10" t="s">
        <v>37</v>
      </c>
      <c r="I336" s="13" t="n">
        <v>1</v>
      </c>
      <c r="J336" s="13" t="n">
        <v>45.59</v>
      </c>
      <c r="K336" s="13" t="n">
        <v>45.59</v>
      </c>
      <c r="L336" s="10" t="s">
        <v>1134</v>
      </c>
      <c r="M336" s="10" t="s">
        <v>1135</v>
      </c>
      <c r="N336" s="10"/>
      <c r="O336" s="10" t="s">
        <v>23</v>
      </c>
      <c r="P336" s="10" t="s">
        <v>24</v>
      </c>
    </row>
    <row r="337" customFormat="false" ht="15.75" hidden="false" customHeight="false" outlineLevel="0" collapsed="false">
      <c r="A337" s="10" t="s">
        <v>16</v>
      </c>
      <c r="B337" s="10" t="s">
        <v>1136</v>
      </c>
      <c r="C337" s="10" t="s">
        <v>1137</v>
      </c>
      <c r="D337" s="10" t="s">
        <v>95</v>
      </c>
      <c r="E337" s="10" t="s">
        <v>96</v>
      </c>
      <c r="F337" s="11" t="n">
        <v>45123</v>
      </c>
      <c r="G337" s="12" t="n">
        <v>0.918111574074074</v>
      </c>
      <c r="H337" s="10" t="s">
        <v>37</v>
      </c>
      <c r="I337" s="13" t="n">
        <v>1</v>
      </c>
      <c r="J337" s="13" t="n">
        <v>201.18</v>
      </c>
      <c r="K337" s="13" t="n">
        <v>201.18</v>
      </c>
      <c r="L337" s="10" t="s">
        <v>1138</v>
      </c>
      <c r="M337" s="10" t="s">
        <v>1139</v>
      </c>
      <c r="N337" s="10"/>
      <c r="O337" s="10" t="s">
        <v>23</v>
      </c>
      <c r="P337" s="10" t="s">
        <v>24</v>
      </c>
    </row>
    <row r="338" customFormat="false" ht="15.75" hidden="false" customHeight="false" outlineLevel="0" collapsed="false">
      <c r="A338" s="10" t="s">
        <v>16</v>
      </c>
      <c r="B338" s="10" t="s">
        <v>1140</v>
      </c>
      <c r="C338" s="10" t="s">
        <v>1141</v>
      </c>
      <c r="D338" s="10" t="s">
        <v>1142</v>
      </c>
      <c r="E338" s="10" t="s">
        <v>28</v>
      </c>
      <c r="F338" s="11" t="n">
        <v>45123</v>
      </c>
      <c r="G338" s="12" t="n">
        <v>0.916867997685185</v>
      </c>
      <c r="H338" s="10" t="s">
        <v>37</v>
      </c>
      <c r="I338" s="13" t="n">
        <v>1</v>
      </c>
      <c r="J338" s="13" t="n">
        <v>556</v>
      </c>
      <c r="K338" s="13" t="n">
        <v>556</v>
      </c>
      <c r="L338" s="10" t="s">
        <v>1143</v>
      </c>
      <c r="M338" s="10" t="s">
        <v>1144</v>
      </c>
      <c r="N338" s="10"/>
      <c r="O338" s="10" t="s">
        <v>23</v>
      </c>
      <c r="P338" s="10" t="s">
        <v>24</v>
      </c>
    </row>
    <row r="339" customFormat="false" ht="15.75" hidden="false" customHeight="false" outlineLevel="0" collapsed="false">
      <c r="A339" s="10" t="s">
        <v>16</v>
      </c>
      <c r="B339" s="10" t="s">
        <v>140</v>
      </c>
      <c r="C339" s="10" t="s">
        <v>141</v>
      </c>
      <c r="D339" s="10" t="s">
        <v>142</v>
      </c>
      <c r="E339" s="10" t="s">
        <v>28</v>
      </c>
      <c r="F339" s="11" t="n">
        <v>45124</v>
      </c>
      <c r="G339" s="12" t="n">
        <v>0.869458599537037</v>
      </c>
      <c r="H339" s="10" t="s">
        <v>37</v>
      </c>
      <c r="I339" s="13" t="n">
        <v>2</v>
      </c>
      <c r="J339" s="13" t="n">
        <v>885</v>
      </c>
      <c r="K339" s="13" t="n">
        <v>1770</v>
      </c>
      <c r="L339" s="10" t="s">
        <v>1145</v>
      </c>
      <c r="M339" s="10" t="s">
        <v>1146</v>
      </c>
      <c r="N339" s="10"/>
      <c r="O339" s="10" t="s">
        <v>23</v>
      </c>
      <c r="P339" s="10" t="s">
        <v>24</v>
      </c>
    </row>
    <row r="340" customFormat="false" ht="15.75" hidden="false" customHeight="false" outlineLevel="0" collapsed="false">
      <c r="A340" s="10" t="s">
        <v>16</v>
      </c>
      <c r="B340" s="10" t="s">
        <v>366</v>
      </c>
      <c r="C340" s="10" t="s">
        <v>367</v>
      </c>
      <c r="D340" s="10" t="s">
        <v>142</v>
      </c>
      <c r="E340" s="10" t="s">
        <v>28</v>
      </c>
      <c r="F340" s="11" t="n">
        <v>45125</v>
      </c>
      <c r="G340" s="12" t="n">
        <v>0.861169513888889</v>
      </c>
      <c r="H340" s="10" t="s">
        <v>37</v>
      </c>
      <c r="I340" s="13" t="n">
        <v>1</v>
      </c>
      <c r="J340" s="13" t="n">
        <v>698</v>
      </c>
      <c r="K340" s="13" t="n">
        <v>698</v>
      </c>
      <c r="L340" s="10" t="s">
        <v>1147</v>
      </c>
      <c r="M340" s="10" t="s">
        <v>1148</v>
      </c>
      <c r="N340" s="10"/>
      <c r="O340" s="10" t="s">
        <v>23</v>
      </c>
      <c r="P340" s="10" t="s">
        <v>24</v>
      </c>
    </row>
    <row r="341" customFormat="false" ht="15.75" hidden="false" customHeight="false" outlineLevel="0" collapsed="false">
      <c r="A341" s="10" t="s">
        <v>16</v>
      </c>
      <c r="B341" s="10" t="s">
        <v>1149</v>
      </c>
      <c r="C341" s="10" t="s">
        <v>1150</v>
      </c>
      <c r="D341" s="10" t="s">
        <v>65</v>
      </c>
      <c r="E341" s="10" t="s">
        <v>122</v>
      </c>
      <c r="F341" s="11" t="n">
        <v>45126</v>
      </c>
      <c r="G341" s="12" t="n">
        <v>0.891685532407407</v>
      </c>
      <c r="H341" s="10" t="s">
        <v>37</v>
      </c>
      <c r="I341" s="13" t="n">
        <v>3</v>
      </c>
      <c r="J341" s="13" t="n">
        <v>213</v>
      </c>
      <c r="K341" s="13" t="n">
        <v>639</v>
      </c>
      <c r="L341" s="10" t="s">
        <v>1151</v>
      </c>
      <c r="M341" s="10" t="s">
        <v>1152</v>
      </c>
      <c r="N341" s="10"/>
      <c r="O341" s="10" t="s">
        <v>23</v>
      </c>
      <c r="P341" s="10" t="s">
        <v>24</v>
      </c>
    </row>
    <row r="342" customFormat="false" ht="15.75" hidden="false" customHeight="false" outlineLevel="0" collapsed="false">
      <c r="A342" s="10" t="s">
        <v>16</v>
      </c>
      <c r="B342" s="10" t="s">
        <v>1153</v>
      </c>
      <c r="C342" s="10" t="s">
        <v>1154</v>
      </c>
      <c r="D342" s="10" t="s">
        <v>74</v>
      </c>
      <c r="E342" s="10" t="s">
        <v>66</v>
      </c>
      <c r="F342" s="11" t="n">
        <v>45126</v>
      </c>
      <c r="G342" s="12" t="n">
        <v>0.8892521875</v>
      </c>
      <c r="H342" s="10" t="s">
        <v>37</v>
      </c>
      <c r="I342" s="13" t="n">
        <v>1</v>
      </c>
      <c r="J342" s="13" t="n">
        <v>119.41</v>
      </c>
      <c r="K342" s="13" t="n">
        <v>119.41</v>
      </c>
      <c r="L342" s="10" t="s">
        <v>1155</v>
      </c>
      <c r="M342" s="10" t="s">
        <v>1156</v>
      </c>
      <c r="N342" s="10"/>
      <c r="O342" s="10" t="s">
        <v>23</v>
      </c>
      <c r="P342" s="10" t="s">
        <v>24</v>
      </c>
    </row>
    <row r="343" customFormat="false" ht="15.75" hidden="false" customHeight="false" outlineLevel="0" collapsed="false">
      <c r="A343" s="10" t="s">
        <v>16</v>
      </c>
      <c r="B343" s="10" t="s">
        <v>1157</v>
      </c>
      <c r="C343" s="10" t="s">
        <v>1158</v>
      </c>
      <c r="D343" s="10" t="s">
        <v>1159</v>
      </c>
      <c r="E343" s="10" t="s">
        <v>208</v>
      </c>
      <c r="F343" s="11" t="n">
        <v>45126</v>
      </c>
      <c r="G343" s="12" t="n">
        <v>0.616849027777778</v>
      </c>
      <c r="H343" s="10" t="s">
        <v>37</v>
      </c>
      <c r="I343" s="13" t="n">
        <v>1</v>
      </c>
      <c r="J343" s="13" t="n">
        <v>184</v>
      </c>
      <c r="K343" s="13" t="n">
        <v>184</v>
      </c>
      <c r="L343" s="10" t="s">
        <v>1160</v>
      </c>
      <c r="M343" s="10" t="s">
        <v>1161</v>
      </c>
      <c r="N343" s="10"/>
      <c r="O343" s="10" t="s">
        <v>61</v>
      </c>
      <c r="P343" s="10" t="s">
        <v>62</v>
      </c>
    </row>
    <row r="344" customFormat="false" ht="15.75" hidden="false" customHeight="false" outlineLevel="0" collapsed="false">
      <c r="A344" s="10" t="s">
        <v>16</v>
      </c>
      <c r="B344" s="10" t="s">
        <v>646</v>
      </c>
      <c r="C344" s="10" t="s">
        <v>647</v>
      </c>
      <c r="D344" s="10" t="s">
        <v>308</v>
      </c>
      <c r="E344" s="10" t="s">
        <v>96</v>
      </c>
      <c r="F344" s="11" t="n">
        <v>45128</v>
      </c>
      <c r="G344" s="12" t="n">
        <v>0.76110630787037</v>
      </c>
      <c r="H344" s="10" t="s">
        <v>37</v>
      </c>
      <c r="I344" s="13" t="n">
        <v>1</v>
      </c>
      <c r="J344" s="13" t="n">
        <v>90.42</v>
      </c>
      <c r="K344" s="13" t="n">
        <v>90.42</v>
      </c>
      <c r="L344" s="10" t="s">
        <v>1162</v>
      </c>
      <c r="M344" s="10" t="s">
        <v>1163</v>
      </c>
      <c r="N344" s="10"/>
      <c r="O344" s="10" t="s">
        <v>23</v>
      </c>
      <c r="P344" s="10" t="s">
        <v>24</v>
      </c>
    </row>
    <row r="345" customFormat="false" ht="15.75" hidden="false" customHeight="false" outlineLevel="0" collapsed="false">
      <c r="A345" s="10" t="s">
        <v>16</v>
      </c>
      <c r="B345" s="10" t="s">
        <v>99</v>
      </c>
      <c r="C345" s="10" t="s">
        <v>1635</v>
      </c>
      <c r="D345" s="10" t="s">
        <v>101</v>
      </c>
      <c r="E345" s="10" t="s">
        <v>96</v>
      </c>
      <c r="F345" s="11" t="n">
        <v>45128</v>
      </c>
      <c r="G345" s="12" t="n">
        <v>0.759723206018519</v>
      </c>
      <c r="H345" s="10" t="s">
        <v>37</v>
      </c>
      <c r="I345" s="13" t="n">
        <v>4</v>
      </c>
      <c r="J345" s="13" t="n">
        <v>55.21</v>
      </c>
      <c r="K345" s="13" t="n">
        <v>220.84</v>
      </c>
      <c r="L345" s="10" t="s">
        <v>1164</v>
      </c>
      <c r="M345" s="10" t="s">
        <v>1165</v>
      </c>
      <c r="N345" s="10"/>
      <c r="O345" s="10" t="s">
        <v>23</v>
      </c>
      <c r="P345" s="10" t="s">
        <v>24</v>
      </c>
    </row>
    <row r="346" customFormat="false" ht="15.75" hidden="false" customHeight="false" outlineLevel="0" collapsed="false">
      <c r="A346" s="10" t="s">
        <v>16</v>
      </c>
      <c r="B346" s="10" t="s">
        <v>1166</v>
      </c>
      <c r="C346" s="10" t="s">
        <v>1167</v>
      </c>
      <c r="D346" s="10" t="s">
        <v>1168</v>
      </c>
      <c r="E346" s="10" t="s">
        <v>90</v>
      </c>
      <c r="F346" s="11" t="n">
        <v>45128</v>
      </c>
      <c r="G346" s="12" t="n">
        <v>0.697580416666667</v>
      </c>
      <c r="H346" s="10" t="s">
        <v>37</v>
      </c>
      <c r="I346" s="13" t="n">
        <v>43</v>
      </c>
      <c r="J346" s="13" t="n">
        <v>1330</v>
      </c>
      <c r="K346" s="13" t="n">
        <v>57190</v>
      </c>
      <c r="L346" s="10" t="s">
        <v>1169</v>
      </c>
      <c r="M346" s="10" t="s">
        <v>1170</v>
      </c>
      <c r="N346" s="10"/>
      <c r="O346" s="10" t="s">
        <v>23</v>
      </c>
      <c r="P346" s="10" t="s">
        <v>24</v>
      </c>
    </row>
    <row r="347" customFormat="false" ht="15.75" hidden="false" customHeight="false" outlineLevel="0" collapsed="false">
      <c r="A347" s="10" t="s">
        <v>16</v>
      </c>
      <c r="B347" s="10" t="s">
        <v>1171</v>
      </c>
      <c r="C347" s="10" t="s">
        <v>1172</v>
      </c>
      <c r="D347" s="10" t="s">
        <v>1173</v>
      </c>
      <c r="E347" s="10" t="s">
        <v>90</v>
      </c>
      <c r="F347" s="11" t="n">
        <v>45128</v>
      </c>
      <c r="G347" s="12" t="n">
        <v>0.620522233796296</v>
      </c>
      <c r="H347" s="10" t="s">
        <v>37</v>
      </c>
      <c r="I347" s="13" t="n">
        <v>143</v>
      </c>
      <c r="J347" s="13" t="n">
        <v>2050</v>
      </c>
      <c r="K347" s="13" t="n">
        <v>293150</v>
      </c>
      <c r="L347" s="10" t="s">
        <v>1174</v>
      </c>
      <c r="M347" s="10" t="s">
        <v>1175</v>
      </c>
      <c r="N347" s="10"/>
      <c r="O347" s="10" t="s">
        <v>23</v>
      </c>
      <c r="P347" s="10" t="s">
        <v>24</v>
      </c>
    </row>
    <row r="348" customFormat="false" ht="15.75" hidden="false" customHeight="false" outlineLevel="0" collapsed="false">
      <c r="A348" s="10" t="s">
        <v>16</v>
      </c>
      <c r="B348" s="10" t="s">
        <v>1176</v>
      </c>
      <c r="C348" s="10" t="s">
        <v>1177</v>
      </c>
      <c r="D348" s="10" t="s">
        <v>1178</v>
      </c>
      <c r="E348" s="10" t="s">
        <v>90</v>
      </c>
      <c r="F348" s="11" t="n">
        <v>45128</v>
      </c>
      <c r="G348" s="12" t="n">
        <v>0.619372835648148</v>
      </c>
      <c r="H348" s="10" t="s">
        <v>37</v>
      </c>
      <c r="I348" s="13" t="n">
        <v>92</v>
      </c>
      <c r="J348" s="13" t="n">
        <v>690</v>
      </c>
      <c r="K348" s="13" t="n">
        <v>63480</v>
      </c>
      <c r="L348" s="10" t="s">
        <v>1179</v>
      </c>
      <c r="M348" s="10" t="s">
        <v>1180</v>
      </c>
      <c r="N348" s="10"/>
      <c r="O348" s="10" t="s">
        <v>23</v>
      </c>
      <c r="P348" s="10" t="s">
        <v>24</v>
      </c>
    </row>
    <row r="349" customFormat="false" ht="15.75" hidden="false" customHeight="false" outlineLevel="0" collapsed="false">
      <c r="A349" s="10" t="s">
        <v>16</v>
      </c>
      <c r="B349" s="10" t="s">
        <v>1181</v>
      </c>
      <c r="C349" s="10" t="s">
        <v>1182</v>
      </c>
      <c r="D349" s="10" t="s">
        <v>1183</v>
      </c>
      <c r="E349" s="10" t="s">
        <v>71</v>
      </c>
      <c r="F349" s="11" t="n">
        <v>45129</v>
      </c>
      <c r="G349" s="12" t="n">
        <v>0.861695856481481</v>
      </c>
      <c r="H349" s="10" t="s">
        <v>37</v>
      </c>
      <c r="I349" s="13" t="n">
        <v>1</v>
      </c>
      <c r="J349" s="13" t="n">
        <v>395</v>
      </c>
      <c r="K349" s="13" t="n">
        <v>395</v>
      </c>
      <c r="L349" s="10" t="s">
        <v>1184</v>
      </c>
      <c r="M349" s="10" t="s">
        <v>1185</v>
      </c>
      <c r="N349" s="10"/>
      <c r="O349" s="10" t="s">
        <v>23</v>
      </c>
      <c r="P349" s="10" t="s">
        <v>24</v>
      </c>
    </row>
    <row r="350" customFormat="false" ht="15.75" hidden="false" customHeight="false" outlineLevel="0" collapsed="false">
      <c r="A350" s="10" t="s">
        <v>16</v>
      </c>
      <c r="B350" s="10" t="s">
        <v>1186</v>
      </c>
      <c r="C350" s="10" t="s">
        <v>1187</v>
      </c>
      <c r="D350" s="10" t="s">
        <v>89</v>
      </c>
      <c r="E350" s="10" t="s">
        <v>333</v>
      </c>
      <c r="F350" s="11" t="n">
        <v>45129</v>
      </c>
      <c r="G350" s="12" t="n">
        <v>0.41632130787037</v>
      </c>
      <c r="H350" s="10" t="s">
        <v>37</v>
      </c>
      <c r="I350" s="13" t="n">
        <v>13</v>
      </c>
      <c r="J350" s="13" t="n">
        <v>1510</v>
      </c>
      <c r="K350" s="13" t="n">
        <v>19630</v>
      </c>
      <c r="L350" s="10" t="s">
        <v>1188</v>
      </c>
      <c r="M350" s="10" t="s">
        <v>1189</v>
      </c>
      <c r="N350" s="10"/>
      <c r="O350" s="10" t="s">
        <v>61</v>
      </c>
      <c r="P350" s="10" t="s">
        <v>62</v>
      </c>
    </row>
    <row r="351" customFormat="false" ht="15.75" hidden="false" customHeight="false" outlineLevel="0" collapsed="false">
      <c r="A351" s="10" t="s">
        <v>16</v>
      </c>
      <c r="B351" s="10" t="s">
        <v>1190</v>
      </c>
      <c r="C351" s="10" t="s">
        <v>1191</v>
      </c>
      <c r="D351" s="10" t="s">
        <v>89</v>
      </c>
      <c r="E351" s="10" t="s">
        <v>333</v>
      </c>
      <c r="F351" s="11" t="n">
        <v>45129</v>
      </c>
      <c r="G351" s="12" t="n">
        <v>0.415784444444445</v>
      </c>
      <c r="H351" s="10" t="s">
        <v>37</v>
      </c>
      <c r="I351" s="13" t="n">
        <v>14</v>
      </c>
      <c r="J351" s="13" t="n">
        <v>540</v>
      </c>
      <c r="K351" s="13" t="n">
        <v>7560</v>
      </c>
      <c r="L351" s="10" t="s">
        <v>1192</v>
      </c>
      <c r="M351" s="10" t="s">
        <v>1193</v>
      </c>
      <c r="N351" s="10"/>
      <c r="O351" s="10" t="s">
        <v>61</v>
      </c>
      <c r="P351" s="10" t="s">
        <v>62</v>
      </c>
    </row>
    <row r="352" customFormat="false" ht="15.75" hidden="false" customHeight="false" outlineLevel="0" collapsed="false">
      <c r="A352" s="10" t="s">
        <v>16</v>
      </c>
      <c r="B352" s="10" t="s">
        <v>1194</v>
      </c>
      <c r="C352" s="10" t="s">
        <v>1195</v>
      </c>
      <c r="D352" s="10" t="s">
        <v>89</v>
      </c>
      <c r="E352" s="10" t="s">
        <v>333</v>
      </c>
      <c r="F352" s="11" t="n">
        <v>45129</v>
      </c>
      <c r="G352" s="12" t="n">
        <v>0.41543068287037</v>
      </c>
      <c r="H352" s="10" t="s">
        <v>37</v>
      </c>
      <c r="I352" s="13" t="n">
        <v>13</v>
      </c>
      <c r="J352" s="13" t="n">
        <v>165</v>
      </c>
      <c r="K352" s="13" t="n">
        <v>2145</v>
      </c>
      <c r="L352" s="10" t="s">
        <v>1196</v>
      </c>
      <c r="M352" s="10" t="s">
        <v>1197</v>
      </c>
      <c r="N352" s="10"/>
      <c r="O352" s="10" t="s">
        <v>61</v>
      </c>
      <c r="P352" s="10" t="s">
        <v>62</v>
      </c>
    </row>
    <row r="353" customFormat="false" ht="15.75" hidden="false" customHeight="false" outlineLevel="0" collapsed="false">
      <c r="A353" s="10" t="s">
        <v>16</v>
      </c>
      <c r="B353" s="10" t="s">
        <v>1198</v>
      </c>
      <c r="C353" s="10" t="s">
        <v>1199</v>
      </c>
      <c r="D353" s="10" t="s">
        <v>895</v>
      </c>
      <c r="E353" s="10" t="s">
        <v>66</v>
      </c>
      <c r="F353" s="11" t="n">
        <v>45130</v>
      </c>
      <c r="G353" s="12" t="n">
        <v>0.947899467592593</v>
      </c>
      <c r="H353" s="10" t="s">
        <v>21</v>
      </c>
      <c r="I353" s="13" t="n">
        <v>36</v>
      </c>
      <c r="J353" s="13" t="n">
        <v>93.93</v>
      </c>
      <c r="K353" s="13" t="n">
        <v>3381.48</v>
      </c>
      <c r="L353" s="10" t="s">
        <v>1200</v>
      </c>
      <c r="M353" s="10"/>
      <c r="N353" s="10"/>
      <c r="O353" s="10" t="s">
        <v>23</v>
      </c>
      <c r="P353" s="10" t="s">
        <v>24</v>
      </c>
    </row>
    <row r="354" customFormat="false" ht="15.75" hidden="false" customHeight="false" outlineLevel="0" collapsed="false">
      <c r="A354" s="10" t="s">
        <v>16</v>
      </c>
      <c r="B354" s="10" t="s">
        <v>1201</v>
      </c>
      <c r="C354" s="10" t="s">
        <v>1202</v>
      </c>
      <c r="D354" s="10" t="s">
        <v>65</v>
      </c>
      <c r="E354" s="10" t="s">
        <v>122</v>
      </c>
      <c r="F354" s="11" t="n">
        <v>45130</v>
      </c>
      <c r="G354" s="12" t="n">
        <v>0.933104444444444</v>
      </c>
      <c r="H354" s="10" t="s">
        <v>37</v>
      </c>
      <c r="I354" s="13" t="n">
        <v>1</v>
      </c>
      <c r="J354" s="13" t="n">
        <v>211.5</v>
      </c>
      <c r="K354" s="13" t="n">
        <v>211.5</v>
      </c>
      <c r="L354" s="10" t="s">
        <v>1203</v>
      </c>
      <c r="M354" s="10" t="s">
        <v>1204</v>
      </c>
      <c r="N354" s="10"/>
      <c r="O354" s="10" t="s">
        <v>23</v>
      </c>
      <c r="P354" s="10" t="s">
        <v>24</v>
      </c>
    </row>
    <row r="355" customFormat="false" ht="15.75" hidden="false" customHeight="false" outlineLevel="0" collapsed="false">
      <c r="A355" s="10" t="s">
        <v>16</v>
      </c>
      <c r="B355" s="10" t="s">
        <v>867</v>
      </c>
      <c r="C355" s="10" t="s">
        <v>868</v>
      </c>
      <c r="D355" s="10" t="s">
        <v>633</v>
      </c>
      <c r="E355" s="10" t="s">
        <v>208</v>
      </c>
      <c r="F355" s="11" t="n">
        <v>45130</v>
      </c>
      <c r="G355" s="12" t="n">
        <v>0.917942962962963</v>
      </c>
      <c r="H355" s="10" t="s">
        <v>37</v>
      </c>
      <c r="I355" s="13" t="n">
        <v>1</v>
      </c>
      <c r="J355" s="13" t="n">
        <v>135</v>
      </c>
      <c r="K355" s="13" t="n">
        <v>135</v>
      </c>
      <c r="L355" s="10" t="s">
        <v>1205</v>
      </c>
      <c r="M355" s="10" t="s">
        <v>1206</v>
      </c>
      <c r="N355" s="10"/>
      <c r="O355" s="10" t="s">
        <v>23</v>
      </c>
      <c r="P355" s="10" t="s">
        <v>24</v>
      </c>
    </row>
    <row r="356" customFormat="false" ht="15.75" hidden="false" customHeight="false" outlineLevel="0" collapsed="false">
      <c r="A356" s="10" t="s">
        <v>16</v>
      </c>
      <c r="B356" s="10" t="s">
        <v>1207</v>
      </c>
      <c r="C356" s="10" t="s">
        <v>1208</v>
      </c>
      <c r="D356" s="10" t="s">
        <v>27</v>
      </c>
      <c r="E356" s="10" t="s">
        <v>28</v>
      </c>
      <c r="F356" s="11" t="n">
        <v>45131</v>
      </c>
      <c r="G356" s="12" t="n">
        <v>0.86414306712963</v>
      </c>
      <c r="H356" s="10" t="s">
        <v>37</v>
      </c>
      <c r="I356" s="13" t="n">
        <v>1</v>
      </c>
      <c r="J356" s="13" t="n">
        <v>456</v>
      </c>
      <c r="K356" s="13" t="n">
        <v>456</v>
      </c>
      <c r="L356" s="10" t="s">
        <v>1209</v>
      </c>
      <c r="M356" s="10" t="s">
        <v>1210</v>
      </c>
      <c r="N356" s="10"/>
      <c r="O356" s="10" t="s">
        <v>23</v>
      </c>
      <c r="P356" s="10" t="s">
        <v>24</v>
      </c>
    </row>
    <row r="357" customFormat="false" ht="15.75" hidden="false" customHeight="false" outlineLevel="0" collapsed="false">
      <c r="A357" s="10" t="s">
        <v>16</v>
      </c>
      <c r="B357" s="10" t="s">
        <v>1211</v>
      </c>
      <c r="C357" s="10" t="s">
        <v>1212</v>
      </c>
      <c r="D357" s="10" t="s">
        <v>854</v>
      </c>
      <c r="E357" s="10" t="s">
        <v>231</v>
      </c>
      <c r="F357" s="11" t="n">
        <v>45131</v>
      </c>
      <c r="G357" s="12" t="n">
        <v>0.546454699074074</v>
      </c>
      <c r="H357" s="10" t="s">
        <v>37</v>
      </c>
      <c r="I357" s="13" t="n">
        <v>1</v>
      </c>
      <c r="J357" s="13" t="n">
        <v>263.33</v>
      </c>
      <c r="K357" s="13" t="n">
        <v>263.33</v>
      </c>
      <c r="L357" s="10" t="s">
        <v>1213</v>
      </c>
      <c r="M357" s="10" t="s">
        <v>357</v>
      </c>
      <c r="N357" s="10"/>
      <c r="O357" s="10" t="s">
        <v>61</v>
      </c>
      <c r="P357" s="10" t="s">
        <v>62</v>
      </c>
    </row>
    <row r="358" customFormat="false" ht="15.75" hidden="false" customHeight="false" outlineLevel="0" collapsed="false">
      <c r="A358" s="10" t="s">
        <v>16</v>
      </c>
      <c r="B358" s="10" t="s">
        <v>1214</v>
      </c>
      <c r="C358" s="10" t="s">
        <v>1215</v>
      </c>
      <c r="D358" s="10" t="s">
        <v>567</v>
      </c>
      <c r="E358" s="10" t="s">
        <v>568</v>
      </c>
      <c r="F358" s="11" t="n">
        <v>45132</v>
      </c>
      <c r="G358" s="12" t="n">
        <v>0.535988055555556</v>
      </c>
      <c r="H358" s="10" t="s">
        <v>29</v>
      </c>
      <c r="I358" s="13" t="n">
        <v>56</v>
      </c>
      <c r="J358" s="13" t="n">
        <v>1520</v>
      </c>
      <c r="K358" s="13" t="n">
        <v>85120</v>
      </c>
      <c r="L358" s="10" t="s">
        <v>1216</v>
      </c>
      <c r="M358" s="10" t="s">
        <v>1217</v>
      </c>
      <c r="N358" s="10" t="s">
        <v>1218</v>
      </c>
      <c r="O358" s="10" t="s">
        <v>61</v>
      </c>
      <c r="P358" s="10" t="s">
        <v>62</v>
      </c>
    </row>
    <row r="359" customFormat="false" ht="15.75" hidden="false" customHeight="false" outlineLevel="0" collapsed="false">
      <c r="A359" s="10" t="s">
        <v>16</v>
      </c>
      <c r="B359" s="10" t="s">
        <v>985</v>
      </c>
      <c r="C359" s="10" t="s">
        <v>986</v>
      </c>
      <c r="D359" s="10" t="s">
        <v>854</v>
      </c>
      <c r="E359" s="10" t="s">
        <v>107</v>
      </c>
      <c r="F359" s="11" t="n">
        <v>45133</v>
      </c>
      <c r="G359" s="12" t="n">
        <v>0.979854606481482</v>
      </c>
      <c r="H359" s="10" t="s">
        <v>37</v>
      </c>
      <c r="I359" s="13" t="n">
        <v>1</v>
      </c>
      <c r="J359" s="13" t="n">
        <v>145.83</v>
      </c>
      <c r="K359" s="13" t="n">
        <v>145.83</v>
      </c>
      <c r="L359" s="10" t="s">
        <v>1219</v>
      </c>
      <c r="M359" s="10" t="s">
        <v>1220</v>
      </c>
      <c r="N359" s="10"/>
      <c r="O359" s="10" t="s">
        <v>23</v>
      </c>
      <c r="P359" s="10" t="s">
        <v>24</v>
      </c>
    </row>
    <row r="360" customFormat="false" ht="15.75" hidden="false" customHeight="false" outlineLevel="0" collapsed="false">
      <c r="A360" s="10" t="s">
        <v>16</v>
      </c>
      <c r="B360" s="10" t="s">
        <v>1221</v>
      </c>
      <c r="C360" s="10" t="s">
        <v>1222</v>
      </c>
      <c r="D360" s="10" t="s">
        <v>1159</v>
      </c>
      <c r="E360" s="10" t="s">
        <v>71</v>
      </c>
      <c r="F360" s="11" t="n">
        <v>45133</v>
      </c>
      <c r="G360" s="12" t="n">
        <v>0.962524224537037</v>
      </c>
      <c r="H360" s="10" t="s">
        <v>37</v>
      </c>
      <c r="I360" s="13" t="n">
        <v>1</v>
      </c>
      <c r="J360" s="13" t="n">
        <v>174</v>
      </c>
      <c r="K360" s="13" t="n">
        <v>174</v>
      </c>
      <c r="L360" s="10" t="s">
        <v>1223</v>
      </c>
      <c r="M360" s="10" t="s">
        <v>1224</v>
      </c>
      <c r="N360" s="10"/>
      <c r="O360" s="10" t="s">
        <v>23</v>
      </c>
      <c r="P360" s="10" t="s">
        <v>24</v>
      </c>
    </row>
    <row r="361" customFormat="false" ht="15.75" hidden="false" customHeight="false" outlineLevel="0" collapsed="false">
      <c r="A361" s="10" t="s">
        <v>16</v>
      </c>
      <c r="B361" s="10" t="s">
        <v>620</v>
      </c>
      <c r="C361" s="10" t="s">
        <v>621</v>
      </c>
      <c r="D361" s="10" t="s">
        <v>622</v>
      </c>
      <c r="E361" s="10" t="s">
        <v>20</v>
      </c>
      <c r="F361" s="11" t="n">
        <v>45133</v>
      </c>
      <c r="G361" s="12" t="n">
        <v>0.055288587962963</v>
      </c>
      <c r="H361" s="10" t="s">
        <v>21</v>
      </c>
      <c r="I361" s="13" t="n">
        <v>5</v>
      </c>
      <c r="J361" s="13" t="n">
        <v>252</v>
      </c>
      <c r="K361" s="13" t="n">
        <v>1260</v>
      </c>
      <c r="L361" s="10" t="s">
        <v>1225</v>
      </c>
      <c r="M361" s="10"/>
      <c r="N361" s="10"/>
      <c r="O361" s="10" t="s">
        <v>23</v>
      </c>
      <c r="P361" s="10" t="s">
        <v>24</v>
      </c>
    </row>
    <row r="362" customFormat="false" ht="15.75" hidden="false" customHeight="false" outlineLevel="0" collapsed="false">
      <c r="A362" s="10" t="s">
        <v>16</v>
      </c>
      <c r="B362" s="10" t="s">
        <v>1226</v>
      </c>
      <c r="C362" s="10" t="s">
        <v>1227</v>
      </c>
      <c r="D362" s="10" t="s">
        <v>832</v>
      </c>
      <c r="E362" s="10" t="s">
        <v>90</v>
      </c>
      <c r="F362" s="11" t="n">
        <v>45134</v>
      </c>
      <c r="G362" s="12" t="n">
        <v>0.615314652777778</v>
      </c>
      <c r="H362" s="10" t="s">
        <v>29</v>
      </c>
      <c r="I362" s="13" t="n">
        <v>45</v>
      </c>
      <c r="J362" s="13" t="n">
        <v>1310</v>
      </c>
      <c r="K362" s="13" t="n">
        <v>58950</v>
      </c>
      <c r="L362" s="10" t="s">
        <v>1228</v>
      </c>
      <c r="M362" s="10" t="s">
        <v>1229</v>
      </c>
      <c r="N362" s="10" t="s">
        <v>1230</v>
      </c>
      <c r="O362" s="10" t="s">
        <v>61</v>
      </c>
      <c r="P362" s="10" t="s">
        <v>62</v>
      </c>
    </row>
    <row r="363" customFormat="false" ht="15.75" hidden="false" customHeight="false" outlineLevel="0" collapsed="false">
      <c r="A363" s="10" t="s">
        <v>16</v>
      </c>
      <c r="B363" s="10" t="s">
        <v>967</v>
      </c>
      <c r="C363" s="10" t="s">
        <v>968</v>
      </c>
      <c r="D363" s="10" t="s">
        <v>832</v>
      </c>
      <c r="E363" s="10" t="s">
        <v>90</v>
      </c>
      <c r="F363" s="11" t="n">
        <v>45134</v>
      </c>
      <c r="G363" s="12" t="n">
        <v>0.588351666666667</v>
      </c>
      <c r="H363" s="10" t="s">
        <v>29</v>
      </c>
      <c r="I363" s="13" t="n">
        <v>3</v>
      </c>
      <c r="J363" s="13" t="n">
        <v>1450</v>
      </c>
      <c r="K363" s="13" t="n">
        <v>4350</v>
      </c>
      <c r="L363" s="10" t="s">
        <v>1231</v>
      </c>
      <c r="M363" s="10" t="s">
        <v>1232</v>
      </c>
      <c r="N363" s="10" t="s">
        <v>1233</v>
      </c>
      <c r="O363" s="10" t="s">
        <v>61</v>
      </c>
      <c r="P363" s="10" t="s">
        <v>62</v>
      </c>
    </row>
    <row r="364" customFormat="false" ht="15.75" hidden="false" customHeight="false" outlineLevel="0" collapsed="false">
      <c r="A364" s="10" t="s">
        <v>16</v>
      </c>
      <c r="B364" s="10" t="s">
        <v>1234</v>
      </c>
      <c r="C364" s="10" t="s">
        <v>1235</v>
      </c>
      <c r="D364" s="10" t="s">
        <v>832</v>
      </c>
      <c r="E364" s="10" t="s">
        <v>90</v>
      </c>
      <c r="F364" s="11" t="n">
        <v>45134</v>
      </c>
      <c r="G364" s="12" t="n">
        <v>0.58788400462963</v>
      </c>
      <c r="H364" s="10" t="s">
        <v>29</v>
      </c>
      <c r="I364" s="13" t="n">
        <v>58</v>
      </c>
      <c r="J364" s="13" t="n">
        <v>660</v>
      </c>
      <c r="K364" s="13" t="n">
        <v>38280</v>
      </c>
      <c r="L364" s="10" t="s">
        <v>1236</v>
      </c>
      <c r="M364" s="10" t="s">
        <v>1237</v>
      </c>
      <c r="N364" s="10" t="s">
        <v>1233</v>
      </c>
      <c r="O364" s="10" t="s">
        <v>61</v>
      </c>
      <c r="P364" s="10" t="s">
        <v>62</v>
      </c>
    </row>
    <row r="365" customFormat="false" ht="15.75" hidden="false" customHeight="false" outlineLevel="0" collapsed="false">
      <c r="A365" s="10" t="s">
        <v>16</v>
      </c>
      <c r="B365" s="10" t="s">
        <v>1238</v>
      </c>
      <c r="C365" s="10" t="s">
        <v>1239</v>
      </c>
      <c r="D365" s="10" t="s">
        <v>832</v>
      </c>
      <c r="E365" s="10" t="s">
        <v>90</v>
      </c>
      <c r="F365" s="11" t="n">
        <v>45134</v>
      </c>
      <c r="G365" s="12" t="n">
        <v>0.58726412037037</v>
      </c>
      <c r="H365" s="10" t="s">
        <v>29</v>
      </c>
      <c r="I365" s="13" t="n">
        <v>25</v>
      </c>
      <c r="J365" s="13" t="n">
        <v>215</v>
      </c>
      <c r="K365" s="13" t="n">
        <v>5375</v>
      </c>
      <c r="L365" s="10" t="s">
        <v>1240</v>
      </c>
      <c r="M365" s="10" t="s">
        <v>1241</v>
      </c>
      <c r="N365" s="10" t="s">
        <v>1242</v>
      </c>
      <c r="O365" s="10" t="s">
        <v>61</v>
      </c>
      <c r="P365" s="10" t="s">
        <v>62</v>
      </c>
    </row>
    <row r="366" customFormat="false" ht="15.75" hidden="false" customHeight="false" outlineLevel="0" collapsed="false">
      <c r="A366" s="10" t="s">
        <v>16</v>
      </c>
      <c r="B366" s="10" t="s">
        <v>366</v>
      </c>
      <c r="C366" s="10" t="s">
        <v>367</v>
      </c>
      <c r="D366" s="10" t="s">
        <v>142</v>
      </c>
      <c r="E366" s="10" t="s">
        <v>28</v>
      </c>
      <c r="F366" s="11" t="n">
        <v>45137</v>
      </c>
      <c r="G366" s="12" t="n">
        <v>0.950766180555556</v>
      </c>
      <c r="H366" s="10" t="s">
        <v>37</v>
      </c>
      <c r="I366" s="13" t="n">
        <v>1</v>
      </c>
      <c r="J366" s="13" t="n">
        <v>708</v>
      </c>
      <c r="K366" s="13" t="n">
        <v>708</v>
      </c>
      <c r="L366" s="10" t="s">
        <v>1243</v>
      </c>
      <c r="M366" s="10" t="s">
        <v>1244</v>
      </c>
      <c r="N366" s="10"/>
      <c r="O366" s="10" t="s">
        <v>23</v>
      </c>
      <c r="P366" s="10" t="s">
        <v>24</v>
      </c>
    </row>
    <row r="367" customFormat="false" ht="15.75" hidden="false" customHeight="false" outlineLevel="0" collapsed="false">
      <c r="A367" s="10" t="s">
        <v>16</v>
      </c>
      <c r="B367" s="10" t="s">
        <v>1245</v>
      </c>
      <c r="C367" s="10" t="s">
        <v>1246</v>
      </c>
      <c r="D367" s="10" t="s">
        <v>1247</v>
      </c>
      <c r="E367" s="10" t="s">
        <v>36</v>
      </c>
      <c r="F367" s="11" t="n">
        <v>45137</v>
      </c>
      <c r="G367" s="12" t="n">
        <v>0.820513263888889</v>
      </c>
      <c r="H367" s="10" t="s">
        <v>29</v>
      </c>
      <c r="I367" s="13" t="n">
        <v>16</v>
      </c>
      <c r="J367" s="13" t="n">
        <v>1230</v>
      </c>
      <c r="K367" s="13" t="n">
        <v>19680</v>
      </c>
      <c r="L367" s="10" t="s">
        <v>1248</v>
      </c>
      <c r="M367" s="10" t="s">
        <v>1249</v>
      </c>
      <c r="N367" s="10" t="s">
        <v>1250</v>
      </c>
      <c r="O367" s="10" t="s">
        <v>61</v>
      </c>
      <c r="P367" s="10" t="s">
        <v>62</v>
      </c>
    </row>
    <row r="368" customFormat="false" ht="15.75" hidden="false" customHeight="false" outlineLevel="0" collapsed="false">
      <c r="A368" s="10" t="s">
        <v>16</v>
      </c>
      <c r="B368" s="10" t="s">
        <v>1245</v>
      </c>
      <c r="C368" s="10" t="s">
        <v>1246</v>
      </c>
      <c r="D368" s="10" t="s">
        <v>1247</v>
      </c>
      <c r="E368" s="10" t="s">
        <v>36</v>
      </c>
      <c r="F368" s="11" t="n">
        <v>45137</v>
      </c>
      <c r="G368" s="12" t="n">
        <v>0.515801608796296</v>
      </c>
      <c r="H368" s="10" t="s">
        <v>29</v>
      </c>
      <c r="I368" s="13" t="n">
        <v>30</v>
      </c>
      <c r="J368" s="13" t="n">
        <v>1230</v>
      </c>
      <c r="K368" s="13" t="n">
        <v>36900</v>
      </c>
      <c r="L368" s="10" t="s">
        <v>1251</v>
      </c>
      <c r="M368" s="10" t="s">
        <v>1252</v>
      </c>
      <c r="N368" s="10" t="s">
        <v>1250</v>
      </c>
      <c r="O368" s="10" t="s">
        <v>61</v>
      </c>
      <c r="P368" s="10" t="s">
        <v>62</v>
      </c>
    </row>
    <row r="369" customFormat="false" ht="15.75" hidden="false" customHeight="false" outlineLevel="0" collapsed="false">
      <c r="A369" s="10" t="s">
        <v>16</v>
      </c>
      <c r="B369" s="10" t="s">
        <v>650</v>
      </c>
      <c r="C369" s="10" t="s">
        <v>651</v>
      </c>
      <c r="D369" s="10" t="s">
        <v>652</v>
      </c>
      <c r="E369" s="10" t="s">
        <v>28</v>
      </c>
      <c r="F369" s="11" t="n">
        <v>45138</v>
      </c>
      <c r="G369" s="12" t="n">
        <v>0.929586805555556</v>
      </c>
      <c r="H369" s="10" t="s">
        <v>37</v>
      </c>
      <c r="I369" s="13" t="n">
        <v>1</v>
      </c>
      <c r="J369" s="13" t="n">
        <v>708</v>
      </c>
      <c r="K369" s="13" t="n">
        <v>708</v>
      </c>
      <c r="L369" s="10" t="s">
        <v>1253</v>
      </c>
      <c r="M369" s="10" t="s">
        <v>1254</v>
      </c>
      <c r="N369" s="10"/>
      <c r="O369" s="10" t="s">
        <v>23</v>
      </c>
      <c r="P369" s="10" t="s">
        <v>24</v>
      </c>
    </row>
    <row r="370" customFormat="false" ht="15.75" hidden="false" customHeight="false" outlineLevel="0" collapsed="false">
      <c r="A370" s="10" t="s">
        <v>16</v>
      </c>
      <c r="B370" s="10" t="s">
        <v>1255</v>
      </c>
      <c r="C370" s="10" t="s">
        <v>1256</v>
      </c>
      <c r="D370" s="10" t="s">
        <v>779</v>
      </c>
      <c r="E370" s="10" t="s">
        <v>28</v>
      </c>
      <c r="F370" s="11" t="n">
        <v>45138</v>
      </c>
      <c r="G370" s="12" t="n">
        <v>0.92835130787037</v>
      </c>
      <c r="H370" s="10" t="s">
        <v>37</v>
      </c>
      <c r="I370" s="13" t="n">
        <v>1</v>
      </c>
      <c r="J370" s="13" t="n">
        <v>920</v>
      </c>
      <c r="K370" s="13" t="n">
        <v>920</v>
      </c>
      <c r="L370" s="10" t="s">
        <v>1257</v>
      </c>
      <c r="M370" s="10" t="s">
        <v>1258</v>
      </c>
      <c r="N370" s="10"/>
      <c r="O370" s="10" t="s">
        <v>23</v>
      </c>
      <c r="P370" s="10" t="s">
        <v>24</v>
      </c>
    </row>
    <row r="371" customFormat="false" ht="15.75" hidden="false" customHeight="false" outlineLevel="0" collapsed="false">
      <c r="A371" s="10" t="s">
        <v>16</v>
      </c>
      <c r="B371" s="10" t="s">
        <v>1259</v>
      </c>
      <c r="C371" s="10" t="s">
        <v>1260</v>
      </c>
      <c r="D371" s="10" t="s">
        <v>1247</v>
      </c>
      <c r="E371" s="10" t="s">
        <v>36</v>
      </c>
      <c r="F371" s="11" t="n">
        <v>45138</v>
      </c>
      <c r="G371" s="12" t="n">
        <v>0.791135486111111</v>
      </c>
      <c r="H371" s="10" t="s">
        <v>29</v>
      </c>
      <c r="I371" s="13" t="n">
        <v>1349</v>
      </c>
      <c r="J371" s="13" t="n">
        <v>291.35</v>
      </c>
      <c r="K371" s="13" t="n">
        <v>393031.15</v>
      </c>
      <c r="L371" s="10" t="s">
        <v>1261</v>
      </c>
      <c r="M371" s="10" t="s">
        <v>1262</v>
      </c>
      <c r="N371" s="10" t="s">
        <v>1263</v>
      </c>
      <c r="O371" s="10" t="s">
        <v>61</v>
      </c>
      <c r="P371" s="10" t="s">
        <v>62</v>
      </c>
    </row>
    <row r="372" customFormat="false" ht="15.75" hidden="false" customHeight="false" outlineLevel="0" collapsed="false">
      <c r="A372" s="10" t="s">
        <v>16</v>
      </c>
      <c r="B372" s="10" t="s">
        <v>1264</v>
      </c>
      <c r="C372" s="10" t="s">
        <v>1265</v>
      </c>
      <c r="D372" s="10" t="s">
        <v>923</v>
      </c>
      <c r="E372" s="10" t="s">
        <v>924</v>
      </c>
      <c r="F372" s="11" t="n">
        <v>45138</v>
      </c>
      <c r="G372" s="12" t="n">
        <v>0.396387430555556</v>
      </c>
      <c r="H372" s="10" t="s">
        <v>37</v>
      </c>
      <c r="I372" s="13" t="n">
        <v>20</v>
      </c>
      <c r="J372" s="13" t="n">
        <v>247.74</v>
      </c>
      <c r="K372" s="13" t="n">
        <v>4954.8</v>
      </c>
      <c r="L372" s="10" t="s">
        <v>1266</v>
      </c>
      <c r="M372" s="10" t="s">
        <v>1267</v>
      </c>
      <c r="N372" s="10"/>
      <c r="O372" s="10" t="s">
        <v>61</v>
      </c>
      <c r="P372" s="10" t="s">
        <v>62</v>
      </c>
    </row>
    <row r="373" customFormat="false" ht="15.75" hidden="false" customHeight="false" outlineLevel="0" collapsed="false">
      <c r="A373" s="10" t="s">
        <v>16</v>
      </c>
      <c r="B373" s="10" t="s">
        <v>1268</v>
      </c>
      <c r="C373" s="10" t="s">
        <v>1269</v>
      </c>
      <c r="D373" s="10" t="s">
        <v>923</v>
      </c>
      <c r="E373" s="10" t="s">
        <v>924</v>
      </c>
      <c r="F373" s="11" t="n">
        <v>45138</v>
      </c>
      <c r="G373" s="12" t="n">
        <v>0.395963541666667</v>
      </c>
      <c r="H373" s="10" t="s">
        <v>37</v>
      </c>
      <c r="I373" s="13" t="n">
        <v>8</v>
      </c>
      <c r="J373" s="13" t="n">
        <v>1903.5</v>
      </c>
      <c r="K373" s="13" t="n">
        <v>15228</v>
      </c>
      <c r="L373" s="10" t="s">
        <v>1270</v>
      </c>
      <c r="M373" s="10" t="s">
        <v>1271</v>
      </c>
      <c r="N373" s="10"/>
      <c r="O373" s="10" t="s">
        <v>61</v>
      </c>
      <c r="P373" s="10" t="s">
        <v>62</v>
      </c>
    </row>
    <row r="374" customFormat="false" ht="15.75" hidden="false" customHeight="false" outlineLevel="0" collapsed="false">
      <c r="A374" s="10" t="s">
        <v>16</v>
      </c>
      <c r="B374" s="10" t="s">
        <v>1272</v>
      </c>
      <c r="C374" s="10" t="s">
        <v>1273</v>
      </c>
      <c r="D374" s="10" t="s">
        <v>1274</v>
      </c>
      <c r="E374" s="10" t="s">
        <v>924</v>
      </c>
      <c r="F374" s="11" t="n">
        <v>45138</v>
      </c>
      <c r="G374" s="12" t="n">
        <v>0.38894931712963</v>
      </c>
      <c r="H374" s="10" t="s">
        <v>37</v>
      </c>
      <c r="I374" s="13" t="n">
        <v>5</v>
      </c>
      <c r="J374" s="13" t="n">
        <v>1781.25</v>
      </c>
      <c r="K374" s="13" t="n">
        <v>8906.25</v>
      </c>
      <c r="L374" s="10" t="s">
        <v>1275</v>
      </c>
      <c r="M374" s="10" t="s">
        <v>1276</v>
      </c>
      <c r="N374" s="10"/>
      <c r="O374" s="10" t="s">
        <v>61</v>
      </c>
      <c r="P374" s="10" t="s">
        <v>62</v>
      </c>
    </row>
    <row r="375" customFormat="false" ht="15.75" hidden="false" customHeight="false" outlineLevel="0" collapsed="false">
      <c r="A375" s="10" t="s">
        <v>16</v>
      </c>
      <c r="B375" s="10" t="s">
        <v>1277</v>
      </c>
      <c r="C375" s="10" t="s">
        <v>1278</v>
      </c>
      <c r="D375" s="10" t="s">
        <v>923</v>
      </c>
      <c r="E375" s="10" t="s">
        <v>924</v>
      </c>
      <c r="F375" s="11" t="n">
        <v>45138</v>
      </c>
      <c r="G375" s="12" t="n">
        <v>0.387911087962963</v>
      </c>
      <c r="H375" s="10" t="s">
        <v>37</v>
      </c>
      <c r="I375" s="13" t="n">
        <v>2</v>
      </c>
      <c r="J375" s="13" t="n">
        <v>1272.75</v>
      </c>
      <c r="K375" s="13" t="n">
        <v>2545.5</v>
      </c>
      <c r="L375" s="10" t="s">
        <v>1279</v>
      </c>
      <c r="M375" s="10" t="s">
        <v>1280</v>
      </c>
      <c r="N375" s="10"/>
      <c r="O375" s="10" t="s">
        <v>61</v>
      </c>
      <c r="P375" s="10" t="s">
        <v>62</v>
      </c>
    </row>
    <row r="376" customFormat="false" ht="15.75" hidden="false" customHeight="false" outlineLevel="0" collapsed="false">
      <c r="A376" s="10" t="s">
        <v>16</v>
      </c>
      <c r="B376" s="10" t="s">
        <v>1281</v>
      </c>
      <c r="C376" s="10" t="s">
        <v>1282</v>
      </c>
      <c r="D376" s="10" t="s">
        <v>1142</v>
      </c>
      <c r="E376" s="10" t="s">
        <v>28</v>
      </c>
      <c r="F376" s="11" t="n">
        <v>45139</v>
      </c>
      <c r="G376" s="12" t="n">
        <v>0.968335486111111</v>
      </c>
      <c r="H376" s="10" t="s">
        <v>37</v>
      </c>
      <c r="I376" s="13" t="n">
        <v>1</v>
      </c>
      <c r="J376" s="13" t="n">
        <v>726</v>
      </c>
      <c r="K376" s="13" t="n">
        <v>726</v>
      </c>
      <c r="L376" s="10" t="s">
        <v>1283</v>
      </c>
      <c r="M376" s="10" t="s">
        <v>1284</v>
      </c>
      <c r="N376" s="10"/>
      <c r="O376" s="10" t="s">
        <v>23</v>
      </c>
      <c r="P376" s="10" t="s">
        <v>24</v>
      </c>
    </row>
    <row r="377" customFormat="false" ht="15.75" hidden="false" customHeight="false" outlineLevel="0" collapsed="false">
      <c r="A377" s="10" t="s">
        <v>16</v>
      </c>
      <c r="B377" s="10" t="s">
        <v>1285</v>
      </c>
      <c r="C377" s="10" t="s">
        <v>1286</v>
      </c>
      <c r="D377" s="10" t="s">
        <v>1142</v>
      </c>
      <c r="E377" s="10" t="s">
        <v>28</v>
      </c>
      <c r="F377" s="11" t="n">
        <v>45139</v>
      </c>
      <c r="G377" s="12" t="n">
        <v>0.964287199074074</v>
      </c>
      <c r="H377" s="10" t="s">
        <v>21</v>
      </c>
      <c r="I377" s="13" t="n">
        <v>2</v>
      </c>
      <c r="J377" s="13" t="n">
        <v>576</v>
      </c>
      <c r="K377" s="13" t="n">
        <v>1152</v>
      </c>
      <c r="L377" s="10" t="s">
        <v>1287</v>
      </c>
      <c r="M377" s="10"/>
      <c r="N377" s="10"/>
      <c r="O377" s="10" t="s">
        <v>23</v>
      </c>
      <c r="P377" s="10" t="s">
        <v>24</v>
      </c>
    </row>
    <row r="378" customFormat="false" ht="15.75" hidden="false" customHeight="false" outlineLevel="0" collapsed="false">
      <c r="A378" s="10" t="s">
        <v>16</v>
      </c>
      <c r="B378" s="10" t="s">
        <v>1285</v>
      </c>
      <c r="C378" s="10" t="s">
        <v>1286</v>
      </c>
      <c r="D378" s="10" t="s">
        <v>1142</v>
      </c>
      <c r="E378" s="10" t="s">
        <v>28</v>
      </c>
      <c r="F378" s="11" t="n">
        <v>45139</v>
      </c>
      <c r="G378" s="12" t="n">
        <v>0.96323837962963</v>
      </c>
      <c r="H378" s="10" t="s">
        <v>37</v>
      </c>
      <c r="I378" s="13" t="n">
        <v>3</v>
      </c>
      <c r="J378" s="13" t="n">
        <v>576</v>
      </c>
      <c r="K378" s="13" t="n">
        <v>1728</v>
      </c>
      <c r="L378" s="10" t="s">
        <v>1288</v>
      </c>
      <c r="M378" s="10" t="s">
        <v>1289</v>
      </c>
      <c r="N378" s="10"/>
      <c r="O378" s="10" t="s">
        <v>23</v>
      </c>
      <c r="P378" s="10" t="s">
        <v>24</v>
      </c>
    </row>
    <row r="379" customFormat="false" ht="15.75" hidden="false" customHeight="false" outlineLevel="0" collapsed="false">
      <c r="A379" s="10" t="s">
        <v>16</v>
      </c>
      <c r="B379" s="10" t="s">
        <v>1290</v>
      </c>
      <c r="C379" s="10" t="s">
        <v>1291</v>
      </c>
      <c r="D379" s="10" t="s">
        <v>19</v>
      </c>
      <c r="E379" s="10" t="s">
        <v>333</v>
      </c>
      <c r="F379" s="11" t="n">
        <v>45140</v>
      </c>
      <c r="G379" s="12" t="n">
        <v>0.955426203703704</v>
      </c>
      <c r="H379" s="10" t="s">
        <v>21</v>
      </c>
      <c r="I379" s="13" t="n">
        <v>1</v>
      </c>
      <c r="J379" s="13" t="n">
        <v>94</v>
      </c>
      <c r="K379" s="13" t="n">
        <v>94</v>
      </c>
      <c r="L379" s="10" t="s">
        <v>1292</v>
      </c>
      <c r="M379" s="10"/>
      <c r="N379" s="10"/>
      <c r="O379" s="10" t="s">
        <v>23</v>
      </c>
      <c r="P379" s="10" t="s">
        <v>24</v>
      </c>
    </row>
    <row r="380" customFormat="false" ht="15.75" hidden="false" customHeight="false" outlineLevel="0" collapsed="false">
      <c r="A380" s="10" t="s">
        <v>16</v>
      </c>
      <c r="B380" s="10" t="s">
        <v>1293</v>
      </c>
      <c r="C380" s="10" t="s">
        <v>1294</v>
      </c>
      <c r="D380" s="10" t="s">
        <v>106</v>
      </c>
      <c r="E380" s="10" t="s">
        <v>107</v>
      </c>
      <c r="F380" s="11" t="n">
        <v>45142</v>
      </c>
      <c r="G380" s="12" t="n">
        <v>0.825190821759259</v>
      </c>
      <c r="H380" s="10" t="s">
        <v>21</v>
      </c>
      <c r="I380" s="13" t="n">
        <v>1</v>
      </c>
      <c r="J380" s="13" t="n">
        <v>507.83</v>
      </c>
      <c r="K380" s="13" t="n">
        <v>507.83</v>
      </c>
      <c r="L380" s="10" t="s">
        <v>1295</v>
      </c>
      <c r="M380" s="10"/>
      <c r="N380" s="10"/>
      <c r="O380" s="10" t="s">
        <v>23</v>
      </c>
      <c r="P380" s="10" t="s">
        <v>24</v>
      </c>
    </row>
    <row r="381" customFormat="false" ht="15.75" hidden="false" customHeight="false" outlineLevel="0" collapsed="false">
      <c r="A381" s="10" t="s">
        <v>16</v>
      </c>
      <c r="B381" s="10" t="s">
        <v>1296</v>
      </c>
      <c r="C381" s="10" t="s">
        <v>1297</v>
      </c>
      <c r="D381" s="10" t="s">
        <v>552</v>
      </c>
      <c r="E381" s="10" t="s">
        <v>553</v>
      </c>
      <c r="F381" s="11" t="n">
        <v>45142</v>
      </c>
      <c r="G381" s="12" t="n">
        <v>0.8225803125</v>
      </c>
      <c r="H381" s="10" t="s">
        <v>21</v>
      </c>
      <c r="I381" s="13" t="n">
        <v>24</v>
      </c>
      <c r="J381" s="13" t="n">
        <v>515</v>
      </c>
      <c r="K381" s="13" t="n">
        <v>12360</v>
      </c>
      <c r="L381" s="10" t="s">
        <v>1298</v>
      </c>
      <c r="M381" s="10"/>
      <c r="N381" s="10"/>
      <c r="O381" s="10" t="s">
        <v>23</v>
      </c>
      <c r="P381" s="10" t="s">
        <v>24</v>
      </c>
    </row>
    <row r="382" customFormat="false" ht="15.75" hidden="false" customHeight="false" outlineLevel="0" collapsed="false">
      <c r="A382" s="10" t="s">
        <v>16</v>
      </c>
      <c r="B382" s="10" t="s">
        <v>1299</v>
      </c>
      <c r="C382" s="10" t="s">
        <v>1300</v>
      </c>
      <c r="D382" s="10" t="s">
        <v>850</v>
      </c>
      <c r="E382" s="10" t="s">
        <v>66</v>
      </c>
      <c r="F382" s="11" t="n">
        <v>45142</v>
      </c>
      <c r="G382" s="12" t="n">
        <v>0.656198900462963</v>
      </c>
      <c r="H382" s="10" t="s">
        <v>37</v>
      </c>
      <c r="I382" s="13" t="n">
        <v>120</v>
      </c>
      <c r="J382" s="13" t="n">
        <v>199.69</v>
      </c>
      <c r="K382" s="13" t="n">
        <v>23962.8</v>
      </c>
      <c r="L382" s="10" t="s">
        <v>1301</v>
      </c>
      <c r="M382" s="10"/>
      <c r="N382" s="10"/>
      <c r="O382" s="10" t="s">
        <v>1302</v>
      </c>
      <c r="P382" s="10" t="s">
        <v>1303</v>
      </c>
    </row>
    <row r="383" customFormat="false" ht="15.75" hidden="false" customHeight="false" outlineLevel="0" collapsed="false">
      <c r="A383" s="10" t="s">
        <v>16</v>
      </c>
      <c r="B383" s="10" t="s">
        <v>1304</v>
      </c>
      <c r="C383" s="10" t="s">
        <v>1305</v>
      </c>
      <c r="D383" s="10" t="s">
        <v>487</v>
      </c>
      <c r="E383" s="10" t="s">
        <v>333</v>
      </c>
      <c r="F383" s="11" t="n">
        <v>45143</v>
      </c>
      <c r="G383" s="12" t="n">
        <v>0.97930943287037</v>
      </c>
      <c r="H383" s="10" t="s">
        <v>29</v>
      </c>
      <c r="I383" s="13" t="n">
        <v>1</v>
      </c>
      <c r="J383" s="13" t="n">
        <v>2750</v>
      </c>
      <c r="K383" s="13" t="n">
        <v>2750</v>
      </c>
      <c r="L383" s="10" t="s">
        <v>1306</v>
      </c>
      <c r="M383" s="10" t="s">
        <v>1307</v>
      </c>
      <c r="N383" s="10" t="s">
        <v>1308</v>
      </c>
      <c r="O383" s="10" t="s">
        <v>23</v>
      </c>
      <c r="P383" s="10" t="s">
        <v>24</v>
      </c>
    </row>
    <row r="384" customFormat="false" ht="15.75" hidden="false" customHeight="false" outlineLevel="0" collapsed="false">
      <c r="A384" s="10" t="s">
        <v>16</v>
      </c>
      <c r="B384" s="10" t="s">
        <v>78</v>
      </c>
      <c r="C384" s="10" t="s">
        <v>79</v>
      </c>
      <c r="D384" s="10" t="s">
        <v>80</v>
      </c>
      <c r="E384" s="10" t="s">
        <v>28</v>
      </c>
      <c r="F384" s="11" t="n">
        <v>45143</v>
      </c>
      <c r="G384" s="12" t="n">
        <v>0.863720972222222</v>
      </c>
      <c r="H384" s="10" t="s">
        <v>37</v>
      </c>
      <c r="I384" s="13" t="n">
        <v>1</v>
      </c>
      <c r="J384" s="13" t="n">
        <v>175</v>
      </c>
      <c r="K384" s="13" t="n">
        <v>175</v>
      </c>
      <c r="L384" s="10" t="s">
        <v>1309</v>
      </c>
      <c r="M384" s="10" t="s">
        <v>1310</v>
      </c>
      <c r="N384" s="10"/>
      <c r="O384" s="10" t="s">
        <v>23</v>
      </c>
      <c r="P384" s="10" t="s">
        <v>24</v>
      </c>
    </row>
    <row r="385" customFormat="false" ht="15.75" hidden="false" customHeight="false" outlineLevel="0" collapsed="false">
      <c r="A385" s="10" t="s">
        <v>16</v>
      </c>
      <c r="B385" s="10" t="s">
        <v>1311</v>
      </c>
      <c r="C385" s="10" t="s">
        <v>1312</v>
      </c>
      <c r="D385" s="10" t="s">
        <v>1313</v>
      </c>
      <c r="E385" s="10" t="s">
        <v>553</v>
      </c>
      <c r="F385" s="11" t="n">
        <v>45144</v>
      </c>
      <c r="G385" s="12" t="n">
        <v>0.954081666666667</v>
      </c>
      <c r="H385" s="10" t="s">
        <v>21</v>
      </c>
      <c r="I385" s="13" t="n">
        <v>1</v>
      </c>
      <c r="J385" s="13" t="n">
        <v>220</v>
      </c>
      <c r="K385" s="13" t="n">
        <v>220</v>
      </c>
      <c r="L385" s="10" t="s">
        <v>1295</v>
      </c>
      <c r="M385" s="10"/>
      <c r="N385" s="10"/>
      <c r="O385" s="10" t="s">
        <v>23</v>
      </c>
      <c r="P385" s="10" t="s">
        <v>24</v>
      </c>
    </row>
    <row r="386" customFormat="false" ht="15.75" hidden="false" customHeight="false" outlineLevel="0" collapsed="false">
      <c r="A386" s="10" t="s">
        <v>16</v>
      </c>
      <c r="B386" s="10" t="s">
        <v>1314</v>
      </c>
      <c r="C386" s="10" t="s">
        <v>1315</v>
      </c>
      <c r="D386" s="10" t="s">
        <v>1316</v>
      </c>
      <c r="E386" s="10" t="s">
        <v>28</v>
      </c>
      <c r="F386" s="11" t="n">
        <v>45144</v>
      </c>
      <c r="G386" s="12" t="n">
        <v>0.938166064814815</v>
      </c>
      <c r="H386" s="10" t="s">
        <v>37</v>
      </c>
      <c r="I386" s="13" t="n">
        <v>1</v>
      </c>
      <c r="J386" s="13" t="n">
        <v>425</v>
      </c>
      <c r="K386" s="13" t="n">
        <v>425</v>
      </c>
      <c r="L386" s="10" t="s">
        <v>1317</v>
      </c>
      <c r="M386" s="10" t="s">
        <v>1318</v>
      </c>
      <c r="N386" s="10"/>
      <c r="O386" s="10" t="s">
        <v>23</v>
      </c>
      <c r="P386" s="10" t="s">
        <v>24</v>
      </c>
    </row>
    <row r="387" customFormat="false" ht="15.75" hidden="false" customHeight="false" outlineLevel="0" collapsed="false">
      <c r="A387" s="10" t="s">
        <v>16</v>
      </c>
      <c r="B387" s="10" t="s">
        <v>1319</v>
      </c>
      <c r="C387" s="10" t="s">
        <v>1320</v>
      </c>
      <c r="D387" s="10" t="s">
        <v>74</v>
      </c>
      <c r="E387" s="10" t="s">
        <v>66</v>
      </c>
      <c r="F387" s="11" t="n">
        <v>45144</v>
      </c>
      <c r="G387" s="12" t="n">
        <v>0.823554780092593</v>
      </c>
      <c r="H387" s="10" t="s">
        <v>37</v>
      </c>
      <c r="I387" s="13" t="n">
        <v>1</v>
      </c>
      <c r="J387" s="13" t="n">
        <v>122.67</v>
      </c>
      <c r="K387" s="13" t="n">
        <v>122.67</v>
      </c>
      <c r="L387" s="10" t="s">
        <v>1321</v>
      </c>
      <c r="M387" s="10" t="s">
        <v>1322</v>
      </c>
      <c r="N387" s="10"/>
      <c r="O387" s="10" t="s">
        <v>23</v>
      </c>
      <c r="P387" s="10" t="s">
        <v>24</v>
      </c>
    </row>
    <row r="388" customFormat="false" ht="15.75" hidden="false" customHeight="false" outlineLevel="0" collapsed="false">
      <c r="A388" s="10" t="s">
        <v>16</v>
      </c>
      <c r="B388" s="10" t="s">
        <v>468</v>
      </c>
      <c r="C388" s="10" t="s">
        <v>469</v>
      </c>
      <c r="D388" s="10" t="s">
        <v>230</v>
      </c>
      <c r="E388" s="10" t="s">
        <v>231</v>
      </c>
      <c r="F388" s="11" t="n">
        <v>45145</v>
      </c>
      <c r="G388" s="12" t="n">
        <v>0.910086655092593</v>
      </c>
      <c r="H388" s="10" t="s">
        <v>37</v>
      </c>
      <c r="I388" s="13" t="n">
        <v>1</v>
      </c>
      <c r="J388" s="13" t="n">
        <v>614.12</v>
      </c>
      <c r="K388" s="13" t="n">
        <v>614.12</v>
      </c>
      <c r="L388" s="10" t="s">
        <v>1323</v>
      </c>
      <c r="M388" s="10" t="s">
        <v>1324</v>
      </c>
      <c r="N388" s="10"/>
      <c r="O388" s="10" t="s">
        <v>23</v>
      </c>
      <c r="P388" s="10" t="s">
        <v>24</v>
      </c>
    </row>
    <row r="389" customFormat="false" ht="15.75" hidden="false" customHeight="false" outlineLevel="0" collapsed="false">
      <c r="A389" s="10" t="s">
        <v>16</v>
      </c>
      <c r="B389" s="10" t="s">
        <v>582</v>
      </c>
      <c r="C389" s="10" t="s">
        <v>583</v>
      </c>
      <c r="D389" s="10" t="s">
        <v>308</v>
      </c>
      <c r="E389" s="10" t="s">
        <v>96</v>
      </c>
      <c r="F389" s="11" t="n">
        <v>45145</v>
      </c>
      <c r="G389" s="12" t="n">
        <v>0.909060127314815</v>
      </c>
      <c r="H389" s="10" t="s">
        <v>37</v>
      </c>
      <c r="I389" s="13" t="n">
        <v>1</v>
      </c>
      <c r="J389" s="13" t="n">
        <v>91.5</v>
      </c>
      <c r="K389" s="13" t="n">
        <v>91.5</v>
      </c>
      <c r="L389" s="10" t="s">
        <v>1325</v>
      </c>
      <c r="M389" s="10" t="s">
        <v>1326</v>
      </c>
      <c r="N389" s="10"/>
      <c r="O389" s="10" t="s">
        <v>23</v>
      </c>
      <c r="P389" s="10" t="s">
        <v>24</v>
      </c>
    </row>
    <row r="390" customFormat="false" ht="15.75" hidden="false" customHeight="false" outlineLevel="0" collapsed="false">
      <c r="A390" s="10" t="s">
        <v>16</v>
      </c>
      <c r="B390" s="10" t="s">
        <v>99</v>
      </c>
      <c r="C390" s="10" t="s">
        <v>1635</v>
      </c>
      <c r="D390" s="10" t="s">
        <v>101</v>
      </c>
      <c r="E390" s="10" t="s">
        <v>96</v>
      </c>
      <c r="F390" s="11" t="n">
        <v>45145</v>
      </c>
      <c r="G390" s="12" t="n">
        <v>0.907988229166667</v>
      </c>
      <c r="H390" s="10" t="s">
        <v>37</v>
      </c>
      <c r="I390" s="13" t="n">
        <v>2</v>
      </c>
      <c r="J390" s="13" t="n">
        <v>55.21</v>
      </c>
      <c r="K390" s="13" t="n">
        <v>110.42</v>
      </c>
      <c r="L390" s="10" t="s">
        <v>1327</v>
      </c>
      <c r="M390" s="10" t="s">
        <v>1328</v>
      </c>
      <c r="N390" s="10"/>
      <c r="O390" s="10" t="s">
        <v>23</v>
      </c>
      <c r="P390" s="10" t="s">
        <v>24</v>
      </c>
    </row>
    <row r="391" customFormat="false" ht="15.75" hidden="false" customHeight="false" outlineLevel="0" collapsed="false">
      <c r="A391" s="10" t="s">
        <v>16</v>
      </c>
      <c r="B391" s="10" t="s">
        <v>817</v>
      </c>
      <c r="C391" s="10" t="s">
        <v>818</v>
      </c>
      <c r="D391" s="10" t="s">
        <v>819</v>
      </c>
      <c r="E391" s="10" t="s">
        <v>90</v>
      </c>
      <c r="F391" s="11" t="n">
        <v>45147</v>
      </c>
      <c r="G391" s="12" t="n">
        <v>0.9470921875</v>
      </c>
      <c r="H391" s="10" t="s">
        <v>37</v>
      </c>
      <c r="I391" s="13" t="n">
        <v>1</v>
      </c>
      <c r="J391" s="13" t="n">
        <v>2100</v>
      </c>
      <c r="K391" s="13" t="n">
        <v>2100</v>
      </c>
      <c r="L391" s="10" t="s">
        <v>1329</v>
      </c>
      <c r="M391" s="10" t="s">
        <v>1330</v>
      </c>
      <c r="N391" s="10"/>
      <c r="O391" s="10" t="s">
        <v>23</v>
      </c>
      <c r="P391" s="10" t="s">
        <v>24</v>
      </c>
    </row>
    <row r="392" customFormat="false" ht="15.75" hidden="false" customHeight="false" outlineLevel="0" collapsed="false">
      <c r="A392" s="10" t="s">
        <v>16</v>
      </c>
      <c r="B392" s="10" t="s">
        <v>1331</v>
      </c>
      <c r="C392" s="10" t="s">
        <v>1332</v>
      </c>
      <c r="D392" s="10" t="s">
        <v>937</v>
      </c>
      <c r="E392" s="10" t="s">
        <v>71</v>
      </c>
      <c r="F392" s="11" t="n">
        <v>45147</v>
      </c>
      <c r="G392" s="12" t="n">
        <v>0.931431851851852</v>
      </c>
      <c r="H392" s="10" t="s">
        <v>21</v>
      </c>
      <c r="I392" s="13" t="n">
        <v>1</v>
      </c>
      <c r="J392" s="13" t="n">
        <v>489.07</v>
      </c>
      <c r="K392" s="13" t="n">
        <v>489.07</v>
      </c>
      <c r="L392" s="10" t="s">
        <v>1333</v>
      </c>
      <c r="M392" s="10"/>
      <c r="N392" s="10"/>
      <c r="O392" s="10" t="s">
        <v>23</v>
      </c>
      <c r="P392" s="10" t="s">
        <v>24</v>
      </c>
    </row>
    <row r="393" customFormat="false" ht="15.75" hidden="false" customHeight="false" outlineLevel="0" collapsed="false">
      <c r="A393" s="10" t="s">
        <v>16</v>
      </c>
      <c r="B393" s="10" t="s">
        <v>1334</v>
      </c>
      <c r="C393" s="10" t="s">
        <v>1335</v>
      </c>
      <c r="D393" s="10" t="s">
        <v>19</v>
      </c>
      <c r="E393" s="10" t="s">
        <v>333</v>
      </c>
      <c r="F393" s="11" t="n">
        <v>45147</v>
      </c>
      <c r="G393" s="12" t="n">
        <v>0.732521273148148</v>
      </c>
      <c r="H393" s="10" t="s">
        <v>29</v>
      </c>
      <c r="I393" s="13" t="n">
        <v>13</v>
      </c>
      <c r="J393" s="13" t="n">
        <v>104</v>
      </c>
      <c r="K393" s="13" t="n">
        <v>1352</v>
      </c>
      <c r="L393" s="10" t="s">
        <v>1336</v>
      </c>
      <c r="M393" s="10" t="s">
        <v>1337</v>
      </c>
      <c r="N393" s="10" t="s">
        <v>1338</v>
      </c>
      <c r="O393" s="10" t="s">
        <v>61</v>
      </c>
      <c r="P393" s="10" t="s">
        <v>62</v>
      </c>
    </row>
    <row r="394" customFormat="false" ht="15.75" hidden="false" customHeight="false" outlineLevel="0" collapsed="false">
      <c r="A394" s="10" t="s">
        <v>16</v>
      </c>
      <c r="B394" s="10" t="s">
        <v>514</v>
      </c>
      <c r="C394" s="10" t="s">
        <v>515</v>
      </c>
      <c r="D394" s="10" t="s">
        <v>19</v>
      </c>
      <c r="E394" s="10" t="s">
        <v>20</v>
      </c>
      <c r="F394" s="11" t="n">
        <v>45147</v>
      </c>
      <c r="G394" s="12" t="n">
        <v>0.716053761574074</v>
      </c>
      <c r="H394" s="10" t="s">
        <v>29</v>
      </c>
      <c r="I394" s="13" t="n">
        <v>1</v>
      </c>
      <c r="J394" s="13" t="n">
        <v>2045</v>
      </c>
      <c r="K394" s="13" t="n">
        <v>2045</v>
      </c>
      <c r="L394" s="10" t="s">
        <v>1339</v>
      </c>
      <c r="M394" s="10" t="s">
        <v>1340</v>
      </c>
      <c r="N394" s="10" t="s">
        <v>1341</v>
      </c>
      <c r="O394" s="10" t="s">
        <v>61</v>
      </c>
      <c r="P394" s="10" t="s">
        <v>62</v>
      </c>
    </row>
    <row r="395" customFormat="false" ht="15.75" hidden="false" customHeight="false" outlineLevel="0" collapsed="false">
      <c r="A395" s="10" t="s">
        <v>16</v>
      </c>
      <c r="B395" s="10" t="s">
        <v>1342</v>
      </c>
      <c r="C395" s="10" t="s">
        <v>1343</v>
      </c>
      <c r="D395" s="10" t="s">
        <v>19</v>
      </c>
      <c r="E395" s="10" t="s">
        <v>333</v>
      </c>
      <c r="F395" s="11" t="n">
        <v>45147</v>
      </c>
      <c r="G395" s="12" t="n">
        <v>0.715397835648148</v>
      </c>
      <c r="H395" s="10" t="s">
        <v>29</v>
      </c>
      <c r="I395" s="13" t="n">
        <v>15</v>
      </c>
      <c r="J395" s="13" t="n">
        <v>400</v>
      </c>
      <c r="K395" s="13" t="n">
        <v>6000</v>
      </c>
      <c r="L395" s="10" t="s">
        <v>1344</v>
      </c>
      <c r="M395" s="10" t="s">
        <v>1345</v>
      </c>
      <c r="N395" s="10" t="s">
        <v>1338</v>
      </c>
      <c r="O395" s="10" t="s">
        <v>61</v>
      </c>
      <c r="P395" s="10" t="s">
        <v>62</v>
      </c>
    </row>
    <row r="396" customFormat="false" ht="15.75" hidden="false" customHeight="false" outlineLevel="0" collapsed="false">
      <c r="A396" s="10" t="s">
        <v>16</v>
      </c>
      <c r="B396" s="10" t="s">
        <v>1346</v>
      </c>
      <c r="C396" s="10" t="s">
        <v>1347</v>
      </c>
      <c r="D396" s="10" t="s">
        <v>19</v>
      </c>
      <c r="E396" s="10" t="s">
        <v>333</v>
      </c>
      <c r="F396" s="11" t="n">
        <v>45147</v>
      </c>
      <c r="G396" s="12" t="n">
        <v>0.714822835648148</v>
      </c>
      <c r="H396" s="10" t="s">
        <v>29</v>
      </c>
      <c r="I396" s="13" t="n">
        <v>7</v>
      </c>
      <c r="J396" s="13" t="n">
        <v>740</v>
      </c>
      <c r="K396" s="13" t="n">
        <v>5180</v>
      </c>
      <c r="L396" s="10" t="s">
        <v>1348</v>
      </c>
      <c r="M396" s="10" t="s">
        <v>1349</v>
      </c>
      <c r="N396" s="10" t="s">
        <v>1341</v>
      </c>
      <c r="O396" s="10" t="s">
        <v>61</v>
      </c>
      <c r="P396" s="10" t="s">
        <v>62</v>
      </c>
    </row>
    <row r="397" customFormat="false" ht="15.75" hidden="false" customHeight="false" outlineLevel="0" collapsed="false">
      <c r="A397" s="10" t="s">
        <v>16</v>
      </c>
      <c r="B397" s="10" t="s">
        <v>1350</v>
      </c>
      <c r="C397" s="10" t="s">
        <v>1351</v>
      </c>
      <c r="D397" s="10" t="s">
        <v>19</v>
      </c>
      <c r="E397" s="10" t="s">
        <v>20</v>
      </c>
      <c r="F397" s="11" t="n">
        <v>45147</v>
      </c>
      <c r="G397" s="12" t="n">
        <v>0.713911261574074</v>
      </c>
      <c r="H397" s="10" t="s">
        <v>29</v>
      </c>
      <c r="I397" s="13" t="n">
        <v>3</v>
      </c>
      <c r="J397" s="13" t="n">
        <v>2737</v>
      </c>
      <c r="K397" s="13" t="n">
        <v>8211</v>
      </c>
      <c r="L397" s="10" t="s">
        <v>1352</v>
      </c>
      <c r="M397" s="10" t="s">
        <v>1353</v>
      </c>
      <c r="N397" s="10" t="s">
        <v>1338</v>
      </c>
      <c r="O397" s="10" t="s">
        <v>61</v>
      </c>
      <c r="P397" s="10" t="s">
        <v>62</v>
      </c>
    </row>
    <row r="398" customFormat="false" ht="15.75" hidden="false" customHeight="false" outlineLevel="0" collapsed="false">
      <c r="A398" s="10" t="s">
        <v>16</v>
      </c>
      <c r="B398" s="10" t="s">
        <v>1354</v>
      </c>
      <c r="C398" s="10" t="s">
        <v>1355</v>
      </c>
      <c r="D398" s="10" t="s">
        <v>19</v>
      </c>
      <c r="E398" s="10" t="s">
        <v>20</v>
      </c>
      <c r="F398" s="11" t="n">
        <v>45147</v>
      </c>
      <c r="G398" s="12" t="n">
        <v>0.7126128125</v>
      </c>
      <c r="H398" s="10" t="s">
        <v>29</v>
      </c>
      <c r="I398" s="13" t="n">
        <v>5</v>
      </c>
      <c r="J398" s="13" t="n">
        <v>2021</v>
      </c>
      <c r="K398" s="13" t="n">
        <v>10105</v>
      </c>
      <c r="L398" s="10" t="s">
        <v>1356</v>
      </c>
      <c r="M398" s="10" t="s">
        <v>1357</v>
      </c>
      <c r="N398" s="10" t="s">
        <v>1358</v>
      </c>
      <c r="O398" s="10" t="s">
        <v>61</v>
      </c>
      <c r="P398" s="10" t="s">
        <v>62</v>
      </c>
    </row>
    <row r="399" customFormat="false" ht="15.75" hidden="false" customHeight="false" outlineLevel="0" collapsed="false">
      <c r="A399" s="10" t="s">
        <v>16</v>
      </c>
      <c r="B399" s="10" t="s">
        <v>1359</v>
      </c>
      <c r="C399" s="10" t="s">
        <v>1360</v>
      </c>
      <c r="D399" s="10" t="s">
        <v>89</v>
      </c>
      <c r="E399" s="10" t="s">
        <v>20</v>
      </c>
      <c r="F399" s="11" t="n">
        <v>45148</v>
      </c>
      <c r="G399" s="12" t="n">
        <v>0.481909328703704</v>
      </c>
      <c r="H399" s="10" t="s">
        <v>37</v>
      </c>
      <c r="I399" s="13" t="n">
        <v>3</v>
      </c>
      <c r="J399" s="13" t="n">
        <v>4470</v>
      </c>
      <c r="K399" s="13" t="n">
        <v>13410</v>
      </c>
      <c r="L399" s="10" t="s">
        <v>1361</v>
      </c>
      <c r="M399" s="10" t="s">
        <v>1362</v>
      </c>
      <c r="N399" s="10"/>
      <c r="O399" s="10" t="s">
        <v>61</v>
      </c>
      <c r="P399" s="10" t="s">
        <v>62</v>
      </c>
    </row>
    <row r="400" customFormat="false" ht="15.75" hidden="false" customHeight="false" outlineLevel="0" collapsed="false">
      <c r="A400" s="10" t="s">
        <v>16</v>
      </c>
      <c r="B400" s="10" t="s">
        <v>650</v>
      </c>
      <c r="C400" s="10" t="s">
        <v>651</v>
      </c>
      <c r="D400" s="10" t="s">
        <v>652</v>
      </c>
      <c r="E400" s="10" t="s">
        <v>28</v>
      </c>
      <c r="F400" s="11" t="n">
        <v>45149</v>
      </c>
      <c r="G400" s="12" t="n">
        <v>0.784529409722222</v>
      </c>
      <c r="H400" s="10" t="s">
        <v>21</v>
      </c>
      <c r="I400" s="13" t="n">
        <v>1</v>
      </c>
      <c r="J400" s="13" t="n">
        <v>708</v>
      </c>
      <c r="K400" s="13" t="n">
        <v>708</v>
      </c>
      <c r="L400" s="10" t="s">
        <v>1363</v>
      </c>
      <c r="M400" s="10"/>
      <c r="N400" s="10"/>
      <c r="O400" s="10" t="s">
        <v>23</v>
      </c>
      <c r="P400" s="10" t="s">
        <v>24</v>
      </c>
    </row>
    <row r="401" customFormat="false" ht="15.75" hidden="false" customHeight="false" outlineLevel="0" collapsed="false">
      <c r="A401" s="10" t="s">
        <v>16</v>
      </c>
      <c r="B401" s="10" t="s">
        <v>1364</v>
      </c>
      <c r="C401" s="10" t="s">
        <v>1365</v>
      </c>
      <c r="D401" s="10" t="s">
        <v>1142</v>
      </c>
      <c r="E401" s="10" t="s">
        <v>28</v>
      </c>
      <c r="F401" s="11" t="n">
        <v>45149</v>
      </c>
      <c r="G401" s="12" t="n">
        <v>0.658931400462963</v>
      </c>
      <c r="H401" s="10" t="s">
        <v>37</v>
      </c>
      <c r="I401" s="13" t="n">
        <v>1</v>
      </c>
      <c r="J401" s="13" t="n">
        <v>730</v>
      </c>
      <c r="K401" s="13" t="n">
        <v>730</v>
      </c>
      <c r="L401" s="10" t="s">
        <v>1366</v>
      </c>
      <c r="M401" s="10" t="s">
        <v>1367</v>
      </c>
      <c r="N401" s="10"/>
      <c r="O401" s="10" t="s">
        <v>23</v>
      </c>
      <c r="P401" s="10" t="s">
        <v>24</v>
      </c>
    </row>
    <row r="402" customFormat="false" ht="15.75" hidden="false" customHeight="false" outlineLevel="0" collapsed="false">
      <c r="A402" s="10" t="s">
        <v>16</v>
      </c>
      <c r="B402" s="10" t="s">
        <v>631</v>
      </c>
      <c r="C402" s="10" t="s">
        <v>632</v>
      </c>
      <c r="D402" s="10" t="s">
        <v>633</v>
      </c>
      <c r="E402" s="10" t="s">
        <v>208</v>
      </c>
      <c r="F402" s="11" t="n">
        <v>45150</v>
      </c>
      <c r="G402" s="12" t="n">
        <v>0.980018148148148</v>
      </c>
      <c r="H402" s="10" t="s">
        <v>37</v>
      </c>
      <c r="I402" s="13" t="n">
        <v>1</v>
      </c>
      <c r="J402" s="13" t="n">
        <v>135</v>
      </c>
      <c r="K402" s="13" t="n">
        <v>135</v>
      </c>
      <c r="L402" s="10" t="s">
        <v>1368</v>
      </c>
      <c r="M402" s="10" t="s">
        <v>1369</v>
      </c>
      <c r="N402" s="10"/>
      <c r="O402" s="10" t="s">
        <v>23</v>
      </c>
      <c r="P402" s="10" t="s">
        <v>24</v>
      </c>
    </row>
    <row r="403" customFormat="false" ht="15.75" hidden="false" customHeight="false" outlineLevel="0" collapsed="false">
      <c r="A403" s="10" t="s">
        <v>16</v>
      </c>
      <c r="B403" s="10" t="s">
        <v>1047</v>
      </c>
      <c r="C403" s="10" t="s">
        <v>1048</v>
      </c>
      <c r="D403" s="10" t="s">
        <v>659</v>
      </c>
      <c r="E403" s="10" t="s">
        <v>28</v>
      </c>
      <c r="F403" s="11" t="n">
        <v>45150</v>
      </c>
      <c r="G403" s="12" t="n">
        <v>0.961012465277778</v>
      </c>
      <c r="H403" s="10" t="s">
        <v>37</v>
      </c>
      <c r="I403" s="13" t="n">
        <v>1</v>
      </c>
      <c r="J403" s="13" t="n">
        <v>595</v>
      </c>
      <c r="K403" s="13" t="n">
        <v>595</v>
      </c>
      <c r="L403" s="10" t="s">
        <v>1370</v>
      </c>
      <c r="M403" s="10" t="s">
        <v>1371</v>
      </c>
      <c r="N403" s="10"/>
      <c r="O403" s="10" t="s">
        <v>23</v>
      </c>
      <c r="P403" s="10" t="s">
        <v>24</v>
      </c>
    </row>
    <row r="404" customFormat="false" ht="15.75" hidden="false" customHeight="false" outlineLevel="0" collapsed="false">
      <c r="A404" s="10" t="s">
        <v>16</v>
      </c>
      <c r="B404" s="10" t="s">
        <v>1372</v>
      </c>
      <c r="C404" s="10" t="s">
        <v>1373</v>
      </c>
      <c r="D404" s="10" t="s">
        <v>527</v>
      </c>
      <c r="E404" s="10" t="s">
        <v>148</v>
      </c>
      <c r="F404" s="11" t="n">
        <v>45150</v>
      </c>
      <c r="G404" s="12" t="n">
        <v>0.96015412037037</v>
      </c>
      <c r="H404" s="10" t="s">
        <v>37</v>
      </c>
      <c r="I404" s="13" t="n">
        <v>1</v>
      </c>
      <c r="J404" s="13" t="n">
        <v>70.91</v>
      </c>
      <c r="K404" s="13" t="n">
        <v>70.91</v>
      </c>
      <c r="L404" s="10" t="s">
        <v>1374</v>
      </c>
      <c r="M404" s="10" t="s">
        <v>1375</v>
      </c>
      <c r="N404" s="10"/>
      <c r="O404" s="10" t="s">
        <v>23</v>
      </c>
      <c r="P404" s="10" t="s">
        <v>24</v>
      </c>
    </row>
    <row r="405" customFormat="false" ht="15.75" hidden="false" customHeight="false" outlineLevel="0" collapsed="false">
      <c r="A405" s="10" t="s">
        <v>16</v>
      </c>
      <c r="B405" s="10" t="s">
        <v>817</v>
      </c>
      <c r="C405" s="10" t="s">
        <v>818</v>
      </c>
      <c r="D405" s="10" t="s">
        <v>819</v>
      </c>
      <c r="E405" s="10" t="s">
        <v>90</v>
      </c>
      <c r="F405" s="11" t="n">
        <v>45150</v>
      </c>
      <c r="G405" s="12" t="n">
        <v>0.639446134259259</v>
      </c>
      <c r="H405" s="10" t="s">
        <v>37</v>
      </c>
      <c r="I405" s="13" t="n">
        <v>59</v>
      </c>
      <c r="J405" s="13" t="n">
        <v>2100</v>
      </c>
      <c r="K405" s="13" t="n">
        <v>123900</v>
      </c>
      <c r="L405" s="10" t="s">
        <v>1376</v>
      </c>
      <c r="M405" s="10" t="s">
        <v>1377</v>
      </c>
      <c r="N405" s="10"/>
      <c r="O405" s="10" t="s">
        <v>61</v>
      </c>
      <c r="P405" s="10" t="s">
        <v>62</v>
      </c>
    </row>
    <row r="406" customFormat="false" ht="15.75" hidden="false" customHeight="false" outlineLevel="0" collapsed="false">
      <c r="A406" s="10" t="s">
        <v>16</v>
      </c>
      <c r="B406" s="10" t="s">
        <v>1359</v>
      </c>
      <c r="C406" s="10" t="s">
        <v>1360</v>
      </c>
      <c r="D406" s="10" t="s">
        <v>89</v>
      </c>
      <c r="E406" s="10" t="s">
        <v>20</v>
      </c>
      <c r="F406" s="11" t="n">
        <v>45150</v>
      </c>
      <c r="G406" s="12" t="n">
        <v>0.375026423611111</v>
      </c>
      <c r="H406" s="10" t="s">
        <v>37</v>
      </c>
      <c r="I406" s="13" t="n">
        <v>4</v>
      </c>
      <c r="J406" s="13" t="n">
        <v>4470</v>
      </c>
      <c r="K406" s="13" t="n">
        <v>17880</v>
      </c>
      <c r="L406" s="10" t="s">
        <v>1378</v>
      </c>
      <c r="M406" s="10" t="s">
        <v>1379</v>
      </c>
      <c r="N406" s="10"/>
      <c r="O406" s="10" t="s">
        <v>61</v>
      </c>
      <c r="P406" s="10" t="s">
        <v>62</v>
      </c>
    </row>
    <row r="407" customFormat="false" ht="15.75" hidden="false" customHeight="false" outlineLevel="0" collapsed="false">
      <c r="A407" s="10" t="s">
        <v>16</v>
      </c>
      <c r="B407" s="10" t="s">
        <v>1380</v>
      </c>
      <c r="C407" s="10" t="s">
        <v>1381</v>
      </c>
      <c r="D407" s="10" t="s">
        <v>949</v>
      </c>
      <c r="E407" s="10" t="s">
        <v>28</v>
      </c>
      <c r="F407" s="11" t="n">
        <v>45152</v>
      </c>
      <c r="G407" s="12" t="n">
        <v>0.970821666666667</v>
      </c>
      <c r="H407" s="10" t="s">
        <v>37</v>
      </c>
      <c r="I407" s="13" t="n">
        <v>1</v>
      </c>
      <c r="J407" s="13" t="n">
        <v>595</v>
      </c>
      <c r="K407" s="13" t="n">
        <v>595</v>
      </c>
      <c r="L407" s="10" t="s">
        <v>1382</v>
      </c>
      <c r="M407" s="10" t="s">
        <v>1267</v>
      </c>
      <c r="N407" s="10"/>
      <c r="O407" s="10" t="s">
        <v>23</v>
      </c>
      <c r="P407" s="10" t="s">
        <v>24</v>
      </c>
    </row>
    <row r="408" customFormat="false" ht="15.75" hidden="false" customHeight="false" outlineLevel="0" collapsed="false">
      <c r="A408" s="10" t="s">
        <v>16</v>
      </c>
      <c r="B408" s="10" t="s">
        <v>840</v>
      </c>
      <c r="C408" s="10" t="s">
        <v>841</v>
      </c>
      <c r="D408" s="10" t="s">
        <v>842</v>
      </c>
      <c r="E408" s="10" t="s">
        <v>28</v>
      </c>
      <c r="F408" s="11" t="n">
        <v>45153</v>
      </c>
      <c r="G408" s="12" t="n">
        <v>0.870129282407407</v>
      </c>
      <c r="H408" s="10" t="s">
        <v>37</v>
      </c>
      <c r="I408" s="13" t="n">
        <v>1</v>
      </c>
      <c r="J408" s="13" t="n">
        <v>669.6</v>
      </c>
      <c r="K408" s="13" t="n">
        <v>669.6</v>
      </c>
      <c r="L408" s="10" t="s">
        <v>1383</v>
      </c>
      <c r="M408" s="10" t="s">
        <v>1384</v>
      </c>
      <c r="N408" s="10"/>
      <c r="O408" s="10" t="s">
        <v>23</v>
      </c>
      <c r="P408" s="10" t="s">
        <v>24</v>
      </c>
    </row>
    <row r="409" customFormat="false" ht="15.75" hidden="false" customHeight="false" outlineLevel="0" collapsed="false">
      <c r="A409" s="10" t="s">
        <v>16</v>
      </c>
      <c r="B409" s="10" t="s">
        <v>342</v>
      </c>
      <c r="C409" s="10" t="s">
        <v>343</v>
      </c>
      <c r="D409" s="10" t="s">
        <v>230</v>
      </c>
      <c r="E409" s="10" t="s">
        <v>231</v>
      </c>
      <c r="F409" s="11" t="n">
        <v>45153</v>
      </c>
      <c r="G409" s="12" t="n">
        <v>0.868468796296296</v>
      </c>
      <c r="H409" s="10" t="s">
        <v>37</v>
      </c>
      <c r="I409" s="13" t="n">
        <v>1</v>
      </c>
      <c r="J409" s="13" t="n">
        <v>188.49</v>
      </c>
      <c r="K409" s="13" t="n">
        <v>188.49</v>
      </c>
      <c r="L409" s="10" t="s">
        <v>1385</v>
      </c>
      <c r="M409" s="10" t="s">
        <v>1386</v>
      </c>
      <c r="N409" s="10"/>
      <c r="O409" s="10" t="s">
        <v>23</v>
      </c>
      <c r="P409" s="10" t="s">
        <v>24</v>
      </c>
    </row>
    <row r="410" customFormat="false" ht="15.75" hidden="false" customHeight="false" outlineLevel="0" collapsed="false">
      <c r="A410" s="10" t="s">
        <v>16</v>
      </c>
      <c r="B410" s="10" t="s">
        <v>522</v>
      </c>
      <c r="C410" s="10" t="s">
        <v>523</v>
      </c>
      <c r="D410" s="10" t="s">
        <v>27</v>
      </c>
      <c r="E410" s="10" t="s">
        <v>28</v>
      </c>
      <c r="F410" s="11" t="n">
        <v>45153</v>
      </c>
      <c r="G410" s="12" t="n">
        <v>0.866527997685185</v>
      </c>
      <c r="H410" s="10" t="s">
        <v>37</v>
      </c>
      <c r="I410" s="13" t="n">
        <v>1</v>
      </c>
      <c r="J410" s="13" t="n">
        <v>726.75</v>
      </c>
      <c r="K410" s="13" t="n">
        <v>726.75</v>
      </c>
      <c r="L410" s="10" t="s">
        <v>1387</v>
      </c>
      <c r="M410" s="10" t="s">
        <v>1388</v>
      </c>
      <c r="N410" s="10"/>
      <c r="O410" s="10" t="s">
        <v>23</v>
      </c>
      <c r="P410" s="10" t="s">
        <v>24</v>
      </c>
    </row>
    <row r="411" customFormat="false" ht="15.75" hidden="false" customHeight="false" outlineLevel="0" collapsed="false">
      <c r="A411" s="10" t="s">
        <v>16</v>
      </c>
      <c r="B411" s="10" t="s">
        <v>1389</v>
      </c>
      <c r="C411" s="10" t="s">
        <v>1390</v>
      </c>
      <c r="D411" s="10" t="s">
        <v>1391</v>
      </c>
      <c r="E411" s="10" t="s">
        <v>107</v>
      </c>
      <c r="F411" s="11" t="n">
        <v>45154</v>
      </c>
      <c r="G411" s="12" t="n">
        <v>0.9264115625</v>
      </c>
      <c r="H411" s="10" t="s">
        <v>21</v>
      </c>
      <c r="I411" s="13" t="n">
        <v>1</v>
      </c>
      <c r="J411" s="13" t="n">
        <v>140</v>
      </c>
      <c r="K411" s="13" t="n">
        <v>140</v>
      </c>
      <c r="L411" s="10" t="s">
        <v>1392</v>
      </c>
      <c r="M411" s="10"/>
      <c r="N411" s="10"/>
      <c r="O411" s="10" t="s">
        <v>23</v>
      </c>
      <c r="P411" s="10" t="s">
        <v>24</v>
      </c>
    </row>
    <row r="412" customFormat="false" ht="15.75" hidden="false" customHeight="false" outlineLevel="0" collapsed="false">
      <c r="A412" s="10" t="s">
        <v>16</v>
      </c>
      <c r="B412" s="10" t="s">
        <v>1393</v>
      </c>
      <c r="C412" s="10" t="s">
        <v>1394</v>
      </c>
      <c r="D412" s="10" t="s">
        <v>1159</v>
      </c>
      <c r="E412" s="10" t="s">
        <v>208</v>
      </c>
      <c r="F412" s="11" t="n">
        <v>45154</v>
      </c>
      <c r="G412" s="12" t="n">
        <v>0.883958645833333</v>
      </c>
      <c r="H412" s="10" t="s">
        <v>37</v>
      </c>
      <c r="I412" s="13" t="n">
        <v>4</v>
      </c>
      <c r="J412" s="13" t="n">
        <v>31</v>
      </c>
      <c r="K412" s="13" t="n">
        <v>124</v>
      </c>
      <c r="L412" s="10" t="s">
        <v>1395</v>
      </c>
      <c r="M412" s="10" t="s">
        <v>1396</v>
      </c>
      <c r="N412" s="10"/>
      <c r="O412" s="10" t="s">
        <v>23</v>
      </c>
      <c r="P412" s="10" t="s">
        <v>24</v>
      </c>
    </row>
    <row r="413" customFormat="false" ht="15.75" hidden="false" customHeight="false" outlineLevel="0" collapsed="false">
      <c r="A413" s="10" t="s">
        <v>16</v>
      </c>
      <c r="B413" s="10" t="s">
        <v>140</v>
      </c>
      <c r="C413" s="10" t="s">
        <v>141</v>
      </c>
      <c r="D413" s="10" t="s">
        <v>142</v>
      </c>
      <c r="E413" s="10" t="s">
        <v>28</v>
      </c>
      <c r="F413" s="11" t="n">
        <v>45156</v>
      </c>
      <c r="G413" s="12" t="n">
        <v>0.714865011574074</v>
      </c>
      <c r="H413" s="10" t="s">
        <v>37</v>
      </c>
      <c r="I413" s="13" t="n">
        <v>1</v>
      </c>
      <c r="J413" s="13" t="n">
        <v>859.79</v>
      </c>
      <c r="K413" s="13" t="n">
        <v>859.79</v>
      </c>
      <c r="L413" s="10" t="s">
        <v>1397</v>
      </c>
      <c r="M413" s="10" t="s">
        <v>1398</v>
      </c>
      <c r="N413" s="10"/>
      <c r="O413" s="10" t="s">
        <v>23</v>
      </c>
      <c r="P413" s="10" t="s">
        <v>24</v>
      </c>
    </row>
    <row r="414" customFormat="false" ht="15.75" hidden="false" customHeight="false" outlineLevel="0" collapsed="false">
      <c r="A414" s="10" t="s">
        <v>16</v>
      </c>
      <c r="B414" s="10" t="s">
        <v>1399</v>
      </c>
      <c r="C414" s="10" t="s">
        <v>1400</v>
      </c>
      <c r="D414" s="10" t="s">
        <v>268</v>
      </c>
      <c r="E414" s="10" t="s">
        <v>269</v>
      </c>
      <c r="F414" s="11" t="n">
        <v>45156</v>
      </c>
      <c r="G414" s="12" t="n">
        <v>0.701689895833333</v>
      </c>
      <c r="H414" s="10" t="s">
        <v>37</v>
      </c>
      <c r="I414" s="13" t="n">
        <v>1</v>
      </c>
      <c r="J414" s="13" t="n">
        <v>247.42</v>
      </c>
      <c r="K414" s="13" t="n">
        <v>247.42</v>
      </c>
      <c r="L414" s="10" t="s">
        <v>1401</v>
      </c>
      <c r="M414" s="10" t="s">
        <v>1402</v>
      </c>
      <c r="N414" s="10"/>
      <c r="O414" s="10" t="s">
        <v>23</v>
      </c>
      <c r="P414" s="10" t="s">
        <v>24</v>
      </c>
    </row>
    <row r="415" customFormat="false" ht="15.75" hidden="false" customHeight="false" outlineLevel="0" collapsed="false">
      <c r="A415" s="10" t="s">
        <v>16</v>
      </c>
      <c r="B415" s="10" t="s">
        <v>1403</v>
      </c>
      <c r="C415" s="10" t="s">
        <v>1404</v>
      </c>
      <c r="D415" s="10" t="s">
        <v>1159</v>
      </c>
      <c r="E415" s="10" t="s">
        <v>71</v>
      </c>
      <c r="F415" s="11" t="n">
        <v>45157</v>
      </c>
      <c r="G415" s="12" t="n">
        <v>0.99486599537037</v>
      </c>
      <c r="H415" s="10" t="s">
        <v>37</v>
      </c>
      <c r="I415" s="13" t="n">
        <v>1</v>
      </c>
      <c r="J415" s="13" t="n">
        <v>180</v>
      </c>
      <c r="K415" s="13" t="n">
        <v>180</v>
      </c>
      <c r="L415" s="10" t="s">
        <v>1405</v>
      </c>
      <c r="M415" s="10" t="s">
        <v>1406</v>
      </c>
      <c r="N415" s="10"/>
      <c r="O415" s="10" t="s">
        <v>23</v>
      </c>
      <c r="P415" s="10" t="s">
        <v>24</v>
      </c>
    </row>
    <row r="416" customFormat="false" ht="15.75" hidden="false" customHeight="false" outlineLevel="0" collapsed="false">
      <c r="A416" s="10" t="s">
        <v>16</v>
      </c>
      <c r="B416" s="10" t="s">
        <v>817</v>
      </c>
      <c r="C416" s="10" t="s">
        <v>818</v>
      </c>
      <c r="D416" s="10" t="s">
        <v>819</v>
      </c>
      <c r="E416" s="10" t="s">
        <v>90</v>
      </c>
      <c r="F416" s="11" t="n">
        <v>45157</v>
      </c>
      <c r="G416" s="12" t="n">
        <v>0.985899247685185</v>
      </c>
      <c r="H416" s="10" t="s">
        <v>37</v>
      </c>
      <c r="I416" s="13" t="n">
        <v>6</v>
      </c>
      <c r="J416" s="13" t="n">
        <v>2050</v>
      </c>
      <c r="K416" s="13" t="n">
        <v>12300</v>
      </c>
      <c r="L416" s="10" t="s">
        <v>1407</v>
      </c>
      <c r="M416" s="10" t="s">
        <v>1408</v>
      </c>
      <c r="N416" s="10"/>
      <c r="O416" s="10" t="s">
        <v>23</v>
      </c>
      <c r="P416" s="10" t="s">
        <v>24</v>
      </c>
    </row>
    <row r="417" customFormat="false" ht="15.75" hidden="false" customHeight="false" outlineLevel="0" collapsed="false">
      <c r="A417" s="10" t="s">
        <v>16</v>
      </c>
      <c r="B417" s="10" t="s">
        <v>1207</v>
      </c>
      <c r="C417" s="10" t="s">
        <v>1208</v>
      </c>
      <c r="D417" s="10" t="s">
        <v>27</v>
      </c>
      <c r="E417" s="10" t="s">
        <v>28</v>
      </c>
      <c r="F417" s="11" t="n">
        <v>45157</v>
      </c>
      <c r="G417" s="12" t="n">
        <v>0.983145520833333</v>
      </c>
      <c r="H417" s="10" t="s">
        <v>37</v>
      </c>
      <c r="I417" s="13" t="n">
        <v>1</v>
      </c>
      <c r="J417" s="13" t="n">
        <v>456</v>
      </c>
      <c r="K417" s="13" t="n">
        <v>456</v>
      </c>
      <c r="L417" s="10" t="s">
        <v>1409</v>
      </c>
      <c r="M417" s="10" t="s">
        <v>1410</v>
      </c>
      <c r="N417" s="10"/>
      <c r="O417" s="10" t="s">
        <v>23</v>
      </c>
      <c r="P417" s="10" t="s">
        <v>24</v>
      </c>
    </row>
    <row r="418" customFormat="false" ht="15.75" hidden="false" customHeight="false" outlineLevel="0" collapsed="false">
      <c r="A418" s="10" t="s">
        <v>16</v>
      </c>
      <c r="B418" s="10" t="s">
        <v>817</v>
      </c>
      <c r="C418" s="10" t="s">
        <v>818</v>
      </c>
      <c r="D418" s="10" t="s">
        <v>819</v>
      </c>
      <c r="E418" s="10" t="s">
        <v>90</v>
      </c>
      <c r="F418" s="11" t="n">
        <v>45158</v>
      </c>
      <c r="G418" s="12" t="n">
        <v>0.9617475</v>
      </c>
      <c r="H418" s="10" t="s">
        <v>37</v>
      </c>
      <c r="I418" s="13" t="n">
        <v>1</v>
      </c>
      <c r="J418" s="13" t="n">
        <v>2050</v>
      </c>
      <c r="K418" s="13" t="n">
        <v>2050</v>
      </c>
      <c r="L418" s="10" t="s">
        <v>1411</v>
      </c>
      <c r="M418" s="10" t="s">
        <v>1412</v>
      </c>
      <c r="N418" s="10"/>
      <c r="O418" s="10" t="s">
        <v>23</v>
      </c>
      <c r="P418" s="10" t="s">
        <v>24</v>
      </c>
    </row>
    <row r="419" customFormat="false" ht="15.75" hidden="false" customHeight="false" outlineLevel="0" collapsed="false">
      <c r="A419" s="10" t="s">
        <v>16</v>
      </c>
      <c r="B419" s="10" t="s">
        <v>1413</v>
      </c>
      <c r="C419" s="10" t="s">
        <v>1414</v>
      </c>
      <c r="D419" s="10" t="s">
        <v>1159</v>
      </c>
      <c r="E419" s="10" t="s">
        <v>96</v>
      </c>
      <c r="F419" s="11" t="n">
        <v>45158</v>
      </c>
      <c r="G419" s="12" t="n">
        <v>0.908177314814815</v>
      </c>
      <c r="H419" s="10" t="s">
        <v>37</v>
      </c>
      <c r="I419" s="13" t="n">
        <v>1</v>
      </c>
      <c r="J419" s="13" t="n">
        <v>172</v>
      </c>
      <c r="K419" s="13" t="n">
        <v>172</v>
      </c>
      <c r="L419" s="10" t="s">
        <v>1415</v>
      </c>
      <c r="M419" s="10" t="s">
        <v>1416</v>
      </c>
      <c r="N419" s="10"/>
      <c r="O419" s="10" t="s">
        <v>23</v>
      </c>
      <c r="P419" s="10" t="s">
        <v>24</v>
      </c>
    </row>
    <row r="420" customFormat="false" ht="15.75" hidden="false" customHeight="false" outlineLevel="0" collapsed="false">
      <c r="A420" s="10" t="s">
        <v>16</v>
      </c>
      <c r="B420" s="10" t="s">
        <v>99</v>
      </c>
      <c r="C420" s="10" t="s">
        <v>1635</v>
      </c>
      <c r="D420" s="10" t="s">
        <v>101</v>
      </c>
      <c r="E420" s="10" t="s">
        <v>96</v>
      </c>
      <c r="F420" s="11" t="n">
        <v>45158</v>
      </c>
      <c r="G420" s="12" t="n">
        <v>0.904656099537037</v>
      </c>
      <c r="H420" s="10" t="s">
        <v>37</v>
      </c>
      <c r="I420" s="13" t="n">
        <v>1</v>
      </c>
      <c r="J420" s="13" t="n">
        <v>55.21</v>
      </c>
      <c r="K420" s="13" t="n">
        <v>55.21</v>
      </c>
      <c r="L420" s="10" t="s">
        <v>1417</v>
      </c>
      <c r="M420" s="10" t="s">
        <v>1418</v>
      </c>
      <c r="N420" s="10"/>
      <c r="O420" s="10" t="s">
        <v>23</v>
      </c>
      <c r="P420" s="10" t="s">
        <v>24</v>
      </c>
    </row>
    <row r="421" customFormat="false" ht="15.75" hidden="false" customHeight="false" outlineLevel="0" collapsed="false">
      <c r="A421" s="10" t="s">
        <v>16</v>
      </c>
      <c r="B421" s="10" t="s">
        <v>472</v>
      </c>
      <c r="C421" s="10" t="s">
        <v>473</v>
      </c>
      <c r="D421" s="10" t="s">
        <v>230</v>
      </c>
      <c r="E421" s="10" t="s">
        <v>231</v>
      </c>
      <c r="F421" s="11" t="n">
        <v>45160</v>
      </c>
      <c r="G421" s="12" t="n">
        <v>0.9308775</v>
      </c>
      <c r="H421" s="10" t="s">
        <v>37</v>
      </c>
      <c r="I421" s="13" t="n">
        <v>1</v>
      </c>
      <c r="J421" s="13" t="n">
        <v>614.12</v>
      </c>
      <c r="K421" s="13" t="n">
        <v>614.12</v>
      </c>
      <c r="L421" s="10" t="s">
        <v>1419</v>
      </c>
      <c r="M421" s="10" t="s">
        <v>1420</v>
      </c>
      <c r="N421" s="10"/>
      <c r="O421" s="10" t="s">
        <v>23</v>
      </c>
      <c r="P421" s="10" t="s">
        <v>24</v>
      </c>
    </row>
    <row r="422" customFormat="false" ht="15.75" hidden="false" customHeight="false" outlineLevel="0" collapsed="false">
      <c r="A422" s="10" t="s">
        <v>16</v>
      </c>
      <c r="B422" s="10" t="s">
        <v>620</v>
      </c>
      <c r="C422" s="10" t="s">
        <v>621</v>
      </c>
      <c r="D422" s="10" t="s">
        <v>622</v>
      </c>
      <c r="E422" s="10" t="s">
        <v>20</v>
      </c>
      <c r="F422" s="11" t="n">
        <v>45160</v>
      </c>
      <c r="G422" s="12" t="n">
        <v>0.502580231481481</v>
      </c>
      <c r="H422" s="10" t="s">
        <v>37</v>
      </c>
      <c r="I422" s="13" t="n">
        <v>1</v>
      </c>
      <c r="J422" s="13" t="n">
        <v>272</v>
      </c>
      <c r="K422" s="13" t="n">
        <v>272</v>
      </c>
      <c r="L422" s="10" t="s">
        <v>1421</v>
      </c>
      <c r="M422" s="10" t="s">
        <v>1422</v>
      </c>
      <c r="N422" s="10"/>
      <c r="O422" s="10" t="s">
        <v>61</v>
      </c>
      <c r="P422" s="10" t="s">
        <v>62</v>
      </c>
    </row>
    <row r="423" customFormat="false" ht="15.75" hidden="false" customHeight="false" outlineLevel="0" collapsed="false">
      <c r="A423" s="10" t="s">
        <v>16</v>
      </c>
      <c r="B423" s="10" t="s">
        <v>727</v>
      </c>
      <c r="C423" s="10" t="s">
        <v>728</v>
      </c>
      <c r="D423" s="10" t="s">
        <v>19</v>
      </c>
      <c r="E423" s="10" t="s">
        <v>20</v>
      </c>
      <c r="F423" s="11" t="n">
        <v>45161</v>
      </c>
      <c r="G423" s="12" t="n">
        <v>0.708107372685185</v>
      </c>
      <c r="H423" s="10" t="s">
        <v>37</v>
      </c>
      <c r="I423" s="13" t="n">
        <v>98</v>
      </c>
      <c r="J423" s="13" t="n">
        <v>569</v>
      </c>
      <c r="K423" s="13" t="n">
        <v>55762</v>
      </c>
      <c r="L423" s="10" t="s">
        <v>1423</v>
      </c>
      <c r="M423" s="10" t="s">
        <v>1424</v>
      </c>
      <c r="N423" s="10"/>
      <c r="O423" s="10" t="s">
        <v>61</v>
      </c>
      <c r="P423" s="10" t="s">
        <v>62</v>
      </c>
    </row>
    <row r="424" customFormat="false" ht="15.75" hidden="false" customHeight="false" outlineLevel="0" collapsed="false">
      <c r="A424" s="10" t="s">
        <v>16</v>
      </c>
      <c r="B424" s="10" t="s">
        <v>1425</v>
      </c>
      <c r="C424" s="10" t="s">
        <v>1426</v>
      </c>
      <c r="D424" s="10" t="s">
        <v>19</v>
      </c>
      <c r="E424" s="10" t="s">
        <v>20</v>
      </c>
      <c r="F424" s="11" t="n">
        <v>45161</v>
      </c>
      <c r="G424" s="12" t="n">
        <v>0.706928599537037</v>
      </c>
      <c r="H424" s="10" t="s">
        <v>37</v>
      </c>
      <c r="I424" s="13" t="n">
        <v>289</v>
      </c>
      <c r="J424" s="13" t="n">
        <v>293</v>
      </c>
      <c r="K424" s="13" t="n">
        <v>84677</v>
      </c>
      <c r="L424" s="10" t="s">
        <v>1427</v>
      </c>
      <c r="M424" s="10" t="s">
        <v>1428</v>
      </c>
      <c r="N424" s="10"/>
      <c r="O424" s="10" t="s">
        <v>61</v>
      </c>
      <c r="P424" s="10" t="s">
        <v>62</v>
      </c>
    </row>
    <row r="425" customFormat="false" ht="15.75" hidden="false" customHeight="false" outlineLevel="0" collapsed="false">
      <c r="A425" s="10" t="s">
        <v>16</v>
      </c>
      <c r="B425" s="10" t="s">
        <v>1350</v>
      </c>
      <c r="C425" s="10" t="s">
        <v>1351</v>
      </c>
      <c r="D425" s="10" t="s">
        <v>19</v>
      </c>
      <c r="E425" s="10" t="s">
        <v>20</v>
      </c>
      <c r="F425" s="11" t="n">
        <v>45161</v>
      </c>
      <c r="G425" s="12" t="n">
        <v>0.699659097222222</v>
      </c>
      <c r="H425" s="10" t="s">
        <v>37</v>
      </c>
      <c r="I425" s="13" t="n">
        <v>11</v>
      </c>
      <c r="J425" s="13" t="n">
        <v>2737</v>
      </c>
      <c r="K425" s="13" t="n">
        <v>30107</v>
      </c>
      <c r="L425" s="10" t="s">
        <v>1429</v>
      </c>
      <c r="M425" s="10" t="s">
        <v>1430</v>
      </c>
      <c r="N425" s="10"/>
      <c r="O425" s="10" t="s">
        <v>61</v>
      </c>
      <c r="P425" s="10" t="s">
        <v>62</v>
      </c>
    </row>
    <row r="426" customFormat="false" ht="15.75" hidden="false" customHeight="false" outlineLevel="0" collapsed="false">
      <c r="A426" s="10" t="s">
        <v>16</v>
      </c>
      <c r="B426" s="10" t="s">
        <v>1431</v>
      </c>
      <c r="C426" s="10" t="s">
        <v>1432</v>
      </c>
      <c r="D426" s="10" t="s">
        <v>65</v>
      </c>
      <c r="E426" s="10" t="s">
        <v>66</v>
      </c>
      <c r="F426" s="11" t="n">
        <v>45161</v>
      </c>
      <c r="G426" s="12" t="n">
        <v>0.486489907407407</v>
      </c>
      <c r="H426" s="10" t="s">
        <v>29</v>
      </c>
      <c r="I426" s="13" t="n">
        <v>16</v>
      </c>
      <c r="J426" s="13" t="n">
        <v>243</v>
      </c>
      <c r="K426" s="13" t="n">
        <v>3888</v>
      </c>
      <c r="L426" s="10" t="s">
        <v>1433</v>
      </c>
      <c r="M426" s="10" t="s">
        <v>1434</v>
      </c>
      <c r="N426" s="10" t="s">
        <v>1435</v>
      </c>
      <c r="O426" s="10" t="s">
        <v>61</v>
      </c>
      <c r="P426" s="10" t="s">
        <v>62</v>
      </c>
    </row>
    <row r="427" customFormat="false" ht="15.75" hidden="false" customHeight="false" outlineLevel="0" collapsed="false">
      <c r="A427" s="10" t="s">
        <v>16</v>
      </c>
      <c r="B427" s="10" t="s">
        <v>1314</v>
      </c>
      <c r="C427" s="10" t="s">
        <v>1315</v>
      </c>
      <c r="D427" s="10" t="s">
        <v>1316</v>
      </c>
      <c r="E427" s="10" t="s">
        <v>28</v>
      </c>
      <c r="F427" s="11" t="n">
        <v>45163</v>
      </c>
      <c r="G427" s="12" t="n">
        <v>0.752893402777778</v>
      </c>
      <c r="H427" s="10" t="s">
        <v>37</v>
      </c>
      <c r="I427" s="13" t="n">
        <v>1</v>
      </c>
      <c r="J427" s="13" t="n">
        <v>425</v>
      </c>
      <c r="K427" s="13" t="n">
        <v>425</v>
      </c>
      <c r="L427" s="10" t="s">
        <v>1436</v>
      </c>
      <c r="M427" s="10" t="s">
        <v>1437</v>
      </c>
      <c r="N427" s="10"/>
      <c r="O427" s="10" t="s">
        <v>23</v>
      </c>
      <c r="P427" s="10" t="s">
        <v>24</v>
      </c>
    </row>
    <row r="428" customFormat="false" ht="15.75" hidden="false" customHeight="false" outlineLevel="0" collapsed="false">
      <c r="A428" s="10" t="s">
        <v>16</v>
      </c>
      <c r="B428" s="10" t="s">
        <v>1438</v>
      </c>
      <c r="C428" s="10" t="s">
        <v>1439</v>
      </c>
      <c r="D428" s="10" t="s">
        <v>35</v>
      </c>
      <c r="E428" s="10" t="s">
        <v>36</v>
      </c>
      <c r="F428" s="11" t="n">
        <v>45163</v>
      </c>
      <c r="G428" s="12" t="n">
        <v>0.751580266203704</v>
      </c>
      <c r="H428" s="10" t="s">
        <v>37</v>
      </c>
      <c r="I428" s="13" t="n">
        <v>1</v>
      </c>
      <c r="J428" s="13" t="n">
        <v>555</v>
      </c>
      <c r="K428" s="13" t="n">
        <v>555</v>
      </c>
      <c r="L428" s="10" t="s">
        <v>1440</v>
      </c>
      <c r="M428" s="10" t="s">
        <v>1441</v>
      </c>
      <c r="N428" s="10"/>
      <c r="O428" s="10" t="s">
        <v>23</v>
      </c>
      <c r="P428" s="10" t="s">
        <v>24</v>
      </c>
    </row>
    <row r="429" customFormat="false" ht="15.75" hidden="false" customHeight="false" outlineLevel="0" collapsed="false">
      <c r="A429" s="10" t="s">
        <v>16</v>
      </c>
      <c r="B429" s="10" t="s">
        <v>99</v>
      </c>
      <c r="C429" s="10" t="s">
        <v>1635</v>
      </c>
      <c r="D429" s="10" t="s">
        <v>101</v>
      </c>
      <c r="E429" s="10" t="s">
        <v>96</v>
      </c>
      <c r="F429" s="11" t="n">
        <v>45164</v>
      </c>
      <c r="G429" s="12" t="n">
        <v>0.980023252314815</v>
      </c>
      <c r="H429" s="10" t="s">
        <v>37</v>
      </c>
      <c r="I429" s="13" t="n">
        <v>2</v>
      </c>
      <c r="J429" s="13" t="n">
        <v>55.21</v>
      </c>
      <c r="K429" s="13" t="n">
        <v>110.42</v>
      </c>
      <c r="L429" s="10" t="s">
        <v>1442</v>
      </c>
      <c r="M429" s="10" t="s">
        <v>1443</v>
      </c>
      <c r="N429" s="10"/>
      <c r="O429" s="10" t="s">
        <v>23</v>
      </c>
      <c r="P429" s="10" t="s">
        <v>24</v>
      </c>
    </row>
    <row r="430" customFormat="false" ht="15.75" hidden="false" customHeight="false" outlineLevel="0" collapsed="false">
      <c r="A430" s="10" t="s">
        <v>16</v>
      </c>
      <c r="B430" s="10" t="s">
        <v>238</v>
      </c>
      <c r="C430" s="10" t="s">
        <v>239</v>
      </c>
      <c r="D430" s="10" t="s">
        <v>95</v>
      </c>
      <c r="E430" s="10" t="s">
        <v>96</v>
      </c>
      <c r="F430" s="11" t="n">
        <v>45164</v>
      </c>
      <c r="G430" s="12" t="n">
        <v>0.976948449074074</v>
      </c>
      <c r="H430" s="10" t="s">
        <v>37</v>
      </c>
      <c r="I430" s="13" t="n">
        <v>1</v>
      </c>
      <c r="J430" s="13" t="n">
        <v>55.25</v>
      </c>
      <c r="K430" s="13" t="n">
        <v>55.25</v>
      </c>
      <c r="L430" s="10" t="s">
        <v>1444</v>
      </c>
      <c r="M430" s="10" t="s">
        <v>1445</v>
      </c>
      <c r="N430" s="10"/>
      <c r="O430" s="10" t="s">
        <v>23</v>
      </c>
      <c r="P430" s="10" t="s">
        <v>24</v>
      </c>
    </row>
    <row r="431" customFormat="false" ht="15.75" hidden="false" customHeight="false" outlineLevel="0" collapsed="false">
      <c r="A431" s="10" t="s">
        <v>16</v>
      </c>
      <c r="B431" s="10" t="s">
        <v>366</v>
      </c>
      <c r="C431" s="10" t="s">
        <v>367</v>
      </c>
      <c r="D431" s="10" t="s">
        <v>142</v>
      </c>
      <c r="E431" s="10" t="s">
        <v>28</v>
      </c>
      <c r="F431" s="11" t="n">
        <v>45166</v>
      </c>
      <c r="G431" s="12" t="n">
        <v>0.909560659722222</v>
      </c>
      <c r="H431" s="10" t="s">
        <v>37</v>
      </c>
      <c r="I431" s="13" t="n">
        <v>1</v>
      </c>
      <c r="J431" s="13" t="n">
        <v>724</v>
      </c>
      <c r="K431" s="13" t="n">
        <v>724</v>
      </c>
      <c r="L431" s="10" t="s">
        <v>1446</v>
      </c>
      <c r="M431" s="10" t="s">
        <v>1447</v>
      </c>
      <c r="N431" s="10"/>
      <c r="O431" s="10" t="s">
        <v>23</v>
      </c>
      <c r="P431" s="10" t="s">
        <v>24</v>
      </c>
    </row>
    <row r="432" customFormat="false" ht="15.75" hidden="false" customHeight="false" outlineLevel="0" collapsed="false">
      <c r="A432" s="10" t="s">
        <v>16</v>
      </c>
      <c r="B432" s="10" t="s">
        <v>1448</v>
      </c>
      <c r="C432" s="10" t="s">
        <v>1449</v>
      </c>
      <c r="D432" s="10" t="s">
        <v>1450</v>
      </c>
      <c r="E432" s="10" t="s">
        <v>1451</v>
      </c>
      <c r="F432" s="11" t="n">
        <v>45166</v>
      </c>
      <c r="G432" s="12" t="n">
        <v>0.901442384259259</v>
      </c>
      <c r="H432" s="10" t="s">
        <v>21</v>
      </c>
      <c r="I432" s="13" t="n">
        <v>20</v>
      </c>
      <c r="J432" s="13" t="n">
        <v>1445</v>
      </c>
      <c r="K432" s="13" t="n">
        <v>28900</v>
      </c>
      <c r="L432" s="10" t="s">
        <v>1452</v>
      </c>
      <c r="M432" s="10"/>
      <c r="N432" s="10"/>
      <c r="O432" s="10" t="s">
        <v>23</v>
      </c>
      <c r="P432" s="10" t="s">
        <v>24</v>
      </c>
    </row>
    <row r="433" customFormat="false" ht="15.75" hidden="false" customHeight="false" outlineLevel="0" collapsed="false">
      <c r="A433" s="10" t="s">
        <v>16</v>
      </c>
      <c r="B433" s="10" t="s">
        <v>817</v>
      </c>
      <c r="C433" s="10" t="s">
        <v>818</v>
      </c>
      <c r="D433" s="10" t="s">
        <v>819</v>
      </c>
      <c r="E433" s="10" t="s">
        <v>90</v>
      </c>
      <c r="F433" s="11" t="n">
        <v>45166</v>
      </c>
      <c r="G433" s="12" t="n">
        <v>0.546367627314815</v>
      </c>
      <c r="H433" s="10" t="s">
        <v>37</v>
      </c>
      <c r="I433" s="13" t="n">
        <v>2</v>
      </c>
      <c r="J433" s="13" t="n">
        <v>2050</v>
      </c>
      <c r="K433" s="13" t="n">
        <v>4100</v>
      </c>
      <c r="L433" s="10" t="s">
        <v>1453</v>
      </c>
      <c r="M433" s="10" t="s">
        <v>1454</v>
      </c>
      <c r="N433" s="10"/>
      <c r="O433" s="10" t="s">
        <v>61</v>
      </c>
      <c r="P433" s="10" t="s">
        <v>62</v>
      </c>
    </row>
    <row r="434" customFormat="false" ht="15.75" hidden="false" customHeight="false" outlineLevel="0" collapsed="false">
      <c r="A434" s="10" t="s">
        <v>16</v>
      </c>
      <c r="B434" s="10" t="s">
        <v>715</v>
      </c>
      <c r="C434" s="10" t="s">
        <v>716</v>
      </c>
      <c r="D434" s="10" t="s">
        <v>487</v>
      </c>
      <c r="E434" s="10" t="s">
        <v>333</v>
      </c>
      <c r="F434" s="11" t="n">
        <v>45166</v>
      </c>
      <c r="G434" s="12" t="n">
        <v>0.477788171296296</v>
      </c>
      <c r="H434" s="10" t="s">
        <v>37</v>
      </c>
      <c r="I434" s="13" t="n">
        <v>9</v>
      </c>
      <c r="J434" s="13" t="n">
        <v>1200</v>
      </c>
      <c r="K434" s="13" t="n">
        <v>10800</v>
      </c>
      <c r="L434" s="10" t="s">
        <v>1455</v>
      </c>
      <c r="M434" s="10" t="s">
        <v>1456</v>
      </c>
      <c r="N434" s="10"/>
      <c r="O434" s="10" t="s">
        <v>61</v>
      </c>
      <c r="P434" s="10" t="s">
        <v>62</v>
      </c>
    </row>
    <row r="435" customFormat="false" ht="15.75" hidden="false" customHeight="false" outlineLevel="0" collapsed="false">
      <c r="A435" s="10" t="s">
        <v>16</v>
      </c>
      <c r="B435" s="10" t="s">
        <v>1457</v>
      </c>
      <c r="C435" s="10" t="s">
        <v>1458</v>
      </c>
      <c r="D435" s="10" t="s">
        <v>106</v>
      </c>
      <c r="E435" s="10" t="s">
        <v>107</v>
      </c>
      <c r="F435" s="11" t="n">
        <v>45167</v>
      </c>
      <c r="G435" s="12" t="n">
        <v>0.954904641203704</v>
      </c>
      <c r="H435" s="10" t="s">
        <v>21</v>
      </c>
      <c r="I435" s="13" t="n">
        <v>1</v>
      </c>
      <c r="J435" s="13" t="n">
        <v>151.68</v>
      </c>
      <c r="K435" s="13" t="n">
        <v>151.68</v>
      </c>
      <c r="L435" s="10" t="s">
        <v>1459</v>
      </c>
      <c r="M435" s="10"/>
      <c r="N435" s="10"/>
      <c r="O435" s="10" t="s">
        <v>23</v>
      </c>
      <c r="P435" s="10" t="s">
        <v>24</v>
      </c>
    </row>
    <row r="436" customFormat="false" ht="15.75" hidden="false" customHeight="false" outlineLevel="0" collapsed="false">
      <c r="A436" s="10" t="s">
        <v>16</v>
      </c>
      <c r="B436" s="10" t="s">
        <v>1460</v>
      </c>
      <c r="C436" s="10" t="s">
        <v>1461</v>
      </c>
      <c r="D436" s="10" t="s">
        <v>999</v>
      </c>
      <c r="E436" s="10" t="s">
        <v>96</v>
      </c>
      <c r="F436" s="11" t="n">
        <v>45167</v>
      </c>
      <c r="G436" s="12" t="n">
        <v>0.952495219907407</v>
      </c>
      <c r="H436" s="10" t="s">
        <v>37</v>
      </c>
      <c r="I436" s="13" t="n">
        <v>1</v>
      </c>
      <c r="J436" s="13" t="n">
        <v>435.69</v>
      </c>
      <c r="K436" s="13" t="n">
        <v>435.69</v>
      </c>
      <c r="L436" s="10" t="s">
        <v>1462</v>
      </c>
      <c r="M436" s="10" t="s">
        <v>1463</v>
      </c>
      <c r="N436" s="10"/>
      <c r="O436" s="10" t="s">
        <v>23</v>
      </c>
      <c r="P436" s="10" t="s">
        <v>24</v>
      </c>
    </row>
    <row r="437" customFormat="false" ht="15.75" hidden="false" customHeight="false" outlineLevel="0" collapsed="false">
      <c r="A437" s="10" t="s">
        <v>16</v>
      </c>
      <c r="B437" s="10" t="s">
        <v>1464</v>
      </c>
      <c r="C437" s="10" t="s">
        <v>1465</v>
      </c>
      <c r="D437" s="10" t="s">
        <v>27</v>
      </c>
      <c r="E437" s="10" t="s">
        <v>28</v>
      </c>
      <c r="F437" s="11" t="n">
        <v>45168</v>
      </c>
      <c r="G437" s="12" t="n">
        <v>0.850621331018519</v>
      </c>
      <c r="H437" s="10" t="s">
        <v>37</v>
      </c>
      <c r="I437" s="13" t="n">
        <v>1</v>
      </c>
      <c r="J437" s="13" t="n">
        <v>394.25</v>
      </c>
      <c r="K437" s="13" t="n">
        <v>394.25</v>
      </c>
      <c r="L437" s="10" t="s">
        <v>1466</v>
      </c>
      <c r="M437" s="10" t="s">
        <v>1467</v>
      </c>
      <c r="N437" s="10"/>
      <c r="O437" s="10" t="s">
        <v>691</v>
      </c>
      <c r="P437" s="10" t="s">
        <v>692</v>
      </c>
    </row>
    <row r="438" customFormat="false" ht="15.75" hidden="false" customHeight="false" outlineLevel="0" collapsed="false">
      <c r="A438" s="10" t="s">
        <v>16</v>
      </c>
      <c r="B438" s="10" t="s">
        <v>366</v>
      </c>
      <c r="C438" s="10" t="s">
        <v>367</v>
      </c>
      <c r="D438" s="10" t="s">
        <v>142</v>
      </c>
      <c r="E438" s="10" t="s">
        <v>28</v>
      </c>
      <c r="F438" s="11" t="n">
        <v>45168</v>
      </c>
      <c r="G438" s="12" t="n">
        <v>0.254027326388889</v>
      </c>
      <c r="H438" s="10" t="s">
        <v>21</v>
      </c>
      <c r="I438" s="13" t="n">
        <v>2</v>
      </c>
      <c r="J438" s="13" t="n">
        <v>724</v>
      </c>
      <c r="K438" s="13" t="n">
        <v>1448</v>
      </c>
      <c r="L438" s="10" t="s">
        <v>1468</v>
      </c>
      <c r="M438" s="10"/>
      <c r="N438" s="10"/>
      <c r="O438" s="10" t="s">
        <v>1469</v>
      </c>
      <c r="P438" s="10" t="s">
        <v>1470</v>
      </c>
    </row>
    <row r="439" customFormat="false" ht="15.75" hidden="false" customHeight="false" outlineLevel="0" collapsed="false">
      <c r="A439" s="10" t="s">
        <v>16</v>
      </c>
      <c r="B439" s="10" t="s">
        <v>1079</v>
      </c>
      <c r="C439" s="10" t="s">
        <v>1080</v>
      </c>
      <c r="D439" s="10" t="s">
        <v>622</v>
      </c>
      <c r="E439" s="10" t="s">
        <v>20</v>
      </c>
      <c r="F439" s="11" t="n">
        <v>45169</v>
      </c>
      <c r="G439" s="12" t="n">
        <v>0.544576539351852</v>
      </c>
      <c r="H439" s="10" t="s">
        <v>37</v>
      </c>
      <c r="I439" s="13" t="n">
        <v>6</v>
      </c>
      <c r="J439" s="13" t="n">
        <v>540</v>
      </c>
      <c r="K439" s="13" t="n">
        <v>3240</v>
      </c>
      <c r="L439" s="10" t="s">
        <v>1471</v>
      </c>
      <c r="M439" s="10" t="s">
        <v>1472</v>
      </c>
      <c r="N439" s="10"/>
      <c r="O439" s="10" t="s">
        <v>61</v>
      </c>
      <c r="P439" s="10" t="s">
        <v>62</v>
      </c>
    </row>
    <row r="440" customFormat="false" ht="15.75" hidden="false" customHeight="false" outlineLevel="0" collapsed="false">
      <c r="A440" s="10" t="s">
        <v>16</v>
      </c>
      <c r="B440" s="10" t="s">
        <v>620</v>
      </c>
      <c r="C440" s="10" t="s">
        <v>621</v>
      </c>
      <c r="D440" s="10" t="s">
        <v>622</v>
      </c>
      <c r="E440" s="10" t="s">
        <v>20</v>
      </c>
      <c r="F440" s="11" t="n">
        <v>45169</v>
      </c>
      <c r="G440" s="12" t="n">
        <v>0.51052650462963</v>
      </c>
      <c r="H440" s="10" t="s">
        <v>37</v>
      </c>
      <c r="I440" s="13" t="n">
        <v>1</v>
      </c>
      <c r="J440" s="13" t="n">
        <v>272</v>
      </c>
      <c r="K440" s="13" t="n">
        <v>272</v>
      </c>
      <c r="L440" s="10" t="s">
        <v>1473</v>
      </c>
      <c r="M440" s="10" t="s">
        <v>1474</v>
      </c>
      <c r="N440" s="10"/>
      <c r="O440" s="10" t="s">
        <v>61</v>
      </c>
      <c r="P440" s="10" t="s">
        <v>62</v>
      </c>
    </row>
    <row r="441" customFormat="false" ht="15.75" hidden="false" customHeight="false" outlineLevel="0" collapsed="false">
      <c r="A441" s="10" t="s">
        <v>16</v>
      </c>
      <c r="B441" s="10" t="s">
        <v>1100</v>
      </c>
      <c r="C441" s="10" t="s">
        <v>1101</v>
      </c>
      <c r="D441" s="10" t="s">
        <v>19</v>
      </c>
      <c r="E441" s="10" t="s">
        <v>20</v>
      </c>
      <c r="F441" s="11" t="n">
        <v>45169</v>
      </c>
      <c r="G441" s="12" t="n">
        <v>0.506259085648148</v>
      </c>
      <c r="H441" s="10" t="s">
        <v>37</v>
      </c>
      <c r="I441" s="13" t="n">
        <v>1</v>
      </c>
      <c r="J441" s="13" t="n">
        <v>1303</v>
      </c>
      <c r="K441" s="13" t="n">
        <v>1303</v>
      </c>
      <c r="L441" s="10" t="s">
        <v>1475</v>
      </c>
      <c r="M441" s="10" t="s">
        <v>1476</v>
      </c>
      <c r="N441" s="10"/>
      <c r="O441" s="10" t="s">
        <v>61</v>
      </c>
      <c r="P441" s="10" t="s">
        <v>62</v>
      </c>
    </row>
    <row r="442" customFormat="false" ht="15.75" hidden="false" customHeight="false" outlineLevel="0" collapsed="false">
      <c r="A442" s="10" t="s">
        <v>16</v>
      </c>
      <c r="B442" s="10" t="s">
        <v>1085</v>
      </c>
      <c r="C442" s="10" t="s">
        <v>1086</v>
      </c>
      <c r="D442" s="10" t="s">
        <v>19</v>
      </c>
      <c r="E442" s="10" t="s">
        <v>20</v>
      </c>
      <c r="F442" s="11" t="n">
        <v>45169</v>
      </c>
      <c r="G442" s="12" t="n">
        <v>0.493712476851852</v>
      </c>
      <c r="H442" s="10" t="s">
        <v>37</v>
      </c>
      <c r="I442" s="13" t="n">
        <v>1</v>
      </c>
      <c r="J442" s="13" t="n">
        <v>240</v>
      </c>
      <c r="K442" s="13" t="n">
        <v>240</v>
      </c>
      <c r="L442" s="10" t="s">
        <v>1477</v>
      </c>
      <c r="M442" s="10" t="s">
        <v>1478</v>
      </c>
      <c r="N442" s="10"/>
      <c r="O442" s="10" t="s">
        <v>61</v>
      </c>
      <c r="P442" s="10" t="s">
        <v>62</v>
      </c>
    </row>
    <row r="443" customFormat="false" ht="15.75" hidden="false" customHeight="false" outlineLevel="0" collapsed="false">
      <c r="A443" s="10" t="s">
        <v>16</v>
      </c>
      <c r="B443" s="10" t="s">
        <v>286</v>
      </c>
      <c r="C443" s="10" t="s">
        <v>287</v>
      </c>
      <c r="D443" s="10" t="s">
        <v>19</v>
      </c>
      <c r="E443" s="10" t="s">
        <v>20</v>
      </c>
      <c r="F443" s="11" t="n">
        <v>45169</v>
      </c>
      <c r="G443" s="12" t="n">
        <v>0.490835092592593</v>
      </c>
      <c r="H443" s="10" t="s">
        <v>37</v>
      </c>
      <c r="I443" s="13" t="n">
        <v>4</v>
      </c>
      <c r="J443" s="13" t="n">
        <v>2822</v>
      </c>
      <c r="K443" s="13" t="n">
        <v>11288</v>
      </c>
      <c r="L443" s="10" t="s">
        <v>1479</v>
      </c>
      <c r="M443" s="10" t="s">
        <v>1480</v>
      </c>
      <c r="N443" s="10"/>
      <c r="O443" s="10" t="s">
        <v>61</v>
      </c>
      <c r="P443" s="10" t="s">
        <v>62</v>
      </c>
    </row>
    <row r="444" customFormat="false" ht="15.75" hidden="false" customHeight="false" outlineLevel="0" collapsed="false">
      <c r="A444" s="10" t="s">
        <v>16</v>
      </c>
      <c r="B444" s="10" t="s">
        <v>1354</v>
      </c>
      <c r="C444" s="10" t="s">
        <v>1355</v>
      </c>
      <c r="D444" s="10" t="s">
        <v>19</v>
      </c>
      <c r="E444" s="10" t="s">
        <v>20</v>
      </c>
      <c r="F444" s="11" t="n">
        <v>45169</v>
      </c>
      <c r="G444" s="12" t="n">
        <v>0.489868969907407</v>
      </c>
      <c r="H444" s="10" t="s">
        <v>37</v>
      </c>
      <c r="I444" s="13" t="n">
        <v>2</v>
      </c>
      <c r="J444" s="13" t="n">
        <v>2495</v>
      </c>
      <c r="K444" s="13" t="n">
        <v>4990</v>
      </c>
      <c r="L444" s="10" t="s">
        <v>1481</v>
      </c>
      <c r="M444" s="10" t="s">
        <v>1482</v>
      </c>
      <c r="N444" s="10"/>
      <c r="O444" s="10" t="s">
        <v>61</v>
      </c>
      <c r="P444" s="10" t="s">
        <v>62</v>
      </c>
    </row>
    <row r="445" customFormat="false" ht="15.75" hidden="false" customHeight="false" outlineLevel="0" collapsed="false">
      <c r="A445" s="10" t="s">
        <v>16</v>
      </c>
      <c r="B445" s="10" t="s">
        <v>238</v>
      </c>
      <c r="C445" s="10" t="s">
        <v>239</v>
      </c>
      <c r="D445" s="10" t="s">
        <v>95</v>
      </c>
      <c r="E445" s="10" t="s">
        <v>96</v>
      </c>
      <c r="F445" s="11" t="n">
        <v>45170</v>
      </c>
      <c r="G445" s="12" t="n">
        <v>0.254559143518518</v>
      </c>
      <c r="H445" s="10" t="s">
        <v>21</v>
      </c>
      <c r="I445" s="13" t="n">
        <v>1</v>
      </c>
      <c r="J445" s="13" t="n">
        <v>55.25</v>
      </c>
      <c r="K445" s="13" t="n">
        <v>55.25</v>
      </c>
      <c r="L445" s="10" t="s">
        <v>1468</v>
      </c>
      <c r="M445" s="10"/>
      <c r="N445" s="10"/>
      <c r="O445" s="10" t="s">
        <v>1469</v>
      </c>
      <c r="P445" s="10" t="s">
        <v>1470</v>
      </c>
    </row>
    <row r="446" customFormat="false" ht="15.75" hidden="false" customHeight="false" outlineLevel="0" collapsed="false">
      <c r="A446" s="10" t="s">
        <v>16</v>
      </c>
      <c r="B446" s="10" t="s">
        <v>1457</v>
      </c>
      <c r="C446" s="10" t="s">
        <v>1458</v>
      </c>
      <c r="D446" s="10" t="s">
        <v>106</v>
      </c>
      <c r="E446" s="10" t="s">
        <v>107</v>
      </c>
      <c r="F446" s="11" t="n">
        <v>45171</v>
      </c>
      <c r="G446" s="12" t="n">
        <v>0.983034456018518</v>
      </c>
      <c r="H446" s="10" t="s">
        <v>37</v>
      </c>
      <c r="I446" s="13" t="n">
        <v>1</v>
      </c>
      <c r="J446" s="13" t="n">
        <v>151.69</v>
      </c>
      <c r="K446" s="13" t="n">
        <v>151.69</v>
      </c>
      <c r="L446" s="10" t="s">
        <v>1483</v>
      </c>
      <c r="M446" s="10" t="s">
        <v>1484</v>
      </c>
      <c r="N446" s="10"/>
      <c r="O446" s="10" t="s">
        <v>23</v>
      </c>
      <c r="P446" s="10" t="s">
        <v>24</v>
      </c>
    </row>
    <row r="447" customFormat="false" ht="15.75" hidden="false" customHeight="false" outlineLevel="0" collapsed="false">
      <c r="A447" s="10" t="s">
        <v>16</v>
      </c>
      <c r="B447" s="10" t="s">
        <v>817</v>
      </c>
      <c r="C447" s="10" t="s">
        <v>818</v>
      </c>
      <c r="D447" s="10" t="s">
        <v>819</v>
      </c>
      <c r="E447" s="10" t="s">
        <v>90</v>
      </c>
      <c r="F447" s="11" t="n">
        <v>45171</v>
      </c>
      <c r="G447" s="12" t="n">
        <v>0.980513101851852</v>
      </c>
      <c r="H447" s="10" t="s">
        <v>37</v>
      </c>
      <c r="I447" s="13" t="n">
        <v>1</v>
      </c>
      <c r="J447" s="13" t="n">
        <v>2050</v>
      </c>
      <c r="K447" s="13" t="n">
        <v>2050</v>
      </c>
      <c r="L447" s="10" t="s">
        <v>1485</v>
      </c>
      <c r="M447" s="10" t="s">
        <v>1486</v>
      </c>
      <c r="N447" s="10"/>
      <c r="O447" s="10" t="s">
        <v>23</v>
      </c>
      <c r="P447" s="10" t="s">
        <v>24</v>
      </c>
    </row>
    <row r="448" customFormat="false" ht="15.75" hidden="false" customHeight="false" outlineLevel="0" collapsed="false">
      <c r="A448" s="10" t="s">
        <v>16</v>
      </c>
      <c r="B448" s="10" t="s">
        <v>1487</v>
      </c>
      <c r="C448" s="10" t="s">
        <v>1488</v>
      </c>
      <c r="D448" s="10" t="s">
        <v>1489</v>
      </c>
      <c r="E448" s="10" t="s">
        <v>498</v>
      </c>
      <c r="F448" s="11" t="n">
        <v>45171</v>
      </c>
      <c r="G448" s="12" t="n">
        <v>0.927016944444445</v>
      </c>
      <c r="H448" s="10" t="s">
        <v>37</v>
      </c>
      <c r="I448" s="13" t="n">
        <v>1</v>
      </c>
      <c r="J448" s="13" t="n">
        <v>180.67</v>
      </c>
      <c r="K448" s="13" t="n">
        <v>180.67</v>
      </c>
      <c r="L448" s="10" t="s">
        <v>1490</v>
      </c>
      <c r="M448" s="10" t="s">
        <v>1491</v>
      </c>
      <c r="N448" s="10"/>
      <c r="O448" s="10" t="s">
        <v>23</v>
      </c>
      <c r="P448" s="10" t="s">
        <v>24</v>
      </c>
    </row>
    <row r="449" customFormat="false" ht="15.75" hidden="false" customHeight="false" outlineLevel="0" collapsed="false">
      <c r="A449" s="10" t="s">
        <v>16</v>
      </c>
      <c r="B449" s="10" t="s">
        <v>140</v>
      </c>
      <c r="C449" s="10" t="s">
        <v>141</v>
      </c>
      <c r="D449" s="10" t="s">
        <v>142</v>
      </c>
      <c r="E449" s="10" t="s">
        <v>28</v>
      </c>
      <c r="F449" s="11" t="n">
        <v>45171</v>
      </c>
      <c r="G449" s="12" t="n">
        <v>0.918378275462963</v>
      </c>
      <c r="H449" s="10" t="s">
        <v>37</v>
      </c>
      <c r="I449" s="13" t="n">
        <v>1</v>
      </c>
      <c r="J449" s="13" t="n">
        <v>870</v>
      </c>
      <c r="K449" s="13" t="n">
        <v>870</v>
      </c>
      <c r="L449" s="10" t="s">
        <v>1492</v>
      </c>
      <c r="M449" s="10" t="s">
        <v>1493</v>
      </c>
      <c r="N449" s="10"/>
      <c r="O449" s="10" t="s">
        <v>23</v>
      </c>
      <c r="P449" s="10" t="s">
        <v>24</v>
      </c>
    </row>
    <row r="450" customFormat="false" ht="15.75" hidden="false" customHeight="false" outlineLevel="0" collapsed="false">
      <c r="A450" s="10" t="s">
        <v>16</v>
      </c>
      <c r="B450" s="10" t="s">
        <v>1047</v>
      </c>
      <c r="C450" s="10" t="s">
        <v>1048</v>
      </c>
      <c r="D450" s="10" t="s">
        <v>659</v>
      </c>
      <c r="E450" s="10" t="s">
        <v>28</v>
      </c>
      <c r="F450" s="11" t="n">
        <v>45171</v>
      </c>
      <c r="G450" s="12" t="n">
        <v>0.916828946759259</v>
      </c>
      <c r="H450" s="10" t="s">
        <v>37</v>
      </c>
      <c r="I450" s="13" t="n">
        <v>1</v>
      </c>
      <c r="J450" s="13" t="n">
        <v>595</v>
      </c>
      <c r="K450" s="13" t="n">
        <v>595</v>
      </c>
      <c r="L450" s="10" t="s">
        <v>1494</v>
      </c>
      <c r="M450" s="10" t="s">
        <v>1495</v>
      </c>
      <c r="N450" s="10"/>
      <c r="O450" s="10" t="s">
        <v>23</v>
      </c>
      <c r="P450" s="10" t="s">
        <v>24</v>
      </c>
    </row>
    <row r="451" customFormat="false" ht="15.75" hidden="false" customHeight="false" outlineLevel="0" collapsed="false">
      <c r="A451" s="10" t="s">
        <v>16</v>
      </c>
      <c r="B451" s="10" t="s">
        <v>1085</v>
      </c>
      <c r="C451" s="10" t="s">
        <v>1086</v>
      </c>
      <c r="D451" s="10" t="s">
        <v>19</v>
      </c>
      <c r="E451" s="10" t="s">
        <v>20</v>
      </c>
      <c r="F451" s="11" t="n">
        <v>45171</v>
      </c>
      <c r="G451" s="12" t="n">
        <v>0.608912291666667</v>
      </c>
      <c r="H451" s="10" t="s">
        <v>37</v>
      </c>
      <c r="I451" s="13" t="n">
        <v>3</v>
      </c>
      <c r="J451" s="13" t="n">
        <v>240</v>
      </c>
      <c r="K451" s="13" t="n">
        <v>720</v>
      </c>
      <c r="L451" s="10" t="s">
        <v>1496</v>
      </c>
      <c r="M451" s="10" t="s">
        <v>1497</v>
      </c>
      <c r="N451" s="10"/>
      <c r="O451" s="10" t="s">
        <v>61</v>
      </c>
      <c r="P451" s="10" t="s">
        <v>62</v>
      </c>
    </row>
    <row r="452" customFormat="false" ht="15.75" hidden="false" customHeight="false" outlineLevel="0" collapsed="false">
      <c r="A452" s="10" t="s">
        <v>16</v>
      </c>
      <c r="B452" s="10" t="s">
        <v>1314</v>
      </c>
      <c r="C452" s="10" t="s">
        <v>1315</v>
      </c>
      <c r="D452" s="10" t="s">
        <v>1316</v>
      </c>
      <c r="E452" s="10" t="s">
        <v>28</v>
      </c>
      <c r="F452" s="11" t="n">
        <v>45172</v>
      </c>
      <c r="G452" s="12" t="n">
        <v>0.894938125</v>
      </c>
      <c r="H452" s="10" t="s">
        <v>37</v>
      </c>
      <c r="I452" s="13" t="n">
        <v>1</v>
      </c>
      <c r="J452" s="13" t="n">
        <v>425</v>
      </c>
      <c r="K452" s="13" t="n">
        <v>425</v>
      </c>
      <c r="L452" s="10" t="s">
        <v>1498</v>
      </c>
      <c r="M452" s="10" t="s">
        <v>1499</v>
      </c>
      <c r="N452" s="10"/>
      <c r="O452" s="10" t="s">
        <v>23</v>
      </c>
      <c r="P452" s="10" t="s">
        <v>24</v>
      </c>
    </row>
    <row r="453" customFormat="false" ht="15.75" hidden="false" customHeight="false" outlineLevel="0" collapsed="false">
      <c r="A453" s="10" t="s">
        <v>16</v>
      </c>
      <c r="B453" s="10" t="s">
        <v>366</v>
      </c>
      <c r="C453" s="10" t="s">
        <v>367</v>
      </c>
      <c r="D453" s="10" t="s">
        <v>142</v>
      </c>
      <c r="E453" s="10" t="s">
        <v>28</v>
      </c>
      <c r="F453" s="11" t="n">
        <v>45172</v>
      </c>
      <c r="G453" s="12" t="n">
        <v>0.892515821759259</v>
      </c>
      <c r="H453" s="10" t="s">
        <v>37</v>
      </c>
      <c r="I453" s="13" t="n">
        <v>1</v>
      </c>
      <c r="J453" s="13" t="n">
        <v>724</v>
      </c>
      <c r="K453" s="13" t="n">
        <v>724</v>
      </c>
      <c r="L453" s="10" t="s">
        <v>1500</v>
      </c>
      <c r="M453" s="10" t="s">
        <v>1501</v>
      </c>
      <c r="N453" s="10"/>
      <c r="O453" s="10" t="s">
        <v>23</v>
      </c>
      <c r="P453" s="10" t="s">
        <v>24</v>
      </c>
    </row>
    <row r="454" customFormat="false" ht="15.75" hidden="false" customHeight="false" outlineLevel="0" collapsed="false">
      <c r="A454" s="10" t="s">
        <v>16</v>
      </c>
      <c r="B454" s="10" t="s">
        <v>366</v>
      </c>
      <c r="C454" s="10" t="s">
        <v>367</v>
      </c>
      <c r="D454" s="10" t="s">
        <v>142</v>
      </c>
      <c r="E454" s="10" t="s">
        <v>28</v>
      </c>
      <c r="F454" s="11" t="n">
        <v>45173</v>
      </c>
      <c r="G454" s="12" t="n">
        <v>0.932382789351852</v>
      </c>
      <c r="H454" s="10" t="s">
        <v>37</v>
      </c>
      <c r="I454" s="13" t="n">
        <v>1</v>
      </c>
      <c r="J454" s="13" t="n">
        <v>724</v>
      </c>
      <c r="K454" s="13" t="n">
        <v>724</v>
      </c>
      <c r="L454" s="10" t="s">
        <v>1502</v>
      </c>
      <c r="M454" s="10" t="s">
        <v>1503</v>
      </c>
      <c r="N454" s="10"/>
      <c r="O454" s="10" t="s">
        <v>23</v>
      </c>
      <c r="P454" s="10" t="s">
        <v>24</v>
      </c>
    </row>
    <row r="455" customFormat="false" ht="15.75" hidden="false" customHeight="false" outlineLevel="0" collapsed="false">
      <c r="A455" s="10" t="s">
        <v>16</v>
      </c>
      <c r="B455" s="10" t="s">
        <v>1504</v>
      </c>
      <c r="C455" s="10" t="s">
        <v>1505</v>
      </c>
      <c r="D455" s="10" t="s">
        <v>337</v>
      </c>
      <c r="E455" s="10" t="s">
        <v>208</v>
      </c>
      <c r="F455" s="11" t="n">
        <v>45174</v>
      </c>
      <c r="G455" s="12" t="n">
        <v>0.930618020833333</v>
      </c>
      <c r="H455" s="10" t="s">
        <v>37</v>
      </c>
      <c r="I455" s="13" t="n">
        <v>1</v>
      </c>
      <c r="J455" s="13" t="n">
        <v>156.7</v>
      </c>
      <c r="K455" s="13" t="n">
        <v>156.7</v>
      </c>
      <c r="L455" s="10" t="s">
        <v>1506</v>
      </c>
      <c r="M455" s="10" t="s">
        <v>1507</v>
      </c>
      <c r="N455" s="10"/>
      <c r="O455" s="10" t="s">
        <v>23</v>
      </c>
      <c r="P455" s="10" t="s">
        <v>24</v>
      </c>
    </row>
    <row r="456" customFormat="false" ht="15.75" hidden="false" customHeight="false" outlineLevel="0" collapsed="false">
      <c r="A456" s="10" t="s">
        <v>16</v>
      </c>
      <c r="B456" s="10" t="s">
        <v>707</v>
      </c>
      <c r="C456" s="10" t="s">
        <v>708</v>
      </c>
      <c r="D456" s="10" t="s">
        <v>337</v>
      </c>
      <c r="E456" s="10" t="s">
        <v>208</v>
      </c>
      <c r="F456" s="11" t="n">
        <v>45174</v>
      </c>
      <c r="G456" s="12" t="n">
        <v>0.928950694444444</v>
      </c>
      <c r="H456" s="10" t="s">
        <v>37</v>
      </c>
      <c r="I456" s="13" t="n">
        <v>1</v>
      </c>
      <c r="J456" s="13" t="n">
        <v>239.66</v>
      </c>
      <c r="K456" s="13" t="n">
        <v>239.66</v>
      </c>
      <c r="L456" s="10" t="s">
        <v>1508</v>
      </c>
      <c r="M456" s="10" t="s">
        <v>1509</v>
      </c>
      <c r="N456" s="10"/>
      <c r="O456" s="10" t="s">
        <v>23</v>
      </c>
      <c r="P456" s="10" t="s">
        <v>24</v>
      </c>
    </row>
    <row r="457" customFormat="false" ht="15.75" hidden="false" customHeight="false" outlineLevel="0" collapsed="false">
      <c r="A457" s="10" t="s">
        <v>16</v>
      </c>
      <c r="B457" s="10" t="s">
        <v>342</v>
      </c>
      <c r="C457" s="10" t="s">
        <v>343</v>
      </c>
      <c r="D457" s="10" t="s">
        <v>230</v>
      </c>
      <c r="E457" s="10" t="s">
        <v>231</v>
      </c>
      <c r="F457" s="11" t="n">
        <v>45174</v>
      </c>
      <c r="G457" s="12" t="n">
        <v>0.926688645833333</v>
      </c>
      <c r="H457" s="10" t="s">
        <v>37</v>
      </c>
      <c r="I457" s="13" t="n">
        <v>1</v>
      </c>
      <c r="J457" s="13" t="n">
        <v>188.49</v>
      </c>
      <c r="K457" s="13" t="n">
        <v>188.49</v>
      </c>
      <c r="L457" s="10" t="s">
        <v>1510</v>
      </c>
      <c r="M457" s="10" t="s">
        <v>1511</v>
      </c>
      <c r="N457" s="10"/>
      <c r="O457" s="10" t="s">
        <v>23</v>
      </c>
      <c r="P457" s="10" t="s">
        <v>24</v>
      </c>
    </row>
    <row r="458" customFormat="false" ht="15.75" hidden="false" customHeight="false" outlineLevel="0" collapsed="false">
      <c r="A458" s="10" t="s">
        <v>16</v>
      </c>
      <c r="B458" s="10" t="s">
        <v>606</v>
      </c>
      <c r="C458" s="10" t="s">
        <v>607</v>
      </c>
      <c r="D458" s="10" t="s">
        <v>487</v>
      </c>
      <c r="E458" s="10" t="s">
        <v>20</v>
      </c>
      <c r="F458" s="11" t="n">
        <v>45175</v>
      </c>
      <c r="G458" s="12" t="n">
        <v>0.556304050925926</v>
      </c>
      <c r="H458" s="10" t="s">
        <v>37</v>
      </c>
      <c r="I458" s="13" t="n">
        <v>12</v>
      </c>
      <c r="J458" s="13" t="n">
        <v>1050</v>
      </c>
      <c r="K458" s="13" t="n">
        <v>12600</v>
      </c>
      <c r="L458" s="10" t="s">
        <v>1512</v>
      </c>
      <c r="M458" s="10" t="s">
        <v>1513</v>
      </c>
      <c r="N458" s="10"/>
      <c r="O458" s="10" t="s">
        <v>61</v>
      </c>
      <c r="P458" s="10" t="s">
        <v>62</v>
      </c>
    </row>
    <row r="459" customFormat="false" ht="15.75" hidden="false" customHeight="false" outlineLevel="0" collapsed="false">
      <c r="A459" s="10" t="s">
        <v>16</v>
      </c>
      <c r="B459" s="10" t="s">
        <v>582</v>
      </c>
      <c r="C459" s="10" t="s">
        <v>583</v>
      </c>
      <c r="D459" s="10" t="s">
        <v>308</v>
      </c>
      <c r="E459" s="10" t="s">
        <v>96</v>
      </c>
      <c r="F459" s="11" t="n">
        <v>45177</v>
      </c>
      <c r="G459" s="12" t="n">
        <v>0.254519965277778</v>
      </c>
      <c r="H459" s="10" t="s">
        <v>21</v>
      </c>
      <c r="I459" s="13" t="n">
        <v>1</v>
      </c>
      <c r="J459" s="13" t="n">
        <v>87.5</v>
      </c>
      <c r="K459" s="13" t="n">
        <v>87.5</v>
      </c>
      <c r="L459" s="10" t="s">
        <v>1468</v>
      </c>
      <c r="M459" s="10"/>
      <c r="N459" s="10"/>
      <c r="O459" s="10" t="s">
        <v>1469</v>
      </c>
      <c r="P459" s="10" t="s">
        <v>1470</v>
      </c>
    </row>
    <row r="460" customFormat="false" ht="15.75" hidden="false" customHeight="false" outlineLevel="0" collapsed="false">
      <c r="A460" s="10" t="s">
        <v>16</v>
      </c>
      <c r="B460" s="10" t="s">
        <v>1140</v>
      </c>
      <c r="C460" s="10" t="s">
        <v>1141</v>
      </c>
      <c r="D460" s="10" t="s">
        <v>1142</v>
      </c>
      <c r="E460" s="10" t="s">
        <v>28</v>
      </c>
      <c r="F460" s="11" t="n">
        <v>45179</v>
      </c>
      <c r="G460" s="12" t="n">
        <v>0.948927662037037</v>
      </c>
      <c r="H460" s="10" t="s">
        <v>37</v>
      </c>
      <c r="I460" s="13" t="n">
        <v>1</v>
      </c>
      <c r="J460" s="13" t="n">
        <v>595</v>
      </c>
      <c r="K460" s="13" t="n">
        <v>595</v>
      </c>
      <c r="L460" s="10" t="s">
        <v>1514</v>
      </c>
      <c r="M460" s="10" t="s">
        <v>1515</v>
      </c>
      <c r="N460" s="10"/>
      <c r="O460" s="10" t="s">
        <v>23</v>
      </c>
      <c r="P460" s="10" t="s">
        <v>24</v>
      </c>
    </row>
    <row r="461" customFormat="false" ht="15.75" hidden="false" customHeight="false" outlineLevel="0" collapsed="false">
      <c r="A461" s="10" t="s">
        <v>16</v>
      </c>
      <c r="B461" s="10" t="s">
        <v>140</v>
      </c>
      <c r="C461" s="10" t="s">
        <v>141</v>
      </c>
      <c r="D461" s="10" t="s">
        <v>142</v>
      </c>
      <c r="E461" s="10" t="s">
        <v>28</v>
      </c>
      <c r="F461" s="11" t="n">
        <v>45179</v>
      </c>
      <c r="G461" s="12" t="n">
        <v>0.946898576388889</v>
      </c>
      <c r="H461" s="10" t="s">
        <v>37</v>
      </c>
      <c r="I461" s="13" t="n">
        <v>1</v>
      </c>
      <c r="J461" s="13" t="n">
        <v>870</v>
      </c>
      <c r="K461" s="13" t="n">
        <v>870</v>
      </c>
      <c r="L461" s="10" t="s">
        <v>1516</v>
      </c>
      <c r="M461" s="10" t="s">
        <v>1517</v>
      </c>
      <c r="N461" s="10"/>
      <c r="O461" s="10" t="s">
        <v>23</v>
      </c>
      <c r="P461" s="10" t="s">
        <v>24</v>
      </c>
    </row>
    <row r="462" customFormat="false" ht="15.75" hidden="false" customHeight="false" outlineLevel="0" collapsed="false">
      <c r="A462" s="10" t="s">
        <v>16</v>
      </c>
      <c r="B462" s="10" t="s">
        <v>1518</v>
      </c>
      <c r="C462" s="10" t="s">
        <v>1519</v>
      </c>
      <c r="D462" s="10" t="s">
        <v>1520</v>
      </c>
      <c r="E462" s="10" t="s">
        <v>28</v>
      </c>
      <c r="F462" s="11" t="n">
        <v>45179</v>
      </c>
      <c r="G462" s="12" t="n">
        <v>0.022992650462963</v>
      </c>
      <c r="H462" s="10" t="s">
        <v>37</v>
      </c>
      <c r="I462" s="13" t="n">
        <v>1</v>
      </c>
      <c r="J462" s="13" t="n">
        <v>190</v>
      </c>
      <c r="K462" s="13" t="n">
        <v>190</v>
      </c>
      <c r="L462" s="10" t="s">
        <v>1521</v>
      </c>
      <c r="M462" s="10" t="s">
        <v>1522</v>
      </c>
      <c r="N462" s="10"/>
      <c r="O462" s="10" t="s">
        <v>23</v>
      </c>
      <c r="P462" s="10" t="s">
        <v>24</v>
      </c>
    </row>
    <row r="463" customFormat="false" ht="15.75" hidden="false" customHeight="false" outlineLevel="0" collapsed="false">
      <c r="A463" s="10" t="s">
        <v>16</v>
      </c>
      <c r="B463" s="10" t="s">
        <v>1523</v>
      </c>
      <c r="C463" s="10" t="s">
        <v>1524</v>
      </c>
      <c r="D463" s="10" t="s">
        <v>308</v>
      </c>
      <c r="E463" s="10" t="s">
        <v>96</v>
      </c>
      <c r="F463" s="11" t="n">
        <v>45179</v>
      </c>
      <c r="G463" s="12" t="n">
        <v>0.0199965162037037</v>
      </c>
      <c r="H463" s="10" t="s">
        <v>37</v>
      </c>
      <c r="I463" s="13" t="n">
        <v>2</v>
      </c>
      <c r="J463" s="13" t="n">
        <v>87.5</v>
      </c>
      <c r="K463" s="13" t="n">
        <v>175</v>
      </c>
      <c r="L463" s="10" t="s">
        <v>1525</v>
      </c>
      <c r="M463" s="10" t="s">
        <v>1526</v>
      </c>
      <c r="N463" s="10"/>
      <c r="O463" s="10" t="s">
        <v>23</v>
      </c>
      <c r="P463" s="10" t="s">
        <v>24</v>
      </c>
    </row>
    <row r="464" customFormat="false" ht="15.75" hidden="false" customHeight="false" outlineLevel="0" collapsed="false">
      <c r="A464" s="10" t="s">
        <v>16</v>
      </c>
      <c r="B464" s="10" t="s">
        <v>867</v>
      </c>
      <c r="C464" s="10" t="s">
        <v>868</v>
      </c>
      <c r="D464" s="10" t="s">
        <v>633</v>
      </c>
      <c r="E464" s="10" t="s">
        <v>208</v>
      </c>
      <c r="F464" s="11" t="n">
        <v>45180</v>
      </c>
      <c r="G464" s="12" t="n">
        <v>0.972206423611111</v>
      </c>
      <c r="H464" s="10" t="s">
        <v>37</v>
      </c>
      <c r="I464" s="13" t="n">
        <v>1</v>
      </c>
      <c r="J464" s="13" t="n">
        <v>135</v>
      </c>
      <c r="K464" s="13" t="n">
        <v>135</v>
      </c>
      <c r="L464" s="10" t="s">
        <v>1527</v>
      </c>
      <c r="M464" s="10" t="s">
        <v>1528</v>
      </c>
      <c r="N464" s="10"/>
      <c r="O464" s="10" t="s">
        <v>23</v>
      </c>
      <c r="P464" s="10" t="s">
        <v>24</v>
      </c>
    </row>
    <row r="465" customFormat="false" ht="15.75" hidden="false" customHeight="false" outlineLevel="0" collapsed="false">
      <c r="A465" s="10" t="s">
        <v>16</v>
      </c>
      <c r="B465" s="10" t="s">
        <v>1529</v>
      </c>
      <c r="C465" s="10" t="s">
        <v>1530</v>
      </c>
      <c r="D465" s="10" t="s">
        <v>747</v>
      </c>
      <c r="E465" s="10" t="s">
        <v>90</v>
      </c>
      <c r="F465" s="11" t="n">
        <v>45180</v>
      </c>
      <c r="G465" s="12" t="n">
        <v>0.970802106481481</v>
      </c>
      <c r="H465" s="10" t="s">
        <v>37</v>
      </c>
      <c r="I465" s="13" t="n">
        <v>1</v>
      </c>
      <c r="J465" s="13" t="n">
        <v>176.7</v>
      </c>
      <c r="K465" s="13" t="n">
        <v>176.7</v>
      </c>
      <c r="L465" s="10" t="s">
        <v>1531</v>
      </c>
      <c r="M465" s="10" t="s">
        <v>1532</v>
      </c>
      <c r="N465" s="10"/>
      <c r="O465" s="10" t="s">
        <v>23</v>
      </c>
      <c r="P465" s="10" t="s">
        <v>24</v>
      </c>
    </row>
    <row r="466" customFormat="false" ht="15.75" hidden="false" customHeight="false" outlineLevel="0" collapsed="false">
      <c r="A466" s="10" t="s">
        <v>16</v>
      </c>
      <c r="B466" s="10" t="s">
        <v>745</v>
      </c>
      <c r="C466" s="10" t="s">
        <v>746</v>
      </c>
      <c r="D466" s="10" t="s">
        <v>747</v>
      </c>
      <c r="E466" s="10" t="s">
        <v>90</v>
      </c>
      <c r="F466" s="11" t="n">
        <v>45180</v>
      </c>
      <c r="G466" s="12" t="n">
        <v>0.969106412037037</v>
      </c>
      <c r="H466" s="10" t="s">
        <v>37</v>
      </c>
      <c r="I466" s="13" t="n">
        <v>1</v>
      </c>
      <c r="J466" s="13" t="n">
        <v>864.9</v>
      </c>
      <c r="K466" s="13" t="n">
        <v>864.9</v>
      </c>
      <c r="L466" s="10" t="s">
        <v>1533</v>
      </c>
      <c r="M466" s="10" t="s">
        <v>1534</v>
      </c>
      <c r="N466" s="10"/>
      <c r="O466" s="10" t="s">
        <v>23</v>
      </c>
      <c r="P466" s="10" t="s">
        <v>24</v>
      </c>
    </row>
    <row r="467" customFormat="false" ht="15.75" hidden="false" customHeight="false" outlineLevel="0" collapsed="false">
      <c r="A467" s="10" t="s">
        <v>16</v>
      </c>
      <c r="B467" s="10" t="s">
        <v>1171</v>
      </c>
      <c r="C467" s="10" t="s">
        <v>1172</v>
      </c>
      <c r="D467" s="10" t="s">
        <v>1173</v>
      </c>
      <c r="E467" s="10" t="s">
        <v>90</v>
      </c>
      <c r="F467" s="11" t="n">
        <v>45180</v>
      </c>
      <c r="G467" s="12" t="n">
        <v>0.966274791666667</v>
      </c>
      <c r="H467" s="10" t="s">
        <v>37</v>
      </c>
      <c r="I467" s="13" t="n">
        <v>3</v>
      </c>
      <c r="J467" s="13" t="n">
        <v>2050</v>
      </c>
      <c r="K467" s="13" t="n">
        <v>6150</v>
      </c>
      <c r="L467" s="10" t="s">
        <v>1535</v>
      </c>
      <c r="M467" s="10" t="s">
        <v>1536</v>
      </c>
      <c r="N467" s="10"/>
      <c r="O467" s="10" t="s">
        <v>23</v>
      </c>
      <c r="P467" s="10" t="s">
        <v>24</v>
      </c>
    </row>
    <row r="468" customFormat="false" ht="15.75" hidden="false" customHeight="false" outlineLevel="0" collapsed="false">
      <c r="A468" s="10" t="s">
        <v>16</v>
      </c>
      <c r="B468" s="10" t="s">
        <v>1537</v>
      </c>
      <c r="C468" s="10" t="s">
        <v>1538</v>
      </c>
      <c r="D468" s="10" t="s">
        <v>426</v>
      </c>
      <c r="E468" s="10" t="s">
        <v>71</v>
      </c>
      <c r="F468" s="11" t="n">
        <v>45180</v>
      </c>
      <c r="G468" s="12" t="n">
        <v>0.253596655092593</v>
      </c>
      <c r="H468" s="10" t="s">
        <v>21</v>
      </c>
      <c r="I468" s="13" t="n">
        <v>1</v>
      </c>
      <c r="J468" s="13" t="n">
        <v>295</v>
      </c>
      <c r="K468" s="13" t="n">
        <v>295</v>
      </c>
      <c r="L468" s="10" t="s">
        <v>1468</v>
      </c>
      <c r="M468" s="10"/>
      <c r="N468" s="10"/>
      <c r="O468" s="10" t="s">
        <v>1469</v>
      </c>
      <c r="P468" s="10" t="s">
        <v>1470</v>
      </c>
    </row>
    <row r="469" customFormat="false" ht="15.75" hidden="false" customHeight="false" outlineLevel="0" collapsed="false">
      <c r="A469" s="10" t="s">
        <v>16</v>
      </c>
      <c r="B469" s="10" t="s">
        <v>1539</v>
      </c>
      <c r="C469" s="10" t="s">
        <v>1540</v>
      </c>
      <c r="D469" s="10" t="s">
        <v>426</v>
      </c>
      <c r="E469" s="10" t="s">
        <v>71</v>
      </c>
      <c r="F469" s="11" t="n">
        <v>45180</v>
      </c>
      <c r="G469" s="12" t="n">
        <v>0.253596655092593</v>
      </c>
      <c r="H469" s="10" t="s">
        <v>21</v>
      </c>
      <c r="I469" s="13" t="n">
        <v>1</v>
      </c>
      <c r="J469" s="13" t="n">
        <v>295</v>
      </c>
      <c r="K469" s="13" t="n">
        <v>295</v>
      </c>
      <c r="L469" s="10" t="s">
        <v>1468</v>
      </c>
      <c r="M469" s="10"/>
      <c r="N469" s="10"/>
      <c r="O469" s="10" t="s">
        <v>1469</v>
      </c>
      <c r="P469" s="10" t="s">
        <v>1470</v>
      </c>
    </row>
    <row r="470" customFormat="false" ht="15.75" hidden="false" customHeight="false" outlineLevel="0" collapsed="false">
      <c r="A470" s="10" t="s">
        <v>16</v>
      </c>
      <c r="B470" s="10" t="s">
        <v>1314</v>
      </c>
      <c r="C470" s="10" t="s">
        <v>1315</v>
      </c>
      <c r="D470" s="10" t="s">
        <v>1316</v>
      </c>
      <c r="E470" s="10" t="s">
        <v>28</v>
      </c>
      <c r="F470" s="11" t="n">
        <v>45181</v>
      </c>
      <c r="G470" s="12" t="n">
        <v>0.965589525462963</v>
      </c>
      <c r="H470" s="10" t="s">
        <v>37</v>
      </c>
      <c r="I470" s="13" t="n">
        <v>1</v>
      </c>
      <c r="J470" s="13" t="n">
        <v>425</v>
      </c>
      <c r="K470" s="13" t="n">
        <v>425</v>
      </c>
      <c r="L470" s="10" t="s">
        <v>1541</v>
      </c>
      <c r="M470" s="10" t="s">
        <v>1542</v>
      </c>
      <c r="N470" s="10"/>
      <c r="O470" s="10" t="s">
        <v>23</v>
      </c>
      <c r="P470" s="10" t="s">
        <v>24</v>
      </c>
    </row>
    <row r="471" customFormat="false" ht="15.75" hidden="false" customHeight="false" outlineLevel="0" collapsed="false">
      <c r="A471" s="10" t="s">
        <v>16</v>
      </c>
      <c r="B471" s="10" t="s">
        <v>1543</v>
      </c>
      <c r="C471" s="10" t="s">
        <v>1544</v>
      </c>
      <c r="D471" s="10" t="s">
        <v>106</v>
      </c>
      <c r="E471" s="10" t="s">
        <v>107</v>
      </c>
      <c r="F471" s="11" t="n">
        <v>45181</v>
      </c>
      <c r="G471" s="12" t="n">
        <v>0.466776736111111</v>
      </c>
      <c r="H471" s="10" t="s">
        <v>29</v>
      </c>
      <c r="I471" s="13" t="n">
        <v>20</v>
      </c>
      <c r="J471" s="13" t="n">
        <v>142.78</v>
      </c>
      <c r="K471" s="13" t="n">
        <v>2855.6</v>
      </c>
      <c r="L471" s="10" t="s">
        <v>1545</v>
      </c>
      <c r="M471" s="10" t="s">
        <v>1546</v>
      </c>
      <c r="N471" s="10" t="s">
        <v>1547</v>
      </c>
      <c r="O471" s="10" t="s">
        <v>61</v>
      </c>
      <c r="P471" s="10" t="s">
        <v>62</v>
      </c>
    </row>
    <row r="472" customFormat="false" ht="15.75" hidden="false" customHeight="false" outlineLevel="0" collapsed="false">
      <c r="A472" s="10" t="s">
        <v>16</v>
      </c>
      <c r="B472" s="10" t="s">
        <v>1548</v>
      </c>
      <c r="C472" s="10" t="s">
        <v>1549</v>
      </c>
      <c r="D472" s="10" t="s">
        <v>1550</v>
      </c>
      <c r="E472" s="10" t="s">
        <v>90</v>
      </c>
      <c r="F472" s="11" t="n">
        <v>45182</v>
      </c>
      <c r="G472" s="12" t="n">
        <v>0.992185717592593</v>
      </c>
      <c r="H472" s="10" t="s">
        <v>37</v>
      </c>
      <c r="I472" s="13" t="n">
        <v>1</v>
      </c>
      <c r="J472" s="13" t="n">
        <v>750</v>
      </c>
      <c r="K472" s="13" t="n">
        <v>750</v>
      </c>
      <c r="L472" s="10" t="s">
        <v>1551</v>
      </c>
      <c r="M472" s="10" t="s">
        <v>1552</v>
      </c>
      <c r="N472" s="10"/>
      <c r="O472" s="10" t="s">
        <v>23</v>
      </c>
      <c r="P472" s="10" t="s">
        <v>24</v>
      </c>
    </row>
    <row r="473" customFormat="false" ht="15.75" hidden="false" customHeight="false" outlineLevel="0" collapsed="false">
      <c r="A473" s="10" t="s">
        <v>16</v>
      </c>
      <c r="B473" s="10" t="s">
        <v>1553</v>
      </c>
      <c r="C473" s="10" t="s">
        <v>1554</v>
      </c>
      <c r="D473" s="10" t="s">
        <v>580</v>
      </c>
      <c r="E473" s="10" t="s">
        <v>553</v>
      </c>
      <c r="F473" s="11" t="n">
        <v>45182</v>
      </c>
      <c r="G473" s="12" t="n">
        <v>0.985978483796296</v>
      </c>
      <c r="H473" s="10" t="s">
        <v>37</v>
      </c>
      <c r="I473" s="13" t="n">
        <v>1</v>
      </c>
      <c r="J473" s="13" t="n">
        <v>52.99</v>
      </c>
      <c r="K473" s="13" t="n">
        <v>52.99</v>
      </c>
      <c r="L473" s="10" t="s">
        <v>1555</v>
      </c>
      <c r="M473" s="10" t="s">
        <v>1556</v>
      </c>
      <c r="N473" s="10"/>
      <c r="O473" s="10" t="s">
        <v>23</v>
      </c>
      <c r="P473" s="10" t="s">
        <v>24</v>
      </c>
    </row>
    <row r="474" customFormat="false" ht="15.75" hidden="false" customHeight="false" outlineLevel="0" collapsed="false">
      <c r="A474" s="10" t="s">
        <v>16</v>
      </c>
      <c r="B474" s="10" t="s">
        <v>1314</v>
      </c>
      <c r="C474" s="10" t="s">
        <v>1315</v>
      </c>
      <c r="D474" s="10" t="s">
        <v>1316</v>
      </c>
      <c r="E474" s="10" t="s">
        <v>28</v>
      </c>
      <c r="F474" s="11" t="n">
        <v>45183</v>
      </c>
      <c r="G474" s="12" t="n">
        <v>0.574059409722222</v>
      </c>
      <c r="H474" s="10" t="s">
        <v>37</v>
      </c>
      <c r="I474" s="13" t="n">
        <v>1</v>
      </c>
      <c r="J474" s="13" t="n">
        <v>425</v>
      </c>
      <c r="K474" s="13" t="n">
        <v>425</v>
      </c>
      <c r="L474" s="10" t="s">
        <v>1557</v>
      </c>
      <c r="M474" s="10" t="s">
        <v>1558</v>
      </c>
      <c r="N474" s="10"/>
      <c r="O474" s="10" t="s">
        <v>61</v>
      </c>
      <c r="P474" s="10" t="s">
        <v>62</v>
      </c>
    </row>
    <row r="475" customFormat="false" ht="15.75" hidden="false" customHeight="false" outlineLevel="0" collapsed="false">
      <c r="A475" s="10" t="s">
        <v>16</v>
      </c>
      <c r="B475" s="10" t="s">
        <v>1559</v>
      </c>
      <c r="C475" s="10" t="s">
        <v>1560</v>
      </c>
      <c r="D475" s="10" t="s">
        <v>622</v>
      </c>
      <c r="E475" s="10" t="s">
        <v>20</v>
      </c>
      <c r="F475" s="11" t="n">
        <v>45183</v>
      </c>
      <c r="G475" s="12" t="n">
        <v>0.523091666666667</v>
      </c>
      <c r="H475" s="10" t="s">
        <v>37</v>
      </c>
      <c r="I475" s="13" t="n">
        <v>1</v>
      </c>
      <c r="J475" s="13" t="n">
        <v>238</v>
      </c>
      <c r="K475" s="13" t="n">
        <v>238</v>
      </c>
      <c r="L475" s="10" t="s">
        <v>1561</v>
      </c>
      <c r="M475" s="10" t="s">
        <v>1562</v>
      </c>
      <c r="N475" s="10"/>
      <c r="O475" s="10" t="s">
        <v>61</v>
      </c>
      <c r="P475" s="10" t="s">
        <v>62</v>
      </c>
    </row>
    <row r="476" customFormat="false" ht="15.75" hidden="false" customHeight="false" outlineLevel="0" collapsed="false">
      <c r="A476" s="10" t="s">
        <v>16</v>
      </c>
      <c r="B476" s="10" t="s">
        <v>1563</v>
      </c>
      <c r="C476" s="10" t="s">
        <v>1564</v>
      </c>
      <c r="D476" s="10" t="s">
        <v>19</v>
      </c>
      <c r="E476" s="10" t="s">
        <v>333</v>
      </c>
      <c r="F476" s="11" t="n">
        <v>45183</v>
      </c>
      <c r="G476" s="12" t="n">
        <v>0.522258923611111</v>
      </c>
      <c r="H476" s="10" t="s">
        <v>37</v>
      </c>
      <c r="I476" s="13" t="n">
        <v>7</v>
      </c>
      <c r="J476" s="13" t="n">
        <v>150</v>
      </c>
      <c r="K476" s="13" t="n">
        <v>1050</v>
      </c>
      <c r="L476" s="10" t="s">
        <v>1565</v>
      </c>
      <c r="M476" s="10" t="s">
        <v>1566</v>
      </c>
      <c r="N476" s="10"/>
      <c r="O476" s="10" t="s">
        <v>61</v>
      </c>
      <c r="P476" s="10" t="s">
        <v>62</v>
      </c>
    </row>
    <row r="477" customFormat="false" ht="15.75" hidden="false" customHeight="false" outlineLevel="0" collapsed="false">
      <c r="A477" s="10" t="s">
        <v>16</v>
      </c>
      <c r="B477" s="10" t="s">
        <v>140</v>
      </c>
      <c r="C477" s="10" t="s">
        <v>141</v>
      </c>
      <c r="D477" s="10" t="s">
        <v>142</v>
      </c>
      <c r="E477" s="10" t="s">
        <v>28</v>
      </c>
      <c r="F477" s="11" t="n">
        <v>45184</v>
      </c>
      <c r="G477" s="12" t="n">
        <v>0.773164016203704</v>
      </c>
      <c r="H477" s="10" t="s">
        <v>37</v>
      </c>
      <c r="I477" s="13" t="n">
        <v>1</v>
      </c>
      <c r="J477" s="13" t="n">
        <v>870</v>
      </c>
      <c r="K477" s="13" t="n">
        <v>870</v>
      </c>
      <c r="L477" s="10" t="s">
        <v>1567</v>
      </c>
      <c r="M477" s="10" t="s">
        <v>1568</v>
      </c>
      <c r="N477" s="10"/>
      <c r="O477" s="10" t="s">
        <v>23</v>
      </c>
      <c r="P477" s="10" t="s">
        <v>24</v>
      </c>
    </row>
    <row r="478" customFormat="false" ht="15.75" hidden="false" customHeight="false" outlineLevel="0" collapsed="false">
      <c r="A478" s="10" t="s">
        <v>16</v>
      </c>
      <c r="B478" s="10" t="s">
        <v>1563</v>
      </c>
      <c r="C478" s="10" t="s">
        <v>1564</v>
      </c>
      <c r="D478" s="10" t="s">
        <v>19</v>
      </c>
      <c r="E478" s="10" t="s">
        <v>333</v>
      </c>
      <c r="F478" s="11" t="n">
        <v>45185</v>
      </c>
      <c r="G478" s="12" t="n">
        <v>0.555879548611111</v>
      </c>
      <c r="H478" s="10" t="s">
        <v>37</v>
      </c>
      <c r="I478" s="13" t="n">
        <v>33</v>
      </c>
      <c r="J478" s="13" t="n">
        <v>150</v>
      </c>
      <c r="K478" s="13" t="n">
        <v>4950</v>
      </c>
      <c r="L478" s="10" t="s">
        <v>1569</v>
      </c>
      <c r="M478" s="10" t="s">
        <v>1570</v>
      </c>
      <c r="N478" s="10"/>
      <c r="O478" s="10" t="s">
        <v>61</v>
      </c>
      <c r="P478" s="10" t="s">
        <v>62</v>
      </c>
    </row>
    <row r="479" customFormat="false" ht="15.75" hidden="false" customHeight="false" outlineLevel="0" collapsed="false">
      <c r="A479" s="10" t="s">
        <v>16</v>
      </c>
      <c r="B479" s="10" t="s">
        <v>1571</v>
      </c>
      <c r="C479" s="10" t="s">
        <v>1572</v>
      </c>
      <c r="D479" s="10" t="s">
        <v>202</v>
      </c>
      <c r="E479" s="10" t="s">
        <v>122</v>
      </c>
      <c r="F479" s="11" t="n">
        <v>45186</v>
      </c>
      <c r="G479" s="12" t="n">
        <v>0.943372731481481</v>
      </c>
      <c r="H479" s="10" t="s">
        <v>21</v>
      </c>
      <c r="I479" s="13" t="n">
        <v>5</v>
      </c>
      <c r="J479" s="13" t="n">
        <v>158.83</v>
      </c>
      <c r="K479" s="13" t="n">
        <v>794.15</v>
      </c>
      <c r="L479" s="10" t="s">
        <v>1573</v>
      </c>
      <c r="M479" s="10"/>
      <c r="N479" s="10"/>
      <c r="O479" s="10" t="s">
        <v>23</v>
      </c>
      <c r="P479" s="10" t="s">
        <v>24</v>
      </c>
    </row>
    <row r="480" customFormat="false" ht="15.75" hidden="false" customHeight="false" outlineLevel="0" collapsed="false">
      <c r="A480" s="10" t="s">
        <v>16</v>
      </c>
      <c r="B480" s="10" t="s">
        <v>1574</v>
      </c>
      <c r="C480" s="10" t="s">
        <v>1575</v>
      </c>
      <c r="D480" s="10" t="s">
        <v>202</v>
      </c>
      <c r="E480" s="10" t="s">
        <v>122</v>
      </c>
      <c r="F480" s="11" t="n">
        <v>45186</v>
      </c>
      <c r="G480" s="12" t="n">
        <v>0.937344351851852</v>
      </c>
      <c r="H480" s="10" t="s">
        <v>37</v>
      </c>
      <c r="I480" s="13" t="n">
        <v>1</v>
      </c>
      <c r="J480" s="13" t="n">
        <v>210.74</v>
      </c>
      <c r="K480" s="13" t="n">
        <v>210.74</v>
      </c>
      <c r="L480" s="10" t="s">
        <v>1576</v>
      </c>
      <c r="M480" s="10" t="s">
        <v>1577</v>
      </c>
      <c r="N480" s="10"/>
      <c r="O480" s="10" t="s">
        <v>23</v>
      </c>
      <c r="P480" s="10" t="s">
        <v>24</v>
      </c>
    </row>
    <row r="481" customFormat="false" ht="15.75" hidden="false" customHeight="false" outlineLevel="0" collapsed="false">
      <c r="A481" s="10" t="s">
        <v>16</v>
      </c>
      <c r="B481" s="10" t="s">
        <v>238</v>
      </c>
      <c r="C481" s="10" t="s">
        <v>239</v>
      </c>
      <c r="D481" s="10" t="s">
        <v>95</v>
      </c>
      <c r="E481" s="10" t="s">
        <v>96</v>
      </c>
      <c r="F481" s="11" t="n">
        <v>45186</v>
      </c>
      <c r="G481" s="12" t="n">
        <v>0.891609074074074</v>
      </c>
      <c r="H481" s="10" t="s">
        <v>37</v>
      </c>
      <c r="I481" s="13" t="n">
        <v>1</v>
      </c>
      <c r="J481" s="13" t="n">
        <v>55.38</v>
      </c>
      <c r="K481" s="13" t="n">
        <v>55.38</v>
      </c>
      <c r="L481" s="10" t="s">
        <v>1578</v>
      </c>
      <c r="M481" s="10" t="s">
        <v>1579</v>
      </c>
      <c r="N481" s="10"/>
      <c r="O481" s="10" t="s">
        <v>23</v>
      </c>
      <c r="P481" s="10" t="s">
        <v>24</v>
      </c>
    </row>
    <row r="482" customFormat="false" ht="15.75" hidden="false" customHeight="false" outlineLevel="0" collapsed="false">
      <c r="A482" s="10" t="s">
        <v>16</v>
      </c>
      <c r="B482" s="10" t="s">
        <v>1580</v>
      </c>
      <c r="C482" s="10" t="s">
        <v>1581</v>
      </c>
      <c r="D482" s="10" t="s">
        <v>337</v>
      </c>
      <c r="E482" s="10" t="s">
        <v>208</v>
      </c>
      <c r="F482" s="11" t="n">
        <v>45186</v>
      </c>
      <c r="G482" s="12" t="n">
        <v>0.890302962962963</v>
      </c>
      <c r="H482" s="10" t="s">
        <v>37</v>
      </c>
      <c r="I482" s="13" t="n">
        <v>1</v>
      </c>
      <c r="J482" s="13" t="n">
        <v>101.38</v>
      </c>
      <c r="K482" s="13" t="n">
        <v>101.38</v>
      </c>
      <c r="L482" s="10" t="s">
        <v>1582</v>
      </c>
      <c r="M482" s="10" t="s">
        <v>1583</v>
      </c>
      <c r="N482" s="10"/>
      <c r="O482" s="10" t="s">
        <v>23</v>
      </c>
      <c r="P482" s="10" t="s">
        <v>24</v>
      </c>
    </row>
    <row r="483" customFormat="false" ht="15.75" hidden="false" customHeight="false" outlineLevel="0" collapsed="false">
      <c r="A483" s="10" t="s">
        <v>16</v>
      </c>
      <c r="B483" s="10" t="s">
        <v>1584</v>
      </c>
      <c r="C483" s="10" t="s">
        <v>1585</v>
      </c>
      <c r="D483" s="10" t="s">
        <v>1142</v>
      </c>
      <c r="E483" s="10" t="s">
        <v>28</v>
      </c>
      <c r="F483" s="11" t="n">
        <v>45186</v>
      </c>
      <c r="G483" s="12" t="n">
        <v>0.887206770833333</v>
      </c>
      <c r="H483" s="10" t="s">
        <v>37</v>
      </c>
      <c r="I483" s="13" t="n">
        <v>1</v>
      </c>
      <c r="J483" s="13" t="n">
        <v>796</v>
      </c>
      <c r="K483" s="13" t="n">
        <v>796</v>
      </c>
      <c r="L483" s="10" t="s">
        <v>1586</v>
      </c>
      <c r="M483" s="10" t="s">
        <v>1587</v>
      </c>
      <c r="N483" s="10"/>
      <c r="O483" s="10" t="s">
        <v>23</v>
      </c>
      <c r="P483" s="10" t="s">
        <v>24</v>
      </c>
    </row>
    <row r="484" customFormat="false" ht="15.75" hidden="false" customHeight="false" outlineLevel="0" collapsed="false">
      <c r="A484" s="10" t="s">
        <v>16</v>
      </c>
      <c r="B484" s="10" t="s">
        <v>140</v>
      </c>
      <c r="C484" s="10" t="s">
        <v>141</v>
      </c>
      <c r="D484" s="10" t="s">
        <v>142</v>
      </c>
      <c r="E484" s="10" t="s">
        <v>28</v>
      </c>
      <c r="F484" s="11" t="n">
        <v>45186</v>
      </c>
      <c r="G484" s="12" t="n">
        <v>0.88450443287037</v>
      </c>
      <c r="H484" s="10" t="s">
        <v>37</v>
      </c>
      <c r="I484" s="13" t="n">
        <v>1</v>
      </c>
      <c r="J484" s="13" t="n">
        <v>900</v>
      </c>
      <c r="K484" s="13" t="n">
        <v>900</v>
      </c>
      <c r="L484" s="10" t="s">
        <v>1588</v>
      </c>
      <c r="M484" s="10" t="s">
        <v>1589</v>
      </c>
      <c r="N484" s="10"/>
      <c r="O484" s="10" t="s">
        <v>23</v>
      </c>
      <c r="P484" s="10" t="s">
        <v>24</v>
      </c>
    </row>
    <row r="485" customFormat="false" ht="15.75" hidden="false" customHeight="false" outlineLevel="0" collapsed="false">
      <c r="A485" s="10" t="s">
        <v>16</v>
      </c>
      <c r="B485" s="10" t="s">
        <v>777</v>
      </c>
      <c r="C485" s="10" t="s">
        <v>778</v>
      </c>
      <c r="D485" s="10" t="s">
        <v>779</v>
      </c>
      <c r="E485" s="10" t="s">
        <v>28</v>
      </c>
      <c r="F485" s="11" t="n">
        <v>45186</v>
      </c>
      <c r="G485" s="12" t="n">
        <v>0.0212942361111111</v>
      </c>
      <c r="H485" s="10" t="s">
        <v>37</v>
      </c>
      <c r="I485" s="13" t="n">
        <v>1</v>
      </c>
      <c r="J485" s="13" t="n">
        <v>972</v>
      </c>
      <c r="K485" s="13" t="n">
        <v>972</v>
      </c>
      <c r="L485" s="10" t="s">
        <v>1590</v>
      </c>
      <c r="M485" s="10" t="s">
        <v>1591</v>
      </c>
      <c r="N485" s="10"/>
      <c r="O485" s="10" t="s">
        <v>23</v>
      </c>
      <c r="P485" s="10" t="s">
        <v>24</v>
      </c>
    </row>
    <row r="486" customFormat="false" ht="15.75" hidden="false" customHeight="false" outlineLevel="0" collapsed="false">
      <c r="A486" s="10" t="s">
        <v>16</v>
      </c>
      <c r="B486" s="10" t="s">
        <v>972</v>
      </c>
      <c r="C486" s="10" t="s">
        <v>973</v>
      </c>
      <c r="D486" s="10" t="s">
        <v>974</v>
      </c>
      <c r="E486" s="10" t="s">
        <v>568</v>
      </c>
      <c r="F486" s="11" t="n">
        <v>45186</v>
      </c>
      <c r="G486" s="12" t="n">
        <v>0.0196978472222222</v>
      </c>
      <c r="H486" s="10" t="s">
        <v>37</v>
      </c>
      <c r="I486" s="13" t="n">
        <v>1</v>
      </c>
      <c r="J486" s="13" t="n">
        <v>980</v>
      </c>
      <c r="K486" s="13" t="n">
        <v>980</v>
      </c>
      <c r="L486" s="10" t="s">
        <v>1592</v>
      </c>
      <c r="M486" s="10" t="s">
        <v>1593</v>
      </c>
      <c r="N486" s="10"/>
      <c r="O486" s="10" t="s">
        <v>23</v>
      </c>
      <c r="P486" s="10" t="s">
        <v>24</v>
      </c>
    </row>
    <row r="487" customFormat="false" ht="15.75" hidden="false" customHeight="false" outlineLevel="0" collapsed="false">
      <c r="A487" s="10" t="s">
        <v>16</v>
      </c>
      <c r="B487" s="10" t="s">
        <v>1594</v>
      </c>
      <c r="C487" s="10" t="s">
        <v>1595</v>
      </c>
      <c r="D487" s="10" t="s">
        <v>1596</v>
      </c>
      <c r="E487" s="10" t="s">
        <v>553</v>
      </c>
      <c r="F487" s="11" t="n">
        <v>45186</v>
      </c>
      <c r="G487" s="12" t="n">
        <v>0.0138861689814815</v>
      </c>
      <c r="H487" s="10" t="s">
        <v>21</v>
      </c>
      <c r="I487" s="13" t="n">
        <v>1</v>
      </c>
      <c r="J487" s="13" t="n">
        <v>268.48</v>
      </c>
      <c r="K487" s="13" t="n">
        <v>268.48</v>
      </c>
      <c r="L487" s="10" t="s">
        <v>1573</v>
      </c>
      <c r="M487" s="10"/>
      <c r="N487" s="10"/>
      <c r="O487" s="10" t="s">
        <v>23</v>
      </c>
      <c r="P487" s="10" t="s">
        <v>24</v>
      </c>
    </row>
    <row r="488" customFormat="false" ht="15.75" hidden="false" customHeight="false" outlineLevel="0" collapsed="false">
      <c r="A488" s="10" t="s">
        <v>16</v>
      </c>
      <c r="B488" s="10" t="s">
        <v>140</v>
      </c>
      <c r="C488" s="10" t="s">
        <v>141</v>
      </c>
      <c r="D488" s="10" t="s">
        <v>142</v>
      </c>
      <c r="E488" s="10" t="s">
        <v>28</v>
      </c>
      <c r="F488" s="11" t="n">
        <v>45187</v>
      </c>
      <c r="G488" s="12" t="n">
        <v>0.908592407407407</v>
      </c>
      <c r="H488" s="10" t="s">
        <v>37</v>
      </c>
      <c r="I488" s="13" t="n">
        <v>1</v>
      </c>
      <c r="J488" s="13" t="n">
        <v>900</v>
      </c>
      <c r="K488" s="13" t="n">
        <v>900</v>
      </c>
      <c r="L488" s="10" t="s">
        <v>1597</v>
      </c>
      <c r="M488" s="10" t="s">
        <v>1598</v>
      </c>
      <c r="N488" s="10"/>
      <c r="O488" s="10" t="s">
        <v>23</v>
      </c>
      <c r="P488" s="10" t="s">
        <v>24</v>
      </c>
    </row>
    <row r="489" customFormat="false" ht="15.75" hidden="false" customHeight="false" outlineLevel="0" collapsed="false">
      <c r="A489" s="10" t="s">
        <v>16</v>
      </c>
      <c r="B489" s="10" t="s">
        <v>1599</v>
      </c>
      <c r="C489" s="10" t="s">
        <v>1600</v>
      </c>
      <c r="D489" s="10" t="s">
        <v>1601</v>
      </c>
      <c r="E489" s="10" t="s">
        <v>568</v>
      </c>
      <c r="F489" s="11" t="n">
        <v>45187</v>
      </c>
      <c r="G489" s="12" t="n">
        <v>0.253564525462963</v>
      </c>
      <c r="H489" s="10" t="s">
        <v>21</v>
      </c>
      <c r="I489" s="13" t="n">
        <v>1</v>
      </c>
      <c r="J489" s="13" t="n">
        <v>299.06</v>
      </c>
      <c r="K489" s="13" t="n">
        <v>299.06</v>
      </c>
      <c r="L489" s="10" t="s">
        <v>1468</v>
      </c>
      <c r="M489" s="10"/>
      <c r="N489" s="10"/>
      <c r="O489" s="10" t="s">
        <v>1602</v>
      </c>
      <c r="P489" s="10" t="s">
        <v>1603</v>
      </c>
    </row>
    <row r="490" customFormat="false" ht="15.75" hidden="false" customHeight="false" outlineLevel="0" collapsed="false">
      <c r="A490" s="10" t="s">
        <v>16</v>
      </c>
      <c r="B490" s="10" t="s">
        <v>764</v>
      </c>
      <c r="C490" s="10" t="s">
        <v>765</v>
      </c>
      <c r="D490" s="10" t="s">
        <v>85</v>
      </c>
      <c r="E490" s="10" t="s">
        <v>28</v>
      </c>
      <c r="F490" s="11" t="n">
        <v>45188</v>
      </c>
      <c r="G490" s="12" t="n">
        <v>0.872998969907407</v>
      </c>
      <c r="H490" s="10" t="s">
        <v>37</v>
      </c>
      <c r="I490" s="13" t="n">
        <v>1</v>
      </c>
      <c r="J490" s="13" t="n">
        <v>595</v>
      </c>
      <c r="K490" s="13" t="n">
        <v>595</v>
      </c>
      <c r="L490" s="10" t="s">
        <v>1604</v>
      </c>
      <c r="M490" s="10" t="s">
        <v>1605</v>
      </c>
      <c r="N490" s="10"/>
      <c r="O490" s="10" t="s">
        <v>23</v>
      </c>
      <c r="P490" s="10" t="s">
        <v>24</v>
      </c>
    </row>
    <row r="491" customFormat="false" ht="15.75" hidden="false" customHeight="false" outlineLevel="0" collapsed="false">
      <c r="A491" s="10" t="s">
        <v>16</v>
      </c>
      <c r="B491" s="10" t="s">
        <v>472</v>
      </c>
      <c r="C491" s="10" t="s">
        <v>473</v>
      </c>
      <c r="D491" s="10" t="s">
        <v>230</v>
      </c>
      <c r="E491" s="10" t="s">
        <v>231</v>
      </c>
      <c r="F491" s="11" t="n">
        <v>45188</v>
      </c>
      <c r="G491" s="12" t="n">
        <v>0.871999027777778</v>
      </c>
      <c r="H491" s="10" t="s">
        <v>37</v>
      </c>
      <c r="I491" s="13" t="n">
        <v>1</v>
      </c>
      <c r="J491" s="13" t="n">
        <v>614.12</v>
      </c>
      <c r="K491" s="13" t="n">
        <v>614.12</v>
      </c>
      <c r="L491" s="10" t="s">
        <v>1606</v>
      </c>
      <c r="M491" s="10" t="s">
        <v>1607</v>
      </c>
      <c r="N491" s="10"/>
      <c r="O491" s="10" t="s">
        <v>23</v>
      </c>
      <c r="P491" s="10" t="s">
        <v>24</v>
      </c>
    </row>
    <row r="492" customFormat="false" ht="15.75" hidden="false" customHeight="false" outlineLevel="0" collapsed="false">
      <c r="A492" s="10" t="s">
        <v>16</v>
      </c>
      <c r="B492" s="10" t="s">
        <v>1523</v>
      </c>
      <c r="C492" s="10" t="s">
        <v>1524</v>
      </c>
      <c r="D492" s="10" t="s">
        <v>308</v>
      </c>
      <c r="E492" s="10" t="s">
        <v>96</v>
      </c>
      <c r="F492" s="11" t="n">
        <v>45189</v>
      </c>
      <c r="G492" s="12" t="n">
        <v>0.918882789351852</v>
      </c>
      <c r="H492" s="10" t="s">
        <v>37</v>
      </c>
      <c r="I492" s="13" t="n">
        <v>1</v>
      </c>
      <c r="J492" s="13" t="n">
        <v>87.5</v>
      </c>
      <c r="K492" s="13" t="n">
        <v>87.5</v>
      </c>
      <c r="L492" s="10" t="s">
        <v>1608</v>
      </c>
      <c r="M492" s="10" t="s">
        <v>1609</v>
      </c>
      <c r="N492" s="10"/>
      <c r="O492" s="10" t="s">
        <v>23</v>
      </c>
      <c r="P492" s="10" t="s">
        <v>24</v>
      </c>
    </row>
    <row r="493" customFormat="false" ht="15.75" hidden="false" customHeight="false" outlineLevel="0" collapsed="false">
      <c r="A493" s="10" t="s">
        <v>16</v>
      </c>
      <c r="B493" s="10" t="s">
        <v>908</v>
      </c>
      <c r="C493" s="10" t="s">
        <v>909</v>
      </c>
      <c r="D493" s="10" t="s">
        <v>95</v>
      </c>
      <c r="E493" s="10" t="s">
        <v>96</v>
      </c>
      <c r="F493" s="11" t="n">
        <v>45189</v>
      </c>
      <c r="G493" s="12" t="n">
        <v>0.917632824074074</v>
      </c>
      <c r="H493" s="10" t="s">
        <v>37</v>
      </c>
      <c r="I493" s="13" t="n">
        <v>1</v>
      </c>
      <c r="J493" s="13" t="n">
        <v>45.59</v>
      </c>
      <c r="K493" s="13" t="n">
        <v>45.59</v>
      </c>
      <c r="L493" s="10" t="s">
        <v>1610</v>
      </c>
      <c r="M493" s="10" t="s">
        <v>1611</v>
      </c>
      <c r="N493" s="10"/>
      <c r="O493" s="10" t="s">
        <v>23</v>
      </c>
      <c r="P493" s="10" t="s">
        <v>24</v>
      </c>
    </row>
    <row r="494" customFormat="false" ht="15.75" hidden="false" customHeight="false" outlineLevel="0" collapsed="false">
      <c r="A494" s="10" t="s">
        <v>16</v>
      </c>
      <c r="B494" s="10" t="s">
        <v>1114</v>
      </c>
      <c r="C494" s="10" t="s">
        <v>1115</v>
      </c>
      <c r="D494" s="10" t="s">
        <v>101</v>
      </c>
      <c r="E494" s="10" t="s">
        <v>96</v>
      </c>
      <c r="F494" s="11" t="n">
        <v>45189</v>
      </c>
      <c r="G494" s="12" t="n">
        <v>0.916394618055556</v>
      </c>
      <c r="H494" s="10" t="s">
        <v>37</v>
      </c>
      <c r="I494" s="13" t="n">
        <v>1</v>
      </c>
      <c r="J494" s="13" t="n">
        <v>275</v>
      </c>
      <c r="K494" s="13" t="n">
        <v>275</v>
      </c>
      <c r="L494" s="10" t="s">
        <v>1612</v>
      </c>
      <c r="M494" s="10" t="s">
        <v>1613</v>
      </c>
      <c r="N494" s="10"/>
      <c r="O494" s="10" t="s">
        <v>23</v>
      </c>
      <c r="P494" s="10" t="s">
        <v>24</v>
      </c>
    </row>
    <row r="495" customFormat="false" ht="15.75" hidden="false" customHeight="false" outlineLevel="0" collapsed="false">
      <c r="A495" s="10" t="s">
        <v>16</v>
      </c>
      <c r="B495" s="10" t="s">
        <v>620</v>
      </c>
      <c r="C495" s="10" t="s">
        <v>621</v>
      </c>
      <c r="D495" s="10" t="s">
        <v>622</v>
      </c>
      <c r="E495" s="10" t="s">
        <v>20</v>
      </c>
      <c r="F495" s="11" t="n">
        <v>45189</v>
      </c>
      <c r="G495" s="12" t="n">
        <v>0.887335636574074</v>
      </c>
      <c r="H495" s="10" t="s">
        <v>37</v>
      </c>
      <c r="I495" s="13" t="n">
        <v>1</v>
      </c>
      <c r="J495" s="13" t="n">
        <v>283</v>
      </c>
      <c r="K495" s="13" t="n">
        <v>283</v>
      </c>
      <c r="L495" s="10" t="s">
        <v>1614</v>
      </c>
      <c r="M495" s="10" t="s">
        <v>1615</v>
      </c>
      <c r="N495" s="10"/>
      <c r="O495" s="10" t="s">
        <v>23</v>
      </c>
      <c r="P495" s="10" t="s">
        <v>24</v>
      </c>
    </row>
    <row r="496" customFormat="false" ht="15.75" hidden="false" customHeight="false" outlineLevel="0" collapsed="false">
      <c r="A496" s="10" t="s">
        <v>16</v>
      </c>
      <c r="B496" s="10" t="s">
        <v>140</v>
      </c>
      <c r="C496" s="10" t="s">
        <v>141</v>
      </c>
      <c r="D496" s="10" t="s">
        <v>142</v>
      </c>
      <c r="E496" s="10" t="s">
        <v>28</v>
      </c>
      <c r="F496" s="11" t="n">
        <v>45191</v>
      </c>
      <c r="G496" s="12" t="n">
        <v>0.780239409722222</v>
      </c>
      <c r="H496" s="10" t="s">
        <v>37</v>
      </c>
      <c r="I496" s="13" t="n">
        <v>1</v>
      </c>
      <c r="J496" s="13" t="n">
        <v>900</v>
      </c>
      <c r="K496" s="13" t="n">
        <v>900</v>
      </c>
      <c r="L496" s="10" t="s">
        <v>1616</v>
      </c>
      <c r="M496" s="10" t="s">
        <v>1617</v>
      </c>
      <c r="N496" s="10"/>
      <c r="O496" s="10" t="s">
        <v>23</v>
      </c>
      <c r="P496" s="10" t="s">
        <v>24</v>
      </c>
    </row>
    <row r="497" customFormat="false" ht="15.75" hidden="false" customHeight="false" outlineLevel="0" collapsed="false">
      <c r="A497" s="10" t="s">
        <v>16</v>
      </c>
      <c r="B497" s="10" t="s">
        <v>1618</v>
      </c>
      <c r="C497" s="10" t="s">
        <v>1619</v>
      </c>
      <c r="D497" s="10" t="s">
        <v>174</v>
      </c>
      <c r="E497" s="10" t="s">
        <v>36</v>
      </c>
      <c r="F497" s="11" t="n">
        <v>45191</v>
      </c>
      <c r="G497" s="12" t="n">
        <v>0.775750659722222</v>
      </c>
      <c r="H497" s="10" t="s">
        <v>37</v>
      </c>
      <c r="I497" s="13" t="n">
        <v>2</v>
      </c>
      <c r="J497" s="13" t="n">
        <v>130.83</v>
      </c>
      <c r="K497" s="13" t="n">
        <v>261.66</v>
      </c>
      <c r="L497" s="10" t="s">
        <v>1620</v>
      </c>
      <c r="M497" s="10" t="s">
        <v>1621</v>
      </c>
      <c r="N497" s="10"/>
      <c r="O497" s="10" t="s">
        <v>23</v>
      </c>
      <c r="P497" s="10" t="s">
        <v>24</v>
      </c>
    </row>
    <row r="498" customFormat="false" ht="15.75" hidden="false" customHeight="false" outlineLevel="0" collapsed="false">
      <c r="A498" s="10" t="s">
        <v>16</v>
      </c>
      <c r="B498" s="10" t="s">
        <v>424</v>
      </c>
      <c r="C498" s="10" t="s">
        <v>425</v>
      </c>
      <c r="D498" s="10" t="s">
        <v>426</v>
      </c>
      <c r="E498" s="10" t="s">
        <v>71</v>
      </c>
      <c r="F498" s="11" t="n">
        <v>45192</v>
      </c>
      <c r="G498" s="12" t="n">
        <v>0.965008819444445</v>
      </c>
      <c r="H498" s="10" t="s">
        <v>37</v>
      </c>
      <c r="I498" s="13" t="n">
        <v>2</v>
      </c>
      <c r="J498" s="13" t="n">
        <v>142.5</v>
      </c>
      <c r="K498" s="13" t="n">
        <v>285</v>
      </c>
      <c r="L498" s="10" t="s">
        <v>1622</v>
      </c>
      <c r="M498" s="10" t="s">
        <v>1623</v>
      </c>
      <c r="N498" s="10"/>
      <c r="O498" s="10" t="s">
        <v>23</v>
      </c>
      <c r="P498" s="10" t="s">
        <v>24</v>
      </c>
    </row>
    <row r="499" customFormat="false" ht="15.75" hidden="false" customHeight="false" outlineLevel="0" collapsed="false">
      <c r="A499" s="10" t="s">
        <v>16</v>
      </c>
      <c r="B499" s="10" t="s">
        <v>941</v>
      </c>
      <c r="C499" s="10" t="s">
        <v>942</v>
      </c>
      <c r="D499" s="10" t="s">
        <v>652</v>
      </c>
      <c r="E499" s="10" t="s">
        <v>28</v>
      </c>
      <c r="F499" s="11" t="n">
        <v>45193</v>
      </c>
      <c r="G499" s="12" t="n">
        <v>0.940833333333333</v>
      </c>
      <c r="H499" s="10" t="s">
        <v>37</v>
      </c>
      <c r="I499" s="13" t="n">
        <v>1</v>
      </c>
      <c r="J499" s="13" t="n">
        <v>870</v>
      </c>
      <c r="K499" s="13" t="n">
        <v>870</v>
      </c>
      <c r="L499" s="10" t="s">
        <v>1624</v>
      </c>
      <c r="M499" s="10" t="s">
        <v>1625</v>
      </c>
      <c r="N499" s="10"/>
      <c r="O499" s="10" t="s">
        <v>23</v>
      </c>
      <c r="P499" s="10" t="s">
        <v>24</v>
      </c>
    </row>
    <row r="500" customFormat="false" ht="15.75" hidden="false" customHeight="false" outlineLevel="0" collapsed="false">
      <c r="A500" s="10" t="s">
        <v>16</v>
      </c>
      <c r="B500" s="10" t="s">
        <v>1626</v>
      </c>
      <c r="C500" s="10" t="s">
        <v>1627</v>
      </c>
      <c r="D500" s="10" t="s">
        <v>1628</v>
      </c>
      <c r="E500" s="10" t="s">
        <v>66</v>
      </c>
      <c r="F500" s="11" t="n">
        <v>45195</v>
      </c>
      <c r="G500" s="12" t="n">
        <v>0.933269837962963</v>
      </c>
      <c r="H500" s="10" t="s">
        <v>21</v>
      </c>
      <c r="I500" s="13" t="n">
        <v>1</v>
      </c>
      <c r="J500" s="13" t="n">
        <v>120.9</v>
      </c>
      <c r="K500" s="13" t="n">
        <v>120.9</v>
      </c>
      <c r="L500" s="10" t="s">
        <v>1629</v>
      </c>
      <c r="M500" s="10"/>
      <c r="N500" s="10"/>
      <c r="O500" s="10" t="s">
        <v>23</v>
      </c>
      <c r="P500" s="10" t="s">
        <v>24</v>
      </c>
    </row>
    <row r="501" customFormat="false" ht="15.75" hidden="false" customHeight="false" outlineLevel="0" collapsed="false">
      <c r="A501" s="10" t="s">
        <v>16</v>
      </c>
      <c r="B501" s="10" t="s">
        <v>1630</v>
      </c>
      <c r="C501" s="10" t="s">
        <v>1631</v>
      </c>
      <c r="D501" s="10" t="s">
        <v>1632</v>
      </c>
      <c r="E501" s="10" t="s">
        <v>924</v>
      </c>
      <c r="F501" s="11" t="n">
        <v>45195</v>
      </c>
      <c r="G501" s="12" t="n">
        <v>0.931369155092593</v>
      </c>
      <c r="H501" s="10" t="s">
        <v>37</v>
      </c>
      <c r="I501" s="13" t="n">
        <v>1</v>
      </c>
      <c r="J501" s="13" t="n">
        <v>4535</v>
      </c>
      <c r="K501" s="13" t="n">
        <v>4535</v>
      </c>
      <c r="L501" s="10" t="s">
        <v>1633</v>
      </c>
      <c r="M501" s="10" t="s">
        <v>1634</v>
      </c>
      <c r="N501" s="10"/>
      <c r="O501" s="10" t="s">
        <v>23</v>
      </c>
      <c r="P501" s="10" t="s">
        <v>24</v>
      </c>
    </row>
    <row r="502" customFormat="false" ht="15.75" hidden="false" customHeight="false" outlineLevel="0" collapsed="false">
      <c r="A502" s="10" t="s">
        <v>16</v>
      </c>
      <c r="B502" s="10" t="s">
        <v>1136</v>
      </c>
      <c r="C502" s="10" t="s">
        <v>1137</v>
      </c>
      <c r="D502" s="10" t="s">
        <v>95</v>
      </c>
      <c r="E502" s="10" t="s">
        <v>96</v>
      </c>
      <c r="F502" s="11" t="n">
        <v>45195</v>
      </c>
      <c r="G502" s="12" t="n">
        <v>0.930137951388889</v>
      </c>
      <c r="H502" s="10" t="s">
        <v>37</v>
      </c>
      <c r="I502" s="13" t="n">
        <v>1</v>
      </c>
      <c r="J502" s="13" t="n">
        <v>201.18</v>
      </c>
      <c r="K502" s="13" t="n">
        <v>201.18</v>
      </c>
      <c r="L502" s="10" t="s">
        <v>1636</v>
      </c>
      <c r="M502" s="10" t="s">
        <v>1637</v>
      </c>
      <c r="N502" s="10"/>
      <c r="O502" s="10" t="s">
        <v>23</v>
      </c>
      <c r="P502" s="10" t="s">
        <v>24</v>
      </c>
    </row>
    <row r="503" customFormat="false" ht="15.75" hidden="false" customHeight="false" outlineLevel="0" collapsed="false">
      <c r="A503" s="10" t="s">
        <v>16</v>
      </c>
      <c r="B503" s="10" t="s">
        <v>1638</v>
      </c>
      <c r="C503" s="10" t="s">
        <v>1639</v>
      </c>
      <c r="D503" s="10" t="s">
        <v>1640</v>
      </c>
      <c r="E503" s="10" t="s">
        <v>553</v>
      </c>
      <c r="F503" s="11" t="n">
        <v>45195</v>
      </c>
      <c r="G503" s="12" t="n">
        <v>0.929177604166667</v>
      </c>
      <c r="H503" s="10" t="s">
        <v>37</v>
      </c>
      <c r="I503" s="13" t="n">
        <v>1</v>
      </c>
      <c r="J503" s="13" t="n">
        <v>33.35</v>
      </c>
      <c r="K503" s="13" t="n">
        <v>33.35</v>
      </c>
      <c r="L503" s="10" t="s">
        <v>1641</v>
      </c>
      <c r="M503" s="10" t="s">
        <v>1642</v>
      </c>
      <c r="N503" s="10"/>
      <c r="O503" s="10" t="s">
        <v>23</v>
      </c>
      <c r="P503" s="10" t="s">
        <v>24</v>
      </c>
    </row>
    <row r="504" customFormat="false" ht="15.75" hidden="false" customHeight="false" outlineLevel="0" collapsed="false">
      <c r="A504" s="10" t="s">
        <v>16</v>
      </c>
      <c r="B504" s="10" t="s">
        <v>1643</v>
      </c>
      <c r="C504" s="10" t="s">
        <v>1644</v>
      </c>
      <c r="D504" s="10" t="s">
        <v>121</v>
      </c>
      <c r="E504" s="10" t="s">
        <v>66</v>
      </c>
      <c r="F504" s="11" t="n">
        <v>45196</v>
      </c>
      <c r="G504" s="12" t="n">
        <v>0.954195173611111</v>
      </c>
      <c r="H504" s="10" t="s">
        <v>37</v>
      </c>
      <c r="I504" s="13" t="n">
        <v>1</v>
      </c>
      <c r="J504" s="13" t="n">
        <v>130</v>
      </c>
      <c r="K504" s="13" t="n">
        <v>130</v>
      </c>
      <c r="L504" s="10" t="s">
        <v>1645</v>
      </c>
      <c r="M504" s="10" t="s">
        <v>1646</v>
      </c>
      <c r="N504" s="10"/>
      <c r="O504" s="10" t="s">
        <v>23</v>
      </c>
      <c r="P504" s="10" t="s">
        <v>24</v>
      </c>
    </row>
    <row r="505" customFormat="false" ht="15.75" hidden="false" customHeight="false" outlineLevel="0" collapsed="false">
      <c r="A505" s="10" t="s">
        <v>16</v>
      </c>
      <c r="B505" s="10" t="s">
        <v>1647</v>
      </c>
      <c r="C505" s="10" t="s">
        <v>1648</v>
      </c>
      <c r="D505" s="10" t="s">
        <v>95</v>
      </c>
      <c r="E505" s="10" t="s">
        <v>96</v>
      </c>
      <c r="F505" s="11" t="n">
        <v>45196</v>
      </c>
      <c r="G505" s="12" t="n">
        <v>0.71961193287037</v>
      </c>
      <c r="H505" s="10" t="s">
        <v>37</v>
      </c>
      <c r="I505" s="13" t="n">
        <v>1</v>
      </c>
      <c r="J505" s="13" t="n">
        <v>210.36</v>
      </c>
      <c r="K505" s="13" t="n">
        <v>210.36</v>
      </c>
      <c r="L505" s="10" t="s">
        <v>1649</v>
      </c>
      <c r="M505" s="10" t="s">
        <v>1650</v>
      </c>
      <c r="N505" s="10"/>
      <c r="O505" s="10" t="s">
        <v>61</v>
      </c>
      <c r="P505" s="10" t="s">
        <v>62</v>
      </c>
    </row>
    <row r="506" customFormat="false" ht="15.75" hidden="false" customHeight="false" outlineLevel="0" collapsed="false">
      <c r="A506" s="10" t="s">
        <v>16</v>
      </c>
      <c r="B506" s="10" t="s">
        <v>1136</v>
      </c>
      <c r="C506" s="10" t="s">
        <v>1137</v>
      </c>
      <c r="D506" s="10" t="s">
        <v>95</v>
      </c>
      <c r="E506" s="10" t="s">
        <v>96</v>
      </c>
      <c r="F506" s="11" t="n">
        <v>45196</v>
      </c>
      <c r="G506" s="12" t="n">
        <v>0.718906388888889</v>
      </c>
      <c r="H506" s="10" t="s">
        <v>37</v>
      </c>
      <c r="I506" s="13" t="n">
        <v>2</v>
      </c>
      <c r="J506" s="13" t="n">
        <v>201.18</v>
      </c>
      <c r="K506" s="13" t="n">
        <v>402.36</v>
      </c>
      <c r="L506" s="10" t="s">
        <v>1651</v>
      </c>
      <c r="M506" s="10" t="s">
        <v>1652</v>
      </c>
      <c r="N506" s="10"/>
      <c r="O506" s="10" t="s">
        <v>61</v>
      </c>
      <c r="P506" s="10" t="s">
        <v>62</v>
      </c>
    </row>
    <row r="507" customFormat="false" ht="15.75" hidden="false" customHeight="false" outlineLevel="0" collapsed="false">
      <c r="A507" s="10" t="s">
        <v>16</v>
      </c>
      <c r="B507" s="10" t="s">
        <v>1630</v>
      </c>
      <c r="C507" s="10" t="s">
        <v>1631</v>
      </c>
      <c r="D507" s="10" t="s">
        <v>1632</v>
      </c>
      <c r="E507" s="10" t="s">
        <v>924</v>
      </c>
      <c r="F507" s="11" t="n">
        <v>45196</v>
      </c>
      <c r="G507" s="12" t="n">
        <v>0.702875740740741</v>
      </c>
      <c r="H507" s="10" t="s">
        <v>37</v>
      </c>
      <c r="I507" s="13" t="n">
        <v>24</v>
      </c>
      <c r="J507" s="13" t="n">
        <v>4535</v>
      </c>
      <c r="K507" s="13" t="n">
        <v>108840</v>
      </c>
      <c r="L507" s="10" t="s">
        <v>1653</v>
      </c>
      <c r="M507" s="10" t="s">
        <v>1654</v>
      </c>
      <c r="N507" s="10"/>
      <c r="O507" s="10" t="s">
        <v>61</v>
      </c>
      <c r="P507" s="10" t="s">
        <v>62</v>
      </c>
    </row>
    <row r="508" customFormat="false" ht="15.75" hidden="false" customHeight="false" outlineLevel="0" collapsed="false">
      <c r="A508" s="10" t="s">
        <v>16</v>
      </c>
      <c r="B508" s="10" t="s">
        <v>817</v>
      </c>
      <c r="C508" s="10" t="s">
        <v>818</v>
      </c>
      <c r="D508" s="10" t="s">
        <v>819</v>
      </c>
      <c r="E508" s="10" t="s">
        <v>90</v>
      </c>
      <c r="F508" s="11" t="n">
        <v>45198</v>
      </c>
      <c r="G508" s="12" t="n">
        <v>0.814173900462963</v>
      </c>
      <c r="H508" s="10" t="s">
        <v>21</v>
      </c>
      <c r="I508" s="13" t="n">
        <v>1</v>
      </c>
      <c r="J508" s="13" t="n">
        <v>2100</v>
      </c>
      <c r="K508" s="13" t="n">
        <v>2100</v>
      </c>
      <c r="L508" s="10" t="s">
        <v>1655</v>
      </c>
      <c r="M508" s="10"/>
      <c r="N508" s="10"/>
      <c r="O508" s="10" t="s">
        <v>23</v>
      </c>
      <c r="P508" s="10" t="s">
        <v>24</v>
      </c>
    </row>
    <row r="509" customFormat="false" ht="15.75" hidden="false" customHeight="false" outlineLevel="0" collapsed="false">
      <c r="A509" s="10" t="s">
        <v>16</v>
      </c>
      <c r="B509" s="10" t="s">
        <v>1656</v>
      </c>
      <c r="C509" s="10" t="s">
        <v>1657</v>
      </c>
      <c r="D509" s="10" t="s">
        <v>27</v>
      </c>
      <c r="E509" s="10" t="s">
        <v>28</v>
      </c>
      <c r="F509" s="11" t="n">
        <v>45199</v>
      </c>
      <c r="G509" s="12" t="n">
        <v>0.857349085648148</v>
      </c>
      <c r="H509" s="10" t="s">
        <v>37</v>
      </c>
      <c r="I509" s="13" t="n">
        <v>1</v>
      </c>
      <c r="J509" s="13" t="n">
        <v>394.25</v>
      </c>
      <c r="K509" s="13" t="n">
        <v>394.25</v>
      </c>
      <c r="L509" s="10" t="s">
        <v>1658</v>
      </c>
      <c r="M509" s="10" t="s">
        <v>1659</v>
      </c>
      <c r="N509" s="10"/>
      <c r="O509" s="10" t="s">
        <v>23</v>
      </c>
      <c r="P509" s="10" t="s">
        <v>24</v>
      </c>
    </row>
    <row r="510" customFormat="false" ht="15.75" hidden="false" customHeight="false" outlineLevel="0" collapsed="false">
      <c r="A510" s="10" t="s">
        <v>16</v>
      </c>
      <c r="B510" s="10" t="s">
        <v>140</v>
      </c>
      <c r="C510" s="10" t="s">
        <v>141</v>
      </c>
      <c r="D510" s="10" t="s">
        <v>142</v>
      </c>
      <c r="E510" s="10" t="s">
        <v>28</v>
      </c>
      <c r="F510" s="11" t="n">
        <v>45199</v>
      </c>
      <c r="G510" s="12" t="n">
        <v>0.85679375</v>
      </c>
      <c r="H510" s="10" t="s">
        <v>37</v>
      </c>
      <c r="I510" s="13" t="n">
        <v>1</v>
      </c>
      <c r="J510" s="13" t="n">
        <v>914.68</v>
      </c>
      <c r="K510" s="13" t="n">
        <v>914.68</v>
      </c>
      <c r="L510" s="10" t="s">
        <v>1660</v>
      </c>
      <c r="M510" s="10" t="s">
        <v>1661</v>
      </c>
      <c r="N510" s="10"/>
      <c r="O510" s="10" t="s">
        <v>23</v>
      </c>
      <c r="P510" s="10" t="s">
        <v>24</v>
      </c>
    </row>
    <row r="511" customFormat="false" ht="15.75" hidden="false" customHeight="false" outlineLevel="0" collapsed="false">
      <c r="A511" s="10" t="s">
        <v>16</v>
      </c>
      <c r="B511" s="10" t="s">
        <v>522</v>
      </c>
      <c r="C511" s="10" t="s">
        <v>523</v>
      </c>
      <c r="D511" s="10" t="s">
        <v>27</v>
      </c>
      <c r="E511" s="10" t="s">
        <v>28</v>
      </c>
      <c r="F511" s="11" t="n">
        <v>45200</v>
      </c>
      <c r="G511" s="12" t="n">
        <v>0.934728321759259</v>
      </c>
      <c r="H511" s="10" t="s">
        <v>37</v>
      </c>
      <c r="I511" s="13" t="n">
        <v>1</v>
      </c>
      <c r="J511" s="13" t="n">
        <v>779</v>
      </c>
      <c r="K511" s="13" t="n">
        <v>779</v>
      </c>
      <c r="L511" s="10" t="s">
        <v>1662</v>
      </c>
      <c r="M511" s="10" t="s">
        <v>1663</v>
      </c>
      <c r="N511" s="10"/>
      <c r="O511" s="10" t="s">
        <v>23</v>
      </c>
      <c r="P511" s="10" t="s">
        <v>24</v>
      </c>
    </row>
    <row r="512" customFormat="false" ht="15.75" hidden="false" customHeight="false" outlineLevel="0" collapsed="false">
      <c r="A512" s="10" t="s">
        <v>16</v>
      </c>
      <c r="B512" s="10" t="s">
        <v>522</v>
      </c>
      <c r="C512" s="10" t="s">
        <v>523</v>
      </c>
      <c r="D512" s="10" t="s">
        <v>27</v>
      </c>
      <c r="E512" s="10" t="s">
        <v>28</v>
      </c>
      <c r="F512" s="11" t="n">
        <v>45200</v>
      </c>
      <c r="G512" s="12" t="n">
        <v>0.786801226851852</v>
      </c>
      <c r="H512" s="10" t="s">
        <v>37</v>
      </c>
      <c r="I512" s="13" t="n">
        <v>1</v>
      </c>
      <c r="J512" s="13" t="n">
        <v>779</v>
      </c>
      <c r="K512" s="13" t="n">
        <v>779</v>
      </c>
      <c r="L512" s="10" t="s">
        <v>1664</v>
      </c>
      <c r="M512" s="10" t="s">
        <v>1665</v>
      </c>
      <c r="N512" s="10"/>
      <c r="O512" s="10" t="s">
        <v>23</v>
      </c>
      <c r="P512" s="10" t="s">
        <v>24</v>
      </c>
    </row>
    <row r="513" customFormat="false" ht="15.75" hidden="false" customHeight="false" outlineLevel="0" collapsed="false">
      <c r="A513" s="10" t="s">
        <v>16</v>
      </c>
      <c r="B513" s="10" t="s">
        <v>565</v>
      </c>
      <c r="C513" s="10" t="s">
        <v>566</v>
      </c>
      <c r="D513" s="10" t="s">
        <v>567</v>
      </c>
      <c r="E513" s="10" t="s">
        <v>568</v>
      </c>
      <c r="F513" s="11" t="n">
        <v>45200</v>
      </c>
      <c r="G513" s="12" t="n">
        <v>0.520779976851852</v>
      </c>
      <c r="H513" s="10" t="s">
        <v>29</v>
      </c>
      <c r="I513" s="13" t="n">
        <v>21</v>
      </c>
      <c r="J513" s="13" t="n">
        <v>1675.15</v>
      </c>
      <c r="K513" s="13" t="n">
        <v>35178.15</v>
      </c>
      <c r="L513" s="10" t="s">
        <v>1666</v>
      </c>
      <c r="M513" s="10" t="s">
        <v>1667</v>
      </c>
      <c r="N513" s="10" t="s">
        <v>1668</v>
      </c>
      <c r="O513" s="10" t="s">
        <v>61</v>
      </c>
      <c r="P513" s="10" t="s">
        <v>62</v>
      </c>
    </row>
    <row r="514" customFormat="false" ht="15.75" hidden="false" customHeight="false" outlineLevel="0" collapsed="false">
      <c r="A514" s="10" t="s">
        <v>16</v>
      </c>
      <c r="B514" s="10" t="s">
        <v>1171</v>
      </c>
      <c r="C514" s="10" t="s">
        <v>1172</v>
      </c>
      <c r="D514" s="10" t="s">
        <v>1173</v>
      </c>
      <c r="E514" s="10" t="s">
        <v>90</v>
      </c>
      <c r="F514" s="11" t="n">
        <v>45200</v>
      </c>
      <c r="G514" s="12" t="n">
        <v>0.00277657407407407</v>
      </c>
      <c r="H514" s="10" t="s">
        <v>37</v>
      </c>
      <c r="I514" s="13" t="n">
        <v>18</v>
      </c>
      <c r="J514" s="13" t="n">
        <v>2095</v>
      </c>
      <c r="K514" s="13" t="n">
        <v>37710</v>
      </c>
      <c r="L514" s="10" t="s">
        <v>1669</v>
      </c>
      <c r="M514" s="10" t="s">
        <v>1670</v>
      </c>
      <c r="N514" s="10"/>
      <c r="O514" s="10" t="s">
        <v>23</v>
      </c>
      <c r="P514" s="10" t="s">
        <v>24</v>
      </c>
    </row>
    <row r="515" customFormat="false" ht="15.75" hidden="false" customHeight="false" outlineLevel="0" collapsed="false">
      <c r="A515" s="10" t="s">
        <v>16</v>
      </c>
      <c r="B515" s="10" t="s">
        <v>342</v>
      </c>
      <c r="C515" s="10" t="s">
        <v>343</v>
      </c>
      <c r="D515" s="10" t="s">
        <v>230</v>
      </c>
      <c r="E515" s="10" t="s">
        <v>231</v>
      </c>
      <c r="F515" s="11" t="n">
        <v>45201</v>
      </c>
      <c r="G515" s="12" t="n">
        <v>0.941324201388889</v>
      </c>
      <c r="H515" s="10" t="s">
        <v>37</v>
      </c>
      <c r="I515" s="13" t="n">
        <v>1</v>
      </c>
      <c r="J515" s="13" t="n">
        <v>188.49</v>
      </c>
      <c r="K515" s="13" t="n">
        <v>188.49</v>
      </c>
      <c r="L515" s="10" t="s">
        <v>1671</v>
      </c>
      <c r="M515" s="10" t="s">
        <v>1672</v>
      </c>
      <c r="N515" s="10"/>
      <c r="O515" s="10" t="s">
        <v>23</v>
      </c>
      <c r="P515" s="10" t="s">
        <v>24</v>
      </c>
    </row>
    <row r="516" customFormat="false" ht="15.75" hidden="false" customHeight="false" outlineLevel="0" collapsed="false">
      <c r="A516" s="10" t="s">
        <v>16</v>
      </c>
      <c r="B516" s="10" t="s">
        <v>1114</v>
      </c>
      <c r="C516" s="10" t="s">
        <v>1115</v>
      </c>
      <c r="D516" s="10" t="s">
        <v>101</v>
      </c>
      <c r="E516" s="10" t="s">
        <v>96</v>
      </c>
      <c r="F516" s="11" t="n">
        <v>45201</v>
      </c>
      <c r="G516" s="12" t="n">
        <v>0.940226342592593</v>
      </c>
      <c r="H516" s="10" t="s">
        <v>37</v>
      </c>
      <c r="I516" s="13" t="n">
        <v>1</v>
      </c>
      <c r="J516" s="13" t="n">
        <v>275</v>
      </c>
      <c r="K516" s="13" t="n">
        <v>275</v>
      </c>
      <c r="L516" s="10" t="s">
        <v>1673</v>
      </c>
      <c r="M516" s="10" t="s">
        <v>1674</v>
      </c>
      <c r="N516" s="10"/>
      <c r="O516" s="10" t="s">
        <v>23</v>
      </c>
      <c r="P516" s="10" t="s">
        <v>24</v>
      </c>
    </row>
    <row r="517" customFormat="false" ht="15.75" hidden="false" customHeight="false" outlineLevel="0" collapsed="false">
      <c r="A517" s="10" t="s">
        <v>16</v>
      </c>
      <c r="B517" s="10" t="s">
        <v>1675</v>
      </c>
      <c r="C517" s="10" t="s">
        <v>1676</v>
      </c>
      <c r="D517" s="10" t="s">
        <v>132</v>
      </c>
      <c r="E517" s="10" t="s">
        <v>96</v>
      </c>
      <c r="F517" s="11" t="n">
        <v>45201</v>
      </c>
      <c r="G517" s="12" t="n">
        <v>0.939731828703704</v>
      </c>
      <c r="H517" s="10" t="s">
        <v>37</v>
      </c>
      <c r="I517" s="13" t="n">
        <v>2</v>
      </c>
      <c r="J517" s="13" t="n">
        <v>267</v>
      </c>
      <c r="K517" s="13" t="n">
        <v>534</v>
      </c>
      <c r="L517" s="10" t="s">
        <v>1677</v>
      </c>
      <c r="M517" s="10" t="s">
        <v>1678</v>
      </c>
      <c r="N517" s="10"/>
      <c r="O517" s="10" t="s">
        <v>23</v>
      </c>
      <c r="P517" s="10" t="s">
        <v>24</v>
      </c>
    </row>
    <row r="518" customFormat="false" ht="15.75" hidden="false" customHeight="false" outlineLevel="0" collapsed="false">
      <c r="A518" s="10" t="s">
        <v>16</v>
      </c>
      <c r="B518" s="10" t="s">
        <v>1679</v>
      </c>
      <c r="C518" s="10" t="s">
        <v>1680</v>
      </c>
      <c r="D518" s="10" t="s">
        <v>1159</v>
      </c>
      <c r="E518" s="10" t="s">
        <v>96</v>
      </c>
      <c r="F518" s="11" t="n">
        <v>45201</v>
      </c>
      <c r="G518" s="12" t="n">
        <v>0.938175856481482</v>
      </c>
      <c r="H518" s="10" t="s">
        <v>37</v>
      </c>
      <c r="I518" s="13" t="n">
        <v>5</v>
      </c>
      <c r="J518" s="13" t="n">
        <v>117</v>
      </c>
      <c r="K518" s="13" t="n">
        <v>585</v>
      </c>
      <c r="L518" s="10" t="s">
        <v>1681</v>
      </c>
      <c r="M518" s="10" t="s">
        <v>1682</v>
      </c>
      <c r="N518" s="10"/>
      <c r="O518" s="10" t="s">
        <v>23</v>
      </c>
      <c r="P518" s="10" t="s">
        <v>24</v>
      </c>
    </row>
    <row r="519" customFormat="false" ht="15.75" hidden="false" customHeight="false" outlineLevel="0" collapsed="false">
      <c r="A519" s="10" t="s">
        <v>16</v>
      </c>
      <c r="B519" s="10" t="s">
        <v>565</v>
      </c>
      <c r="C519" s="10" t="s">
        <v>566</v>
      </c>
      <c r="D519" s="10" t="s">
        <v>567</v>
      </c>
      <c r="E519" s="10" t="s">
        <v>568</v>
      </c>
      <c r="F519" s="11" t="n">
        <v>45201</v>
      </c>
      <c r="G519" s="12" t="n">
        <v>0.670684074074074</v>
      </c>
      <c r="H519" s="10" t="s">
        <v>29</v>
      </c>
      <c r="I519" s="13" t="n">
        <v>1</v>
      </c>
      <c r="J519" s="13" t="n">
        <v>1675.15</v>
      </c>
      <c r="K519" s="13" t="n">
        <v>1675.15</v>
      </c>
      <c r="L519" s="10" t="s">
        <v>1683</v>
      </c>
      <c r="M519" s="10" t="s">
        <v>1684</v>
      </c>
      <c r="N519" s="10" t="s">
        <v>1668</v>
      </c>
      <c r="O519" s="10" t="s">
        <v>61</v>
      </c>
      <c r="P519" s="10" t="s">
        <v>62</v>
      </c>
    </row>
    <row r="520" customFormat="false" ht="15.75" hidden="false" customHeight="false" outlineLevel="0" collapsed="false">
      <c r="A520" s="10" t="s">
        <v>16</v>
      </c>
      <c r="B520" s="10" t="s">
        <v>1176</v>
      </c>
      <c r="C520" s="10" t="s">
        <v>1177</v>
      </c>
      <c r="D520" s="10" t="s">
        <v>1178</v>
      </c>
      <c r="E520" s="10" t="s">
        <v>90</v>
      </c>
      <c r="F520" s="11" t="n">
        <v>45202</v>
      </c>
      <c r="G520" s="12" t="n">
        <v>0.942502731481481</v>
      </c>
      <c r="H520" s="10" t="s">
        <v>37</v>
      </c>
      <c r="I520" s="13" t="n">
        <v>12</v>
      </c>
      <c r="J520" s="13" t="n">
        <v>690</v>
      </c>
      <c r="K520" s="13" t="n">
        <v>8280</v>
      </c>
      <c r="L520" s="10" t="s">
        <v>1685</v>
      </c>
      <c r="M520" s="10" t="s">
        <v>1686</v>
      </c>
      <c r="N520" s="10"/>
      <c r="O520" s="10" t="s">
        <v>23</v>
      </c>
      <c r="P520" s="10" t="s">
        <v>24</v>
      </c>
    </row>
    <row r="521" customFormat="false" ht="15.75" hidden="false" customHeight="false" outlineLevel="0" collapsed="false">
      <c r="A521" s="10" t="s">
        <v>16</v>
      </c>
      <c r="B521" s="10" t="s">
        <v>424</v>
      </c>
      <c r="C521" s="10" t="s">
        <v>425</v>
      </c>
      <c r="D521" s="10" t="s">
        <v>426</v>
      </c>
      <c r="E521" s="10" t="s">
        <v>71</v>
      </c>
      <c r="F521" s="11" t="n">
        <v>45202</v>
      </c>
      <c r="G521" s="12" t="n">
        <v>0.931339305555555</v>
      </c>
      <c r="H521" s="10" t="s">
        <v>37</v>
      </c>
      <c r="I521" s="13" t="n">
        <v>2</v>
      </c>
      <c r="J521" s="13" t="n">
        <v>142.5</v>
      </c>
      <c r="K521" s="13" t="n">
        <v>285</v>
      </c>
      <c r="L521" s="10" t="s">
        <v>1687</v>
      </c>
      <c r="M521" s="10" t="s">
        <v>1688</v>
      </c>
      <c r="N521" s="10"/>
      <c r="O521" s="10" t="s">
        <v>23</v>
      </c>
      <c r="P521" s="10" t="s">
        <v>24</v>
      </c>
    </row>
    <row r="522" customFormat="false" ht="15.75" hidden="false" customHeight="false" outlineLevel="0" collapsed="false">
      <c r="A522" s="10" t="s">
        <v>16</v>
      </c>
      <c r="B522" s="10" t="s">
        <v>1689</v>
      </c>
      <c r="C522" s="10" t="s">
        <v>1690</v>
      </c>
      <c r="D522" s="10" t="s">
        <v>466</v>
      </c>
      <c r="E522" s="10" t="s">
        <v>96</v>
      </c>
      <c r="F522" s="11" t="n">
        <v>45202</v>
      </c>
      <c r="G522" s="12" t="n">
        <v>0.926955601851852</v>
      </c>
      <c r="H522" s="10" t="s">
        <v>37</v>
      </c>
      <c r="I522" s="13" t="n">
        <v>1</v>
      </c>
      <c r="J522" s="13" t="n">
        <v>350.72</v>
      </c>
      <c r="K522" s="13" t="n">
        <v>350.72</v>
      </c>
      <c r="L522" s="10" t="s">
        <v>1691</v>
      </c>
      <c r="M522" s="10" t="s">
        <v>1692</v>
      </c>
      <c r="N522" s="10"/>
      <c r="O522" s="10" t="s">
        <v>23</v>
      </c>
      <c r="P522" s="10" t="s">
        <v>24</v>
      </c>
    </row>
    <row r="523" customFormat="false" ht="15.75" hidden="false" customHeight="false" outlineLevel="0" collapsed="false">
      <c r="A523" s="10" t="s">
        <v>16</v>
      </c>
      <c r="B523" s="10" t="s">
        <v>867</v>
      </c>
      <c r="C523" s="10" t="s">
        <v>868</v>
      </c>
      <c r="D523" s="10" t="s">
        <v>633</v>
      </c>
      <c r="E523" s="10" t="s">
        <v>208</v>
      </c>
      <c r="F523" s="11" t="n">
        <v>45202</v>
      </c>
      <c r="G523" s="12" t="n">
        <v>0.923440011574074</v>
      </c>
      <c r="H523" s="10" t="s">
        <v>37</v>
      </c>
      <c r="I523" s="13" t="n">
        <v>1</v>
      </c>
      <c r="J523" s="13" t="n">
        <v>135</v>
      </c>
      <c r="K523" s="13" t="n">
        <v>135</v>
      </c>
      <c r="L523" s="10" t="s">
        <v>1693</v>
      </c>
      <c r="M523" s="10" t="s">
        <v>1694</v>
      </c>
      <c r="N523" s="10"/>
      <c r="O523" s="10" t="s">
        <v>23</v>
      </c>
      <c r="P523" s="10" t="s">
        <v>24</v>
      </c>
    </row>
    <row r="524" customFormat="false" ht="15.75" hidden="false" customHeight="false" outlineLevel="0" collapsed="false">
      <c r="A524" s="10" t="s">
        <v>16</v>
      </c>
      <c r="B524" s="10" t="s">
        <v>1695</v>
      </c>
      <c r="C524" s="10" t="s">
        <v>1696</v>
      </c>
      <c r="D524" s="10" t="s">
        <v>19</v>
      </c>
      <c r="E524" s="10" t="s">
        <v>333</v>
      </c>
      <c r="F524" s="11" t="n">
        <v>45202</v>
      </c>
      <c r="G524" s="12" t="n">
        <v>0.671747071759259</v>
      </c>
      <c r="H524" s="10" t="s">
        <v>37</v>
      </c>
      <c r="I524" s="13" t="n">
        <v>2</v>
      </c>
      <c r="J524" s="13" t="n">
        <v>230</v>
      </c>
      <c r="K524" s="13" t="n">
        <v>460</v>
      </c>
      <c r="L524" s="10" t="s">
        <v>1697</v>
      </c>
      <c r="M524" s="10" t="s">
        <v>1698</v>
      </c>
      <c r="N524" s="10"/>
      <c r="O524" s="10" t="s">
        <v>61</v>
      </c>
      <c r="P524" s="10" t="s">
        <v>62</v>
      </c>
    </row>
    <row r="525" customFormat="false" ht="15.75" hidden="false" customHeight="false" outlineLevel="0" collapsed="false">
      <c r="A525" s="10" t="s">
        <v>16</v>
      </c>
      <c r="B525" s="10" t="s">
        <v>1699</v>
      </c>
      <c r="C525" s="10" t="s">
        <v>1700</v>
      </c>
      <c r="D525" s="10" t="s">
        <v>106</v>
      </c>
      <c r="E525" s="10" t="s">
        <v>148</v>
      </c>
      <c r="F525" s="11" t="n">
        <v>45202</v>
      </c>
      <c r="G525" s="12" t="n">
        <v>0.61532875</v>
      </c>
      <c r="H525" s="10" t="s">
        <v>29</v>
      </c>
      <c r="I525" s="13" t="n">
        <v>1</v>
      </c>
      <c r="J525" s="13" t="n">
        <v>519.83</v>
      </c>
      <c r="K525" s="13" t="n">
        <v>519.83</v>
      </c>
      <c r="L525" s="10" t="s">
        <v>1701</v>
      </c>
      <c r="M525" s="10" t="s">
        <v>1702</v>
      </c>
      <c r="N525" s="10" t="s">
        <v>1703</v>
      </c>
      <c r="O525" s="10" t="s">
        <v>61</v>
      </c>
      <c r="P525" s="10" t="s">
        <v>62</v>
      </c>
    </row>
    <row r="526" customFormat="false" ht="15.75" hidden="false" customHeight="false" outlineLevel="0" collapsed="false">
      <c r="A526" s="10" t="s">
        <v>16</v>
      </c>
      <c r="B526" s="10" t="s">
        <v>1704</v>
      </c>
      <c r="C526" s="10" t="s">
        <v>1705</v>
      </c>
      <c r="D526" s="10" t="s">
        <v>747</v>
      </c>
      <c r="E526" s="10" t="s">
        <v>90</v>
      </c>
      <c r="F526" s="11" t="n">
        <v>45204</v>
      </c>
      <c r="G526" s="12" t="n">
        <v>0.657645972222222</v>
      </c>
      <c r="H526" s="10" t="s">
        <v>29</v>
      </c>
      <c r="I526" s="13" t="n">
        <v>40</v>
      </c>
      <c r="J526" s="13" t="n">
        <v>846.3</v>
      </c>
      <c r="K526" s="13" t="n">
        <v>33852</v>
      </c>
      <c r="L526" s="10" t="s">
        <v>1706</v>
      </c>
      <c r="M526" s="10" t="s">
        <v>1707</v>
      </c>
      <c r="N526" s="10" t="s">
        <v>1703</v>
      </c>
      <c r="O526" s="10" t="s">
        <v>61</v>
      </c>
      <c r="P526" s="10" t="s">
        <v>62</v>
      </c>
    </row>
    <row r="527" customFormat="false" ht="15.75" hidden="false" customHeight="false" outlineLevel="0" collapsed="false">
      <c r="A527" s="10" t="s">
        <v>16</v>
      </c>
      <c r="B527" s="10" t="s">
        <v>1708</v>
      </c>
      <c r="C527" s="10" t="s">
        <v>1709</v>
      </c>
      <c r="D527" s="10" t="s">
        <v>747</v>
      </c>
      <c r="E527" s="10" t="s">
        <v>90</v>
      </c>
      <c r="F527" s="11" t="n">
        <v>45204</v>
      </c>
      <c r="G527" s="12" t="n">
        <v>0.656425972222222</v>
      </c>
      <c r="H527" s="10" t="s">
        <v>29</v>
      </c>
      <c r="I527" s="13" t="n">
        <v>4</v>
      </c>
      <c r="J527" s="13" t="n">
        <v>1720.5</v>
      </c>
      <c r="K527" s="13" t="n">
        <v>6882</v>
      </c>
      <c r="L527" s="10" t="s">
        <v>1710</v>
      </c>
      <c r="M527" s="10" t="s">
        <v>1711</v>
      </c>
      <c r="N527" s="10" t="s">
        <v>1712</v>
      </c>
      <c r="O527" s="10" t="s">
        <v>61</v>
      </c>
      <c r="P527" s="10" t="s">
        <v>62</v>
      </c>
    </row>
    <row r="528" customFormat="false" ht="15.75" hidden="false" customHeight="false" outlineLevel="0" collapsed="false">
      <c r="A528" s="10" t="s">
        <v>16</v>
      </c>
      <c r="B528" s="10" t="s">
        <v>745</v>
      </c>
      <c r="C528" s="10" t="s">
        <v>746</v>
      </c>
      <c r="D528" s="10" t="s">
        <v>747</v>
      </c>
      <c r="E528" s="10" t="s">
        <v>90</v>
      </c>
      <c r="F528" s="11" t="n">
        <v>45204</v>
      </c>
      <c r="G528" s="12" t="n">
        <v>0.655984675925926</v>
      </c>
      <c r="H528" s="10" t="s">
        <v>29</v>
      </c>
      <c r="I528" s="13" t="n">
        <v>39</v>
      </c>
      <c r="J528" s="13" t="n">
        <v>864.9</v>
      </c>
      <c r="K528" s="13" t="n">
        <v>33731.1</v>
      </c>
      <c r="L528" s="10" t="s">
        <v>1713</v>
      </c>
      <c r="M528" s="10" t="s">
        <v>1714</v>
      </c>
      <c r="N528" s="10" t="s">
        <v>1715</v>
      </c>
      <c r="O528" s="10" t="s">
        <v>61</v>
      </c>
      <c r="P528" s="10" t="s">
        <v>62</v>
      </c>
    </row>
    <row r="529" customFormat="false" ht="15.75" hidden="false" customHeight="false" outlineLevel="0" collapsed="false">
      <c r="A529" s="10" t="s">
        <v>16</v>
      </c>
      <c r="B529" s="10" t="s">
        <v>1716</v>
      </c>
      <c r="C529" s="10" t="s">
        <v>1717</v>
      </c>
      <c r="D529" s="10" t="s">
        <v>527</v>
      </c>
      <c r="E529" s="10" t="s">
        <v>148</v>
      </c>
      <c r="F529" s="11" t="n">
        <v>45205</v>
      </c>
      <c r="G529" s="12" t="n">
        <v>0.806999525462963</v>
      </c>
      <c r="H529" s="10" t="s">
        <v>37</v>
      </c>
      <c r="I529" s="13" t="n">
        <v>1</v>
      </c>
      <c r="J529" s="13" t="n">
        <v>70.91</v>
      </c>
      <c r="K529" s="13" t="n">
        <v>70.91</v>
      </c>
      <c r="L529" s="10" t="s">
        <v>1718</v>
      </c>
      <c r="M529" s="10" t="s">
        <v>1719</v>
      </c>
      <c r="N529" s="10"/>
      <c r="O529" s="10" t="s">
        <v>23</v>
      </c>
      <c r="P529" s="10" t="s">
        <v>24</v>
      </c>
    </row>
    <row r="530" customFormat="false" ht="15.75" hidden="false" customHeight="false" outlineLevel="0" collapsed="false">
      <c r="A530" s="10" t="s">
        <v>16</v>
      </c>
      <c r="B530" s="10" t="s">
        <v>1720</v>
      </c>
      <c r="C530" s="10" t="s">
        <v>1721</v>
      </c>
      <c r="D530" s="10" t="s">
        <v>132</v>
      </c>
      <c r="E530" s="10" t="s">
        <v>96</v>
      </c>
      <c r="F530" s="11" t="n">
        <v>45205</v>
      </c>
      <c r="G530" s="12" t="n">
        <v>0.796868935185185</v>
      </c>
      <c r="H530" s="10" t="s">
        <v>37</v>
      </c>
      <c r="I530" s="13" t="n">
        <v>1</v>
      </c>
      <c r="J530" s="13" t="n">
        <v>267</v>
      </c>
      <c r="K530" s="13" t="n">
        <v>267</v>
      </c>
      <c r="L530" s="10" t="s">
        <v>1722</v>
      </c>
      <c r="M530" s="10" t="s">
        <v>1723</v>
      </c>
      <c r="N530" s="10"/>
      <c r="O530" s="10" t="s">
        <v>23</v>
      </c>
      <c r="P530" s="10" t="s">
        <v>24</v>
      </c>
    </row>
    <row r="531" customFormat="false" ht="15.75" hidden="false" customHeight="false" outlineLevel="0" collapsed="false">
      <c r="A531" s="10" t="s">
        <v>16</v>
      </c>
      <c r="B531" s="10" t="s">
        <v>1724</v>
      </c>
      <c r="C531" s="10" t="s">
        <v>1725</v>
      </c>
      <c r="D531" s="10" t="s">
        <v>308</v>
      </c>
      <c r="E531" s="10" t="s">
        <v>96</v>
      </c>
      <c r="F531" s="11" t="n">
        <v>45205</v>
      </c>
      <c r="G531" s="12" t="n">
        <v>0.794904884259259</v>
      </c>
      <c r="H531" s="10" t="s">
        <v>37</v>
      </c>
      <c r="I531" s="13" t="n">
        <v>1</v>
      </c>
      <c r="J531" s="13" t="n">
        <v>95</v>
      </c>
      <c r="K531" s="13" t="n">
        <v>95</v>
      </c>
      <c r="L531" s="10" t="s">
        <v>1726</v>
      </c>
      <c r="M531" s="10" t="s">
        <v>1727</v>
      </c>
      <c r="N531" s="10"/>
      <c r="O531" s="10" t="s">
        <v>23</v>
      </c>
      <c r="P531" s="10" t="s">
        <v>24</v>
      </c>
    </row>
    <row r="532" customFormat="false" ht="15.75" hidden="false" customHeight="false" outlineLevel="0" collapsed="false">
      <c r="A532" s="10" t="s">
        <v>16</v>
      </c>
      <c r="B532" s="10" t="s">
        <v>1140</v>
      </c>
      <c r="C532" s="10" t="s">
        <v>1141</v>
      </c>
      <c r="D532" s="10" t="s">
        <v>1142</v>
      </c>
      <c r="E532" s="10" t="s">
        <v>28</v>
      </c>
      <c r="F532" s="11" t="n">
        <v>45205</v>
      </c>
      <c r="G532" s="12" t="n">
        <v>0.676491388888889</v>
      </c>
      <c r="H532" s="10" t="s">
        <v>37</v>
      </c>
      <c r="I532" s="13" t="n">
        <v>1</v>
      </c>
      <c r="J532" s="13" t="n">
        <v>595</v>
      </c>
      <c r="K532" s="13" t="n">
        <v>595</v>
      </c>
      <c r="L532" s="10" t="s">
        <v>1728</v>
      </c>
      <c r="M532" s="10" t="s">
        <v>1729</v>
      </c>
      <c r="N532" s="10"/>
      <c r="O532" s="10" t="s">
        <v>23</v>
      </c>
      <c r="P532" s="10" t="s">
        <v>24</v>
      </c>
    </row>
    <row r="533" customFormat="false" ht="15.75" hidden="false" customHeight="false" outlineLevel="0" collapsed="false">
      <c r="A533" s="10" t="s">
        <v>16</v>
      </c>
      <c r="B533" s="10" t="s">
        <v>140</v>
      </c>
      <c r="C533" s="10" t="s">
        <v>141</v>
      </c>
      <c r="D533" s="10" t="s">
        <v>142</v>
      </c>
      <c r="E533" s="10" t="s">
        <v>28</v>
      </c>
      <c r="F533" s="11" t="n">
        <v>45206</v>
      </c>
      <c r="G533" s="12" t="n">
        <v>0.89079193287037</v>
      </c>
      <c r="H533" s="10" t="s">
        <v>37</v>
      </c>
      <c r="I533" s="13" t="n">
        <v>2</v>
      </c>
      <c r="J533" s="13" t="n">
        <v>914.68</v>
      </c>
      <c r="K533" s="13" t="n">
        <v>1829.36</v>
      </c>
      <c r="L533" s="10" t="s">
        <v>1730</v>
      </c>
      <c r="M533" s="10" t="s">
        <v>1731</v>
      </c>
      <c r="N533" s="10"/>
      <c r="O533" s="10" t="s">
        <v>23</v>
      </c>
      <c r="P533" s="10" t="s">
        <v>24</v>
      </c>
    </row>
    <row r="534" customFormat="false" ht="15.75" hidden="false" customHeight="false" outlineLevel="0" collapsed="false">
      <c r="A534" s="10" t="s">
        <v>16</v>
      </c>
      <c r="B534" s="10" t="s">
        <v>366</v>
      </c>
      <c r="C534" s="10" t="s">
        <v>367</v>
      </c>
      <c r="D534" s="10" t="s">
        <v>142</v>
      </c>
      <c r="E534" s="10" t="s">
        <v>28</v>
      </c>
      <c r="F534" s="11" t="n">
        <v>45206</v>
      </c>
      <c r="G534" s="12" t="n">
        <v>0.889078564814815</v>
      </c>
      <c r="H534" s="10" t="s">
        <v>37</v>
      </c>
      <c r="I534" s="13" t="n">
        <v>1</v>
      </c>
      <c r="J534" s="13" t="n">
        <v>742</v>
      </c>
      <c r="K534" s="13" t="n">
        <v>742</v>
      </c>
      <c r="L534" s="10" t="s">
        <v>1732</v>
      </c>
      <c r="M534" s="10" t="s">
        <v>1733</v>
      </c>
      <c r="N534" s="10"/>
      <c r="O534" s="10" t="s">
        <v>23</v>
      </c>
      <c r="P534" s="10" t="s">
        <v>24</v>
      </c>
    </row>
    <row r="535" customFormat="false" ht="15.75" hidden="false" customHeight="false" outlineLevel="0" collapsed="false">
      <c r="A535" s="10" t="s">
        <v>16</v>
      </c>
      <c r="B535" s="10" t="s">
        <v>1734</v>
      </c>
      <c r="C535" s="10" t="s">
        <v>1735</v>
      </c>
      <c r="D535" s="10" t="s">
        <v>27</v>
      </c>
      <c r="E535" s="10" t="s">
        <v>28</v>
      </c>
      <c r="F535" s="11" t="n">
        <v>45206</v>
      </c>
      <c r="G535" s="12" t="n">
        <v>0.764775439814815</v>
      </c>
      <c r="H535" s="10" t="s">
        <v>37</v>
      </c>
      <c r="I535" s="13" t="n">
        <v>1</v>
      </c>
      <c r="J535" s="13" t="n">
        <v>1558</v>
      </c>
      <c r="K535" s="13" t="n">
        <v>1558</v>
      </c>
      <c r="L535" s="10" t="s">
        <v>1736</v>
      </c>
      <c r="M535" s="10" t="s">
        <v>1737</v>
      </c>
      <c r="N535" s="10"/>
      <c r="O535" s="10" t="s">
        <v>61</v>
      </c>
      <c r="P535" s="10" t="s">
        <v>62</v>
      </c>
    </row>
    <row r="536" customFormat="false" ht="15.75" hidden="false" customHeight="false" outlineLevel="0" collapsed="false">
      <c r="A536" s="10" t="s">
        <v>16</v>
      </c>
      <c r="B536" s="10" t="s">
        <v>745</v>
      </c>
      <c r="C536" s="10" t="s">
        <v>746</v>
      </c>
      <c r="D536" s="10" t="s">
        <v>747</v>
      </c>
      <c r="E536" s="10" t="s">
        <v>90</v>
      </c>
      <c r="F536" s="11" t="n">
        <v>45206</v>
      </c>
      <c r="G536" s="12" t="n">
        <v>0.540855740740741</v>
      </c>
      <c r="H536" s="10" t="s">
        <v>29</v>
      </c>
      <c r="I536" s="13" t="n">
        <v>1</v>
      </c>
      <c r="J536" s="13" t="n">
        <v>828</v>
      </c>
      <c r="K536" s="13" t="n">
        <v>828</v>
      </c>
      <c r="L536" s="10" t="s">
        <v>1738</v>
      </c>
      <c r="M536" s="10" t="s">
        <v>1739</v>
      </c>
      <c r="N536" s="10" t="s">
        <v>1715</v>
      </c>
      <c r="O536" s="10" t="s">
        <v>61</v>
      </c>
      <c r="P536" s="10" t="s">
        <v>62</v>
      </c>
    </row>
    <row r="537" customFormat="false" ht="15.75" hidden="false" customHeight="false" outlineLevel="0" collapsed="false">
      <c r="A537" s="10" t="s">
        <v>16</v>
      </c>
      <c r="B537" s="10" t="s">
        <v>707</v>
      </c>
      <c r="C537" s="10" t="s">
        <v>708</v>
      </c>
      <c r="D537" s="10" t="s">
        <v>337</v>
      </c>
      <c r="E537" s="10" t="s">
        <v>208</v>
      </c>
      <c r="F537" s="11" t="n">
        <v>45207</v>
      </c>
      <c r="G537" s="12" t="n">
        <v>0.928197847222222</v>
      </c>
      <c r="H537" s="10" t="s">
        <v>37</v>
      </c>
      <c r="I537" s="13" t="n">
        <v>1</v>
      </c>
      <c r="J537" s="13" t="n">
        <v>239.66</v>
      </c>
      <c r="K537" s="13" t="n">
        <v>239.66</v>
      </c>
      <c r="L537" s="10" t="s">
        <v>1740</v>
      </c>
      <c r="M537" s="10" t="s">
        <v>1741</v>
      </c>
      <c r="N537" s="10"/>
      <c r="O537" s="10" t="s">
        <v>23</v>
      </c>
      <c r="P537" s="10" t="s">
        <v>24</v>
      </c>
    </row>
    <row r="538" customFormat="false" ht="15.75" hidden="false" customHeight="false" outlineLevel="0" collapsed="false">
      <c r="A538" s="10" t="s">
        <v>16</v>
      </c>
      <c r="B538" s="10" t="s">
        <v>1742</v>
      </c>
      <c r="C538" s="10" t="s">
        <v>1743</v>
      </c>
      <c r="D538" s="10" t="s">
        <v>659</v>
      </c>
      <c r="E538" s="10" t="s">
        <v>28</v>
      </c>
      <c r="F538" s="11" t="n">
        <v>45207</v>
      </c>
      <c r="G538" s="12" t="n">
        <v>0.844758275462963</v>
      </c>
      <c r="H538" s="10" t="s">
        <v>37</v>
      </c>
      <c r="I538" s="13" t="n">
        <v>1</v>
      </c>
      <c r="J538" s="13" t="n">
        <v>780</v>
      </c>
      <c r="K538" s="13" t="n">
        <v>780</v>
      </c>
      <c r="L538" s="10" t="s">
        <v>1744</v>
      </c>
      <c r="M538" s="10" t="s">
        <v>1745</v>
      </c>
      <c r="N538" s="10"/>
      <c r="O538" s="10" t="s">
        <v>23</v>
      </c>
      <c r="P538" s="10" t="s">
        <v>24</v>
      </c>
    </row>
    <row r="539" customFormat="false" ht="15.75" hidden="false" customHeight="false" outlineLevel="0" collapsed="false">
      <c r="A539" s="10" t="s">
        <v>16</v>
      </c>
      <c r="B539" s="10" t="s">
        <v>140</v>
      </c>
      <c r="C539" s="10" t="s">
        <v>141</v>
      </c>
      <c r="D539" s="10" t="s">
        <v>142</v>
      </c>
      <c r="E539" s="10" t="s">
        <v>28</v>
      </c>
      <c r="F539" s="11" t="n">
        <v>45207</v>
      </c>
      <c r="G539" s="12" t="n">
        <v>0.84293681712963</v>
      </c>
      <c r="H539" s="10" t="s">
        <v>37</v>
      </c>
      <c r="I539" s="13" t="n">
        <v>1</v>
      </c>
      <c r="J539" s="13" t="n">
        <v>914.68</v>
      </c>
      <c r="K539" s="13" t="n">
        <v>914.68</v>
      </c>
      <c r="L539" s="10" t="s">
        <v>1746</v>
      </c>
      <c r="M539" s="10" t="s">
        <v>1747</v>
      </c>
      <c r="N539" s="10"/>
      <c r="O539" s="10" t="s">
        <v>23</v>
      </c>
      <c r="P539" s="10" t="s">
        <v>24</v>
      </c>
    </row>
    <row r="540" customFormat="false" ht="15.75" hidden="false" customHeight="false" outlineLevel="0" collapsed="false">
      <c r="A540" s="10" t="s">
        <v>16</v>
      </c>
      <c r="B540" s="10" t="s">
        <v>1464</v>
      </c>
      <c r="C540" s="10" t="s">
        <v>1465</v>
      </c>
      <c r="D540" s="10" t="s">
        <v>27</v>
      </c>
      <c r="E540" s="10" t="s">
        <v>28</v>
      </c>
      <c r="F540" s="11" t="n">
        <v>45207</v>
      </c>
      <c r="G540" s="12" t="n">
        <v>0.836703923611111</v>
      </c>
      <c r="H540" s="10" t="s">
        <v>37</v>
      </c>
      <c r="I540" s="13" t="n">
        <v>1</v>
      </c>
      <c r="J540" s="13" t="n">
        <v>394.25</v>
      </c>
      <c r="K540" s="13" t="n">
        <v>394.25</v>
      </c>
      <c r="L540" s="10" t="s">
        <v>1748</v>
      </c>
      <c r="M540" s="10" t="s">
        <v>1749</v>
      </c>
      <c r="N540" s="10"/>
      <c r="O540" s="10" t="s">
        <v>23</v>
      </c>
      <c r="P540" s="10" t="s">
        <v>24</v>
      </c>
    </row>
    <row r="541" customFormat="false" ht="15.75" hidden="false" customHeight="false" outlineLevel="0" collapsed="false">
      <c r="A541" s="10" t="s">
        <v>16</v>
      </c>
      <c r="B541" s="10" t="s">
        <v>1750</v>
      </c>
      <c r="C541" s="10" t="s">
        <v>1751</v>
      </c>
      <c r="D541" s="10" t="s">
        <v>89</v>
      </c>
      <c r="E541" s="10" t="s">
        <v>333</v>
      </c>
      <c r="F541" s="11" t="n">
        <v>45207</v>
      </c>
      <c r="G541" s="12" t="n">
        <v>0.471334212962963</v>
      </c>
      <c r="H541" s="10" t="s">
        <v>37</v>
      </c>
      <c r="I541" s="13" t="n">
        <v>1</v>
      </c>
      <c r="J541" s="13" t="n">
        <v>320</v>
      </c>
      <c r="K541" s="13" t="n">
        <v>320</v>
      </c>
      <c r="L541" s="10" t="s">
        <v>1752</v>
      </c>
      <c r="M541" s="10" t="s">
        <v>1753</v>
      </c>
      <c r="N541" s="10"/>
      <c r="O541" s="10" t="s">
        <v>61</v>
      </c>
      <c r="P541" s="10" t="s">
        <v>62</v>
      </c>
    </row>
    <row r="542" customFormat="false" ht="15.75" hidden="false" customHeight="false" outlineLevel="0" collapsed="false">
      <c r="A542" s="10" t="s">
        <v>16</v>
      </c>
      <c r="B542" s="10" t="s">
        <v>1754</v>
      </c>
      <c r="C542" s="10" t="s">
        <v>1755</v>
      </c>
      <c r="D542" s="10" t="s">
        <v>1756</v>
      </c>
      <c r="E542" s="10" t="s">
        <v>924</v>
      </c>
      <c r="F542" s="11" t="n">
        <v>45207</v>
      </c>
      <c r="G542" s="12" t="n">
        <v>0.461122465277778</v>
      </c>
      <c r="H542" s="10" t="s">
        <v>37</v>
      </c>
      <c r="I542" s="13" t="n">
        <v>9</v>
      </c>
      <c r="J542" s="13" t="n">
        <v>9100</v>
      </c>
      <c r="K542" s="13" t="n">
        <v>81900</v>
      </c>
      <c r="L542" s="10" t="s">
        <v>1757</v>
      </c>
      <c r="M542" s="10" t="s">
        <v>1758</v>
      </c>
      <c r="N542" s="10"/>
      <c r="O542" s="10" t="s">
        <v>61</v>
      </c>
      <c r="P542" s="10" t="s">
        <v>62</v>
      </c>
    </row>
    <row r="543" customFormat="false" ht="15.75" hidden="false" customHeight="false" outlineLevel="0" collapsed="false">
      <c r="A543" s="10" t="s">
        <v>16</v>
      </c>
      <c r="B543" s="10" t="s">
        <v>867</v>
      </c>
      <c r="C543" s="10" t="s">
        <v>868</v>
      </c>
      <c r="D543" s="10" t="s">
        <v>633</v>
      </c>
      <c r="E543" s="10" t="s">
        <v>208</v>
      </c>
      <c r="F543" s="11" t="n">
        <v>45208</v>
      </c>
      <c r="G543" s="12" t="n">
        <v>0.944524525462963</v>
      </c>
      <c r="H543" s="10" t="s">
        <v>37</v>
      </c>
      <c r="I543" s="13" t="n">
        <v>1</v>
      </c>
      <c r="J543" s="13" t="n">
        <v>135</v>
      </c>
      <c r="K543" s="13" t="n">
        <v>135</v>
      </c>
      <c r="L543" s="10" t="s">
        <v>1759</v>
      </c>
      <c r="M543" s="10" t="s">
        <v>1760</v>
      </c>
      <c r="N543" s="10"/>
      <c r="O543" s="10" t="s">
        <v>23</v>
      </c>
      <c r="P543" s="10" t="s">
        <v>24</v>
      </c>
    </row>
    <row r="544" customFormat="false" ht="15.75" hidden="false" customHeight="false" outlineLevel="0" collapsed="false">
      <c r="A544" s="10" t="s">
        <v>16</v>
      </c>
      <c r="B544" s="10" t="s">
        <v>1761</v>
      </c>
      <c r="C544" s="10" t="s">
        <v>1762</v>
      </c>
      <c r="D544" s="10" t="s">
        <v>1159</v>
      </c>
      <c r="E544" s="10" t="s">
        <v>208</v>
      </c>
      <c r="F544" s="11" t="n">
        <v>45208</v>
      </c>
      <c r="G544" s="12" t="n">
        <v>0.942538229166667</v>
      </c>
      <c r="H544" s="10" t="s">
        <v>37</v>
      </c>
      <c r="I544" s="13" t="n">
        <v>1</v>
      </c>
      <c r="J544" s="13" t="n">
        <v>34</v>
      </c>
      <c r="K544" s="13" t="n">
        <v>34</v>
      </c>
      <c r="L544" s="10" t="s">
        <v>1763</v>
      </c>
      <c r="M544" s="10" t="s">
        <v>1764</v>
      </c>
      <c r="N544" s="10"/>
      <c r="O544" s="10" t="s">
        <v>23</v>
      </c>
      <c r="P544" s="10" t="s">
        <v>24</v>
      </c>
    </row>
    <row r="545" customFormat="false" ht="15.75" hidden="false" customHeight="false" outlineLevel="0" collapsed="false">
      <c r="A545" s="10" t="s">
        <v>16</v>
      </c>
      <c r="B545" s="10" t="s">
        <v>1765</v>
      </c>
      <c r="C545" s="10" t="s">
        <v>1766</v>
      </c>
      <c r="D545" s="10" t="s">
        <v>1767</v>
      </c>
      <c r="E545" s="10" t="s">
        <v>28</v>
      </c>
      <c r="F545" s="11" t="n">
        <v>45208</v>
      </c>
      <c r="G545" s="12" t="n">
        <v>0.928209212962963</v>
      </c>
      <c r="H545" s="10" t="s">
        <v>37</v>
      </c>
      <c r="I545" s="13" t="n">
        <v>1</v>
      </c>
      <c r="J545" s="13" t="n">
        <v>951.37</v>
      </c>
      <c r="K545" s="13" t="n">
        <v>951.37</v>
      </c>
      <c r="L545" s="10" t="s">
        <v>1768</v>
      </c>
      <c r="M545" s="10" t="s">
        <v>1769</v>
      </c>
      <c r="N545" s="10"/>
      <c r="O545" s="10" t="s">
        <v>23</v>
      </c>
      <c r="P545" s="10" t="s">
        <v>24</v>
      </c>
    </row>
    <row r="546" customFormat="false" ht="15.75" hidden="false" customHeight="false" outlineLevel="0" collapsed="false">
      <c r="A546" s="10" t="s">
        <v>16</v>
      </c>
      <c r="B546" s="10" t="s">
        <v>385</v>
      </c>
      <c r="C546" s="10" t="s">
        <v>386</v>
      </c>
      <c r="D546" s="10" t="s">
        <v>142</v>
      </c>
      <c r="E546" s="10" t="s">
        <v>28</v>
      </c>
      <c r="F546" s="11" t="n">
        <v>45208</v>
      </c>
      <c r="G546" s="12" t="n">
        <v>0.925818483796296</v>
      </c>
      <c r="H546" s="10" t="s">
        <v>37</v>
      </c>
      <c r="I546" s="13" t="n">
        <v>1</v>
      </c>
      <c r="J546" s="13" t="n">
        <v>1280.72</v>
      </c>
      <c r="K546" s="13" t="n">
        <v>1280.72</v>
      </c>
      <c r="L546" s="10" t="s">
        <v>1770</v>
      </c>
      <c r="M546" s="10" t="s">
        <v>1771</v>
      </c>
      <c r="N546" s="10"/>
      <c r="O546" s="10" t="s">
        <v>23</v>
      </c>
      <c r="P546" s="10" t="s">
        <v>24</v>
      </c>
    </row>
    <row r="547" customFormat="false" ht="15.75" hidden="false" customHeight="false" outlineLevel="0" collapsed="false">
      <c r="A547" s="10" t="s">
        <v>16</v>
      </c>
      <c r="B547" s="10" t="s">
        <v>1772</v>
      </c>
      <c r="C547" s="10" t="s">
        <v>1773</v>
      </c>
      <c r="D547" s="10" t="s">
        <v>622</v>
      </c>
      <c r="E547" s="10" t="s">
        <v>20</v>
      </c>
      <c r="F547" s="11" t="n">
        <v>45208</v>
      </c>
      <c r="G547" s="12" t="n">
        <v>0.723435983796296</v>
      </c>
      <c r="H547" s="10" t="s">
        <v>37</v>
      </c>
      <c r="I547" s="13" t="n">
        <v>1</v>
      </c>
      <c r="J547" s="13" t="n">
        <v>171</v>
      </c>
      <c r="K547" s="13" t="n">
        <v>171</v>
      </c>
      <c r="L547" s="10" t="s">
        <v>1774</v>
      </c>
      <c r="M547" s="10" t="s">
        <v>1775</v>
      </c>
      <c r="N547" s="10"/>
      <c r="O547" s="10" t="s">
        <v>61</v>
      </c>
      <c r="P547" s="10" t="s">
        <v>62</v>
      </c>
    </row>
    <row r="548" customFormat="false" ht="15.75" hidden="false" customHeight="false" outlineLevel="0" collapsed="false">
      <c r="A548" s="10" t="s">
        <v>16</v>
      </c>
      <c r="B548" s="10" t="s">
        <v>1304</v>
      </c>
      <c r="C548" s="10" t="s">
        <v>1305</v>
      </c>
      <c r="D548" s="10" t="s">
        <v>487</v>
      </c>
      <c r="E548" s="10" t="s">
        <v>333</v>
      </c>
      <c r="F548" s="11" t="n">
        <v>45208</v>
      </c>
      <c r="G548" s="12" t="n">
        <v>0.718804791666667</v>
      </c>
      <c r="H548" s="10" t="s">
        <v>37</v>
      </c>
      <c r="I548" s="13" t="n">
        <v>16</v>
      </c>
      <c r="J548" s="13" t="n">
        <v>2750</v>
      </c>
      <c r="K548" s="13" t="n">
        <v>44000</v>
      </c>
      <c r="L548" s="10" t="s">
        <v>1776</v>
      </c>
      <c r="M548" s="10" t="s">
        <v>1777</v>
      </c>
      <c r="N548" s="10"/>
      <c r="O548" s="10" t="s">
        <v>61</v>
      </c>
      <c r="P548" s="10" t="s">
        <v>62</v>
      </c>
    </row>
    <row r="549" customFormat="false" ht="15.75" hidden="false" customHeight="false" outlineLevel="0" collapsed="false">
      <c r="A549" s="10" t="s">
        <v>16</v>
      </c>
      <c r="B549" s="10" t="s">
        <v>715</v>
      </c>
      <c r="C549" s="10" t="s">
        <v>716</v>
      </c>
      <c r="D549" s="10" t="s">
        <v>487</v>
      </c>
      <c r="E549" s="10" t="s">
        <v>333</v>
      </c>
      <c r="F549" s="11" t="n">
        <v>45208</v>
      </c>
      <c r="G549" s="12" t="n">
        <v>0.718170277777778</v>
      </c>
      <c r="H549" s="10" t="s">
        <v>37</v>
      </c>
      <c r="I549" s="13" t="n">
        <v>7</v>
      </c>
      <c r="J549" s="13" t="n">
        <v>1200</v>
      </c>
      <c r="K549" s="13" t="n">
        <v>8400</v>
      </c>
      <c r="L549" s="10" t="s">
        <v>1778</v>
      </c>
      <c r="M549" s="10" t="s">
        <v>1779</v>
      </c>
      <c r="N549" s="10"/>
      <c r="O549" s="10" t="s">
        <v>61</v>
      </c>
      <c r="P549" s="10" t="s">
        <v>62</v>
      </c>
    </row>
    <row r="550" customFormat="false" ht="15.75" hidden="false" customHeight="false" outlineLevel="0" collapsed="false">
      <c r="A550" s="10" t="s">
        <v>16</v>
      </c>
      <c r="B550" s="10" t="s">
        <v>1100</v>
      </c>
      <c r="C550" s="10" t="s">
        <v>1101</v>
      </c>
      <c r="D550" s="10" t="s">
        <v>19</v>
      </c>
      <c r="E550" s="10" t="s">
        <v>20</v>
      </c>
      <c r="F550" s="11" t="n">
        <v>45208</v>
      </c>
      <c r="G550" s="12" t="n">
        <v>0.71735625</v>
      </c>
      <c r="H550" s="10" t="s">
        <v>37</v>
      </c>
      <c r="I550" s="13" t="n">
        <v>1</v>
      </c>
      <c r="J550" s="13" t="n">
        <v>1345</v>
      </c>
      <c r="K550" s="13" t="n">
        <v>1345</v>
      </c>
      <c r="L550" s="10" t="s">
        <v>1780</v>
      </c>
      <c r="M550" s="10" t="s">
        <v>1781</v>
      </c>
      <c r="N550" s="10"/>
      <c r="O550" s="10" t="s">
        <v>61</v>
      </c>
      <c r="P550" s="10" t="s">
        <v>62</v>
      </c>
    </row>
    <row r="551" customFormat="false" ht="15.75" hidden="false" customHeight="false" outlineLevel="0" collapsed="false">
      <c r="A551" s="10" t="s">
        <v>16</v>
      </c>
      <c r="B551" s="10" t="s">
        <v>286</v>
      </c>
      <c r="C551" s="10" t="s">
        <v>287</v>
      </c>
      <c r="D551" s="10" t="s">
        <v>19</v>
      </c>
      <c r="E551" s="10" t="s">
        <v>20</v>
      </c>
      <c r="F551" s="11" t="n">
        <v>45208</v>
      </c>
      <c r="G551" s="12" t="n">
        <v>0.716748472222222</v>
      </c>
      <c r="H551" s="10" t="s">
        <v>37</v>
      </c>
      <c r="I551" s="13" t="n">
        <v>1</v>
      </c>
      <c r="J551" s="13" t="n">
        <v>3006</v>
      </c>
      <c r="K551" s="13" t="n">
        <v>3006</v>
      </c>
      <c r="L551" s="10" t="s">
        <v>1782</v>
      </c>
      <c r="M551" s="10" t="s">
        <v>1783</v>
      </c>
      <c r="N551" s="10"/>
      <c r="O551" s="10" t="s">
        <v>61</v>
      </c>
      <c r="P551" s="10" t="s">
        <v>62</v>
      </c>
    </row>
    <row r="552" customFormat="false" ht="15.75" hidden="false" customHeight="false" outlineLevel="0" collapsed="false">
      <c r="A552" s="10" t="s">
        <v>16</v>
      </c>
      <c r="B552" s="10" t="s">
        <v>1784</v>
      </c>
      <c r="C552" s="10" t="s">
        <v>1785</v>
      </c>
      <c r="D552" s="10" t="s">
        <v>19</v>
      </c>
      <c r="E552" s="10" t="s">
        <v>20</v>
      </c>
      <c r="F552" s="11" t="n">
        <v>45208</v>
      </c>
      <c r="G552" s="12" t="n">
        <v>0.716139537037037</v>
      </c>
      <c r="H552" s="10" t="s">
        <v>37</v>
      </c>
      <c r="I552" s="13" t="n">
        <v>1</v>
      </c>
      <c r="J552" s="13" t="n">
        <v>455</v>
      </c>
      <c r="K552" s="13" t="n">
        <v>455</v>
      </c>
      <c r="L552" s="10" t="s">
        <v>1786</v>
      </c>
      <c r="M552" s="10" t="s">
        <v>1787</v>
      </c>
      <c r="N552" s="10"/>
      <c r="O552" s="10" t="s">
        <v>61</v>
      </c>
      <c r="P552" s="10" t="s">
        <v>62</v>
      </c>
    </row>
    <row r="553" customFormat="false" ht="15.75" hidden="false" customHeight="false" outlineLevel="0" collapsed="false">
      <c r="A553" s="10" t="s">
        <v>16</v>
      </c>
      <c r="B553" s="10" t="s">
        <v>514</v>
      </c>
      <c r="C553" s="10" t="s">
        <v>515</v>
      </c>
      <c r="D553" s="10" t="s">
        <v>19</v>
      </c>
      <c r="E553" s="10" t="s">
        <v>20</v>
      </c>
      <c r="F553" s="11" t="n">
        <v>45208</v>
      </c>
      <c r="G553" s="12" t="n">
        <v>0.715367222222222</v>
      </c>
      <c r="H553" s="10" t="s">
        <v>37</v>
      </c>
      <c r="I553" s="13" t="n">
        <v>1</v>
      </c>
      <c r="J553" s="13" t="n">
        <v>2290</v>
      </c>
      <c r="K553" s="13" t="n">
        <v>2290</v>
      </c>
      <c r="L553" s="10" t="s">
        <v>1788</v>
      </c>
      <c r="M553" s="10" t="s">
        <v>1789</v>
      </c>
      <c r="N553" s="10"/>
      <c r="O553" s="10" t="s">
        <v>61</v>
      </c>
      <c r="P553" s="10" t="s">
        <v>62</v>
      </c>
    </row>
    <row r="554" customFormat="false" ht="15.75" hidden="false" customHeight="false" outlineLevel="0" collapsed="false">
      <c r="A554" s="10" t="s">
        <v>16</v>
      </c>
      <c r="B554" s="10" t="s">
        <v>719</v>
      </c>
      <c r="C554" s="10" t="s">
        <v>720</v>
      </c>
      <c r="D554" s="10" t="s">
        <v>19</v>
      </c>
      <c r="E554" s="10" t="s">
        <v>20</v>
      </c>
      <c r="F554" s="11" t="n">
        <v>45208</v>
      </c>
      <c r="G554" s="12" t="n">
        <v>0.714761238425926</v>
      </c>
      <c r="H554" s="10" t="s">
        <v>37</v>
      </c>
      <c r="I554" s="13" t="n">
        <v>3</v>
      </c>
      <c r="J554" s="13" t="n">
        <v>1897</v>
      </c>
      <c r="K554" s="13" t="n">
        <v>5691</v>
      </c>
      <c r="L554" s="10" t="s">
        <v>1790</v>
      </c>
      <c r="M554" s="10" t="s">
        <v>1791</v>
      </c>
      <c r="N554" s="10"/>
      <c r="O554" s="10" t="s">
        <v>61</v>
      </c>
      <c r="P554" s="10" t="s">
        <v>62</v>
      </c>
    </row>
    <row r="555" customFormat="false" ht="15.75" hidden="false" customHeight="false" outlineLevel="0" collapsed="false">
      <c r="A555" s="10" t="s">
        <v>16</v>
      </c>
      <c r="B555" s="10" t="s">
        <v>1792</v>
      </c>
      <c r="C555" s="10" t="s">
        <v>1793</v>
      </c>
      <c r="D555" s="10" t="s">
        <v>19</v>
      </c>
      <c r="E555" s="10" t="s">
        <v>20</v>
      </c>
      <c r="F555" s="11" t="n">
        <v>45208</v>
      </c>
      <c r="G555" s="12" t="n">
        <v>0.714055324074074</v>
      </c>
      <c r="H555" s="10" t="s">
        <v>37</v>
      </c>
      <c r="I555" s="13" t="n">
        <v>4</v>
      </c>
      <c r="J555" s="13" t="n">
        <v>255</v>
      </c>
      <c r="K555" s="13" t="n">
        <v>1020</v>
      </c>
      <c r="L555" s="10" t="s">
        <v>1794</v>
      </c>
      <c r="M555" s="10" t="s">
        <v>1795</v>
      </c>
      <c r="N555" s="10"/>
      <c r="O555" s="10" t="s">
        <v>61</v>
      </c>
      <c r="P555" s="10" t="s">
        <v>62</v>
      </c>
    </row>
    <row r="556" customFormat="false" ht="15.75" hidden="false" customHeight="false" outlineLevel="0" collapsed="false">
      <c r="A556" s="10" t="s">
        <v>16</v>
      </c>
      <c r="B556" s="10" t="s">
        <v>17</v>
      </c>
      <c r="C556" s="10" t="s">
        <v>18</v>
      </c>
      <c r="D556" s="10" t="s">
        <v>19</v>
      </c>
      <c r="E556" s="10" t="s">
        <v>20</v>
      </c>
      <c r="F556" s="11" t="n">
        <v>45208</v>
      </c>
      <c r="G556" s="12" t="n">
        <v>0.709365509259259</v>
      </c>
      <c r="H556" s="10" t="s">
        <v>37</v>
      </c>
      <c r="I556" s="13" t="n">
        <v>5</v>
      </c>
      <c r="J556" s="13" t="n">
        <v>1191</v>
      </c>
      <c r="K556" s="13" t="n">
        <v>5955</v>
      </c>
      <c r="L556" s="10" t="s">
        <v>1796</v>
      </c>
      <c r="M556" s="10" t="s">
        <v>1797</v>
      </c>
      <c r="N556" s="10"/>
      <c r="O556" s="10" t="s">
        <v>61</v>
      </c>
      <c r="P556" s="10" t="s">
        <v>62</v>
      </c>
    </row>
    <row r="557" customFormat="false" ht="15.75" hidden="false" customHeight="false" outlineLevel="0" collapsed="false">
      <c r="A557" s="10" t="s">
        <v>16</v>
      </c>
      <c r="B557" s="10" t="s">
        <v>1798</v>
      </c>
      <c r="C557" s="10" t="s">
        <v>1799</v>
      </c>
      <c r="D557" s="10" t="s">
        <v>622</v>
      </c>
      <c r="E557" s="10" t="s">
        <v>20</v>
      </c>
      <c r="F557" s="11" t="n">
        <v>45208</v>
      </c>
      <c r="G557" s="12" t="n">
        <v>0.708705787037037</v>
      </c>
      <c r="H557" s="10" t="s">
        <v>37</v>
      </c>
      <c r="I557" s="13" t="n">
        <v>2</v>
      </c>
      <c r="J557" s="13" t="n">
        <v>391</v>
      </c>
      <c r="K557" s="13" t="n">
        <v>782</v>
      </c>
      <c r="L557" s="10" t="s">
        <v>1800</v>
      </c>
      <c r="M557" s="10" t="s">
        <v>1801</v>
      </c>
      <c r="N557" s="10"/>
      <c r="O557" s="10" t="s">
        <v>61</v>
      </c>
      <c r="P557" s="10" t="s">
        <v>62</v>
      </c>
    </row>
    <row r="558" customFormat="false" ht="15.75" hidden="false" customHeight="false" outlineLevel="0" collapsed="false">
      <c r="A558" s="10" t="s">
        <v>16</v>
      </c>
      <c r="B558" s="10" t="s">
        <v>1802</v>
      </c>
      <c r="C558" s="10" t="s">
        <v>1803</v>
      </c>
      <c r="D558" s="10" t="s">
        <v>622</v>
      </c>
      <c r="E558" s="10" t="s">
        <v>20</v>
      </c>
      <c r="F558" s="11" t="n">
        <v>45208</v>
      </c>
      <c r="G558" s="12" t="n">
        <v>0.707900625</v>
      </c>
      <c r="H558" s="10" t="s">
        <v>37</v>
      </c>
      <c r="I558" s="13" t="n">
        <v>4</v>
      </c>
      <c r="J558" s="13" t="n">
        <v>1115</v>
      </c>
      <c r="K558" s="13" t="n">
        <v>4460</v>
      </c>
      <c r="L558" s="10" t="s">
        <v>1804</v>
      </c>
      <c r="M558" s="10" t="s">
        <v>1805</v>
      </c>
      <c r="N558" s="10"/>
      <c r="O558" s="10" t="s">
        <v>61</v>
      </c>
      <c r="P558" s="10" t="s">
        <v>62</v>
      </c>
    </row>
    <row r="559" customFormat="false" ht="15.75" hidden="false" customHeight="false" outlineLevel="0" collapsed="false">
      <c r="A559" s="10" t="s">
        <v>16</v>
      </c>
      <c r="B559" s="10" t="s">
        <v>1806</v>
      </c>
      <c r="C559" s="10" t="s">
        <v>1807</v>
      </c>
      <c r="D559" s="10" t="s">
        <v>622</v>
      </c>
      <c r="E559" s="10" t="s">
        <v>20</v>
      </c>
      <c r="F559" s="11" t="n">
        <v>45208</v>
      </c>
      <c r="G559" s="12" t="n">
        <v>0.706838391203704</v>
      </c>
      <c r="H559" s="10" t="s">
        <v>37</v>
      </c>
      <c r="I559" s="13" t="n">
        <v>3</v>
      </c>
      <c r="J559" s="13" t="n">
        <v>224</v>
      </c>
      <c r="K559" s="13" t="n">
        <v>672</v>
      </c>
      <c r="L559" s="10" t="s">
        <v>1808</v>
      </c>
      <c r="M559" s="10" t="s">
        <v>1809</v>
      </c>
      <c r="N559" s="10"/>
      <c r="O559" s="10" t="s">
        <v>61</v>
      </c>
      <c r="P559" s="10" t="s">
        <v>62</v>
      </c>
    </row>
    <row r="560" customFormat="false" ht="15.75" hidden="false" customHeight="false" outlineLevel="0" collapsed="false">
      <c r="A560" s="10" t="s">
        <v>16</v>
      </c>
      <c r="B560" s="10" t="s">
        <v>972</v>
      </c>
      <c r="C560" s="10" t="s">
        <v>973</v>
      </c>
      <c r="D560" s="10" t="s">
        <v>974</v>
      </c>
      <c r="E560" s="10" t="s">
        <v>568</v>
      </c>
      <c r="F560" s="11" t="n">
        <v>45208</v>
      </c>
      <c r="G560" s="12" t="n">
        <v>0.51430724537037</v>
      </c>
      <c r="H560" s="10" t="s">
        <v>29</v>
      </c>
      <c r="I560" s="13" t="n">
        <v>98</v>
      </c>
      <c r="J560" s="13" t="n">
        <v>980</v>
      </c>
      <c r="K560" s="13" t="n">
        <v>96040</v>
      </c>
      <c r="L560" s="10" t="s">
        <v>1810</v>
      </c>
      <c r="M560" s="10" t="s">
        <v>1811</v>
      </c>
      <c r="N560" s="10" t="s">
        <v>1812</v>
      </c>
      <c r="O560" s="10" t="s">
        <v>61</v>
      </c>
      <c r="P560" s="10" t="s">
        <v>62</v>
      </c>
    </row>
    <row r="561" customFormat="false" ht="15.75" hidden="false" customHeight="false" outlineLevel="0" collapsed="false">
      <c r="A561" s="10" t="s">
        <v>16</v>
      </c>
      <c r="B561" s="10" t="s">
        <v>1813</v>
      </c>
      <c r="C561" s="10" t="s">
        <v>1814</v>
      </c>
      <c r="D561" s="10" t="s">
        <v>132</v>
      </c>
      <c r="E561" s="10" t="s">
        <v>96</v>
      </c>
      <c r="F561" s="11" t="n">
        <v>45210</v>
      </c>
      <c r="G561" s="12" t="n">
        <v>0.985135127314815</v>
      </c>
      <c r="H561" s="10" t="s">
        <v>21</v>
      </c>
      <c r="I561" s="13" t="n">
        <v>47</v>
      </c>
      <c r="J561" s="13" t="n">
        <v>295</v>
      </c>
      <c r="K561" s="13" t="n">
        <v>13865</v>
      </c>
      <c r="L561" s="10" t="s">
        <v>1815</v>
      </c>
      <c r="M561" s="10"/>
      <c r="N561" s="10"/>
      <c r="O561" s="10" t="s">
        <v>23</v>
      </c>
      <c r="P561" s="10" t="s">
        <v>24</v>
      </c>
    </row>
    <row r="562" customFormat="false" ht="15.75" hidden="false" customHeight="false" outlineLevel="0" collapsed="false">
      <c r="A562" s="10" t="s">
        <v>16</v>
      </c>
      <c r="B562" s="10" t="s">
        <v>140</v>
      </c>
      <c r="C562" s="10" t="s">
        <v>141</v>
      </c>
      <c r="D562" s="10" t="s">
        <v>142</v>
      </c>
      <c r="E562" s="10" t="s">
        <v>28</v>
      </c>
      <c r="F562" s="11" t="n">
        <v>45210</v>
      </c>
      <c r="G562" s="12" t="n">
        <v>0.86549912037037</v>
      </c>
      <c r="H562" s="10" t="s">
        <v>37</v>
      </c>
      <c r="I562" s="13" t="n">
        <v>1</v>
      </c>
      <c r="J562" s="13" t="n">
        <v>914.68</v>
      </c>
      <c r="K562" s="13" t="n">
        <v>914.68</v>
      </c>
      <c r="L562" s="10" t="s">
        <v>1816</v>
      </c>
      <c r="M562" s="10" t="s">
        <v>1817</v>
      </c>
      <c r="N562" s="10"/>
      <c r="O562" s="10" t="s">
        <v>23</v>
      </c>
      <c r="P562" s="10" t="s">
        <v>24</v>
      </c>
    </row>
    <row r="563" customFormat="false" ht="15.75" hidden="false" customHeight="false" outlineLevel="0" collapsed="false">
      <c r="A563" s="10" t="s">
        <v>16</v>
      </c>
      <c r="B563" s="10" t="s">
        <v>1818</v>
      </c>
      <c r="C563" s="10" t="s">
        <v>1819</v>
      </c>
      <c r="D563" s="10" t="s">
        <v>268</v>
      </c>
      <c r="E563" s="10" t="s">
        <v>269</v>
      </c>
      <c r="F563" s="11" t="n">
        <v>45210</v>
      </c>
      <c r="G563" s="12" t="n">
        <v>0.495080983796296</v>
      </c>
      <c r="H563" s="10" t="s">
        <v>29</v>
      </c>
      <c r="I563" s="13" t="n">
        <v>6</v>
      </c>
      <c r="J563" s="13" t="n">
        <v>1426.67</v>
      </c>
      <c r="K563" s="13" t="n">
        <v>8560.02</v>
      </c>
      <c r="L563" s="10" t="s">
        <v>1820</v>
      </c>
      <c r="M563" s="10" t="s">
        <v>1821</v>
      </c>
      <c r="N563" s="10" t="s">
        <v>1822</v>
      </c>
      <c r="O563" s="10" t="s">
        <v>61</v>
      </c>
      <c r="P563" s="10" t="s">
        <v>62</v>
      </c>
    </row>
    <row r="564" customFormat="false" ht="15.75" hidden="false" customHeight="false" outlineLevel="0" collapsed="false">
      <c r="A564" s="10" t="s">
        <v>16</v>
      </c>
      <c r="B564" s="10" t="s">
        <v>972</v>
      </c>
      <c r="C564" s="10" t="s">
        <v>973</v>
      </c>
      <c r="D564" s="10" t="s">
        <v>974</v>
      </c>
      <c r="E564" s="10" t="s">
        <v>568</v>
      </c>
      <c r="F564" s="11" t="n">
        <v>45210</v>
      </c>
      <c r="G564" s="12" t="n">
        <v>0.487265578703704</v>
      </c>
      <c r="H564" s="10" t="s">
        <v>29</v>
      </c>
      <c r="I564" s="13" t="n">
        <v>11</v>
      </c>
      <c r="J564" s="13" t="n">
        <v>980</v>
      </c>
      <c r="K564" s="13" t="n">
        <v>10780</v>
      </c>
      <c r="L564" s="10" t="s">
        <v>1823</v>
      </c>
      <c r="M564" s="10" t="s">
        <v>1824</v>
      </c>
      <c r="N564" s="10" t="s">
        <v>1812</v>
      </c>
      <c r="O564" s="10" t="s">
        <v>61</v>
      </c>
      <c r="P564" s="10" t="s">
        <v>62</v>
      </c>
    </row>
    <row r="565" customFormat="false" ht="15.75" hidden="false" customHeight="false" outlineLevel="0" collapsed="false">
      <c r="A565" s="10" t="s">
        <v>16</v>
      </c>
      <c r="B565" s="10" t="s">
        <v>1825</v>
      </c>
      <c r="C565" s="10" t="s">
        <v>1826</v>
      </c>
      <c r="D565" s="10" t="s">
        <v>1827</v>
      </c>
      <c r="E565" s="10" t="s">
        <v>568</v>
      </c>
      <c r="F565" s="11" t="n">
        <v>45210</v>
      </c>
      <c r="G565" s="12" t="n">
        <v>0.469569456018519</v>
      </c>
      <c r="H565" s="10" t="s">
        <v>29</v>
      </c>
      <c r="I565" s="13" t="n">
        <v>25</v>
      </c>
      <c r="J565" s="13" t="n">
        <v>2130</v>
      </c>
      <c r="K565" s="13" t="n">
        <v>53250</v>
      </c>
      <c r="L565" s="10" t="s">
        <v>1828</v>
      </c>
      <c r="M565" s="10" t="s">
        <v>1829</v>
      </c>
      <c r="N565" s="10" t="s">
        <v>1830</v>
      </c>
      <c r="O565" s="10" t="s">
        <v>61</v>
      </c>
      <c r="P565" s="10" t="s">
        <v>62</v>
      </c>
    </row>
    <row r="566" customFormat="false" ht="15.75" hidden="false" customHeight="false" outlineLevel="0" collapsed="false">
      <c r="A566" s="10" t="s">
        <v>16</v>
      </c>
      <c r="B566" s="10" t="s">
        <v>1831</v>
      </c>
      <c r="C566" s="10" t="s">
        <v>1832</v>
      </c>
      <c r="D566" s="10" t="s">
        <v>567</v>
      </c>
      <c r="E566" s="10" t="s">
        <v>568</v>
      </c>
      <c r="F566" s="11" t="n">
        <v>45210</v>
      </c>
      <c r="G566" s="12" t="n">
        <v>0.467671701388889</v>
      </c>
      <c r="H566" s="10" t="s">
        <v>29</v>
      </c>
      <c r="I566" s="13" t="n">
        <v>58</v>
      </c>
      <c r="J566" s="13" t="n">
        <v>1790</v>
      </c>
      <c r="K566" s="13" t="n">
        <v>103820</v>
      </c>
      <c r="L566" s="10" t="s">
        <v>1833</v>
      </c>
      <c r="M566" s="10" t="s">
        <v>1834</v>
      </c>
      <c r="N566" s="10" t="s">
        <v>1835</v>
      </c>
      <c r="O566" s="10" t="s">
        <v>61</v>
      </c>
      <c r="P566" s="10" t="s">
        <v>62</v>
      </c>
    </row>
    <row r="567" customFormat="false" ht="15.75" hidden="false" customHeight="false" outlineLevel="0" collapsed="false">
      <c r="A567" s="10" t="s">
        <v>16</v>
      </c>
      <c r="B567" s="10" t="s">
        <v>1806</v>
      </c>
      <c r="C567" s="10" t="s">
        <v>1807</v>
      </c>
      <c r="D567" s="10" t="s">
        <v>622</v>
      </c>
      <c r="E567" s="10" t="s">
        <v>20</v>
      </c>
      <c r="F567" s="11" t="n">
        <v>45211</v>
      </c>
      <c r="G567" s="12" t="n">
        <v>0.710219641203704</v>
      </c>
      <c r="H567" s="10" t="s">
        <v>37</v>
      </c>
      <c r="I567" s="13" t="n">
        <v>3</v>
      </c>
      <c r="J567" s="13" t="n">
        <v>224</v>
      </c>
      <c r="K567" s="13" t="n">
        <v>672</v>
      </c>
      <c r="L567" s="10" t="s">
        <v>1836</v>
      </c>
      <c r="M567" s="10" t="s">
        <v>1837</v>
      </c>
      <c r="N567" s="10"/>
      <c r="O567" s="10" t="s">
        <v>61</v>
      </c>
      <c r="P567" s="10" t="s">
        <v>62</v>
      </c>
    </row>
    <row r="568" customFormat="false" ht="15.75" hidden="false" customHeight="false" outlineLevel="0" collapsed="false">
      <c r="A568" s="10" t="s">
        <v>16</v>
      </c>
      <c r="B568" s="10" t="s">
        <v>1798</v>
      </c>
      <c r="C568" s="10" t="s">
        <v>1799</v>
      </c>
      <c r="D568" s="10" t="s">
        <v>622</v>
      </c>
      <c r="E568" s="10" t="s">
        <v>20</v>
      </c>
      <c r="F568" s="11" t="n">
        <v>45211</v>
      </c>
      <c r="G568" s="12" t="n">
        <v>0.709619108796296</v>
      </c>
      <c r="H568" s="10" t="s">
        <v>37</v>
      </c>
      <c r="I568" s="13" t="n">
        <v>1</v>
      </c>
      <c r="J568" s="13" t="n">
        <v>391</v>
      </c>
      <c r="K568" s="13" t="n">
        <v>391</v>
      </c>
      <c r="L568" s="10" t="s">
        <v>1838</v>
      </c>
      <c r="M568" s="10" t="s">
        <v>1839</v>
      </c>
      <c r="N568" s="10"/>
      <c r="O568" s="10" t="s">
        <v>61</v>
      </c>
      <c r="P568" s="10" t="s">
        <v>62</v>
      </c>
    </row>
    <row r="569" customFormat="false" ht="15.75" hidden="false" customHeight="false" outlineLevel="0" collapsed="false">
      <c r="A569" s="10" t="s">
        <v>16</v>
      </c>
      <c r="B569" s="10" t="s">
        <v>1399</v>
      </c>
      <c r="C569" s="10" t="s">
        <v>1400</v>
      </c>
      <c r="D569" s="10" t="s">
        <v>268</v>
      </c>
      <c r="E569" s="10" t="s">
        <v>269</v>
      </c>
      <c r="F569" s="11" t="n">
        <v>45212</v>
      </c>
      <c r="G569" s="12" t="n">
        <v>0.824584467592593</v>
      </c>
      <c r="H569" s="10" t="s">
        <v>37</v>
      </c>
      <c r="I569" s="13" t="n">
        <v>1</v>
      </c>
      <c r="J569" s="13" t="n">
        <v>248.2</v>
      </c>
      <c r="K569" s="13" t="n">
        <v>248.2</v>
      </c>
      <c r="L569" s="10" t="s">
        <v>1840</v>
      </c>
      <c r="M569" s="10" t="s">
        <v>1841</v>
      </c>
      <c r="N569" s="10"/>
      <c r="O569" s="10" t="s">
        <v>23</v>
      </c>
      <c r="P569" s="10" t="s">
        <v>24</v>
      </c>
    </row>
    <row r="570" customFormat="false" ht="15.75" hidden="false" customHeight="false" outlineLevel="0" collapsed="false">
      <c r="A570" s="10" t="s">
        <v>16</v>
      </c>
      <c r="B570" s="10" t="s">
        <v>1842</v>
      </c>
      <c r="C570" s="10" t="s">
        <v>1843</v>
      </c>
      <c r="D570" s="10" t="s">
        <v>1316</v>
      </c>
      <c r="E570" s="10" t="s">
        <v>28</v>
      </c>
      <c r="F570" s="11" t="n">
        <v>45212</v>
      </c>
      <c r="G570" s="12" t="n">
        <v>0.748015578703704</v>
      </c>
      <c r="H570" s="10" t="s">
        <v>37</v>
      </c>
      <c r="I570" s="13" t="n">
        <v>1</v>
      </c>
      <c r="J570" s="13" t="n">
        <v>450</v>
      </c>
      <c r="K570" s="13" t="n">
        <v>450</v>
      </c>
      <c r="L570" s="10" t="s">
        <v>1844</v>
      </c>
      <c r="M570" s="10" t="s">
        <v>1845</v>
      </c>
      <c r="N570" s="10"/>
      <c r="O570" s="10" t="s">
        <v>23</v>
      </c>
      <c r="P570" s="10" t="s">
        <v>24</v>
      </c>
    </row>
    <row r="571" customFormat="false" ht="15.75" hidden="false" customHeight="false" outlineLevel="0" collapsed="false">
      <c r="A571" s="10" t="s">
        <v>16</v>
      </c>
      <c r="B571" s="10" t="s">
        <v>941</v>
      </c>
      <c r="C571" s="10" t="s">
        <v>942</v>
      </c>
      <c r="D571" s="10" t="s">
        <v>652</v>
      </c>
      <c r="E571" s="10" t="s">
        <v>28</v>
      </c>
      <c r="F571" s="11" t="n">
        <v>45213</v>
      </c>
      <c r="G571" s="12" t="n">
        <v>0.851499143518518</v>
      </c>
      <c r="H571" s="10" t="s">
        <v>37</v>
      </c>
      <c r="I571" s="13" t="n">
        <v>1</v>
      </c>
      <c r="J571" s="13" t="n">
        <v>870</v>
      </c>
      <c r="K571" s="13" t="n">
        <v>870</v>
      </c>
      <c r="L571" s="10" t="s">
        <v>1846</v>
      </c>
      <c r="M571" s="10" t="s">
        <v>1847</v>
      </c>
      <c r="N571" s="10"/>
      <c r="O571" s="10" t="s">
        <v>23</v>
      </c>
      <c r="P571" s="10" t="s">
        <v>24</v>
      </c>
    </row>
    <row r="572" customFormat="false" ht="15.75" hidden="false" customHeight="false" outlineLevel="0" collapsed="false">
      <c r="A572" s="10" t="s">
        <v>16</v>
      </c>
      <c r="B572" s="10" t="s">
        <v>286</v>
      </c>
      <c r="C572" s="10" t="s">
        <v>287</v>
      </c>
      <c r="D572" s="10" t="s">
        <v>19</v>
      </c>
      <c r="E572" s="10" t="s">
        <v>20</v>
      </c>
      <c r="F572" s="11" t="n">
        <v>45214</v>
      </c>
      <c r="G572" s="12" t="n">
        <v>0.643554490740741</v>
      </c>
      <c r="H572" s="10" t="s">
        <v>37</v>
      </c>
      <c r="I572" s="13" t="n">
        <v>2</v>
      </c>
      <c r="J572" s="13" t="n">
        <v>3006</v>
      </c>
      <c r="K572" s="13" t="n">
        <v>6012</v>
      </c>
      <c r="L572" s="10" t="s">
        <v>1848</v>
      </c>
      <c r="M572" s="10" t="s">
        <v>1849</v>
      </c>
      <c r="N572" s="10"/>
      <c r="O572" s="10" t="s">
        <v>61</v>
      </c>
      <c r="P572" s="10" t="s">
        <v>62</v>
      </c>
    </row>
    <row r="573" customFormat="false" ht="15.75" hidden="false" customHeight="false" outlineLevel="0" collapsed="false">
      <c r="A573" s="10" t="s">
        <v>16</v>
      </c>
      <c r="B573" s="10" t="s">
        <v>1831</v>
      </c>
      <c r="C573" s="10" t="s">
        <v>1832</v>
      </c>
      <c r="D573" s="10" t="s">
        <v>567</v>
      </c>
      <c r="E573" s="10" t="s">
        <v>568</v>
      </c>
      <c r="F573" s="11" t="n">
        <v>45214</v>
      </c>
      <c r="G573" s="12" t="n">
        <v>0.564581793981481</v>
      </c>
      <c r="H573" s="10" t="s">
        <v>29</v>
      </c>
      <c r="I573" s="13" t="n">
        <v>1</v>
      </c>
      <c r="J573" s="13" t="n">
        <v>1790</v>
      </c>
      <c r="K573" s="13" t="n">
        <v>1790</v>
      </c>
      <c r="L573" s="10" t="s">
        <v>1850</v>
      </c>
      <c r="M573" s="10" t="s">
        <v>1851</v>
      </c>
      <c r="N573" s="10" t="s">
        <v>1835</v>
      </c>
      <c r="O573" s="10" t="s">
        <v>61</v>
      </c>
      <c r="P573" s="10" t="s">
        <v>62</v>
      </c>
    </row>
    <row r="574" customFormat="false" ht="15.75" hidden="false" customHeight="false" outlineLevel="0" collapsed="false">
      <c r="A574" s="10" t="s">
        <v>16</v>
      </c>
      <c r="B574" s="10" t="s">
        <v>606</v>
      </c>
      <c r="C574" s="10" t="s">
        <v>607</v>
      </c>
      <c r="D574" s="10" t="s">
        <v>487</v>
      </c>
      <c r="E574" s="10" t="s">
        <v>20</v>
      </c>
      <c r="F574" s="11" t="n">
        <v>45214</v>
      </c>
      <c r="G574" s="12" t="n">
        <v>0.481855289351852</v>
      </c>
      <c r="H574" s="10" t="s">
        <v>37</v>
      </c>
      <c r="I574" s="13" t="n">
        <v>1</v>
      </c>
      <c r="J574" s="13" t="n">
        <v>1050</v>
      </c>
      <c r="K574" s="13" t="n">
        <v>1050</v>
      </c>
      <c r="L574" s="10" t="s">
        <v>1852</v>
      </c>
      <c r="M574" s="10" t="s">
        <v>1853</v>
      </c>
      <c r="N574" s="10"/>
      <c r="O574" s="10" t="s">
        <v>61</v>
      </c>
      <c r="P574" s="10" t="s">
        <v>62</v>
      </c>
    </row>
    <row r="575" customFormat="false" ht="15.75" hidden="false" customHeight="false" outlineLevel="0" collapsed="false">
      <c r="A575" s="10" t="s">
        <v>16</v>
      </c>
      <c r="B575" s="10" t="s">
        <v>1854</v>
      </c>
      <c r="C575" s="10" t="s">
        <v>1855</v>
      </c>
      <c r="D575" s="10" t="s">
        <v>132</v>
      </c>
      <c r="E575" s="10" t="s">
        <v>96</v>
      </c>
      <c r="F575" s="11" t="n">
        <v>45214</v>
      </c>
      <c r="G575" s="12" t="n">
        <v>0.480620231481481</v>
      </c>
      <c r="H575" s="10" t="s">
        <v>37</v>
      </c>
      <c r="I575" s="13" t="n">
        <v>1</v>
      </c>
      <c r="J575" s="13" t="n">
        <v>1120</v>
      </c>
      <c r="K575" s="13" t="n">
        <v>1120</v>
      </c>
      <c r="L575" s="10" t="s">
        <v>1856</v>
      </c>
      <c r="M575" s="10" t="s">
        <v>1857</v>
      </c>
      <c r="N575" s="10"/>
      <c r="O575" s="10" t="s">
        <v>61</v>
      </c>
      <c r="P575" s="10" t="s">
        <v>62</v>
      </c>
    </row>
    <row r="576" customFormat="false" ht="15.75" hidden="false" customHeight="false" outlineLevel="0" collapsed="false">
      <c r="A576" s="10" t="s">
        <v>16</v>
      </c>
      <c r="B576" s="10" t="s">
        <v>1618</v>
      </c>
      <c r="C576" s="10" t="s">
        <v>1619</v>
      </c>
      <c r="D576" s="10" t="s">
        <v>174</v>
      </c>
      <c r="E576" s="10" t="s">
        <v>36</v>
      </c>
      <c r="F576" s="11" t="n">
        <v>45214</v>
      </c>
      <c r="G576" s="12" t="n">
        <v>0.0312271296296296</v>
      </c>
      <c r="H576" s="10" t="s">
        <v>37</v>
      </c>
      <c r="I576" s="13" t="n">
        <v>2</v>
      </c>
      <c r="J576" s="13" t="n">
        <v>130.83</v>
      </c>
      <c r="K576" s="13" t="n">
        <v>261.66</v>
      </c>
      <c r="L576" s="10" t="s">
        <v>1858</v>
      </c>
      <c r="M576" s="10" t="s">
        <v>1859</v>
      </c>
      <c r="N576" s="10"/>
      <c r="O576" s="10" t="s">
        <v>23</v>
      </c>
      <c r="P576" s="10" t="s">
        <v>24</v>
      </c>
    </row>
    <row r="577" customFormat="false" ht="15.75" hidden="false" customHeight="false" outlineLevel="0" collapsed="false">
      <c r="A577" s="10" t="s">
        <v>16</v>
      </c>
      <c r="B577" s="10" t="s">
        <v>435</v>
      </c>
      <c r="C577" s="10" t="s">
        <v>436</v>
      </c>
      <c r="D577" s="10" t="s">
        <v>89</v>
      </c>
      <c r="E577" s="10" t="s">
        <v>431</v>
      </c>
      <c r="F577" s="11" t="n">
        <v>45215</v>
      </c>
      <c r="G577" s="12" t="n">
        <v>0.887064236111111</v>
      </c>
      <c r="H577" s="10" t="s">
        <v>21</v>
      </c>
      <c r="I577" s="13" t="n">
        <v>1</v>
      </c>
      <c r="J577" s="13" t="n">
        <v>420</v>
      </c>
      <c r="K577" s="13" t="n">
        <v>420</v>
      </c>
      <c r="L577" s="10" t="s">
        <v>1860</v>
      </c>
      <c r="M577" s="10"/>
      <c r="N577" s="10"/>
      <c r="O577" s="10" t="s">
        <v>23</v>
      </c>
      <c r="P577" s="10" t="s">
        <v>24</v>
      </c>
    </row>
    <row r="578" customFormat="false" ht="15.75" hidden="false" customHeight="false" outlineLevel="0" collapsed="false">
      <c r="A578" s="10" t="s">
        <v>16</v>
      </c>
      <c r="B578" s="10" t="s">
        <v>366</v>
      </c>
      <c r="C578" s="10" t="s">
        <v>367</v>
      </c>
      <c r="D578" s="10" t="s">
        <v>142</v>
      </c>
      <c r="E578" s="10" t="s">
        <v>28</v>
      </c>
      <c r="F578" s="11" t="n">
        <v>45215</v>
      </c>
      <c r="G578" s="12" t="n">
        <v>0.860793634259259</v>
      </c>
      <c r="H578" s="10" t="s">
        <v>37</v>
      </c>
      <c r="I578" s="13" t="n">
        <v>1</v>
      </c>
      <c r="J578" s="13" t="n">
        <v>773.13</v>
      </c>
      <c r="K578" s="13" t="n">
        <v>773.13</v>
      </c>
      <c r="L578" s="10" t="s">
        <v>1861</v>
      </c>
      <c r="M578" s="10" t="s">
        <v>1862</v>
      </c>
      <c r="N578" s="10"/>
      <c r="O578" s="10" t="s">
        <v>23</v>
      </c>
      <c r="P578" s="10" t="s">
        <v>24</v>
      </c>
    </row>
    <row r="579" customFormat="false" ht="15.75" hidden="false" customHeight="false" outlineLevel="0" collapsed="false">
      <c r="A579" s="10" t="s">
        <v>16</v>
      </c>
      <c r="B579" s="10" t="s">
        <v>1863</v>
      </c>
      <c r="C579" s="10" t="s">
        <v>1864</v>
      </c>
      <c r="D579" s="10" t="s">
        <v>949</v>
      </c>
      <c r="E579" s="10" t="s">
        <v>28</v>
      </c>
      <c r="F579" s="11" t="n">
        <v>45215</v>
      </c>
      <c r="G579" s="12" t="n">
        <v>0.860424409722222</v>
      </c>
      <c r="H579" s="10" t="s">
        <v>37</v>
      </c>
      <c r="I579" s="13" t="n">
        <v>1</v>
      </c>
      <c r="J579" s="13" t="n">
        <v>800</v>
      </c>
      <c r="K579" s="13" t="n">
        <v>800</v>
      </c>
      <c r="L579" s="10" t="s">
        <v>1865</v>
      </c>
      <c r="M579" s="10" t="s">
        <v>1866</v>
      </c>
      <c r="N579" s="10"/>
      <c r="O579" s="10" t="s">
        <v>23</v>
      </c>
      <c r="P579" s="10" t="s">
        <v>24</v>
      </c>
    </row>
    <row r="580" customFormat="false" ht="15.75" hidden="false" customHeight="false" outlineLevel="0" collapsed="false">
      <c r="A580" s="10" t="s">
        <v>16</v>
      </c>
      <c r="B580" s="10" t="s">
        <v>1867</v>
      </c>
      <c r="C580" s="10" t="s">
        <v>1868</v>
      </c>
      <c r="D580" s="10" t="s">
        <v>121</v>
      </c>
      <c r="E580" s="10" t="s">
        <v>122</v>
      </c>
      <c r="F580" s="11" t="n">
        <v>45215</v>
      </c>
      <c r="G580" s="12" t="n">
        <v>0.449924201388889</v>
      </c>
      <c r="H580" s="10" t="s">
        <v>29</v>
      </c>
      <c r="I580" s="13" t="n">
        <v>241</v>
      </c>
      <c r="J580" s="13" t="n">
        <v>171.6</v>
      </c>
      <c r="K580" s="13" t="n">
        <v>41355.6</v>
      </c>
      <c r="L580" s="10" t="s">
        <v>1869</v>
      </c>
      <c r="M580" s="10" t="s">
        <v>1870</v>
      </c>
      <c r="N580" s="10" t="s">
        <v>1871</v>
      </c>
      <c r="O580" s="10" t="s">
        <v>61</v>
      </c>
      <c r="P580" s="10" t="s">
        <v>62</v>
      </c>
    </row>
    <row r="581" customFormat="false" ht="15.75" hidden="false" customHeight="false" outlineLevel="0" collapsed="false">
      <c r="A581" s="10" t="s">
        <v>16</v>
      </c>
      <c r="B581" s="10" t="s">
        <v>1872</v>
      </c>
      <c r="C581" s="10" t="s">
        <v>1873</v>
      </c>
      <c r="D581" s="10" t="s">
        <v>1874</v>
      </c>
      <c r="E581" s="10" t="s">
        <v>36</v>
      </c>
      <c r="F581" s="11" t="n">
        <v>45216</v>
      </c>
      <c r="G581" s="12" t="n">
        <v>0.836173009259259</v>
      </c>
      <c r="H581" s="10" t="s">
        <v>37</v>
      </c>
      <c r="I581" s="13" t="n">
        <v>1</v>
      </c>
      <c r="J581" s="13" t="n">
        <v>736.02</v>
      </c>
      <c r="K581" s="13" t="n">
        <v>736.02</v>
      </c>
      <c r="L581" s="10" t="s">
        <v>1875</v>
      </c>
      <c r="M581" s="10" t="s">
        <v>1876</v>
      </c>
      <c r="N581" s="10"/>
      <c r="O581" s="10" t="s">
        <v>23</v>
      </c>
      <c r="P581" s="10" t="s">
        <v>24</v>
      </c>
    </row>
    <row r="582" customFormat="false" ht="15.75" hidden="false" customHeight="false" outlineLevel="0" collapsed="false">
      <c r="A582" s="10" t="s">
        <v>16</v>
      </c>
      <c r="B582" s="10" t="s">
        <v>707</v>
      </c>
      <c r="C582" s="10" t="s">
        <v>708</v>
      </c>
      <c r="D582" s="10" t="s">
        <v>337</v>
      </c>
      <c r="E582" s="10" t="s">
        <v>208</v>
      </c>
      <c r="F582" s="11" t="n">
        <v>45217</v>
      </c>
      <c r="G582" s="12" t="n">
        <v>0.888505532407407</v>
      </c>
      <c r="H582" s="10" t="s">
        <v>37</v>
      </c>
      <c r="I582" s="13" t="n">
        <v>1</v>
      </c>
      <c r="J582" s="13" t="n">
        <v>239.63</v>
      </c>
      <c r="K582" s="13" t="n">
        <v>239.63</v>
      </c>
      <c r="L582" s="10" t="s">
        <v>1877</v>
      </c>
      <c r="M582" s="10" t="s">
        <v>1878</v>
      </c>
      <c r="N582" s="10"/>
      <c r="O582" s="10" t="s">
        <v>23</v>
      </c>
      <c r="P582" s="10" t="s">
        <v>24</v>
      </c>
    </row>
    <row r="583" customFormat="false" ht="15.75" hidden="false" customHeight="false" outlineLevel="0" collapsed="false">
      <c r="A583" s="10" t="s">
        <v>16</v>
      </c>
      <c r="B583" s="10" t="s">
        <v>1518</v>
      </c>
      <c r="C583" s="10" t="s">
        <v>1519</v>
      </c>
      <c r="D583" s="10" t="s">
        <v>1520</v>
      </c>
      <c r="E583" s="10" t="s">
        <v>28</v>
      </c>
      <c r="F583" s="11" t="n">
        <v>45217</v>
      </c>
      <c r="G583" s="12" t="n">
        <v>0.851188888888889</v>
      </c>
      <c r="H583" s="10" t="s">
        <v>37</v>
      </c>
      <c r="I583" s="13" t="n">
        <v>1</v>
      </c>
      <c r="J583" s="13" t="n">
        <v>190</v>
      </c>
      <c r="K583" s="13" t="n">
        <v>190</v>
      </c>
      <c r="L583" s="10" t="s">
        <v>1879</v>
      </c>
      <c r="M583" s="10" t="s">
        <v>1880</v>
      </c>
      <c r="N583" s="10"/>
      <c r="O583" s="10" t="s">
        <v>23</v>
      </c>
      <c r="P583" s="10" t="s">
        <v>24</v>
      </c>
    </row>
    <row r="584" customFormat="false" ht="15.75" hidden="false" customHeight="false" outlineLevel="0" collapsed="false">
      <c r="A584" s="10" t="s">
        <v>16</v>
      </c>
      <c r="B584" s="10" t="s">
        <v>140</v>
      </c>
      <c r="C584" s="10" t="s">
        <v>141</v>
      </c>
      <c r="D584" s="10" t="s">
        <v>142</v>
      </c>
      <c r="E584" s="10" t="s">
        <v>28</v>
      </c>
      <c r="F584" s="11" t="n">
        <v>45217</v>
      </c>
      <c r="G584" s="12" t="n">
        <v>0.847450243055556</v>
      </c>
      <c r="H584" s="10" t="s">
        <v>37</v>
      </c>
      <c r="I584" s="13" t="n">
        <v>1</v>
      </c>
      <c r="J584" s="13" t="n">
        <v>914.68</v>
      </c>
      <c r="K584" s="13" t="n">
        <v>914.68</v>
      </c>
      <c r="L584" s="10" t="s">
        <v>1881</v>
      </c>
      <c r="M584" s="10" t="s">
        <v>1882</v>
      </c>
      <c r="N584" s="10"/>
      <c r="O584" s="10" t="s">
        <v>23</v>
      </c>
      <c r="P584" s="10" t="s">
        <v>24</v>
      </c>
    </row>
    <row r="585" customFormat="false" ht="15.75" hidden="false" customHeight="false" outlineLevel="0" collapsed="false">
      <c r="A585" s="10" t="s">
        <v>16</v>
      </c>
      <c r="B585" s="10" t="s">
        <v>1883</v>
      </c>
      <c r="C585" s="10" t="s">
        <v>1884</v>
      </c>
      <c r="D585" s="10" t="s">
        <v>35</v>
      </c>
      <c r="E585" s="10" t="s">
        <v>36</v>
      </c>
      <c r="F585" s="11" t="n">
        <v>45219</v>
      </c>
      <c r="G585" s="12" t="n">
        <v>0.691538738425926</v>
      </c>
      <c r="H585" s="10" t="s">
        <v>29</v>
      </c>
      <c r="I585" s="13" t="n">
        <v>36</v>
      </c>
      <c r="J585" s="13" t="n">
        <v>126.67</v>
      </c>
      <c r="K585" s="13" t="n">
        <v>4560.12</v>
      </c>
      <c r="L585" s="10" t="s">
        <v>1885</v>
      </c>
      <c r="M585" s="10" t="s">
        <v>1886</v>
      </c>
      <c r="N585" s="10" t="s">
        <v>1887</v>
      </c>
      <c r="O585" s="10" t="s">
        <v>23</v>
      </c>
      <c r="P585" s="10" t="s">
        <v>24</v>
      </c>
    </row>
    <row r="586" customFormat="false" ht="15.75" hidden="false" customHeight="false" outlineLevel="0" collapsed="false">
      <c r="A586" s="10" t="s">
        <v>16</v>
      </c>
      <c r="B586" s="10" t="s">
        <v>1888</v>
      </c>
      <c r="C586" s="10" t="s">
        <v>1889</v>
      </c>
      <c r="D586" s="10" t="s">
        <v>1827</v>
      </c>
      <c r="E586" s="10" t="s">
        <v>568</v>
      </c>
      <c r="F586" s="11" t="n">
        <v>45220</v>
      </c>
      <c r="G586" s="12" t="n">
        <v>0.853426724537037</v>
      </c>
      <c r="H586" s="10" t="s">
        <v>37</v>
      </c>
      <c r="I586" s="13" t="n">
        <v>1</v>
      </c>
      <c r="J586" s="13" t="n">
        <v>1230</v>
      </c>
      <c r="K586" s="13" t="n">
        <v>1230</v>
      </c>
      <c r="L586" s="10" t="s">
        <v>1890</v>
      </c>
      <c r="M586" s="10" t="s">
        <v>1891</v>
      </c>
      <c r="N586" s="10"/>
      <c r="O586" s="10" t="s">
        <v>23</v>
      </c>
      <c r="P586" s="10" t="s">
        <v>24</v>
      </c>
    </row>
    <row r="587" customFormat="false" ht="15.75" hidden="false" customHeight="false" outlineLevel="0" collapsed="false">
      <c r="A587" s="10" t="s">
        <v>16</v>
      </c>
      <c r="B587" s="10" t="s">
        <v>366</v>
      </c>
      <c r="C587" s="10" t="s">
        <v>367</v>
      </c>
      <c r="D587" s="10" t="s">
        <v>142</v>
      </c>
      <c r="E587" s="10" t="s">
        <v>28</v>
      </c>
      <c r="F587" s="11" t="n">
        <v>45220</v>
      </c>
      <c r="G587" s="12" t="n">
        <v>0.819898518518519</v>
      </c>
      <c r="H587" s="10" t="s">
        <v>37</v>
      </c>
      <c r="I587" s="13" t="n">
        <v>1</v>
      </c>
      <c r="J587" s="13" t="n">
        <v>773.13</v>
      </c>
      <c r="K587" s="13" t="n">
        <v>773.13</v>
      </c>
      <c r="L587" s="10" t="s">
        <v>1892</v>
      </c>
      <c r="M587" s="10" t="s">
        <v>1893</v>
      </c>
      <c r="N587" s="10"/>
      <c r="O587" s="10" t="s">
        <v>23</v>
      </c>
      <c r="P587" s="10" t="s">
        <v>24</v>
      </c>
    </row>
    <row r="588" customFormat="false" ht="15.75" hidden="false" customHeight="false" outlineLevel="0" collapsed="false">
      <c r="A588" s="10" t="s">
        <v>16</v>
      </c>
      <c r="B588" s="10" t="s">
        <v>140</v>
      </c>
      <c r="C588" s="10" t="s">
        <v>141</v>
      </c>
      <c r="D588" s="10" t="s">
        <v>142</v>
      </c>
      <c r="E588" s="10" t="s">
        <v>28</v>
      </c>
      <c r="F588" s="11" t="n">
        <v>45220</v>
      </c>
      <c r="G588" s="12" t="n">
        <v>0.818915717592593</v>
      </c>
      <c r="H588" s="10" t="s">
        <v>37</v>
      </c>
      <c r="I588" s="13" t="n">
        <v>2</v>
      </c>
      <c r="J588" s="13" t="n">
        <v>914.68</v>
      </c>
      <c r="K588" s="13" t="n">
        <v>1829.36</v>
      </c>
      <c r="L588" s="10" t="s">
        <v>1894</v>
      </c>
      <c r="M588" s="10" t="s">
        <v>1895</v>
      </c>
      <c r="N588" s="10"/>
      <c r="O588" s="10" t="s">
        <v>23</v>
      </c>
      <c r="P588" s="10" t="s">
        <v>24</v>
      </c>
    </row>
    <row r="589" customFormat="false" ht="15.75" hidden="false" customHeight="false" outlineLevel="0" collapsed="false">
      <c r="A589" s="10" t="s">
        <v>16</v>
      </c>
      <c r="B589" s="10" t="s">
        <v>1896</v>
      </c>
      <c r="C589" s="10" t="s">
        <v>1897</v>
      </c>
      <c r="D589" s="10" t="s">
        <v>70</v>
      </c>
      <c r="E589" s="10" t="s">
        <v>71</v>
      </c>
      <c r="F589" s="11" t="n">
        <v>45221</v>
      </c>
      <c r="G589" s="12" t="n">
        <v>0.660227222222222</v>
      </c>
      <c r="H589" s="10" t="s">
        <v>37</v>
      </c>
      <c r="I589" s="13" t="n">
        <v>1</v>
      </c>
      <c r="J589" s="13" t="n">
        <v>429</v>
      </c>
      <c r="K589" s="13" t="n">
        <v>429</v>
      </c>
      <c r="L589" s="10" t="s">
        <v>1898</v>
      </c>
      <c r="M589" s="10" t="s">
        <v>1899</v>
      </c>
      <c r="N589" s="10"/>
      <c r="O589" s="10" t="s">
        <v>61</v>
      </c>
      <c r="P589" s="10" t="s">
        <v>62</v>
      </c>
    </row>
    <row r="590" customFormat="false" ht="15.75" hidden="false" customHeight="false" outlineLevel="0" collapsed="false">
      <c r="A590" s="10" t="s">
        <v>16</v>
      </c>
      <c r="B590" s="10" t="s">
        <v>1140</v>
      </c>
      <c r="C590" s="10" t="s">
        <v>1141</v>
      </c>
      <c r="D590" s="10" t="s">
        <v>1142</v>
      </c>
      <c r="E590" s="10" t="s">
        <v>28</v>
      </c>
      <c r="F590" s="11" t="n">
        <v>45222</v>
      </c>
      <c r="G590" s="12" t="n">
        <v>0.817083680555556</v>
      </c>
      <c r="H590" s="10" t="s">
        <v>37</v>
      </c>
      <c r="I590" s="13" t="n">
        <v>1</v>
      </c>
      <c r="J590" s="13" t="n">
        <v>595</v>
      </c>
      <c r="K590" s="13" t="n">
        <v>595</v>
      </c>
      <c r="L590" s="10" t="s">
        <v>1900</v>
      </c>
      <c r="M590" s="10" t="s">
        <v>1901</v>
      </c>
      <c r="N590" s="10"/>
      <c r="O590" s="10" t="s">
        <v>23</v>
      </c>
      <c r="P590" s="10" t="s">
        <v>24</v>
      </c>
    </row>
    <row r="591" customFormat="false" ht="15.75" hidden="false" customHeight="false" outlineLevel="0" collapsed="false">
      <c r="A591" s="10" t="s">
        <v>16</v>
      </c>
      <c r="B591" s="10" t="s">
        <v>366</v>
      </c>
      <c r="C591" s="10" t="s">
        <v>367</v>
      </c>
      <c r="D591" s="10" t="s">
        <v>142</v>
      </c>
      <c r="E591" s="10" t="s">
        <v>28</v>
      </c>
      <c r="F591" s="11" t="n">
        <v>45222</v>
      </c>
      <c r="G591" s="12" t="n">
        <v>0.816653773148148</v>
      </c>
      <c r="H591" s="10" t="s">
        <v>37</v>
      </c>
      <c r="I591" s="13" t="n">
        <v>2</v>
      </c>
      <c r="J591" s="13" t="n">
        <v>773.13</v>
      </c>
      <c r="K591" s="13" t="n">
        <v>1546.26</v>
      </c>
      <c r="L591" s="10" t="s">
        <v>1902</v>
      </c>
      <c r="M591" s="10" t="s">
        <v>1903</v>
      </c>
      <c r="N591" s="10"/>
      <c r="O591" s="10" t="s">
        <v>23</v>
      </c>
      <c r="P591" s="10" t="s">
        <v>24</v>
      </c>
    </row>
    <row r="592" customFormat="false" ht="15.75" hidden="false" customHeight="false" outlineLevel="0" collapsed="false">
      <c r="A592" s="10" t="s">
        <v>16</v>
      </c>
      <c r="B592" s="10" t="s">
        <v>1904</v>
      </c>
      <c r="C592" s="10" t="s">
        <v>1905</v>
      </c>
      <c r="D592" s="10" t="s">
        <v>895</v>
      </c>
      <c r="E592" s="10" t="s">
        <v>66</v>
      </c>
      <c r="F592" s="11" t="n">
        <v>45222</v>
      </c>
      <c r="G592" s="12" t="n">
        <v>0.6400415625</v>
      </c>
      <c r="H592" s="10" t="s">
        <v>29</v>
      </c>
      <c r="I592" s="13" t="n">
        <v>4</v>
      </c>
      <c r="J592" s="13" t="n">
        <v>200.8</v>
      </c>
      <c r="K592" s="13" t="n">
        <v>803.2</v>
      </c>
      <c r="L592" s="10" t="s">
        <v>1906</v>
      </c>
      <c r="M592" s="10" t="s">
        <v>1907</v>
      </c>
      <c r="N592" s="10" t="s">
        <v>1908</v>
      </c>
      <c r="O592" s="10" t="s">
        <v>61</v>
      </c>
      <c r="P592" s="10" t="s">
        <v>62</v>
      </c>
    </row>
    <row r="593" customFormat="false" ht="15.75" hidden="false" customHeight="false" outlineLevel="0" collapsed="false">
      <c r="A593" s="10" t="s">
        <v>16</v>
      </c>
      <c r="B593" s="10" t="s">
        <v>342</v>
      </c>
      <c r="C593" s="10" t="s">
        <v>343</v>
      </c>
      <c r="D593" s="10" t="s">
        <v>230</v>
      </c>
      <c r="E593" s="10" t="s">
        <v>231</v>
      </c>
      <c r="F593" s="11" t="n">
        <v>45223</v>
      </c>
      <c r="G593" s="12" t="n">
        <v>0.895912766203704</v>
      </c>
      <c r="H593" s="10" t="s">
        <v>37</v>
      </c>
      <c r="I593" s="13" t="n">
        <v>1</v>
      </c>
      <c r="J593" s="13" t="n">
        <v>188.49</v>
      </c>
      <c r="K593" s="13" t="n">
        <v>188.49</v>
      </c>
      <c r="L593" s="10" t="s">
        <v>1909</v>
      </c>
      <c r="M593" s="10" t="s">
        <v>1910</v>
      </c>
      <c r="N593" s="10"/>
      <c r="O593" s="10" t="s">
        <v>23</v>
      </c>
      <c r="P593" s="10" t="s">
        <v>24</v>
      </c>
    </row>
    <row r="594" customFormat="false" ht="15.75" hidden="false" customHeight="false" outlineLevel="0" collapsed="false">
      <c r="A594" s="10" t="s">
        <v>16</v>
      </c>
      <c r="B594" s="10" t="s">
        <v>402</v>
      </c>
      <c r="C594" s="10" t="s">
        <v>403</v>
      </c>
      <c r="D594" s="10" t="s">
        <v>230</v>
      </c>
      <c r="E594" s="10" t="s">
        <v>231</v>
      </c>
      <c r="F594" s="11" t="n">
        <v>45223</v>
      </c>
      <c r="G594" s="12" t="n">
        <v>0.894786099537037</v>
      </c>
      <c r="H594" s="10" t="s">
        <v>37</v>
      </c>
      <c r="I594" s="13" t="n">
        <v>1</v>
      </c>
      <c r="J594" s="13" t="n">
        <v>987.91</v>
      </c>
      <c r="K594" s="13" t="n">
        <v>987.91</v>
      </c>
      <c r="L594" s="10" t="s">
        <v>1911</v>
      </c>
      <c r="M594" s="10" t="s">
        <v>1912</v>
      </c>
      <c r="N594" s="10"/>
      <c r="O594" s="10" t="s">
        <v>23</v>
      </c>
      <c r="P594" s="10" t="s">
        <v>24</v>
      </c>
    </row>
    <row r="595" customFormat="false" ht="15.75" hidden="false" customHeight="false" outlineLevel="0" collapsed="false">
      <c r="A595" s="10" t="s">
        <v>16</v>
      </c>
      <c r="B595" s="10" t="s">
        <v>522</v>
      </c>
      <c r="C595" s="10" t="s">
        <v>523</v>
      </c>
      <c r="D595" s="10" t="s">
        <v>27</v>
      </c>
      <c r="E595" s="10" t="s">
        <v>28</v>
      </c>
      <c r="F595" s="11" t="n">
        <v>45223</v>
      </c>
      <c r="G595" s="12" t="n">
        <v>0.835646319444444</v>
      </c>
      <c r="H595" s="10" t="s">
        <v>37</v>
      </c>
      <c r="I595" s="13" t="n">
        <v>1</v>
      </c>
      <c r="J595" s="13" t="n">
        <v>779</v>
      </c>
      <c r="K595" s="13" t="n">
        <v>779</v>
      </c>
      <c r="L595" s="10" t="s">
        <v>1913</v>
      </c>
      <c r="M595" s="10" t="s">
        <v>1914</v>
      </c>
      <c r="N595" s="10"/>
      <c r="O595" s="10" t="s">
        <v>23</v>
      </c>
      <c r="P595" s="10" t="s">
        <v>24</v>
      </c>
    </row>
    <row r="596" customFormat="false" ht="15.75" hidden="false" customHeight="false" outlineLevel="0" collapsed="false">
      <c r="A596" s="10" t="s">
        <v>16</v>
      </c>
      <c r="B596" s="10" t="s">
        <v>1171</v>
      </c>
      <c r="C596" s="10" t="s">
        <v>1172</v>
      </c>
      <c r="D596" s="10" t="s">
        <v>1173</v>
      </c>
      <c r="E596" s="10" t="s">
        <v>90</v>
      </c>
      <c r="F596" s="11" t="n">
        <v>45223</v>
      </c>
      <c r="G596" s="12" t="n">
        <v>0.794591273148148</v>
      </c>
      <c r="H596" s="10" t="s">
        <v>37</v>
      </c>
      <c r="I596" s="13" t="n">
        <v>3</v>
      </c>
      <c r="J596" s="13" t="n">
        <v>2095</v>
      </c>
      <c r="K596" s="13" t="n">
        <v>6285</v>
      </c>
      <c r="L596" s="10" t="s">
        <v>1915</v>
      </c>
      <c r="M596" s="10" t="s">
        <v>1916</v>
      </c>
      <c r="N596" s="10"/>
      <c r="O596" s="10" t="s">
        <v>23</v>
      </c>
      <c r="P596" s="10" t="s">
        <v>24</v>
      </c>
    </row>
    <row r="597" customFormat="false" ht="15.75" hidden="false" customHeight="false" outlineLevel="0" collapsed="false">
      <c r="A597" s="10" t="s">
        <v>16</v>
      </c>
      <c r="B597" s="10" t="s">
        <v>1166</v>
      </c>
      <c r="C597" s="10" t="s">
        <v>1167</v>
      </c>
      <c r="D597" s="10" t="s">
        <v>1168</v>
      </c>
      <c r="E597" s="10" t="s">
        <v>90</v>
      </c>
      <c r="F597" s="11" t="n">
        <v>45223</v>
      </c>
      <c r="G597" s="12" t="n">
        <v>0.592695335648148</v>
      </c>
      <c r="H597" s="10" t="s">
        <v>37</v>
      </c>
      <c r="I597" s="13" t="n">
        <v>8</v>
      </c>
      <c r="J597" s="13" t="n">
        <v>1355</v>
      </c>
      <c r="K597" s="13" t="n">
        <v>10840</v>
      </c>
      <c r="L597" s="10" t="s">
        <v>1917</v>
      </c>
      <c r="M597" s="10" t="s">
        <v>1918</v>
      </c>
      <c r="N597" s="10"/>
      <c r="O597" s="10" t="s">
        <v>61</v>
      </c>
      <c r="P597" s="10" t="s">
        <v>62</v>
      </c>
    </row>
    <row r="598" customFormat="false" ht="15.75" hidden="false" customHeight="false" outlineLevel="0" collapsed="false">
      <c r="A598" s="10" t="s">
        <v>16</v>
      </c>
      <c r="B598" s="10" t="s">
        <v>1171</v>
      </c>
      <c r="C598" s="10" t="s">
        <v>1172</v>
      </c>
      <c r="D598" s="10" t="s">
        <v>1173</v>
      </c>
      <c r="E598" s="10" t="s">
        <v>90</v>
      </c>
      <c r="F598" s="11" t="n">
        <v>45223</v>
      </c>
      <c r="G598" s="12" t="n">
        <v>0.591992418981481</v>
      </c>
      <c r="H598" s="10" t="s">
        <v>37</v>
      </c>
      <c r="I598" s="13" t="n">
        <v>8</v>
      </c>
      <c r="J598" s="13" t="n">
        <v>2095</v>
      </c>
      <c r="K598" s="13" t="n">
        <v>16760</v>
      </c>
      <c r="L598" s="10" t="s">
        <v>1919</v>
      </c>
      <c r="M598" s="10" t="s">
        <v>1920</v>
      </c>
      <c r="N598" s="10"/>
      <c r="O598" s="10" t="s">
        <v>61</v>
      </c>
      <c r="P598" s="10" t="s">
        <v>62</v>
      </c>
    </row>
    <row r="599" customFormat="false" ht="15.75" hidden="false" customHeight="false" outlineLevel="0" collapsed="false">
      <c r="A599" s="10" t="s">
        <v>16</v>
      </c>
      <c r="B599" s="10" t="s">
        <v>1921</v>
      </c>
      <c r="C599" s="10" t="s">
        <v>1922</v>
      </c>
      <c r="D599" s="10" t="s">
        <v>1173</v>
      </c>
      <c r="E599" s="10" t="s">
        <v>90</v>
      </c>
      <c r="F599" s="11" t="n">
        <v>45223</v>
      </c>
      <c r="G599" s="12" t="n">
        <v>0.591509756944444</v>
      </c>
      <c r="H599" s="10" t="s">
        <v>37</v>
      </c>
      <c r="I599" s="13" t="n">
        <v>27</v>
      </c>
      <c r="J599" s="13" t="n">
        <v>1395</v>
      </c>
      <c r="K599" s="13" t="n">
        <v>37665</v>
      </c>
      <c r="L599" s="10" t="s">
        <v>1923</v>
      </c>
      <c r="M599" s="10" t="s">
        <v>1924</v>
      </c>
      <c r="N599" s="10"/>
      <c r="O599" s="10" t="s">
        <v>61</v>
      </c>
      <c r="P599" s="10" t="s">
        <v>62</v>
      </c>
    </row>
    <row r="600" customFormat="false" ht="15.75" hidden="false" customHeight="false" outlineLevel="0" collapsed="false">
      <c r="A600" s="10" t="s">
        <v>16</v>
      </c>
      <c r="B600" s="10" t="s">
        <v>1925</v>
      </c>
      <c r="C600" s="10" t="s">
        <v>1926</v>
      </c>
      <c r="D600" s="10" t="s">
        <v>819</v>
      </c>
      <c r="E600" s="10" t="s">
        <v>90</v>
      </c>
      <c r="F600" s="11" t="n">
        <v>45223</v>
      </c>
      <c r="G600" s="12" t="n">
        <v>0.376645694444444</v>
      </c>
      <c r="H600" s="10" t="s">
        <v>37</v>
      </c>
      <c r="I600" s="13" t="n">
        <v>2</v>
      </c>
      <c r="J600" s="13" t="n">
        <v>1400</v>
      </c>
      <c r="K600" s="13" t="n">
        <v>2800</v>
      </c>
      <c r="L600" s="10" t="s">
        <v>1927</v>
      </c>
      <c r="M600" s="10" t="s">
        <v>1928</v>
      </c>
      <c r="N600" s="10"/>
      <c r="O600" s="10" t="s">
        <v>61</v>
      </c>
      <c r="P600" s="10" t="s">
        <v>62</v>
      </c>
    </row>
    <row r="601" customFormat="false" ht="15.75" hidden="false" customHeight="false" outlineLevel="0" collapsed="false">
      <c r="A601" s="10" t="s">
        <v>16</v>
      </c>
      <c r="B601" s="10" t="s">
        <v>817</v>
      </c>
      <c r="C601" s="10" t="s">
        <v>818</v>
      </c>
      <c r="D601" s="10" t="s">
        <v>819</v>
      </c>
      <c r="E601" s="10" t="s">
        <v>90</v>
      </c>
      <c r="F601" s="11" t="n">
        <v>45223</v>
      </c>
      <c r="G601" s="12" t="n">
        <v>0.376194166666667</v>
      </c>
      <c r="H601" s="10" t="s">
        <v>37</v>
      </c>
      <c r="I601" s="13" t="n">
        <v>1</v>
      </c>
      <c r="J601" s="13" t="n">
        <v>2100</v>
      </c>
      <c r="K601" s="13" t="n">
        <v>2100</v>
      </c>
      <c r="L601" s="10" t="s">
        <v>1929</v>
      </c>
      <c r="M601" s="10" t="s">
        <v>1930</v>
      </c>
      <c r="N601" s="10"/>
      <c r="O601" s="10" t="s">
        <v>61</v>
      </c>
      <c r="P601" s="10" t="s">
        <v>62</v>
      </c>
    </row>
    <row r="602" customFormat="false" ht="15.75" hidden="false" customHeight="false" outlineLevel="0" collapsed="false">
      <c r="A602" s="10" t="s">
        <v>16</v>
      </c>
      <c r="B602" s="10" t="s">
        <v>238</v>
      </c>
      <c r="C602" s="10" t="s">
        <v>239</v>
      </c>
      <c r="D602" s="10" t="s">
        <v>95</v>
      </c>
      <c r="E602" s="10" t="s">
        <v>96</v>
      </c>
      <c r="F602" s="11" t="n">
        <v>45224</v>
      </c>
      <c r="G602" s="12" t="n">
        <v>0.914343032407407</v>
      </c>
      <c r="H602" s="10" t="s">
        <v>37</v>
      </c>
      <c r="I602" s="13" t="n">
        <v>1</v>
      </c>
      <c r="J602" s="13" t="n">
        <v>55.38</v>
      </c>
      <c r="K602" s="13" t="n">
        <v>55.38</v>
      </c>
      <c r="L602" s="10" t="s">
        <v>1931</v>
      </c>
      <c r="M602" s="10" t="s">
        <v>1932</v>
      </c>
      <c r="N602" s="10"/>
      <c r="O602" s="10" t="s">
        <v>23</v>
      </c>
      <c r="P602" s="10" t="s">
        <v>24</v>
      </c>
    </row>
    <row r="603" customFormat="false" ht="15.75" hidden="false" customHeight="false" outlineLevel="0" collapsed="false">
      <c r="A603" s="10" t="s">
        <v>16</v>
      </c>
      <c r="B603" s="10" t="s">
        <v>867</v>
      </c>
      <c r="C603" s="10" t="s">
        <v>868</v>
      </c>
      <c r="D603" s="10" t="s">
        <v>633</v>
      </c>
      <c r="E603" s="10" t="s">
        <v>208</v>
      </c>
      <c r="F603" s="11" t="n">
        <v>45224</v>
      </c>
      <c r="G603" s="12" t="n">
        <v>0.913255833333333</v>
      </c>
      <c r="H603" s="10" t="s">
        <v>37</v>
      </c>
      <c r="I603" s="13" t="n">
        <v>1</v>
      </c>
      <c r="J603" s="13" t="n">
        <v>135</v>
      </c>
      <c r="K603" s="13" t="n">
        <v>135</v>
      </c>
      <c r="L603" s="10" t="s">
        <v>1933</v>
      </c>
      <c r="M603" s="10" t="s">
        <v>1934</v>
      </c>
      <c r="N603" s="10"/>
      <c r="O603" s="10" t="s">
        <v>23</v>
      </c>
      <c r="P603" s="10" t="s">
        <v>24</v>
      </c>
    </row>
    <row r="604" customFormat="false" ht="15.75" hidden="false" customHeight="false" outlineLevel="0" collapsed="false">
      <c r="A604" s="10" t="s">
        <v>16</v>
      </c>
      <c r="B604" s="10" t="s">
        <v>1935</v>
      </c>
      <c r="C604" s="10" t="s">
        <v>1936</v>
      </c>
      <c r="D604" s="10" t="s">
        <v>101</v>
      </c>
      <c r="E604" s="10" t="s">
        <v>96</v>
      </c>
      <c r="F604" s="11" t="n">
        <v>45226</v>
      </c>
      <c r="G604" s="12" t="n">
        <v>0.746314398148148</v>
      </c>
      <c r="H604" s="10" t="s">
        <v>37</v>
      </c>
      <c r="I604" s="13" t="n">
        <v>1</v>
      </c>
      <c r="J604" s="13" t="n">
        <v>275</v>
      </c>
      <c r="K604" s="13" t="n">
        <v>275</v>
      </c>
      <c r="L604" s="10" t="s">
        <v>1937</v>
      </c>
      <c r="M604" s="10" t="s">
        <v>1938</v>
      </c>
      <c r="N604" s="10"/>
      <c r="O604" s="10" t="s">
        <v>23</v>
      </c>
      <c r="P604" s="10" t="s">
        <v>24</v>
      </c>
    </row>
    <row r="605" customFormat="false" ht="15.75" hidden="false" customHeight="false" outlineLevel="0" collapsed="false">
      <c r="A605" s="10" t="s">
        <v>16</v>
      </c>
      <c r="B605" s="10" t="s">
        <v>941</v>
      </c>
      <c r="C605" s="10" t="s">
        <v>942</v>
      </c>
      <c r="D605" s="10" t="s">
        <v>652</v>
      </c>
      <c r="E605" s="10" t="s">
        <v>28</v>
      </c>
      <c r="F605" s="11" t="n">
        <v>45226</v>
      </c>
      <c r="G605" s="12" t="n">
        <v>0.665806875</v>
      </c>
      <c r="H605" s="10" t="s">
        <v>37</v>
      </c>
      <c r="I605" s="13" t="n">
        <v>1</v>
      </c>
      <c r="J605" s="13" t="n">
        <v>870</v>
      </c>
      <c r="K605" s="13" t="n">
        <v>870</v>
      </c>
      <c r="L605" s="10" t="s">
        <v>1939</v>
      </c>
      <c r="M605" s="10" t="s">
        <v>1940</v>
      </c>
      <c r="N605" s="10"/>
      <c r="O605" s="10" t="s">
        <v>23</v>
      </c>
      <c r="P605" s="10" t="s">
        <v>24</v>
      </c>
    </row>
    <row r="606" customFormat="false" ht="15.75" hidden="false" customHeight="false" outlineLevel="0" collapsed="false">
      <c r="A606" s="10" t="s">
        <v>16</v>
      </c>
      <c r="B606" s="10" t="s">
        <v>140</v>
      </c>
      <c r="C606" s="10" t="s">
        <v>141</v>
      </c>
      <c r="D606" s="10" t="s">
        <v>142</v>
      </c>
      <c r="E606" s="10" t="s">
        <v>28</v>
      </c>
      <c r="F606" s="11" t="n">
        <v>45226</v>
      </c>
      <c r="G606" s="12" t="n">
        <v>0.664890393518519</v>
      </c>
      <c r="H606" s="10" t="s">
        <v>37</v>
      </c>
      <c r="I606" s="13" t="n">
        <v>1</v>
      </c>
      <c r="J606" s="13" t="n">
        <v>914.68</v>
      </c>
      <c r="K606" s="13" t="n">
        <v>914.68</v>
      </c>
      <c r="L606" s="10" t="s">
        <v>1941</v>
      </c>
      <c r="M606" s="10" t="s">
        <v>1942</v>
      </c>
      <c r="N606" s="10"/>
      <c r="O606" s="10" t="s">
        <v>23</v>
      </c>
      <c r="P606" s="10" t="s">
        <v>24</v>
      </c>
    </row>
    <row r="607" customFormat="false" ht="15.75" hidden="false" customHeight="false" outlineLevel="0" collapsed="false">
      <c r="A607" s="10" t="s">
        <v>16</v>
      </c>
      <c r="B607" s="10" t="s">
        <v>606</v>
      </c>
      <c r="C607" s="10" t="s">
        <v>607</v>
      </c>
      <c r="D607" s="10" t="s">
        <v>487</v>
      </c>
      <c r="E607" s="10" t="s">
        <v>20</v>
      </c>
      <c r="F607" s="11" t="n">
        <v>45227</v>
      </c>
      <c r="G607" s="12" t="n">
        <v>0.954527199074074</v>
      </c>
      <c r="H607" s="10" t="s">
        <v>37</v>
      </c>
      <c r="I607" s="13" t="n">
        <v>1</v>
      </c>
      <c r="J607" s="13" t="n">
        <v>1050</v>
      </c>
      <c r="K607" s="13" t="n">
        <v>1050</v>
      </c>
      <c r="L607" s="10" t="s">
        <v>1943</v>
      </c>
      <c r="M607" s="10" t="s">
        <v>1944</v>
      </c>
      <c r="N607" s="10"/>
      <c r="O607" s="10" t="s">
        <v>23</v>
      </c>
      <c r="P607" s="10" t="s">
        <v>24</v>
      </c>
    </row>
    <row r="608" customFormat="false" ht="15.75" hidden="false" customHeight="false" outlineLevel="0" collapsed="false">
      <c r="A608" s="10" t="s">
        <v>16</v>
      </c>
      <c r="B608" s="10" t="s">
        <v>1945</v>
      </c>
      <c r="C608" s="10" t="s">
        <v>1946</v>
      </c>
      <c r="D608" s="10" t="s">
        <v>308</v>
      </c>
      <c r="E608" s="10" t="s">
        <v>96</v>
      </c>
      <c r="F608" s="11" t="n">
        <v>45227</v>
      </c>
      <c r="G608" s="12" t="n">
        <v>0.928074664351852</v>
      </c>
      <c r="H608" s="10" t="s">
        <v>37</v>
      </c>
      <c r="I608" s="13" t="n">
        <v>1</v>
      </c>
      <c r="J608" s="13" t="n">
        <v>89.1</v>
      </c>
      <c r="K608" s="13" t="n">
        <v>89.1</v>
      </c>
      <c r="L608" s="10" t="s">
        <v>1947</v>
      </c>
      <c r="M608" s="10" t="s">
        <v>1948</v>
      </c>
      <c r="N608" s="10"/>
      <c r="O608" s="10" t="s">
        <v>23</v>
      </c>
      <c r="P608" s="10" t="s">
        <v>24</v>
      </c>
    </row>
    <row r="609" customFormat="false" ht="15.75" hidden="false" customHeight="false" outlineLevel="0" collapsed="false">
      <c r="A609" s="10" t="s">
        <v>16</v>
      </c>
      <c r="B609" s="10" t="s">
        <v>1949</v>
      </c>
      <c r="C609" s="10" t="s">
        <v>1950</v>
      </c>
      <c r="D609" s="10" t="s">
        <v>573</v>
      </c>
      <c r="E609" s="10" t="s">
        <v>36</v>
      </c>
      <c r="F609" s="11" t="n">
        <v>45227</v>
      </c>
      <c r="G609" s="12" t="n">
        <v>0.901526284722222</v>
      </c>
      <c r="H609" s="10" t="s">
        <v>37</v>
      </c>
      <c r="I609" s="13" t="n">
        <v>1</v>
      </c>
      <c r="J609" s="13" t="n">
        <v>500</v>
      </c>
      <c r="K609" s="13" t="n">
        <v>500</v>
      </c>
      <c r="L609" s="10" t="s">
        <v>1951</v>
      </c>
      <c r="M609" s="10" t="s">
        <v>1952</v>
      </c>
      <c r="N609" s="10"/>
      <c r="O609" s="10" t="s">
        <v>23</v>
      </c>
      <c r="P609" s="10" t="s">
        <v>24</v>
      </c>
    </row>
    <row r="610" customFormat="false" ht="15.75" hidden="false" customHeight="false" outlineLevel="0" collapsed="false">
      <c r="A610" s="10" t="s">
        <v>16</v>
      </c>
      <c r="B610" s="10" t="s">
        <v>571</v>
      </c>
      <c r="C610" s="10" t="s">
        <v>572</v>
      </c>
      <c r="D610" s="10" t="s">
        <v>573</v>
      </c>
      <c r="E610" s="10" t="s">
        <v>36</v>
      </c>
      <c r="F610" s="11" t="n">
        <v>45227</v>
      </c>
      <c r="G610" s="12" t="n">
        <v>0.880528368055555</v>
      </c>
      <c r="H610" s="10" t="s">
        <v>37</v>
      </c>
      <c r="I610" s="13" t="n">
        <v>1</v>
      </c>
      <c r="J610" s="13" t="n">
        <v>500</v>
      </c>
      <c r="K610" s="13" t="n">
        <v>500</v>
      </c>
      <c r="L610" s="10" t="s">
        <v>1953</v>
      </c>
      <c r="M610" s="10" t="s">
        <v>1954</v>
      </c>
      <c r="N610" s="10"/>
      <c r="O610" s="10" t="s">
        <v>23</v>
      </c>
      <c r="P610" s="10" t="s">
        <v>24</v>
      </c>
    </row>
    <row r="611" customFormat="false" ht="15.75" hidden="false" customHeight="false" outlineLevel="0" collapsed="false">
      <c r="A611" s="10" t="s">
        <v>16</v>
      </c>
      <c r="B611" s="10" t="s">
        <v>1255</v>
      </c>
      <c r="C611" s="10" t="s">
        <v>1256</v>
      </c>
      <c r="D611" s="10" t="s">
        <v>779</v>
      </c>
      <c r="E611" s="10" t="s">
        <v>28</v>
      </c>
      <c r="F611" s="11" t="n">
        <v>45227</v>
      </c>
      <c r="G611" s="12" t="n">
        <v>0.879078599537037</v>
      </c>
      <c r="H611" s="10" t="s">
        <v>37</v>
      </c>
      <c r="I611" s="13" t="n">
        <v>1</v>
      </c>
      <c r="J611" s="13" t="n">
        <v>980</v>
      </c>
      <c r="K611" s="13" t="n">
        <v>980</v>
      </c>
      <c r="L611" s="10" t="s">
        <v>1955</v>
      </c>
      <c r="M611" s="10" t="s">
        <v>1956</v>
      </c>
      <c r="N611" s="10"/>
      <c r="O611" s="10" t="s">
        <v>23</v>
      </c>
      <c r="P611" s="10" t="s">
        <v>24</v>
      </c>
    </row>
    <row r="612" customFormat="false" ht="15.75" hidden="false" customHeight="false" outlineLevel="0" collapsed="false">
      <c r="A612" s="10" t="s">
        <v>16</v>
      </c>
      <c r="B612" s="10" t="s">
        <v>286</v>
      </c>
      <c r="C612" s="10" t="s">
        <v>287</v>
      </c>
      <c r="D612" s="10" t="s">
        <v>19</v>
      </c>
      <c r="E612" s="10" t="s">
        <v>20</v>
      </c>
      <c r="F612" s="11" t="n">
        <v>45227</v>
      </c>
      <c r="G612" s="12" t="n">
        <v>0.687252534722222</v>
      </c>
      <c r="H612" s="10" t="s">
        <v>37</v>
      </c>
      <c r="I612" s="13" t="n">
        <v>1</v>
      </c>
      <c r="J612" s="13" t="n">
        <v>3006</v>
      </c>
      <c r="K612" s="13" t="n">
        <v>3006</v>
      </c>
      <c r="L612" s="10" t="s">
        <v>1957</v>
      </c>
      <c r="M612" s="10" t="s">
        <v>1958</v>
      </c>
      <c r="N612" s="10"/>
      <c r="O612" s="10" t="s">
        <v>61</v>
      </c>
      <c r="P612" s="10" t="s">
        <v>62</v>
      </c>
    </row>
    <row r="613" customFormat="false" ht="15.75" hidden="false" customHeight="false" outlineLevel="0" collapsed="false">
      <c r="A613" s="10" t="s">
        <v>16</v>
      </c>
      <c r="B613" s="10" t="s">
        <v>1959</v>
      </c>
      <c r="C613" s="10" t="s">
        <v>1960</v>
      </c>
      <c r="D613" s="10" t="s">
        <v>622</v>
      </c>
      <c r="E613" s="10" t="s">
        <v>20</v>
      </c>
      <c r="F613" s="11" t="n">
        <v>45227</v>
      </c>
      <c r="G613" s="12" t="n">
        <v>0.686852673611111</v>
      </c>
      <c r="H613" s="10" t="s">
        <v>37</v>
      </c>
      <c r="I613" s="13" t="n">
        <v>3</v>
      </c>
      <c r="J613" s="13" t="n">
        <v>2785</v>
      </c>
      <c r="K613" s="13" t="n">
        <v>8355</v>
      </c>
      <c r="L613" s="10" t="s">
        <v>1961</v>
      </c>
      <c r="M613" s="10" t="s">
        <v>1962</v>
      </c>
      <c r="N613" s="10"/>
      <c r="O613" s="10" t="s">
        <v>61</v>
      </c>
      <c r="P613" s="10" t="s">
        <v>62</v>
      </c>
    </row>
    <row r="614" customFormat="false" ht="15.75" hidden="false" customHeight="false" outlineLevel="0" collapsed="false">
      <c r="A614" s="10" t="s">
        <v>16</v>
      </c>
      <c r="B614" s="10" t="s">
        <v>1963</v>
      </c>
      <c r="C614" s="10" t="s">
        <v>1964</v>
      </c>
      <c r="D614" s="10" t="s">
        <v>74</v>
      </c>
      <c r="E614" s="10" t="s">
        <v>66</v>
      </c>
      <c r="F614" s="11" t="n">
        <v>45228</v>
      </c>
      <c r="G614" s="12" t="n">
        <v>0.968478900462963</v>
      </c>
      <c r="H614" s="10" t="s">
        <v>21</v>
      </c>
      <c r="I614" s="13" t="n">
        <v>1</v>
      </c>
      <c r="J614" s="13" t="n">
        <v>250.1</v>
      </c>
      <c r="K614" s="13" t="n">
        <v>250.1</v>
      </c>
      <c r="L614" s="10" t="s">
        <v>1965</v>
      </c>
      <c r="M614" s="10"/>
      <c r="N614" s="10"/>
      <c r="O614" s="10" t="s">
        <v>23</v>
      </c>
      <c r="P614" s="10" t="s">
        <v>24</v>
      </c>
    </row>
    <row r="615" customFormat="false" ht="15.75" hidden="false" customHeight="false" outlineLevel="0" collapsed="false">
      <c r="A615" s="10" t="s">
        <v>16</v>
      </c>
      <c r="B615" s="10" t="s">
        <v>1959</v>
      </c>
      <c r="C615" s="10" t="s">
        <v>1960</v>
      </c>
      <c r="D615" s="10" t="s">
        <v>622</v>
      </c>
      <c r="E615" s="10" t="s">
        <v>20</v>
      </c>
      <c r="F615" s="11" t="n">
        <v>45229</v>
      </c>
      <c r="G615" s="12" t="n">
        <v>0.517525787037037</v>
      </c>
      <c r="H615" s="10" t="s">
        <v>37</v>
      </c>
      <c r="I615" s="13" t="n">
        <v>1</v>
      </c>
      <c r="J615" s="13" t="n">
        <v>2785</v>
      </c>
      <c r="K615" s="13" t="n">
        <v>2785</v>
      </c>
      <c r="L615" s="10" t="s">
        <v>1966</v>
      </c>
      <c r="M615" s="10" t="s">
        <v>1967</v>
      </c>
      <c r="N615" s="10"/>
      <c r="O615" s="10" t="s">
        <v>61</v>
      </c>
      <c r="P615" s="10" t="s">
        <v>62</v>
      </c>
    </row>
    <row r="616" customFormat="false" ht="15.75" hidden="false" customHeight="false" outlineLevel="0" collapsed="false">
      <c r="A616" s="10" t="s">
        <v>16</v>
      </c>
      <c r="B616" s="10" t="s">
        <v>1968</v>
      </c>
      <c r="C616" s="10" t="s">
        <v>1969</v>
      </c>
      <c r="D616" s="10" t="s">
        <v>895</v>
      </c>
      <c r="E616" s="10" t="s">
        <v>66</v>
      </c>
      <c r="F616" s="11" t="n">
        <v>45229</v>
      </c>
      <c r="G616" s="12" t="n">
        <v>0.424557928240741</v>
      </c>
      <c r="H616" s="10" t="s">
        <v>37</v>
      </c>
      <c r="I616" s="13" t="n">
        <v>1</v>
      </c>
      <c r="J616" s="13" t="n">
        <v>184.25</v>
      </c>
      <c r="K616" s="13" t="n">
        <v>184.25</v>
      </c>
      <c r="L616" s="10" t="s">
        <v>1970</v>
      </c>
      <c r="M616" s="10" t="s">
        <v>1971</v>
      </c>
      <c r="N616" s="10"/>
      <c r="O616" s="10" t="s">
        <v>61</v>
      </c>
      <c r="P616" s="10" t="s">
        <v>62</v>
      </c>
    </row>
    <row r="617" customFormat="false" ht="15.75" hidden="false" customHeight="false" outlineLevel="0" collapsed="false">
      <c r="A617" s="10" t="s">
        <v>16</v>
      </c>
      <c r="B617" s="10" t="s">
        <v>941</v>
      </c>
      <c r="C617" s="10" t="s">
        <v>942</v>
      </c>
      <c r="D617" s="10" t="s">
        <v>652</v>
      </c>
      <c r="E617" s="10" t="s">
        <v>28</v>
      </c>
      <c r="F617" s="11" t="n">
        <v>45229</v>
      </c>
      <c r="G617" s="12" t="n">
        <v>0.396179201388889</v>
      </c>
      <c r="H617" s="10" t="s">
        <v>37</v>
      </c>
      <c r="I617" s="13" t="n">
        <v>5</v>
      </c>
      <c r="J617" s="13" t="n">
        <v>870</v>
      </c>
      <c r="K617" s="13" t="n">
        <v>4350</v>
      </c>
      <c r="L617" s="10" t="s">
        <v>1972</v>
      </c>
      <c r="M617" s="10" t="s">
        <v>1973</v>
      </c>
      <c r="N617" s="10"/>
      <c r="O617" s="10" t="s">
        <v>61</v>
      </c>
      <c r="P617" s="10" t="s">
        <v>62</v>
      </c>
    </row>
    <row r="618" customFormat="false" ht="15.75" hidden="false" customHeight="false" outlineLevel="0" collapsed="false">
      <c r="A618" s="10" t="s">
        <v>16</v>
      </c>
      <c r="B618" s="10" t="s">
        <v>409</v>
      </c>
      <c r="C618" s="10" t="s">
        <v>410</v>
      </c>
      <c r="D618" s="10" t="s">
        <v>255</v>
      </c>
      <c r="E618" s="10" t="s">
        <v>71</v>
      </c>
      <c r="F618" s="11" t="n">
        <v>45230</v>
      </c>
      <c r="G618" s="12" t="n">
        <v>0.913786377314815</v>
      </c>
      <c r="H618" s="10" t="s">
        <v>37</v>
      </c>
      <c r="I618" s="13" t="n">
        <v>1</v>
      </c>
      <c r="J618" s="13" t="n">
        <v>72.92</v>
      </c>
      <c r="K618" s="13" t="n">
        <v>72.92</v>
      </c>
      <c r="L618" s="10" t="s">
        <v>1974</v>
      </c>
      <c r="M618" s="10" t="s">
        <v>1975</v>
      </c>
      <c r="N618" s="10"/>
      <c r="O618" s="10" t="s">
        <v>23</v>
      </c>
      <c r="P618" s="10" t="s">
        <v>24</v>
      </c>
    </row>
    <row r="619" customFormat="false" ht="15.75" hidden="false" customHeight="false" outlineLevel="0" collapsed="false">
      <c r="A619" s="10" t="s">
        <v>16</v>
      </c>
      <c r="B619" s="10" t="s">
        <v>941</v>
      </c>
      <c r="C619" s="10" t="s">
        <v>942</v>
      </c>
      <c r="D619" s="10" t="s">
        <v>652</v>
      </c>
      <c r="E619" s="10" t="s">
        <v>28</v>
      </c>
      <c r="F619" s="11" t="n">
        <v>45230</v>
      </c>
      <c r="G619" s="12" t="n">
        <v>0.858822418981482</v>
      </c>
      <c r="H619" s="10" t="s">
        <v>37</v>
      </c>
      <c r="I619" s="13" t="n">
        <v>2</v>
      </c>
      <c r="J619" s="13" t="n">
        <v>870</v>
      </c>
      <c r="K619" s="13" t="n">
        <v>1740</v>
      </c>
      <c r="L619" s="10" t="s">
        <v>1976</v>
      </c>
      <c r="M619" s="10" t="s">
        <v>1977</v>
      </c>
      <c r="N619" s="10"/>
      <c r="O619" s="10" t="s">
        <v>23</v>
      </c>
      <c r="P619" s="10" t="s">
        <v>24</v>
      </c>
    </row>
    <row r="620" customFormat="false" ht="15.75" hidden="false" customHeight="false" outlineLevel="0" collapsed="false">
      <c r="A620" s="10" t="s">
        <v>16</v>
      </c>
      <c r="B620" s="10" t="s">
        <v>745</v>
      </c>
      <c r="C620" s="10" t="s">
        <v>746</v>
      </c>
      <c r="D620" s="10" t="s">
        <v>747</v>
      </c>
      <c r="E620" s="10" t="s">
        <v>90</v>
      </c>
      <c r="F620" s="11" t="n">
        <v>45230</v>
      </c>
      <c r="G620" s="12" t="n">
        <v>0.775145347222222</v>
      </c>
      <c r="H620" s="10" t="s">
        <v>37</v>
      </c>
      <c r="I620" s="13" t="n">
        <v>7</v>
      </c>
      <c r="J620" s="13" t="n">
        <v>828</v>
      </c>
      <c r="K620" s="13" t="n">
        <v>5796</v>
      </c>
      <c r="L620" s="10" t="s">
        <v>1978</v>
      </c>
      <c r="M620" s="10" t="s">
        <v>1979</v>
      </c>
      <c r="N620" s="10"/>
      <c r="O620" s="10" t="s">
        <v>61</v>
      </c>
      <c r="P620" s="10" t="s">
        <v>62</v>
      </c>
    </row>
    <row r="621" customFormat="false" ht="15.75" hidden="false" customHeight="false" outlineLevel="0" collapsed="false">
      <c r="A621" s="10" t="s">
        <v>16</v>
      </c>
      <c r="B621" s="10" t="s">
        <v>1980</v>
      </c>
      <c r="C621" s="10" t="s">
        <v>1981</v>
      </c>
      <c r="D621" s="10" t="s">
        <v>1874</v>
      </c>
      <c r="E621" s="10" t="s">
        <v>28</v>
      </c>
      <c r="F621" s="11" t="n">
        <v>45230</v>
      </c>
      <c r="G621" s="12" t="n">
        <v>0.507252025462963</v>
      </c>
      <c r="H621" s="10" t="s">
        <v>29</v>
      </c>
      <c r="I621" s="13" t="n">
        <v>320</v>
      </c>
      <c r="J621" s="13" t="n">
        <v>463.26</v>
      </c>
      <c r="K621" s="13" t="n">
        <v>148243.2</v>
      </c>
      <c r="L621" s="10" t="s">
        <v>1982</v>
      </c>
      <c r="M621" s="10" t="s">
        <v>1983</v>
      </c>
      <c r="N621" s="10" t="s">
        <v>1984</v>
      </c>
      <c r="O621" s="10" t="s">
        <v>61</v>
      </c>
      <c r="P621" s="10" t="s">
        <v>62</v>
      </c>
    </row>
    <row r="622" customFormat="false" ht="15.75" hidden="false" customHeight="false" outlineLevel="0" collapsed="false">
      <c r="A622" s="10" t="s">
        <v>16</v>
      </c>
      <c r="B622" s="10" t="s">
        <v>1985</v>
      </c>
      <c r="C622" s="10" t="s">
        <v>1986</v>
      </c>
      <c r="D622" s="10" t="s">
        <v>132</v>
      </c>
      <c r="E622" s="10" t="s">
        <v>96</v>
      </c>
      <c r="F622" s="11" t="n">
        <v>45231</v>
      </c>
      <c r="G622" s="12" t="n">
        <v>0.813908518518518</v>
      </c>
      <c r="H622" s="10" t="s">
        <v>37</v>
      </c>
      <c r="I622" s="13" t="n">
        <v>1</v>
      </c>
      <c r="J622" s="13" t="n">
        <v>258</v>
      </c>
      <c r="K622" s="13" t="n">
        <v>258</v>
      </c>
      <c r="L622" s="10" t="s">
        <v>1987</v>
      </c>
      <c r="M622" s="10" t="s">
        <v>1988</v>
      </c>
      <c r="N622" s="10"/>
      <c r="O622" s="10" t="s">
        <v>23</v>
      </c>
      <c r="P622" s="10" t="s">
        <v>24</v>
      </c>
    </row>
    <row r="623" customFormat="false" ht="15.75" hidden="false" customHeight="false" outlineLevel="0" collapsed="false">
      <c r="A623" s="10" t="s">
        <v>16</v>
      </c>
      <c r="B623" s="10" t="s">
        <v>1207</v>
      </c>
      <c r="C623" s="10" t="s">
        <v>1208</v>
      </c>
      <c r="D623" s="10" t="s">
        <v>27</v>
      </c>
      <c r="E623" s="10" t="s">
        <v>28</v>
      </c>
      <c r="F623" s="11" t="n">
        <v>45231</v>
      </c>
      <c r="G623" s="12" t="n">
        <v>0.811136701388889</v>
      </c>
      <c r="H623" s="10" t="s">
        <v>37</v>
      </c>
      <c r="I623" s="13" t="n">
        <v>1</v>
      </c>
      <c r="J623" s="13" t="n">
        <v>508.25</v>
      </c>
      <c r="K623" s="13" t="n">
        <v>508.25</v>
      </c>
      <c r="L623" s="10" t="s">
        <v>1989</v>
      </c>
      <c r="M623" s="10" t="s">
        <v>1990</v>
      </c>
      <c r="N623" s="10"/>
      <c r="O623" s="10" t="s">
        <v>23</v>
      </c>
      <c r="P623" s="10" t="s">
        <v>24</v>
      </c>
    </row>
    <row r="624" customFormat="false" ht="15.75" hidden="false" customHeight="false" outlineLevel="0" collapsed="false">
      <c r="A624" s="10" t="s">
        <v>16</v>
      </c>
      <c r="B624" s="10" t="s">
        <v>1991</v>
      </c>
      <c r="C624" s="10" t="s">
        <v>1992</v>
      </c>
      <c r="D624" s="10" t="s">
        <v>1993</v>
      </c>
      <c r="E624" s="10" t="s">
        <v>1994</v>
      </c>
      <c r="F624" s="11" t="n">
        <v>45231</v>
      </c>
      <c r="G624" s="12" t="n">
        <v>0.808822615740741</v>
      </c>
      <c r="H624" s="10" t="s">
        <v>37</v>
      </c>
      <c r="I624" s="13" t="n">
        <v>7</v>
      </c>
      <c r="J624" s="13" t="n">
        <v>6750</v>
      </c>
      <c r="K624" s="13" t="n">
        <v>47250</v>
      </c>
      <c r="L624" s="10" t="s">
        <v>1995</v>
      </c>
      <c r="M624" s="10" t="s">
        <v>1996</v>
      </c>
      <c r="N624" s="10"/>
      <c r="O624" s="10" t="s">
        <v>23</v>
      </c>
      <c r="P624" s="10" t="s">
        <v>24</v>
      </c>
    </row>
    <row r="625" customFormat="false" ht="15.75" hidden="false" customHeight="false" outlineLevel="0" collapsed="false">
      <c r="A625" s="10" t="s">
        <v>16</v>
      </c>
      <c r="B625" s="10" t="s">
        <v>1997</v>
      </c>
      <c r="C625" s="10" t="s">
        <v>1998</v>
      </c>
      <c r="D625" s="10" t="s">
        <v>622</v>
      </c>
      <c r="E625" s="10" t="s">
        <v>20</v>
      </c>
      <c r="F625" s="11" t="n">
        <v>45231</v>
      </c>
      <c r="G625" s="12" t="n">
        <v>0.654898854166667</v>
      </c>
      <c r="H625" s="10" t="s">
        <v>37</v>
      </c>
      <c r="I625" s="13" t="n">
        <v>5</v>
      </c>
      <c r="J625" s="13" t="n">
        <v>245</v>
      </c>
      <c r="K625" s="13" t="n">
        <v>1225</v>
      </c>
      <c r="L625" s="10" t="s">
        <v>1999</v>
      </c>
      <c r="M625" s="10" t="s">
        <v>2000</v>
      </c>
      <c r="N625" s="10"/>
      <c r="O625" s="10" t="s">
        <v>61</v>
      </c>
      <c r="P625" s="10" t="s">
        <v>62</v>
      </c>
    </row>
    <row r="626" customFormat="false" ht="15.75" hidden="false" customHeight="false" outlineLevel="0" collapsed="false">
      <c r="A626" s="10" t="s">
        <v>16</v>
      </c>
      <c r="B626" s="10" t="s">
        <v>2001</v>
      </c>
      <c r="C626" s="10" t="s">
        <v>2002</v>
      </c>
      <c r="D626" s="10" t="s">
        <v>202</v>
      </c>
      <c r="E626" s="10" t="s">
        <v>122</v>
      </c>
      <c r="F626" s="11" t="n">
        <v>45232</v>
      </c>
      <c r="G626" s="12" t="n">
        <v>0.212647592592593</v>
      </c>
      <c r="H626" s="10" t="s">
        <v>21</v>
      </c>
      <c r="I626" s="13" t="n">
        <v>6</v>
      </c>
      <c r="J626" s="13" t="n">
        <v>104.47</v>
      </c>
      <c r="K626" s="13" t="n">
        <v>626.82</v>
      </c>
      <c r="L626" s="10" t="s">
        <v>1468</v>
      </c>
      <c r="M626" s="10"/>
      <c r="N626" s="10"/>
      <c r="O626" s="10" t="s">
        <v>110</v>
      </c>
      <c r="P626" s="10" t="s">
        <v>111</v>
      </c>
    </row>
    <row r="627" customFormat="false" ht="15.75" hidden="false" customHeight="false" outlineLevel="0" collapsed="false">
      <c r="A627" s="10" t="s">
        <v>16</v>
      </c>
      <c r="B627" s="10" t="s">
        <v>2003</v>
      </c>
      <c r="C627" s="10" t="s">
        <v>2004</v>
      </c>
      <c r="D627" s="10" t="s">
        <v>202</v>
      </c>
      <c r="E627" s="10" t="s">
        <v>122</v>
      </c>
      <c r="F627" s="11" t="n">
        <v>45232</v>
      </c>
      <c r="G627" s="12" t="n">
        <v>0.212647592592593</v>
      </c>
      <c r="H627" s="10" t="s">
        <v>21</v>
      </c>
      <c r="I627" s="13" t="n">
        <v>1</v>
      </c>
      <c r="J627" s="13" t="n">
        <v>211</v>
      </c>
      <c r="K627" s="13" t="n">
        <v>211</v>
      </c>
      <c r="L627" s="10" t="s">
        <v>1468</v>
      </c>
      <c r="M627" s="10"/>
      <c r="N627" s="10"/>
      <c r="O627" s="10" t="s">
        <v>110</v>
      </c>
      <c r="P627" s="10" t="s">
        <v>111</v>
      </c>
    </row>
    <row r="628" customFormat="false" ht="15.75" hidden="false" customHeight="false" outlineLevel="0" collapsed="false">
      <c r="A628" s="10" t="s">
        <v>16</v>
      </c>
      <c r="B628" s="10" t="s">
        <v>2005</v>
      </c>
      <c r="C628" s="10" t="s">
        <v>2006</v>
      </c>
      <c r="D628" s="10" t="s">
        <v>527</v>
      </c>
      <c r="E628" s="10" t="s">
        <v>148</v>
      </c>
      <c r="F628" s="11" t="n">
        <v>45233</v>
      </c>
      <c r="G628" s="12" t="n">
        <v>0.73282099537037</v>
      </c>
      <c r="H628" s="10" t="s">
        <v>37</v>
      </c>
      <c r="I628" s="13" t="n">
        <v>1</v>
      </c>
      <c r="J628" s="13" t="n">
        <v>70.91</v>
      </c>
      <c r="K628" s="13" t="n">
        <v>70.91</v>
      </c>
      <c r="L628" s="10" t="s">
        <v>2007</v>
      </c>
      <c r="M628" s="10" t="s">
        <v>2008</v>
      </c>
      <c r="N628" s="10"/>
      <c r="O628" s="10" t="s">
        <v>23</v>
      </c>
      <c r="P628" s="10" t="s">
        <v>24</v>
      </c>
    </row>
    <row r="629" customFormat="false" ht="15.75" hidden="false" customHeight="false" outlineLevel="0" collapsed="false">
      <c r="A629" s="10" t="s">
        <v>16</v>
      </c>
      <c r="B629" s="10" t="s">
        <v>1314</v>
      </c>
      <c r="C629" s="10" t="s">
        <v>1315</v>
      </c>
      <c r="D629" s="10" t="s">
        <v>1316</v>
      </c>
      <c r="E629" s="10" t="s">
        <v>28</v>
      </c>
      <c r="F629" s="11" t="n">
        <v>45233</v>
      </c>
      <c r="G629" s="12" t="n">
        <v>0.732118842592593</v>
      </c>
      <c r="H629" s="10" t="s">
        <v>37</v>
      </c>
      <c r="I629" s="13" t="n">
        <v>1</v>
      </c>
      <c r="J629" s="13" t="n">
        <v>425</v>
      </c>
      <c r="K629" s="13" t="n">
        <v>425</v>
      </c>
      <c r="L629" s="10" t="s">
        <v>2009</v>
      </c>
      <c r="M629" s="10" t="s">
        <v>2010</v>
      </c>
      <c r="N629" s="10"/>
      <c r="O629" s="10" t="s">
        <v>23</v>
      </c>
      <c r="P629" s="10" t="s">
        <v>24</v>
      </c>
    </row>
    <row r="630" customFormat="false" ht="15.75" hidden="false" customHeight="false" outlineLevel="0" collapsed="false">
      <c r="A630" s="10" t="s">
        <v>16</v>
      </c>
      <c r="B630" s="10" t="s">
        <v>867</v>
      </c>
      <c r="C630" s="10" t="s">
        <v>868</v>
      </c>
      <c r="D630" s="10" t="s">
        <v>633</v>
      </c>
      <c r="E630" s="10" t="s">
        <v>208</v>
      </c>
      <c r="F630" s="11" t="n">
        <v>45233</v>
      </c>
      <c r="G630" s="12" t="n">
        <v>0.731785324074074</v>
      </c>
      <c r="H630" s="10" t="s">
        <v>37</v>
      </c>
      <c r="I630" s="13" t="n">
        <v>1</v>
      </c>
      <c r="J630" s="13" t="n">
        <v>135</v>
      </c>
      <c r="K630" s="13" t="n">
        <v>135</v>
      </c>
      <c r="L630" s="10" t="s">
        <v>2011</v>
      </c>
      <c r="M630" s="10" t="s">
        <v>2012</v>
      </c>
      <c r="N630" s="10"/>
      <c r="O630" s="10" t="s">
        <v>23</v>
      </c>
      <c r="P630" s="10" t="s">
        <v>24</v>
      </c>
    </row>
    <row r="631" customFormat="false" ht="15.75" hidden="false" customHeight="false" outlineLevel="0" collapsed="false">
      <c r="A631" s="10" t="s">
        <v>16</v>
      </c>
      <c r="B631" s="10" t="s">
        <v>1945</v>
      </c>
      <c r="C631" s="10" t="s">
        <v>1946</v>
      </c>
      <c r="D631" s="10" t="s">
        <v>308</v>
      </c>
      <c r="E631" s="10" t="s">
        <v>96</v>
      </c>
      <c r="F631" s="11" t="n">
        <v>45233</v>
      </c>
      <c r="G631" s="12" t="n">
        <v>0.731087824074074</v>
      </c>
      <c r="H631" s="10" t="s">
        <v>37</v>
      </c>
      <c r="I631" s="13" t="n">
        <v>1</v>
      </c>
      <c r="J631" s="13" t="n">
        <v>84</v>
      </c>
      <c r="K631" s="13" t="n">
        <v>84</v>
      </c>
      <c r="L631" s="10" t="s">
        <v>2013</v>
      </c>
      <c r="M631" s="10" t="s">
        <v>2014</v>
      </c>
      <c r="N631" s="10"/>
      <c r="O631" s="10" t="s">
        <v>23</v>
      </c>
      <c r="P631" s="10" t="s">
        <v>24</v>
      </c>
    </row>
    <row r="632" customFormat="false" ht="15.75" hidden="false" customHeight="false" outlineLevel="0" collapsed="false">
      <c r="A632" s="10" t="s">
        <v>16</v>
      </c>
      <c r="B632" s="10" t="s">
        <v>238</v>
      </c>
      <c r="C632" s="10" t="s">
        <v>239</v>
      </c>
      <c r="D632" s="10" t="s">
        <v>95</v>
      </c>
      <c r="E632" s="10" t="s">
        <v>96</v>
      </c>
      <c r="F632" s="11" t="n">
        <v>45233</v>
      </c>
      <c r="G632" s="12" t="n">
        <v>0.730709259259259</v>
      </c>
      <c r="H632" s="10" t="s">
        <v>37</v>
      </c>
      <c r="I632" s="13" t="n">
        <v>4</v>
      </c>
      <c r="J632" s="13" t="n">
        <v>55.25</v>
      </c>
      <c r="K632" s="13" t="n">
        <v>221</v>
      </c>
      <c r="L632" s="10" t="s">
        <v>2015</v>
      </c>
      <c r="M632" s="10" t="s">
        <v>2016</v>
      </c>
      <c r="N632" s="10"/>
      <c r="O632" s="10" t="s">
        <v>23</v>
      </c>
      <c r="P632" s="10" t="s">
        <v>24</v>
      </c>
    </row>
    <row r="633" customFormat="false" ht="15.75" hidden="false" customHeight="false" outlineLevel="0" collapsed="false">
      <c r="A633" s="10" t="s">
        <v>16</v>
      </c>
      <c r="B633" s="10" t="s">
        <v>719</v>
      </c>
      <c r="C633" s="10" t="s">
        <v>720</v>
      </c>
      <c r="D633" s="10" t="s">
        <v>19</v>
      </c>
      <c r="E633" s="10" t="s">
        <v>20</v>
      </c>
      <c r="F633" s="11" t="n">
        <v>45234</v>
      </c>
      <c r="G633" s="12" t="n">
        <v>0.719866099537037</v>
      </c>
      <c r="H633" s="10" t="s">
        <v>37</v>
      </c>
      <c r="I633" s="13" t="n">
        <v>1</v>
      </c>
      <c r="J633" s="13" t="n">
        <v>1625</v>
      </c>
      <c r="K633" s="13" t="n">
        <v>1625</v>
      </c>
      <c r="L633" s="10" t="s">
        <v>2017</v>
      </c>
      <c r="M633" s="10" t="s">
        <v>2018</v>
      </c>
      <c r="N633" s="10"/>
      <c r="O633" s="10" t="s">
        <v>61</v>
      </c>
      <c r="P633" s="10" t="s">
        <v>62</v>
      </c>
    </row>
    <row r="634" customFormat="false" ht="15.75" hidden="false" customHeight="false" outlineLevel="0" collapsed="false">
      <c r="A634" s="10" t="s">
        <v>16</v>
      </c>
      <c r="B634" s="10" t="s">
        <v>2019</v>
      </c>
      <c r="C634" s="10" t="s">
        <v>2020</v>
      </c>
      <c r="D634" s="10" t="s">
        <v>2021</v>
      </c>
      <c r="E634" s="10" t="s">
        <v>568</v>
      </c>
      <c r="F634" s="11" t="n">
        <v>45234</v>
      </c>
      <c r="G634" s="12" t="n">
        <v>0.620722384259259</v>
      </c>
      <c r="H634" s="10" t="s">
        <v>29</v>
      </c>
      <c r="I634" s="13" t="n">
        <v>12</v>
      </c>
      <c r="J634" s="13" t="n">
        <v>3056.6</v>
      </c>
      <c r="K634" s="13" t="n">
        <v>36679.2</v>
      </c>
      <c r="L634" s="10" t="s">
        <v>2022</v>
      </c>
      <c r="M634" s="10" t="s">
        <v>2023</v>
      </c>
      <c r="N634" s="10" t="s">
        <v>2024</v>
      </c>
      <c r="O634" s="10" t="s">
        <v>61</v>
      </c>
      <c r="P634" s="10" t="s">
        <v>62</v>
      </c>
    </row>
    <row r="635" customFormat="false" ht="15.75" hidden="false" customHeight="false" outlineLevel="0" collapsed="false">
      <c r="A635" s="10" t="s">
        <v>16</v>
      </c>
      <c r="B635" s="10" t="s">
        <v>238</v>
      </c>
      <c r="C635" s="10" t="s">
        <v>239</v>
      </c>
      <c r="D635" s="10" t="s">
        <v>95</v>
      </c>
      <c r="E635" s="10" t="s">
        <v>96</v>
      </c>
      <c r="F635" s="11" t="n">
        <v>45235</v>
      </c>
      <c r="G635" s="12" t="n">
        <v>0.934100150462963</v>
      </c>
      <c r="H635" s="10" t="s">
        <v>37</v>
      </c>
      <c r="I635" s="13" t="n">
        <v>2</v>
      </c>
      <c r="J635" s="13" t="n">
        <v>55.25</v>
      </c>
      <c r="K635" s="13" t="n">
        <v>110.5</v>
      </c>
      <c r="L635" s="10" t="s">
        <v>2025</v>
      </c>
      <c r="M635" s="10" t="s">
        <v>2026</v>
      </c>
      <c r="N635" s="10"/>
      <c r="O635" s="10" t="s">
        <v>23</v>
      </c>
      <c r="P635" s="10" t="s">
        <v>24</v>
      </c>
    </row>
    <row r="636" customFormat="false" ht="15.75" hidden="false" customHeight="false" outlineLevel="0" collapsed="false">
      <c r="A636" s="10" t="s">
        <v>16</v>
      </c>
      <c r="B636" s="10" t="s">
        <v>2027</v>
      </c>
      <c r="C636" s="10" t="s">
        <v>2028</v>
      </c>
      <c r="D636" s="10" t="s">
        <v>308</v>
      </c>
      <c r="E636" s="10" t="s">
        <v>96</v>
      </c>
      <c r="F636" s="11" t="n">
        <v>45235</v>
      </c>
      <c r="G636" s="12" t="n">
        <v>0.932163171296296</v>
      </c>
      <c r="H636" s="10" t="s">
        <v>37</v>
      </c>
      <c r="I636" s="13" t="n">
        <v>1</v>
      </c>
      <c r="J636" s="13" t="n">
        <v>55</v>
      </c>
      <c r="K636" s="13" t="n">
        <v>55</v>
      </c>
      <c r="L636" s="10" t="s">
        <v>2029</v>
      </c>
      <c r="M636" s="10" t="s">
        <v>2030</v>
      </c>
      <c r="N636" s="10"/>
      <c r="O636" s="10" t="s">
        <v>23</v>
      </c>
      <c r="P636" s="10" t="s">
        <v>24</v>
      </c>
    </row>
    <row r="637" customFormat="false" ht="15.75" hidden="false" customHeight="false" outlineLevel="0" collapsed="false">
      <c r="A637" s="10" t="s">
        <v>16</v>
      </c>
      <c r="B637" s="10" t="s">
        <v>2031</v>
      </c>
      <c r="C637" s="10" t="s">
        <v>2032</v>
      </c>
      <c r="D637" s="10" t="s">
        <v>2033</v>
      </c>
      <c r="E637" s="10" t="s">
        <v>128</v>
      </c>
      <c r="F637" s="11" t="n">
        <v>45235</v>
      </c>
      <c r="G637" s="12" t="n">
        <v>0.930366203703704</v>
      </c>
      <c r="H637" s="10" t="s">
        <v>37</v>
      </c>
      <c r="I637" s="13" t="n">
        <v>2</v>
      </c>
      <c r="J637" s="13" t="n">
        <v>358.1</v>
      </c>
      <c r="K637" s="13" t="n">
        <v>716.2</v>
      </c>
      <c r="L637" s="10" t="s">
        <v>2034</v>
      </c>
      <c r="M637" s="10" t="s">
        <v>2035</v>
      </c>
      <c r="N637" s="10"/>
      <c r="O637" s="10" t="s">
        <v>23</v>
      </c>
      <c r="P637" s="10" t="s">
        <v>24</v>
      </c>
    </row>
    <row r="638" customFormat="false" ht="15.75" hidden="false" customHeight="false" outlineLevel="0" collapsed="false">
      <c r="A638" s="10" t="s">
        <v>16</v>
      </c>
      <c r="B638" s="10" t="s">
        <v>620</v>
      </c>
      <c r="C638" s="10" t="s">
        <v>621</v>
      </c>
      <c r="D638" s="10" t="s">
        <v>622</v>
      </c>
      <c r="E638" s="10" t="s">
        <v>20</v>
      </c>
      <c r="F638" s="11" t="n">
        <v>45235</v>
      </c>
      <c r="G638" s="12" t="n">
        <v>0.881039270833333</v>
      </c>
      <c r="H638" s="10" t="s">
        <v>37</v>
      </c>
      <c r="I638" s="13" t="n">
        <v>6</v>
      </c>
      <c r="J638" s="13" t="n">
        <v>281</v>
      </c>
      <c r="K638" s="13" t="n">
        <v>1686</v>
      </c>
      <c r="L638" s="10" t="s">
        <v>2036</v>
      </c>
      <c r="M638" s="10" t="s">
        <v>2037</v>
      </c>
      <c r="N638" s="10"/>
      <c r="O638" s="10" t="s">
        <v>23</v>
      </c>
      <c r="P638" s="10" t="s">
        <v>24</v>
      </c>
    </row>
    <row r="639" customFormat="false" ht="15.75" hidden="false" customHeight="false" outlineLevel="0" collapsed="false">
      <c r="A639" s="10" t="s">
        <v>16</v>
      </c>
      <c r="B639" s="10" t="s">
        <v>409</v>
      </c>
      <c r="C639" s="10" t="s">
        <v>410</v>
      </c>
      <c r="D639" s="10" t="s">
        <v>255</v>
      </c>
      <c r="E639" s="10" t="s">
        <v>71</v>
      </c>
      <c r="F639" s="11" t="n">
        <v>45235</v>
      </c>
      <c r="G639" s="12" t="n">
        <v>0.822631574074074</v>
      </c>
      <c r="H639" s="10" t="s">
        <v>37</v>
      </c>
      <c r="I639" s="13" t="n">
        <v>4</v>
      </c>
      <c r="J639" s="13" t="n">
        <v>72.92</v>
      </c>
      <c r="K639" s="13" t="n">
        <v>291.68</v>
      </c>
      <c r="L639" s="10" t="s">
        <v>2038</v>
      </c>
      <c r="M639" s="10" t="s">
        <v>2039</v>
      </c>
      <c r="N639" s="10"/>
      <c r="O639" s="10" t="s">
        <v>23</v>
      </c>
      <c r="P639" s="10" t="s">
        <v>24</v>
      </c>
    </row>
    <row r="640" customFormat="false" ht="15.75" hidden="false" customHeight="false" outlineLevel="0" collapsed="false">
      <c r="A640" s="10" t="s">
        <v>16</v>
      </c>
      <c r="B640" s="10" t="s">
        <v>2040</v>
      </c>
      <c r="C640" s="10" t="s">
        <v>2041</v>
      </c>
      <c r="D640" s="10" t="s">
        <v>27</v>
      </c>
      <c r="E640" s="10" t="s">
        <v>28</v>
      </c>
      <c r="F640" s="11" t="n">
        <v>45235</v>
      </c>
      <c r="G640" s="12" t="n">
        <v>0.814277974537037</v>
      </c>
      <c r="H640" s="10" t="s">
        <v>37</v>
      </c>
      <c r="I640" s="13" t="n">
        <v>1</v>
      </c>
      <c r="J640" s="13" t="n">
        <v>1453.5</v>
      </c>
      <c r="K640" s="13" t="n">
        <v>1453.5</v>
      </c>
      <c r="L640" s="10" t="s">
        <v>2042</v>
      </c>
      <c r="M640" s="10" t="s">
        <v>2043</v>
      </c>
      <c r="N640" s="10"/>
      <c r="O640" s="10" t="s">
        <v>23</v>
      </c>
      <c r="P640" s="10" t="s">
        <v>24</v>
      </c>
    </row>
    <row r="641" customFormat="false" ht="15.75" hidden="false" customHeight="false" outlineLevel="0" collapsed="false">
      <c r="A641" s="10" t="s">
        <v>16</v>
      </c>
      <c r="B641" s="10" t="s">
        <v>1904</v>
      </c>
      <c r="C641" s="10" t="s">
        <v>1905</v>
      </c>
      <c r="D641" s="10" t="s">
        <v>895</v>
      </c>
      <c r="E641" s="10" t="s">
        <v>66</v>
      </c>
      <c r="F641" s="11" t="n">
        <v>45235</v>
      </c>
      <c r="G641" s="12" t="n">
        <v>0.647245231481482</v>
      </c>
      <c r="H641" s="10" t="s">
        <v>29</v>
      </c>
      <c r="I641" s="13" t="n">
        <v>18</v>
      </c>
      <c r="J641" s="13" t="n">
        <v>200.8</v>
      </c>
      <c r="K641" s="13" t="n">
        <v>3614.4</v>
      </c>
      <c r="L641" s="10" t="s">
        <v>2044</v>
      </c>
      <c r="M641" s="10" t="s">
        <v>2045</v>
      </c>
      <c r="N641" s="10" t="s">
        <v>2046</v>
      </c>
      <c r="O641" s="10" t="s">
        <v>61</v>
      </c>
      <c r="P641" s="10" t="s">
        <v>62</v>
      </c>
    </row>
    <row r="642" customFormat="false" ht="15.75" hidden="false" customHeight="false" outlineLevel="0" collapsed="false">
      <c r="A642" s="10" t="s">
        <v>16</v>
      </c>
      <c r="B642" s="10" t="s">
        <v>2047</v>
      </c>
      <c r="C642" s="10" t="s">
        <v>2048</v>
      </c>
      <c r="D642" s="10" t="s">
        <v>895</v>
      </c>
      <c r="E642" s="10" t="s">
        <v>66</v>
      </c>
      <c r="F642" s="11" t="n">
        <v>45235</v>
      </c>
      <c r="G642" s="12" t="n">
        <v>0.646870266203704</v>
      </c>
      <c r="H642" s="10" t="s">
        <v>29</v>
      </c>
      <c r="I642" s="13" t="n">
        <v>19</v>
      </c>
      <c r="J642" s="13" t="n">
        <v>197.64</v>
      </c>
      <c r="K642" s="13" t="n">
        <v>3755.16</v>
      </c>
      <c r="L642" s="10" t="s">
        <v>2049</v>
      </c>
      <c r="M642" s="10" t="s">
        <v>2050</v>
      </c>
      <c r="N642" s="10" t="s">
        <v>2024</v>
      </c>
      <c r="O642" s="10" t="s">
        <v>61</v>
      </c>
      <c r="P642" s="10" t="s">
        <v>62</v>
      </c>
    </row>
    <row r="643" customFormat="false" ht="15.75" hidden="false" customHeight="false" outlineLevel="0" collapsed="false">
      <c r="A643" s="10" t="s">
        <v>16</v>
      </c>
      <c r="B643" s="10" t="s">
        <v>409</v>
      </c>
      <c r="C643" s="10" t="s">
        <v>410</v>
      </c>
      <c r="D643" s="10" t="s">
        <v>255</v>
      </c>
      <c r="E643" s="10" t="s">
        <v>71</v>
      </c>
      <c r="F643" s="11" t="n">
        <v>45236</v>
      </c>
      <c r="G643" s="12" t="n">
        <v>0.930807673611111</v>
      </c>
      <c r="H643" s="10" t="s">
        <v>37</v>
      </c>
      <c r="I643" s="13" t="n">
        <v>2</v>
      </c>
      <c r="J643" s="13" t="n">
        <v>72.92</v>
      </c>
      <c r="K643" s="13" t="n">
        <v>145.84</v>
      </c>
      <c r="L643" s="10" t="s">
        <v>2051</v>
      </c>
      <c r="M643" s="10" t="s">
        <v>2052</v>
      </c>
      <c r="N643" s="10"/>
      <c r="O643" s="10" t="s">
        <v>23</v>
      </c>
      <c r="P643" s="10" t="s">
        <v>24</v>
      </c>
    </row>
    <row r="644" customFormat="false" ht="15.75" hidden="false" customHeight="false" outlineLevel="0" collapsed="false">
      <c r="A644" s="10" t="s">
        <v>16</v>
      </c>
      <c r="B644" s="10" t="s">
        <v>2053</v>
      </c>
      <c r="C644" s="10" t="s">
        <v>2054</v>
      </c>
      <c r="D644" s="10" t="s">
        <v>622</v>
      </c>
      <c r="E644" s="10" t="s">
        <v>20</v>
      </c>
      <c r="F644" s="11" t="n">
        <v>45236</v>
      </c>
      <c r="G644" s="12" t="n">
        <v>0.63849849537037</v>
      </c>
      <c r="H644" s="10" t="s">
        <v>37</v>
      </c>
      <c r="I644" s="13" t="n">
        <v>5</v>
      </c>
      <c r="J644" s="13" t="n">
        <v>1685</v>
      </c>
      <c r="K644" s="13" t="n">
        <v>8425</v>
      </c>
      <c r="L644" s="10" t="s">
        <v>2055</v>
      </c>
      <c r="M644" s="10" t="s">
        <v>2056</v>
      </c>
      <c r="N644" s="10"/>
      <c r="O644" s="10" t="s">
        <v>61</v>
      </c>
      <c r="P644" s="10" t="s">
        <v>62</v>
      </c>
    </row>
    <row r="645" customFormat="false" ht="15.75" hidden="false" customHeight="false" outlineLevel="0" collapsed="false">
      <c r="A645" s="10" t="s">
        <v>16</v>
      </c>
      <c r="B645" s="10" t="s">
        <v>1399</v>
      </c>
      <c r="C645" s="10" t="s">
        <v>1400</v>
      </c>
      <c r="D645" s="10" t="s">
        <v>268</v>
      </c>
      <c r="E645" s="10" t="s">
        <v>269</v>
      </c>
      <c r="F645" s="11" t="n">
        <v>45237</v>
      </c>
      <c r="G645" s="12" t="n">
        <v>0.918672592592593</v>
      </c>
      <c r="H645" s="10" t="s">
        <v>37</v>
      </c>
      <c r="I645" s="13" t="n">
        <v>21</v>
      </c>
      <c r="J645" s="13" t="n">
        <v>248.2</v>
      </c>
      <c r="K645" s="13" t="n">
        <v>5212.2</v>
      </c>
      <c r="L645" s="10" t="s">
        <v>2057</v>
      </c>
      <c r="M645" s="10" t="s">
        <v>2058</v>
      </c>
      <c r="N645" s="10"/>
      <c r="O645" s="10" t="s">
        <v>23</v>
      </c>
      <c r="P645" s="10" t="s">
        <v>24</v>
      </c>
    </row>
    <row r="646" customFormat="false" ht="15.75" hidden="false" customHeight="false" outlineLevel="0" collapsed="false">
      <c r="A646" s="10" t="s">
        <v>16</v>
      </c>
      <c r="B646" s="10" t="s">
        <v>2027</v>
      </c>
      <c r="C646" s="10" t="s">
        <v>2028</v>
      </c>
      <c r="D646" s="10" t="s">
        <v>308</v>
      </c>
      <c r="E646" s="10" t="s">
        <v>96</v>
      </c>
      <c r="F646" s="11" t="n">
        <v>45237</v>
      </c>
      <c r="G646" s="12" t="n">
        <v>0.868781400462963</v>
      </c>
      <c r="H646" s="10" t="s">
        <v>37</v>
      </c>
      <c r="I646" s="13" t="n">
        <v>3</v>
      </c>
      <c r="J646" s="13" t="n">
        <v>55</v>
      </c>
      <c r="K646" s="13" t="n">
        <v>165</v>
      </c>
      <c r="L646" s="10" t="s">
        <v>2059</v>
      </c>
      <c r="M646" s="10" t="s">
        <v>2060</v>
      </c>
      <c r="N646" s="10"/>
      <c r="O646" s="10" t="s">
        <v>23</v>
      </c>
      <c r="P646" s="10" t="s">
        <v>24</v>
      </c>
    </row>
    <row r="647" customFormat="false" ht="15.75" hidden="false" customHeight="false" outlineLevel="0" collapsed="false">
      <c r="A647" s="10" t="s">
        <v>16</v>
      </c>
      <c r="B647" s="10" t="s">
        <v>2061</v>
      </c>
      <c r="C647" s="10" t="s">
        <v>2062</v>
      </c>
      <c r="D647" s="10" t="s">
        <v>127</v>
      </c>
      <c r="E647" s="10" t="s">
        <v>128</v>
      </c>
      <c r="F647" s="11" t="n">
        <v>45238</v>
      </c>
      <c r="G647" s="12" t="n">
        <v>0.759488657407407</v>
      </c>
      <c r="H647" s="10" t="s">
        <v>37</v>
      </c>
      <c r="I647" s="13" t="n">
        <v>1</v>
      </c>
      <c r="J647" s="13" t="n">
        <v>241.8</v>
      </c>
      <c r="K647" s="13" t="n">
        <v>241.8</v>
      </c>
      <c r="L647" s="10" t="s">
        <v>2063</v>
      </c>
      <c r="M647" s="10" t="s">
        <v>2064</v>
      </c>
      <c r="N647" s="10"/>
      <c r="O647" s="10" t="s">
        <v>61</v>
      </c>
      <c r="P647" s="10" t="s">
        <v>62</v>
      </c>
    </row>
    <row r="648" customFormat="false" ht="15.75" hidden="false" customHeight="false" outlineLevel="0" collapsed="false">
      <c r="A648" s="10" t="s">
        <v>16</v>
      </c>
      <c r="B648" s="10" t="s">
        <v>2065</v>
      </c>
      <c r="C648" s="10" t="s">
        <v>2066</v>
      </c>
      <c r="D648" s="10" t="s">
        <v>854</v>
      </c>
      <c r="E648" s="10" t="s">
        <v>333</v>
      </c>
      <c r="F648" s="11" t="n">
        <v>45238</v>
      </c>
      <c r="G648" s="12" t="n">
        <v>0.704507939814815</v>
      </c>
      <c r="H648" s="10" t="s">
        <v>37</v>
      </c>
      <c r="I648" s="13" t="n">
        <v>1</v>
      </c>
      <c r="J648" s="13" t="n">
        <v>292.25</v>
      </c>
      <c r="K648" s="13" t="n">
        <v>292.25</v>
      </c>
      <c r="L648" s="10" t="s">
        <v>2067</v>
      </c>
      <c r="M648" s="10" t="s">
        <v>2068</v>
      </c>
      <c r="N648" s="10"/>
      <c r="O648" s="10" t="s">
        <v>61</v>
      </c>
      <c r="P648" s="10" t="s">
        <v>62</v>
      </c>
    </row>
    <row r="649" customFormat="false" ht="15.75" hidden="false" customHeight="false" outlineLevel="0" collapsed="false">
      <c r="A649" s="10" t="s">
        <v>16</v>
      </c>
      <c r="B649" s="10" t="s">
        <v>2069</v>
      </c>
      <c r="C649" s="10" t="s">
        <v>2070</v>
      </c>
      <c r="D649" s="10" t="s">
        <v>19</v>
      </c>
      <c r="E649" s="10" t="s">
        <v>20</v>
      </c>
      <c r="F649" s="11" t="n">
        <v>45238</v>
      </c>
      <c r="G649" s="12" t="n">
        <v>0.470579918981481</v>
      </c>
      <c r="H649" s="10" t="s">
        <v>37</v>
      </c>
      <c r="I649" s="13" t="n">
        <v>1</v>
      </c>
      <c r="J649" s="13" t="n">
        <v>342</v>
      </c>
      <c r="K649" s="13" t="n">
        <v>342</v>
      </c>
      <c r="L649" s="10" t="s">
        <v>2071</v>
      </c>
      <c r="M649" s="10" t="s">
        <v>2072</v>
      </c>
      <c r="N649" s="10"/>
      <c r="O649" s="10" t="s">
        <v>61</v>
      </c>
      <c r="P649" s="10" t="s">
        <v>62</v>
      </c>
    </row>
    <row r="650" customFormat="false" ht="15.75" hidden="false" customHeight="false" outlineLevel="0" collapsed="false">
      <c r="A650" s="10" t="s">
        <v>16</v>
      </c>
      <c r="B650" s="10" t="s">
        <v>1413</v>
      </c>
      <c r="C650" s="10" t="s">
        <v>1414</v>
      </c>
      <c r="D650" s="10" t="s">
        <v>1159</v>
      </c>
      <c r="E650" s="10" t="s">
        <v>96</v>
      </c>
      <c r="F650" s="11" t="n">
        <v>45240</v>
      </c>
      <c r="G650" s="12" t="n">
        <v>0.83945212962963</v>
      </c>
      <c r="H650" s="10" t="s">
        <v>37</v>
      </c>
      <c r="I650" s="13" t="n">
        <v>1</v>
      </c>
      <c r="J650" s="13" t="n">
        <v>189</v>
      </c>
      <c r="K650" s="13" t="n">
        <v>189</v>
      </c>
      <c r="L650" s="10" t="s">
        <v>2073</v>
      </c>
      <c r="M650" s="10" t="s">
        <v>2074</v>
      </c>
      <c r="N650" s="10"/>
      <c r="O650" s="10" t="s">
        <v>23</v>
      </c>
      <c r="P650" s="10" t="s">
        <v>24</v>
      </c>
    </row>
    <row r="651" customFormat="false" ht="15.75" hidden="false" customHeight="false" outlineLevel="0" collapsed="false">
      <c r="A651" s="10" t="s">
        <v>16</v>
      </c>
      <c r="B651" s="10" t="s">
        <v>1647</v>
      </c>
      <c r="C651" s="10" t="s">
        <v>1648</v>
      </c>
      <c r="D651" s="10" t="s">
        <v>95</v>
      </c>
      <c r="E651" s="10" t="s">
        <v>96</v>
      </c>
      <c r="F651" s="11" t="n">
        <v>45240</v>
      </c>
      <c r="G651" s="12" t="n">
        <v>0.831255300925926</v>
      </c>
      <c r="H651" s="10" t="s">
        <v>37</v>
      </c>
      <c r="I651" s="13" t="n">
        <v>2</v>
      </c>
      <c r="J651" s="13" t="n">
        <v>210.36</v>
      </c>
      <c r="K651" s="13" t="n">
        <v>420.72</v>
      </c>
      <c r="L651" s="10" t="s">
        <v>2075</v>
      </c>
      <c r="M651" s="10" t="s">
        <v>2076</v>
      </c>
      <c r="N651" s="10"/>
      <c r="O651" s="10" t="s">
        <v>23</v>
      </c>
      <c r="P651" s="10" t="s">
        <v>24</v>
      </c>
    </row>
    <row r="652" customFormat="false" ht="15.75" hidden="false" customHeight="false" outlineLevel="0" collapsed="false">
      <c r="A652" s="10" t="s">
        <v>16</v>
      </c>
      <c r="B652" s="10" t="s">
        <v>1949</v>
      </c>
      <c r="C652" s="10" t="s">
        <v>1950</v>
      </c>
      <c r="D652" s="10" t="s">
        <v>573</v>
      </c>
      <c r="E652" s="10" t="s">
        <v>36</v>
      </c>
      <c r="F652" s="11" t="n">
        <v>45240</v>
      </c>
      <c r="G652" s="12" t="n">
        <v>0.82031943287037</v>
      </c>
      <c r="H652" s="10" t="s">
        <v>37</v>
      </c>
      <c r="I652" s="13" t="n">
        <v>1</v>
      </c>
      <c r="J652" s="13" t="n">
        <v>500</v>
      </c>
      <c r="K652" s="13" t="n">
        <v>500</v>
      </c>
      <c r="L652" s="10" t="s">
        <v>2077</v>
      </c>
      <c r="M652" s="10" t="s">
        <v>2078</v>
      </c>
      <c r="N652" s="10"/>
      <c r="O652" s="10" t="s">
        <v>23</v>
      </c>
      <c r="P652" s="10" t="s">
        <v>24</v>
      </c>
    </row>
    <row r="653" customFormat="false" ht="15.75" hidden="false" customHeight="false" outlineLevel="0" collapsed="false">
      <c r="A653" s="10" t="s">
        <v>16</v>
      </c>
      <c r="B653" s="10" t="s">
        <v>2079</v>
      </c>
      <c r="C653" s="10" t="s">
        <v>2080</v>
      </c>
      <c r="D653" s="10" t="s">
        <v>2081</v>
      </c>
      <c r="E653" s="10" t="s">
        <v>66</v>
      </c>
      <c r="F653" s="11" t="n">
        <v>45241</v>
      </c>
      <c r="G653" s="12" t="n">
        <v>0.930902407407407</v>
      </c>
      <c r="H653" s="10" t="s">
        <v>37</v>
      </c>
      <c r="I653" s="13" t="n">
        <v>2</v>
      </c>
      <c r="J653" s="13" t="n">
        <v>173.74</v>
      </c>
      <c r="K653" s="13" t="n">
        <v>347.48</v>
      </c>
      <c r="L653" s="10" t="s">
        <v>2082</v>
      </c>
      <c r="M653" s="10" t="s">
        <v>2083</v>
      </c>
      <c r="N653" s="10"/>
      <c r="O653" s="10" t="s">
        <v>23</v>
      </c>
      <c r="P653" s="10" t="s">
        <v>24</v>
      </c>
    </row>
    <row r="654" customFormat="false" ht="15.75" hidden="false" customHeight="false" outlineLevel="0" collapsed="false">
      <c r="A654" s="10" t="s">
        <v>16</v>
      </c>
      <c r="B654" s="10" t="s">
        <v>1638</v>
      </c>
      <c r="C654" s="10" t="s">
        <v>1639</v>
      </c>
      <c r="D654" s="10" t="s">
        <v>1640</v>
      </c>
      <c r="E654" s="10" t="s">
        <v>553</v>
      </c>
      <c r="F654" s="11" t="n">
        <v>45242</v>
      </c>
      <c r="G654" s="12" t="n">
        <v>0.919949930555556</v>
      </c>
      <c r="H654" s="10" t="s">
        <v>37</v>
      </c>
      <c r="I654" s="13" t="n">
        <v>1</v>
      </c>
      <c r="J654" s="13" t="n">
        <v>33.35</v>
      </c>
      <c r="K654" s="13" t="n">
        <v>33.35</v>
      </c>
      <c r="L654" s="10" t="s">
        <v>2084</v>
      </c>
      <c r="M654" s="10" t="s">
        <v>2085</v>
      </c>
      <c r="N654" s="10"/>
      <c r="O654" s="10" t="s">
        <v>23</v>
      </c>
      <c r="P654" s="10" t="s">
        <v>24</v>
      </c>
    </row>
    <row r="655" customFormat="false" ht="15.75" hidden="false" customHeight="false" outlineLevel="0" collapsed="false">
      <c r="A655" s="10" t="s">
        <v>16</v>
      </c>
      <c r="B655" s="10" t="s">
        <v>2086</v>
      </c>
      <c r="C655" s="10" t="s">
        <v>2087</v>
      </c>
      <c r="D655" s="10" t="s">
        <v>255</v>
      </c>
      <c r="E655" s="10" t="s">
        <v>71</v>
      </c>
      <c r="F655" s="11" t="n">
        <v>45242</v>
      </c>
      <c r="G655" s="12" t="n">
        <v>0.918799467592593</v>
      </c>
      <c r="H655" s="10" t="s">
        <v>37</v>
      </c>
      <c r="I655" s="13" t="n">
        <v>1</v>
      </c>
      <c r="J655" s="13" t="n">
        <v>142</v>
      </c>
      <c r="K655" s="13" t="n">
        <v>142</v>
      </c>
      <c r="L655" s="10" t="s">
        <v>2088</v>
      </c>
      <c r="M655" s="10" t="s">
        <v>2089</v>
      </c>
      <c r="N655" s="10"/>
      <c r="O655" s="10" t="s">
        <v>23</v>
      </c>
      <c r="P655" s="10" t="s">
        <v>24</v>
      </c>
    </row>
    <row r="656" customFormat="false" ht="15.75" hidden="false" customHeight="false" outlineLevel="0" collapsed="false">
      <c r="A656" s="10" t="s">
        <v>16</v>
      </c>
      <c r="B656" s="10" t="s">
        <v>435</v>
      </c>
      <c r="C656" s="10" t="s">
        <v>436</v>
      </c>
      <c r="D656" s="10" t="s">
        <v>89</v>
      </c>
      <c r="E656" s="10" t="s">
        <v>431</v>
      </c>
      <c r="F656" s="11" t="n">
        <v>45243</v>
      </c>
      <c r="G656" s="12" t="n">
        <v>0.889150358796296</v>
      </c>
      <c r="H656" s="10" t="s">
        <v>37</v>
      </c>
      <c r="I656" s="13" t="n">
        <v>1</v>
      </c>
      <c r="J656" s="13" t="n">
        <v>420</v>
      </c>
      <c r="K656" s="13" t="n">
        <v>420</v>
      </c>
      <c r="L656" s="10" t="s">
        <v>2090</v>
      </c>
      <c r="M656" s="10" t="s">
        <v>2091</v>
      </c>
      <c r="N656" s="10"/>
      <c r="O656" s="10" t="s">
        <v>23</v>
      </c>
      <c r="P656" s="10" t="s">
        <v>24</v>
      </c>
    </row>
    <row r="657" customFormat="false" ht="15.75" hidden="false" customHeight="false" outlineLevel="0" collapsed="false">
      <c r="A657" s="10" t="s">
        <v>16</v>
      </c>
      <c r="B657" s="10" t="s">
        <v>1201</v>
      </c>
      <c r="C657" s="10" t="s">
        <v>1202</v>
      </c>
      <c r="D657" s="10" t="s">
        <v>65</v>
      </c>
      <c r="E657" s="10" t="s">
        <v>122</v>
      </c>
      <c r="F657" s="11" t="n">
        <v>45243</v>
      </c>
      <c r="G657" s="12" t="n">
        <v>0.887758634259259</v>
      </c>
      <c r="H657" s="10" t="s">
        <v>29</v>
      </c>
      <c r="I657" s="13" t="n">
        <v>38</v>
      </c>
      <c r="J657" s="13" t="n">
        <v>211.5</v>
      </c>
      <c r="K657" s="13" t="n">
        <v>8037</v>
      </c>
      <c r="L657" s="10" t="s">
        <v>2092</v>
      </c>
      <c r="M657" s="10" t="s">
        <v>2093</v>
      </c>
      <c r="N657" s="10"/>
      <c r="O657" s="10" t="s">
        <v>23</v>
      </c>
      <c r="P657" s="10" t="s">
        <v>24</v>
      </c>
    </row>
    <row r="658" customFormat="false" ht="15.75" hidden="false" customHeight="false" outlineLevel="0" collapsed="false">
      <c r="A658" s="10" t="s">
        <v>16</v>
      </c>
      <c r="B658" s="10" t="s">
        <v>2094</v>
      </c>
      <c r="C658" s="10" t="s">
        <v>2095</v>
      </c>
      <c r="D658" s="10" t="s">
        <v>95</v>
      </c>
      <c r="E658" s="10" t="s">
        <v>96</v>
      </c>
      <c r="F658" s="11" t="n">
        <v>45244</v>
      </c>
      <c r="G658" s="12" t="n">
        <v>0.899121435185185</v>
      </c>
      <c r="H658" s="10" t="s">
        <v>37</v>
      </c>
      <c r="I658" s="13" t="n">
        <v>3</v>
      </c>
      <c r="J658" s="13" t="n">
        <v>45.59</v>
      </c>
      <c r="K658" s="13" t="n">
        <v>136.77</v>
      </c>
      <c r="L658" s="10" t="s">
        <v>2096</v>
      </c>
      <c r="M658" s="10" t="s">
        <v>2097</v>
      </c>
      <c r="N658" s="10"/>
      <c r="O658" s="10" t="s">
        <v>23</v>
      </c>
      <c r="P658" s="10" t="s">
        <v>24</v>
      </c>
    </row>
    <row r="659" customFormat="false" ht="15.75" hidden="false" customHeight="false" outlineLevel="0" collapsed="false">
      <c r="A659" s="10" t="s">
        <v>16</v>
      </c>
      <c r="B659" s="10" t="s">
        <v>1201</v>
      </c>
      <c r="C659" s="10" t="s">
        <v>1202</v>
      </c>
      <c r="D659" s="10" t="s">
        <v>65</v>
      </c>
      <c r="E659" s="10" t="s">
        <v>122</v>
      </c>
      <c r="F659" s="11" t="n">
        <v>45244</v>
      </c>
      <c r="G659" s="12" t="n">
        <v>0.674936064814815</v>
      </c>
      <c r="H659" s="10" t="s">
        <v>29</v>
      </c>
      <c r="I659" s="13" t="n">
        <v>9</v>
      </c>
      <c r="J659" s="13" t="n">
        <v>211.5</v>
      </c>
      <c r="K659" s="13" t="n">
        <v>1903.5</v>
      </c>
      <c r="L659" s="10" t="s">
        <v>2098</v>
      </c>
      <c r="M659" s="10" t="s">
        <v>2099</v>
      </c>
      <c r="N659" s="10" t="s">
        <v>2100</v>
      </c>
      <c r="O659" s="10" t="s">
        <v>61</v>
      </c>
      <c r="P659" s="10" t="s">
        <v>62</v>
      </c>
    </row>
    <row r="660" customFormat="false" ht="15.75" hidden="false" customHeight="false" outlineLevel="0" collapsed="false">
      <c r="A660" s="10" t="s">
        <v>16</v>
      </c>
      <c r="B660" s="10" t="s">
        <v>1201</v>
      </c>
      <c r="C660" s="10" t="s">
        <v>1202</v>
      </c>
      <c r="D660" s="10" t="s">
        <v>65</v>
      </c>
      <c r="E660" s="10" t="s">
        <v>122</v>
      </c>
      <c r="F660" s="11" t="n">
        <v>45244</v>
      </c>
      <c r="G660" s="12" t="n">
        <v>0.674615798611111</v>
      </c>
      <c r="H660" s="10" t="s">
        <v>29</v>
      </c>
      <c r="I660" s="13" t="n">
        <v>5</v>
      </c>
      <c r="J660" s="13" t="n">
        <v>211.5</v>
      </c>
      <c r="K660" s="13" t="n">
        <v>1057.5</v>
      </c>
      <c r="L660" s="10" t="s">
        <v>2101</v>
      </c>
      <c r="M660" s="10" t="s">
        <v>2102</v>
      </c>
      <c r="N660" s="10" t="s">
        <v>2103</v>
      </c>
      <c r="O660" s="10" t="s">
        <v>61</v>
      </c>
      <c r="P660" s="10" t="s">
        <v>62</v>
      </c>
    </row>
    <row r="661" customFormat="false" ht="15.75" hidden="false" customHeight="false" outlineLevel="0" collapsed="false">
      <c r="A661" s="10" t="s">
        <v>16</v>
      </c>
      <c r="B661" s="10" t="s">
        <v>1201</v>
      </c>
      <c r="C661" s="10" t="s">
        <v>1202</v>
      </c>
      <c r="D661" s="10" t="s">
        <v>65</v>
      </c>
      <c r="E661" s="10" t="s">
        <v>122</v>
      </c>
      <c r="F661" s="11" t="n">
        <v>45244</v>
      </c>
      <c r="G661" s="12" t="n">
        <v>0.674194861111111</v>
      </c>
      <c r="H661" s="10" t="s">
        <v>29</v>
      </c>
      <c r="I661" s="13" t="n">
        <v>2</v>
      </c>
      <c r="J661" s="13" t="n">
        <v>211.5</v>
      </c>
      <c r="K661" s="13" t="n">
        <v>423</v>
      </c>
      <c r="L661" s="10" t="s">
        <v>2104</v>
      </c>
      <c r="M661" s="10" t="s">
        <v>2105</v>
      </c>
      <c r="N661" s="10" t="s">
        <v>2106</v>
      </c>
      <c r="O661" s="10" t="s">
        <v>61</v>
      </c>
      <c r="P661" s="10" t="s">
        <v>62</v>
      </c>
    </row>
    <row r="662" customFormat="false" ht="15.75" hidden="false" customHeight="false" outlineLevel="0" collapsed="false">
      <c r="A662" s="10" t="s">
        <v>16</v>
      </c>
      <c r="B662" s="10" t="s">
        <v>921</v>
      </c>
      <c r="C662" s="10" t="s">
        <v>922</v>
      </c>
      <c r="D662" s="10" t="s">
        <v>923</v>
      </c>
      <c r="E662" s="10" t="s">
        <v>924</v>
      </c>
      <c r="F662" s="11" t="n">
        <v>45245</v>
      </c>
      <c r="G662" s="12" t="n">
        <v>0.912500046296296</v>
      </c>
      <c r="H662" s="10" t="s">
        <v>37</v>
      </c>
      <c r="I662" s="13" t="n">
        <v>173</v>
      </c>
      <c r="J662" s="13" t="n">
        <v>191.67</v>
      </c>
      <c r="K662" s="13" t="n">
        <v>33158.91</v>
      </c>
      <c r="L662" s="10" t="s">
        <v>2107</v>
      </c>
      <c r="M662" s="10" t="s">
        <v>2108</v>
      </c>
      <c r="N662" s="10"/>
      <c r="O662" s="10" t="s">
        <v>23</v>
      </c>
      <c r="P662" s="10" t="s">
        <v>24</v>
      </c>
    </row>
    <row r="663" customFormat="false" ht="15.75" hidden="false" customHeight="false" outlineLevel="0" collapsed="false">
      <c r="A663" s="10" t="s">
        <v>16</v>
      </c>
      <c r="B663" s="10" t="s">
        <v>2109</v>
      </c>
      <c r="C663" s="10" t="s">
        <v>2110</v>
      </c>
      <c r="D663" s="10" t="s">
        <v>147</v>
      </c>
      <c r="E663" s="10" t="s">
        <v>148</v>
      </c>
      <c r="F663" s="11" t="n">
        <v>45245</v>
      </c>
      <c r="G663" s="12" t="n">
        <v>0.534916296296296</v>
      </c>
      <c r="H663" s="10" t="s">
        <v>37</v>
      </c>
      <c r="I663" s="13" t="n">
        <v>24</v>
      </c>
      <c r="J663" s="13" t="n">
        <v>40.42</v>
      </c>
      <c r="K663" s="13" t="n">
        <v>970.08</v>
      </c>
      <c r="L663" s="10" t="s">
        <v>2111</v>
      </c>
      <c r="M663" s="10" t="s">
        <v>2112</v>
      </c>
      <c r="N663" s="10"/>
      <c r="O663" s="10" t="s">
        <v>61</v>
      </c>
      <c r="P663" s="10" t="s">
        <v>62</v>
      </c>
    </row>
    <row r="664" customFormat="false" ht="15.75" hidden="false" customHeight="false" outlineLevel="0" collapsed="false">
      <c r="A664" s="10" t="s">
        <v>16</v>
      </c>
      <c r="B664" s="10" t="s">
        <v>409</v>
      </c>
      <c r="C664" s="10" t="s">
        <v>410</v>
      </c>
      <c r="D664" s="10" t="s">
        <v>255</v>
      </c>
      <c r="E664" s="10" t="s">
        <v>71</v>
      </c>
      <c r="F664" s="11" t="n">
        <v>45247</v>
      </c>
      <c r="G664" s="12" t="n">
        <v>0.793673923611111</v>
      </c>
      <c r="H664" s="10" t="s">
        <v>37</v>
      </c>
      <c r="I664" s="13" t="n">
        <v>1</v>
      </c>
      <c r="J664" s="13" t="n">
        <v>72.92</v>
      </c>
      <c r="K664" s="13" t="n">
        <v>72.92</v>
      </c>
      <c r="L664" s="10" t="s">
        <v>2113</v>
      </c>
      <c r="M664" s="10" t="s">
        <v>2114</v>
      </c>
      <c r="N664" s="10"/>
      <c r="O664" s="10" t="s">
        <v>23</v>
      </c>
      <c r="P664" s="10" t="s">
        <v>24</v>
      </c>
    </row>
    <row r="665" customFormat="false" ht="15.75" hidden="false" customHeight="false" outlineLevel="0" collapsed="false">
      <c r="A665" s="10" t="s">
        <v>16</v>
      </c>
      <c r="B665" s="10" t="s">
        <v>867</v>
      </c>
      <c r="C665" s="10" t="s">
        <v>868</v>
      </c>
      <c r="D665" s="10" t="s">
        <v>633</v>
      </c>
      <c r="E665" s="10" t="s">
        <v>208</v>
      </c>
      <c r="F665" s="11" t="n">
        <v>45247</v>
      </c>
      <c r="G665" s="12" t="n">
        <v>0.792575381944444</v>
      </c>
      <c r="H665" s="10" t="s">
        <v>37</v>
      </c>
      <c r="I665" s="13" t="n">
        <v>1</v>
      </c>
      <c r="J665" s="13" t="n">
        <v>135</v>
      </c>
      <c r="K665" s="13" t="n">
        <v>135</v>
      </c>
      <c r="L665" s="10" t="s">
        <v>2115</v>
      </c>
      <c r="M665" s="10" t="s">
        <v>2116</v>
      </c>
      <c r="N665" s="10"/>
      <c r="O665" s="10" t="s">
        <v>23</v>
      </c>
      <c r="P665" s="10" t="s">
        <v>24</v>
      </c>
    </row>
    <row r="666" customFormat="false" ht="15.75" hidden="false" customHeight="false" outlineLevel="0" collapsed="false">
      <c r="A666" s="10" t="s">
        <v>16</v>
      </c>
      <c r="B666" s="10" t="s">
        <v>2117</v>
      </c>
      <c r="C666" s="10" t="s">
        <v>2118</v>
      </c>
      <c r="D666" s="10" t="s">
        <v>174</v>
      </c>
      <c r="E666" s="10" t="s">
        <v>36</v>
      </c>
      <c r="F666" s="11" t="n">
        <v>45247</v>
      </c>
      <c r="G666" s="12" t="n">
        <v>0.734780138888889</v>
      </c>
      <c r="H666" s="10" t="s">
        <v>37</v>
      </c>
      <c r="I666" s="13" t="n">
        <v>1</v>
      </c>
      <c r="J666" s="13" t="n">
        <v>130.83</v>
      </c>
      <c r="K666" s="13" t="n">
        <v>130.83</v>
      </c>
      <c r="L666" s="10" t="s">
        <v>2119</v>
      </c>
      <c r="M666" s="10" t="s">
        <v>2120</v>
      </c>
      <c r="N666" s="10"/>
      <c r="O666" s="10" t="s">
        <v>23</v>
      </c>
      <c r="P666" s="10" t="s">
        <v>24</v>
      </c>
    </row>
    <row r="667" customFormat="false" ht="15.75" hidden="false" customHeight="false" outlineLevel="0" collapsed="false">
      <c r="A667" s="10" t="s">
        <v>16</v>
      </c>
      <c r="B667" s="10" t="s">
        <v>2121</v>
      </c>
      <c r="C667" s="10" t="s">
        <v>2122</v>
      </c>
      <c r="D667" s="10" t="s">
        <v>308</v>
      </c>
      <c r="E667" s="10" t="s">
        <v>96</v>
      </c>
      <c r="F667" s="11" t="n">
        <v>45248</v>
      </c>
      <c r="G667" s="12" t="n">
        <v>0.955661226851852</v>
      </c>
      <c r="H667" s="10" t="s">
        <v>37</v>
      </c>
      <c r="I667" s="13" t="n">
        <v>1</v>
      </c>
      <c r="J667" s="13" t="n">
        <v>180.2</v>
      </c>
      <c r="K667" s="13" t="n">
        <v>180.2</v>
      </c>
      <c r="L667" s="10" t="s">
        <v>2123</v>
      </c>
      <c r="M667" s="10" t="s">
        <v>2124</v>
      </c>
      <c r="N667" s="10"/>
      <c r="O667" s="10" t="s">
        <v>23</v>
      </c>
      <c r="P667" s="10" t="s">
        <v>24</v>
      </c>
    </row>
    <row r="668" customFormat="false" ht="15.75" hidden="false" customHeight="false" outlineLevel="0" collapsed="false">
      <c r="A668" s="10" t="s">
        <v>16</v>
      </c>
      <c r="B668" s="10" t="s">
        <v>679</v>
      </c>
      <c r="C668" s="10" t="s">
        <v>680</v>
      </c>
      <c r="D668" s="10" t="s">
        <v>142</v>
      </c>
      <c r="E668" s="10" t="s">
        <v>28</v>
      </c>
      <c r="F668" s="11" t="n">
        <v>45248</v>
      </c>
      <c r="G668" s="12" t="n">
        <v>0.902701678240741</v>
      </c>
      <c r="H668" s="10" t="s">
        <v>37</v>
      </c>
      <c r="I668" s="13" t="n">
        <v>1</v>
      </c>
      <c r="J668" s="13" t="n">
        <v>905.36</v>
      </c>
      <c r="K668" s="13" t="n">
        <v>905.36</v>
      </c>
      <c r="L668" s="10" t="s">
        <v>2125</v>
      </c>
      <c r="M668" s="10" t="s">
        <v>2126</v>
      </c>
      <c r="N668" s="10"/>
      <c r="O668" s="10" t="s">
        <v>23</v>
      </c>
      <c r="P668" s="10" t="s">
        <v>24</v>
      </c>
    </row>
    <row r="669" customFormat="false" ht="15.75" hidden="false" customHeight="false" outlineLevel="0" collapsed="false">
      <c r="A669" s="10" t="s">
        <v>16</v>
      </c>
      <c r="B669" s="10" t="s">
        <v>2086</v>
      </c>
      <c r="C669" s="10" t="s">
        <v>2087</v>
      </c>
      <c r="D669" s="10" t="s">
        <v>255</v>
      </c>
      <c r="E669" s="10" t="s">
        <v>71</v>
      </c>
      <c r="F669" s="11" t="n">
        <v>45249</v>
      </c>
      <c r="G669" s="12" t="n">
        <v>0.881474386574074</v>
      </c>
      <c r="H669" s="10" t="s">
        <v>37</v>
      </c>
      <c r="I669" s="13" t="n">
        <v>1</v>
      </c>
      <c r="J669" s="13" t="n">
        <v>142</v>
      </c>
      <c r="K669" s="13" t="n">
        <v>142</v>
      </c>
      <c r="L669" s="10" t="s">
        <v>2127</v>
      </c>
      <c r="M669" s="10" t="s">
        <v>2128</v>
      </c>
      <c r="N669" s="10"/>
      <c r="O669" s="10" t="s">
        <v>23</v>
      </c>
      <c r="P669" s="10" t="s">
        <v>24</v>
      </c>
    </row>
    <row r="670" customFormat="false" ht="15.75" hidden="false" customHeight="false" outlineLevel="0" collapsed="false">
      <c r="A670" s="10" t="s">
        <v>16</v>
      </c>
      <c r="B670" s="10" t="s">
        <v>409</v>
      </c>
      <c r="C670" s="10" t="s">
        <v>410</v>
      </c>
      <c r="D670" s="10" t="s">
        <v>255</v>
      </c>
      <c r="E670" s="10" t="s">
        <v>71</v>
      </c>
      <c r="F670" s="11" t="n">
        <v>45249</v>
      </c>
      <c r="G670" s="12" t="n">
        <v>0.878024467592593</v>
      </c>
      <c r="H670" s="10" t="s">
        <v>37</v>
      </c>
      <c r="I670" s="13" t="n">
        <v>4</v>
      </c>
      <c r="J670" s="13" t="n">
        <v>72.92</v>
      </c>
      <c r="K670" s="13" t="n">
        <v>291.68</v>
      </c>
      <c r="L670" s="10" t="s">
        <v>2129</v>
      </c>
      <c r="M670" s="10" t="s">
        <v>2130</v>
      </c>
      <c r="N670" s="10"/>
      <c r="O670" s="10" t="s">
        <v>23</v>
      </c>
      <c r="P670" s="10" t="s">
        <v>24</v>
      </c>
    </row>
    <row r="671" customFormat="false" ht="15.75" hidden="false" customHeight="false" outlineLevel="0" collapsed="false">
      <c r="A671" s="10" t="s">
        <v>16</v>
      </c>
      <c r="B671" s="10" t="s">
        <v>2131</v>
      </c>
      <c r="C671" s="10" t="s">
        <v>2132</v>
      </c>
      <c r="D671" s="10" t="s">
        <v>1159</v>
      </c>
      <c r="E671" s="10" t="s">
        <v>96</v>
      </c>
      <c r="F671" s="11" t="n">
        <v>45249</v>
      </c>
      <c r="G671" s="12" t="n">
        <v>0.808860462962963</v>
      </c>
      <c r="H671" s="10" t="s">
        <v>37</v>
      </c>
      <c r="I671" s="13" t="n">
        <v>1</v>
      </c>
      <c r="J671" s="13" t="n">
        <v>39</v>
      </c>
      <c r="K671" s="13" t="n">
        <v>39</v>
      </c>
      <c r="L671" s="10" t="s">
        <v>2133</v>
      </c>
      <c r="M671" s="10" t="s">
        <v>2134</v>
      </c>
      <c r="N671" s="10"/>
      <c r="O671" s="10" t="s">
        <v>23</v>
      </c>
      <c r="P671" s="10" t="s">
        <v>24</v>
      </c>
    </row>
    <row r="672" customFormat="false" ht="15.75" hidden="false" customHeight="false" outlineLevel="0" collapsed="false">
      <c r="A672" s="10" t="s">
        <v>16</v>
      </c>
      <c r="B672" s="10" t="s">
        <v>2135</v>
      </c>
      <c r="C672" s="10" t="s">
        <v>2136</v>
      </c>
      <c r="D672" s="10" t="s">
        <v>487</v>
      </c>
      <c r="E672" s="10" t="s">
        <v>333</v>
      </c>
      <c r="F672" s="11" t="n">
        <v>45249</v>
      </c>
      <c r="G672" s="12" t="n">
        <v>0.557481111111111</v>
      </c>
      <c r="H672" s="10" t="s">
        <v>37</v>
      </c>
      <c r="I672" s="13" t="n">
        <v>7</v>
      </c>
      <c r="J672" s="13" t="n">
        <v>2425</v>
      </c>
      <c r="K672" s="13" t="n">
        <v>16975</v>
      </c>
      <c r="L672" s="10" t="s">
        <v>2137</v>
      </c>
      <c r="M672" s="10" t="s">
        <v>2138</v>
      </c>
      <c r="N672" s="10"/>
      <c r="O672" s="10" t="s">
        <v>61</v>
      </c>
      <c r="P672" s="10" t="s">
        <v>62</v>
      </c>
    </row>
    <row r="673" customFormat="false" ht="15.75" hidden="false" customHeight="false" outlineLevel="0" collapsed="false">
      <c r="A673" s="10" t="s">
        <v>16</v>
      </c>
      <c r="B673" s="10" t="s">
        <v>2139</v>
      </c>
      <c r="C673" s="10" t="s">
        <v>2140</v>
      </c>
      <c r="D673" s="10" t="s">
        <v>747</v>
      </c>
      <c r="E673" s="10" t="s">
        <v>90</v>
      </c>
      <c r="F673" s="11" t="n">
        <v>45249</v>
      </c>
      <c r="G673" s="12" t="n">
        <v>0.417973773148148</v>
      </c>
      <c r="H673" s="10" t="s">
        <v>29</v>
      </c>
      <c r="I673" s="13" t="n">
        <v>18</v>
      </c>
      <c r="J673" s="13" t="n">
        <v>837.2</v>
      </c>
      <c r="K673" s="13" t="n">
        <v>15069.6</v>
      </c>
      <c r="L673" s="10" t="s">
        <v>2141</v>
      </c>
      <c r="M673" s="10" t="s">
        <v>2142</v>
      </c>
      <c r="N673" s="10" t="s">
        <v>2143</v>
      </c>
      <c r="O673" s="10" t="s">
        <v>61</v>
      </c>
      <c r="P673" s="10" t="s">
        <v>62</v>
      </c>
    </row>
    <row r="674" customFormat="false" ht="15.75" hidden="false" customHeight="false" outlineLevel="0" collapsed="false">
      <c r="A674" s="10" t="s">
        <v>16</v>
      </c>
      <c r="B674" s="10" t="s">
        <v>2144</v>
      </c>
      <c r="C674" s="10" t="s">
        <v>2145</v>
      </c>
      <c r="D674" s="10" t="s">
        <v>747</v>
      </c>
      <c r="E674" s="10" t="s">
        <v>90</v>
      </c>
      <c r="F674" s="11" t="n">
        <v>45249</v>
      </c>
      <c r="G674" s="12" t="n">
        <v>0.417315011574074</v>
      </c>
      <c r="H674" s="10" t="s">
        <v>29</v>
      </c>
      <c r="I674" s="13" t="n">
        <v>8</v>
      </c>
      <c r="J674" s="13" t="n">
        <v>335.8</v>
      </c>
      <c r="K674" s="13" t="n">
        <v>2686.4</v>
      </c>
      <c r="L674" s="10" t="s">
        <v>2146</v>
      </c>
      <c r="M674" s="10" t="s">
        <v>2147</v>
      </c>
      <c r="N674" s="10" t="s">
        <v>2143</v>
      </c>
      <c r="O674" s="10" t="s">
        <v>61</v>
      </c>
      <c r="P674" s="10" t="s">
        <v>62</v>
      </c>
    </row>
    <row r="675" customFormat="false" ht="15.75" hidden="false" customHeight="false" outlineLevel="0" collapsed="false">
      <c r="A675" s="10" t="s">
        <v>16</v>
      </c>
      <c r="B675" s="10" t="s">
        <v>2148</v>
      </c>
      <c r="C675" s="10" t="s">
        <v>2149</v>
      </c>
      <c r="D675" s="10" t="s">
        <v>1032</v>
      </c>
      <c r="E675" s="10" t="s">
        <v>553</v>
      </c>
      <c r="F675" s="11" t="n">
        <v>45250</v>
      </c>
      <c r="G675" s="12" t="n">
        <v>0.917904548611111</v>
      </c>
      <c r="H675" s="10" t="s">
        <v>37</v>
      </c>
      <c r="I675" s="13" t="n">
        <v>1</v>
      </c>
      <c r="J675" s="13" t="n">
        <v>45</v>
      </c>
      <c r="K675" s="13" t="n">
        <v>45</v>
      </c>
      <c r="L675" s="10" t="s">
        <v>2150</v>
      </c>
      <c r="M675" s="10" t="s">
        <v>2151</v>
      </c>
      <c r="N675" s="10"/>
      <c r="O675" s="10" t="s">
        <v>23</v>
      </c>
      <c r="P675" s="10" t="s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2" min="12" style="0" width="24"/>
    <col collapsed="false" customWidth="true" hidden="false" outlineLevel="0" max="17" min="17" style="0" width="24"/>
  </cols>
  <sheetData>
    <row r="1" customFormat="false" ht="15.75" hidden="false" customHeight="false" outlineLevel="0" collapsed="false">
      <c r="A1" s="14" t="str">
        <f aca="false">IFERROR(__xludf.dummyfunction("QUERY('Shrinkage - Sheets (Do Not Touc'!A:P)"),"dc_name")</f>
        <v>dc_name</v>
      </c>
      <c r="B1" s="14" t="str">
        <f aca="false">IFERROR(__xludf.dummyfunction("""COMPUTED_VALUE"""),"sku_id")</f>
        <v>sku_id</v>
      </c>
      <c r="C1" s="14" t="str">
        <f aca="false">IFERROR(__xludf.dummyfunction("""COMPUTED_VALUE"""),"sku_name")</f>
        <v>sku_name</v>
      </c>
      <c r="D1" s="14" t="str">
        <f aca="false">IFERROR(__xludf.dummyfunction("""COMPUTED_VALUE"""),"brand")</f>
        <v>brand</v>
      </c>
      <c r="E1" s="14" t="str">
        <f aca="false">IFERROR(__xludf.dummyfunction("""COMPUTED_VALUE"""),"category")</f>
        <v>category</v>
      </c>
      <c r="F1" s="14" t="str">
        <f aca="false">IFERROR(__xludf.dummyfunction("""COMPUTED_VALUE"""),"date_pkt")</f>
        <v>date_pkt</v>
      </c>
      <c r="G1" s="14" t="str">
        <f aca="false">IFERROR(__xludf.dummyfunction("""COMPUTED_VALUE"""),"created_at")</f>
        <v>created_at</v>
      </c>
      <c r="H1" s="14" t="str">
        <f aca="false">IFERROR(__xludf.dummyfunction("""COMPUTED_VALUE"""),"type")</f>
        <v>type</v>
      </c>
      <c r="I1" s="14" t="str">
        <f aca="false">IFERROR(__xludf.dummyfunction("""COMPUTED_VALUE"""),"quantity")</f>
        <v>quantity</v>
      </c>
      <c r="J1" s="14" t="str">
        <f aca="false">IFERROR(__xludf.dummyfunction("""COMPUTED_VALUE"""),"pp")</f>
        <v>pp</v>
      </c>
      <c r="K1" s="14" t="str">
        <f aca="false">IFERROR(__xludf.dummyfunction("""COMPUTED_VALUE"""),"inventory_value")</f>
        <v>inventory_value</v>
      </c>
      <c r="L1" s="14" t="str">
        <f aca="false">IFERROR(__xludf.dummyfunction("""COMPUTED_VALUE"""),"notes")</f>
        <v>notes</v>
      </c>
      <c r="M1" s="14" t="str">
        <f aca="false">IFERROR(__xludf.dummyfunction("""COMPUTED_VALUE"""),"code")</f>
        <v>code</v>
      </c>
      <c r="N1" s="14" t="str">
        <f aca="false">IFERROR(__xludf.dummyfunction("""COMPUTED_VALUE"""),"expiry")</f>
        <v>expiry</v>
      </c>
      <c r="O1" s="14" t="str">
        <f aca="false">IFERROR(__xludf.dummyfunction("""COMPUTED_VALUE"""),"requester_email")</f>
        <v>requester_email</v>
      </c>
      <c r="P1" s="14" t="str">
        <f aca="false">IFERROR(__xludf.dummyfunction("""COMPUTED_VALUE"""),"requester_name")</f>
        <v>requester_name</v>
      </c>
      <c r="Q1" s="15" t="s">
        <v>2152</v>
      </c>
    </row>
    <row r="2" customFormat="false" ht="15.75" hidden="false" customHeight="false" outlineLevel="0" collapsed="false">
      <c r="A2" s="13" t="str">
        <f aca="false">IFERROR(__xludf.dummyfunction("""COMPUTED_VALUE"""),"Metro DC Faisalabad")</f>
        <v>Metro DC Faisalabad</v>
      </c>
      <c r="B2" s="13" t="str">
        <f aca="false">IFERROR(__xludf.dummyfunction("""COMPUTED_VALUE"""),"137560e5-2617-406b-ad61-b7a155b2b5c1")</f>
        <v>137560e5-2617-406b-ad61-b7a155b2b5c1</v>
      </c>
      <c r="C2" s="13" t="str">
        <f aca="false">IFERROR(__xludf.dummyfunction("""COMPUTED_VALUE"""),"Sherdil Black Chana 5kg")</f>
        <v>Sherdil Black Chana 5kg</v>
      </c>
      <c r="D2" s="13" t="str">
        <f aca="false">IFERROR(__xludf.dummyfunction("""COMPUTED_VALUE"""),"Sherdil")</f>
        <v>Sherdil</v>
      </c>
      <c r="E2" s="13" t="str">
        <f aca="false">IFERROR(__xludf.dummyfunction("""COMPUTED_VALUE"""),"Pulses")</f>
        <v>Pulses</v>
      </c>
      <c r="F2" s="11" t="n">
        <f aca="false">IFERROR(__xludf.dummyfunction("""COMPUTED_VALUE"""),44962)</f>
        <v>44962</v>
      </c>
      <c r="G2" s="16" t="n">
        <f aca="false">IFERROR(__xludf.dummyfunction("""COMPUTED_VALUE"""),0.993738923609861)</f>
        <v>0.9937389236</v>
      </c>
      <c r="H2" s="13" t="str">
        <f aca="false">IFERROR(__xludf.dummyfunction("""COMPUTED_VALUE"""),"missing stock")</f>
        <v>missing stock</v>
      </c>
      <c r="I2" s="13" t="n">
        <f aca="false">IFERROR(__xludf.dummyfunction("""COMPUTED_VALUE"""),1)</f>
        <v>1</v>
      </c>
      <c r="J2" s="13" t="n">
        <f aca="false">IFERROR(__xludf.dummyfunction("""COMPUTED_VALUE"""),1299)</f>
        <v>1299</v>
      </c>
      <c r="K2" s="13" t="n">
        <f aca="false">IFERROR(__xludf.dummyfunction("""COMPUTED_VALUE"""),1299)</f>
        <v>1299</v>
      </c>
      <c r="L2" s="13" t="str">
        <f aca="false">IFERROR(__xludf.dummyfunction("""COMPUTED_VALUE"""),"TA: The required SKU not available on floor.")</f>
        <v>TA: The required SKU not available on floor.</v>
      </c>
      <c r="M2" s="13"/>
      <c r="N2" s="13"/>
      <c r="O2" s="13" t="str">
        <f aca="false">IFERROR(__xludf.dummyfunction("""COMPUTED_VALUE"""),"taufeeq.akhtar@tajir-app.com")</f>
        <v>taufeeq.akhtar@tajir-app.com</v>
      </c>
      <c r="P2" s="13" t="str">
        <f aca="false">IFERROR(__xludf.dummyfunction("""COMPUTED_VALUE"""),"Taufeeq Akhtar ")</f>
        <v>Taufeeq Akhtar </v>
      </c>
      <c r="Q2" s="13" t="str">
        <f aca="false">IF(L2="","",L2)</f>
        <v>TA: The required SKU not available on floor.</v>
      </c>
    </row>
    <row r="3" customFormat="false" ht="15.75" hidden="false" customHeight="false" outlineLevel="0" collapsed="false">
      <c r="A3" s="13" t="str">
        <f aca="false">IFERROR(__xludf.dummyfunction("""COMPUTED_VALUE"""),"Metro DC Faisalabad")</f>
        <v>Metro DC Faisalabad</v>
      </c>
      <c r="B3" s="13" t="str">
        <f aca="false">IFERROR(__xludf.dummyfunction("""COMPUTED_VALUE"""),"b49f59be-4eb3-441c-845d-cb7ea2398677")</f>
        <v>b49f59be-4eb3-441c-845d-cb7ea2398677</v>
      </c>
      <c r="C3" s="13" t="str">
        <f aca="false">IFERROR(__xludf.dummyfunction("""COMPUTED_VALUE"""),"Murree Brewery Bigg Lychee Plastic x12 Crate 500ml (Half Liter)")</f>
        <v>Murree Brewery Bigg Lychee Plastic x12 Crate 500ml (Half Liter)</v>
      </c>
      <c r="D3" s="13" t="str">
        <f aca="false">IFERROR(__xludf.dummyfunction("""COMPUTED_VALUE"""),"Murree Brewery")</f>
        <v>Murree Brewery</v>
      </c>
      <c r="E3" s="13" t="str">
        <f aca="false">IFERROR(__xludf.dummyfunction("""COMPUTED_VALUE"""),"Beverages")</f>
        <v>Beverages</v>
      </c>
      <c r="F3" s="11" t="n">
        <f aca="false">IFERROR(__xludf.dummyfunction("""COMPUTED_VALUE"""),44963)</f>
        <v>44963</v>
      </c>
      <c r="G3" s="16" t="n">
        <f aca="false">IFERROR(__xludf.dummyfunction("""COMPUTED_VALUE"""),0.889199432869573)</f>
        <v>0.8891994329</v>
      </c>
      <c r="H3" s="13" t="str">
        <f aca="false">IFERROR(__xludf.dummyfunction("""COMPUTED_VALUE"""),"expired stock")</f>
        <v>expired stock</v>
      </c>
      <c r="I3" s="13" t="n">
        <f aca="false">IFERROR(__xludf.dummyfunction("""COMPUTED_VALUE"""),1)</f>
        <v>1</v>
      </c>
      <c r="J3" s="13" t="n">
        <f aca="false">IFERROR(__xludf.dummyfunction("""COMPUTED_VALUE"""),451.25)</f>
        <v>451.25</v>
      </c>
      <c r="K3" s="13" t="n">
        <f aca="false">IFERROR(__xludf.dummyfunction("""COMPUTED_VALUE"""),451.25)</f>
        <v>451.25</v>
      </c>
      <c r="L3" s="13" t="str">
        <f aca="false">IFERROR(__xludf.dummyfunction("""COMPUTED_VALUE"""),"MM: 01 Selling unit expire on 20-Feb-2023")</f>
        <v>MM: 01 Selling unit expire on 20-Feb-2023</v>
      </c>
      <c r="M3" s="13"/>
      <c r="N3" s="13"/>
      <c r="O3" s="13" t="str">
        <f aca="false">IFERROR(__xludf.dummyfunction("""COMPUTED_VALUE"""),"moazam.abrar@tajir-app.com")</f>
        <v>moazam.abrar@tajir-app.com</v>
      </c>
      <c r="P3" s="13" t="str">
        <f aca="false">IFERROR(__xludf.dummyfunction("""COMPUTED_VALUE"""),"Muhammad Moazam Ali")</f>
        <v>Muhammad Moazam Ali</v>
      </c>
      <c r="Q3" s="13" t="str">
        <f aca="false">IF(L3="","",L3)</f>
        <v>MM: 01 Selling unit expire on 20-Feb-2023</v>
      </c>
    </row>
    <row r="4" customFormat="false" ht="15.75" hidden="false" customHeight="false" outlineLevel="0" collapsed="false">
      <c r="A4" s="13" t="str">
        <f aca="false">IFERROR(__xludf.dummyfunction("""COMPUTED_VALUE"""),"Metro DC Faisalabad")</f>
        <v>Metro DC Faisalabad</v>
      </c>
      <c r="B4" s="13" t="str">
        <f aca="false">IFERROR(__xludf.dummyfunction("""COMPUTED_VALUE"""),"9dcddc55-b946-4af1-ae7a-33dc07b5aaff")</f>
        <v>9dcddc55-b946-4af1-ae7a-33dc07b5aaff</v>
      </c>
      <c r="C4" s="13" t="str">
        <f aca="false">IFERROR(__xludf.dummyfunction("""COMPUTED_VALUE"""),"Juice Time Peach 1L")</f>
        <v>Juice Time Peach 1L</v>
      </c>
      <c r="D4" s="13" t="str">
        <f aca="false">IFERROR(__xludf.dummyfunction("""COMPUTED_VALUE"""),"Juice Time")</f>
        <v>Juice Time</v>
      </c>
      <c r="E4" s="13" t="str">
        <f aca="false">IFERROR(__xludf.dummyfunction("""COMPUTED_VALUE"""),"Juice, Syrup, Squash")</f>
        <v>Juice, Syrup, Squash</v>
      </c>
      <c r="F4" s="11" t="n">
        <f aca="false">IFERROR(__xludf.dummyfunction("""COMPUTED_VALUE"""),44963)</f>
        <v>44963</v>
      </c>
      <c r="G4" s="16" t="n">
        <f aca="false">IFERROR(__xludf.dummyfunction("""COMPUTED_VALUE"""),0.756364560186252)</f>
        <v>0.7563645602</v>
      </c>
      <c r="H4" s="13" t="str">
        <f aca="false">IFERROR(__xludf.dummyfunction("""COMPUTED_VALUE"""),"damaged stock")</f>
        <v>damaged stock</v>
      </c>
      <c r="I4" s="13" t="n">
        <f aca="false">IFERROR(__xludf.dummyfunction("""COMPUTED_VALUE"""),1)</f>
        <v>1</v>
      </c>
      <c r="J4" s="13" t="n">
        <f aca="false">IFERROR(__xludf.dummyfunction("""COMPUTED_VALUE"""),84.17)</f>
        <v>84.17</v>
      </c>
      <c r="K4" s="13" t="n">
        <f aca="false">IFERROR(__xludf.dummyfunction("""COMPUTED_VALUE"""),84.17)</f>
        <v>84.17</v>
      </c>
      <c r="L4" s="13" t="str">
        <f aca="false">IFERROR(__xludf.dummyfunction("""COMPUTED_VALUE"""),"MM: 01 Selling unit found damaged from ctn")</f>
        <v>MM: 01 Selling unit found damaged from ctn</v>
      </c>
      <c r="M4" s="13"/>
      <c r="N4" s="13"/>
      <c r="O4" s="13" t="str">
        <f aca="false">IFERROR(__xludf.dummyfunction("""COMPUTED_VALUE"""),"moazam.abrar@tajir-app.com")</f>
        <v>moazam.abrar@tajir-app.com</v>
      </c>
      <c r="P4" s="13" t="str">
        <f aca="false">IFERROR(__xludf.dummyfunction("""COMPUTED_VALUE"""),"Muhammad Moazam Ali")</f>
        <v>Muhammad Moazam Ali</v>
      </c>
      <c r="Q4" s="13" t="str">
        <f aca="false">IF(L4="","",L4)</f>
        <v>MM: 01 Selling unit found damaged from ctn</v>
      </c>
    </row>
    <row r="5" customFormat="false" ht="15.75" hidden="false" customHeight="false" outlineLevel="0" collapsed="false">
      <c r="A5" s="13" t="str">
        <f aca="false">IFERROR(__xludf.dummyfunction("""COMPUTED_VALUE"""),"Metro DC Faisalabad")</f>
        <v>Metro DC Faisalabad</v>
      </c>
      <c r="B5" s="13" t="str">
        <f aca="false">IFERROR(__xludf.dummyfunction("""COMPUTED_VALUE"""),"7aa66a56-9483-4d1f-a55d-afced12899de")</f>
        <v>7aa66a56-9483-4d1f-a55d-afced12899de</v>
      </c>
      <c r="C5" s="13" t="str">
        <f aca="false">IFERROR(__xludf.dummyfunction("""COMPUTED_VALUE"""),"Juice Time Mango 1L")</f>
        <v>Juice Time Mango 1L</v>
      </c>
      <c r="D5" s="13" t="str">
        <f aca="false">IFERROR(__xludf.dummyfunction("""COMPUTED_VALUE"""),"Juice Time")</f>
        <v>Juice Time</v>
      </c>
      <c r="E5" s="13" t="str">
        <f aca="false">IFERROR(__xludf.dummyfunction("""COMPUTED_VALUE"""),"Juice, Syrup, Squash")</f>
        <v>Juice, Syrup, Squash</v>
      </c>
      <c r="F5" s="11" t="n">
        <f aca="false">IFERROR(__xludf.dummyfunction("""COMPUTED_VALUE"""),44963)</f>
        <v>44963</v>
      </c>
      <c r="G5" s="16" t="n">
        <f aca="false">IFERROR(__xludf.dummyfunction("""COMPUTED_VALUE"""),0.754461215278963)</f>
        <v>0.7544612153</v>
      </c>
      <c r="H5" s="13" t="str">
        <f aca="false">IFERROR(__xludf.dummyfunction("""COMPUTED_VALUE"""),"damaged stock")</f>
        <v>damaged stock</v>
      </c>
      <c r="I5" s="13" t="n">
        <f aca="false">IFERROR(__xludf.dummyfunction("""COMPUTED_VALUE"""),7)</f>
        <v>7</v>
      </c>
      <c r="J5" s="13" t="n">
        <f aca="false">IFERROR(__xludf.dummyfunction("""COMPUTED_VALUE"""),84.17)</f>
        <v>84.17</v>
      </c>
      <c r="K5" s="13" t="n">
        <f aca="false">IFERROR(__xludf.dummyfunction("""COMPUTED_VALUE"""),589.19)</f>
        <v>589.19</v>
      </c>
      <c r="L5" s="13" t="str">
        <f aca="false">IFERROR(__xludf.dummyfunction("""COMPUTED_VALUE"""),"MM: 07 selling unit found damaged from ctn")</f>
        <v>MM: 07 selling unit found damaged from ctn</v>
      </c>
      <c r="M5" s="13"/>
      <c r="N5" s="13"/>
      <c r="O5" s="13" t="str">
        <f aca="false">IFERROR(__xludf.dummyfunction("""COMPUTED_VALUE"""),"moazam.abrar@tajir-app.com")</f>
        <v>moazam.abrar@tajir-app.com</v>
      </c>
      <c r="P5" s="13" t="str">
        <f aca="false">IFERROR(__xludf.dummyfunction("""COMPUTED_VALUE"""),"Muhammad Moazam Ali")</f>
        <v>Muhammad Moazam Ali</v>
      </c>
      <c r="Q5" s="13" t="str">
        <f aca="false">IF(L5="","",L5)</f>
        <v>MM: 07 selling unit found damaged from ctn</v>
      </c>
    </row>
    <row r="6" customFormat="false" ht="15.75" hidden="false" customHeight="false" outlineLevel="0" collapsed="false">
      <c r="A6" s="13" t="str">
        <f aca="false">IFERROR(__xludf.dummyfunction("""COMPUTED_VALUE"""),"Metro DC Faisalabad")</f>
        <v>Metro DC Faisalabad</v>
      </c>
      <c r="B6" s="13" t="str">
        <f aca="false">IFERROR(__xludf.dummyfunction("""COMPUTED_VALUE"""),"b49f59be-4eb3-441c-845d-cb7ea2398677")</f>
        <v>b49f59be-4eb3-441c-845d-cb7ea2398677</v>
      </c>
      <c r="C6" s="13" t="str">
        <f aca="false">IFERROR(__xludf.dummyfunction("""COMPUTED_VALUE"""),"Murree Brewery Bigg Lychee Plastic x12 Crate 500ml (Half Liter)")</f>
        <v>Murree Brewery Bigg Lychee Plastic x12 Crate 500ml (Half Liter)</v>
      </c>
      <c r="D6" s="13" t="str">
        <f aca="false">IFERROR(__xludf.dummyfunction("""COMPUTED_VALUE"""),"Murree Brewery")</f>
        <v>Murree Brewery</v>
      </c>
      <c r="E6" s="13" t="str">
        <f aca="false">IFERROR(__xludf.dummyfunction("""COMPUTED_VALUE"""),"Beverages")</f>
        <v>Beverages</v>
      </c>
      <c r="F6" s="11" t="n">
        <f aca="false">IFERROR(__xludf.dummyfunction("""COMPUTED_VALUE"""),44963)</f>
        <v>44963</v>
      </c>
      <c r="G6" s="16" t="n">
        <f aca="false">IFERROR(__xludf.dummyfunction("""COMPUTED_VALUE"""),0.650696851851933)</f>
        <v>0.6506968519</v>
      </c>
      <c r="H6" s="13" t="str">
        <f aca="false">IFERROR(__xludf.dummyfunction("""COMPUTED_VALUE"""),"expired stock")</f>
        <v>expired stock</v>
      </c>
      <c r="I6" s="13" t="n">
        <f aca="false">IFERROR(__xludf.dummyfunction("""COMPUTED_VALUE"""),1)</f>
        <v>1</v>
      </c>
      <c r="J6" s="13" t="n">
        <f aca="false">IFERROR(__xludf.dummyfunction("""COMPUTED_VALUE"""),451.25)</f>
        <v>451.25</v>
      </c>
      <c r="K6" s="13" t="n">
        <f aca="false">IFERROR(__xludf.dummyfunction("""COMPUTED_VALUE"""),451.25)</f>
        <v>451.25</v>
      </c>
      <c r="L6" s="13" t="str">
        <f aca="false">IFERROR(__xludf.dummyfunction("""COMPUTED_VALUE"""),"MM: 01 units expire on 20-Feb-23")</f>
        <v>MM: 01 units expire on 20-Feb-23</v>
      </c>
      <c r="M6" s="13"/>
      <c r="N6" s="13"/>
      <c r="O6" s="13" t="str">
        <f aca="false">IFERROR(__xludf.dummyfunction("""COMPUTED_VALUE"""),"moazam.abrar@tajir-app.com")</f>
        <v>moazam.abrar@tajir-app.com</v>
      </c>
      <c r="P6" s="13" t="str">
        <f aca="false">IFERROR(__xludf.dummyfunction("""COMPUTED_VALUE"""),"Muhammad Moazam Ali")</f>
        <v>Muhammad Moazam Ali</v>
      </c>
      <c r="Q6" s="13" t="str">
        <f aca="false">IF(L6="","",L6)</f>
        <v>MM: 01 units expire on 20-Feb-23</v>
      </c>
    </row>
    <row r="7" customFormat="false" ht="15.75" hidden="false" customHeight="false" outlineLevel="0" collapsed="false">
      <c r="A7" s="13" t="str">
        <f aca="false">IFERROR(__xludf.dummyfunction("""COMPUTED_VALUE"""),"Metro DC Faisalabad")</f>
        <v>Metro DC Faisalabad</v>
      </c>
      <c r="B7" s="13" t="str">
        <f aca="false">IFERROR(__xludf.dummyfunction("""COMPUTED_VALUE"""),"6196b8ef-2781-44f9-92d7-b048222e3730")</f>
        <v>6196b8ef-2781-44f9-92d7-b048222e3730</v>
      </c>
      <c r="C7" s="13" t="str">
        <f aca="false">IFERROR(__xludf.dummyfunction("""COMPUTED_VALUE"""),"Murree Brewery Cindy Malt Can x24 Crate 330ml")</f>
        <v>Murree Brewery Cindy Malt Can x24 Crate 330ml</v>
      </c>
      <c r="D7" s="13" t="str">
        <f aca="false">IFERROR(__xludf.dummyfunction("""COMPUTED_VALUE"""),"Murree Brewery")</f>
        <v>Murree Brewery</v>
      </c>
      <c r="E7" s="13" t="str">
        <f aca="false">IFERROR(__xludf.dummyfunction("""COMPUTED_VALUE"""),"Beverages")</f>
        <v>Beverages</v>
      </c>
      <c r="F7" s="11" t="n">
        <f aca="false">IFERROR(__xludf.dummyfunction("""COMPUTED_VALUE"""),44963)</f>
        <v>44963</v>
      </c>
      <c r="G7" s="16" t="n">
        <f aca="false">IFERROR(__xludf.dummyfunction("""COMPUTED_VALUE"""),0.616993148149447)</f>
        <v>0.6169931481</v>
      </c>
      <c r="H7" s="13" t="str">
        <f aca="false">IFERROR(__xludf.dummyfunction("""COMPUTED_VALUE"""),"expired stock")</f>
        <v>expired stock</v>
      </c>
      <c r="I7" s="13" t="n">
        <f aca="false">IFERROR(__xludf.dummyfunction("""COMPUTED_VALUE"""),15)</f>
        <v>15</v>
      </c>
      <c r="J7" s="13" t="n">
        <f aca="false">IFERROR(__xludf.dummyfunction("""COMPUTED_VALUE"""),1228.5)</f>
        <v>1228.5</v>
      </c>
      <c r="K7" s="13" t="n">
        <f aca="false">IFERROR(__xludf.dummyfunction("""COMPUTED_VALUE"""),18427.5)</f>
        <v>18427.5</v>
      </c>
      <c r="L7" s="13" t="str">
        <f aca="false">IFERROR(__xludf.dummyfunction("""COMPUTED_VALUE"""),"MM: 15 units expire on 12-Feb-23")</f>
        <v>MM: 15 units expire on 12-Feb-23</v>
      </c>
      <c r="M7" s="13"/>
      <c r="N7" s="13"/>
      <c r="O7" s="13" t="str">
        <f aca="false">IFERROR(__xludf.dummyfunction("""COMPUTED_VALUE"""),"moazam.abrar@tajir-app.com")</f>
        <v>moazam.abrar@tajir-app.com</v>
      </c>
      <c r="P7" s="13" t="str">
        <f aca="false">IFERROR(__xludf.dummyfunction("""COMPUTED_VALUE"""),"Muhammad Moazam Ali")</f>
        <v>Muhammad Moazam Ali</v>
      </c>
      <c r="Q7" s="13" t="str">
        <f aca="false">IF(L7="","",L7)</f>
        <v>MM: 15 units expire on 12-Feb-23</v>
      </c>
    </row>
    <row r="8" customFormat="false" ht="15.75" hidden="false" customHeight="false" outlineLevel="0" collapsed="false">
      <c r="A8" s="13" t="str">
        <f aca="false">IFERROR(__xludf.dummyfunction("""COMPUTED_VALUE"""),"Metro DC Faisalabad")</f>
        <v>Metro DC Faisalabad</v>
      </c>
      <c r="B8" s="13" t="str">
        <f aca="false">IFERROR(__xludf.dummyfunction("""COMPUTED_VALUE"""),"0460f0ac-20cf-43a8-97d6-19138f83c993")</f>
        <v>0460f0ac-20cf-43a8-97d6-19138f83c993</v>
      </c>
      <c r="C8" s="13" t="str">
        <f aca="false">IFERROR(__xludf.dummyfunction("""COMPUTED_VALUE"""),"Murree Brewery Blitz Malt Can x24 Crate 250ml")</f>
        <v>Murree Brewery Blitz Malt Can x24 Crate 250ml</v>
      </c>
      <c r="D8" s="13" t="str">
        <f aca="false">IFERROR(__xludf.dummyfunction("""COMPUTED_VALUE"""),"Murree Brewery")</f>
        <v>Murree Brewery</v>
      </c>
      <c r="E8" s="13" t="str">
        <f aca="false">IFERROR(__xludf.dummyfunction("""COMPUTED_VALUE"""),"Beverages")</f>
        <v>Beverages</v>
      </c>
      <c r="F8" s="11" t="n">
        <f aca="false">IFERROR(__xludf.dummyfunction("""COMPUTED_VALUE"""),44963)</f>
        <v>44963</v>
      </c>
      <c r="G8" s="16" t="n">
        <f aca="false">IFERROR(__xludf.dummyfunction("""COMPUTED_VALUE"""),0.616653668981648)</f>
        <v>0.616653669</v>
      </c>
      <c r="H8" s="13" t="str">
        <f aca="false">IFERROR(__xludf.dummyfunction("""COMPUTED_VALUE"""),"expired stock")</f>
        <v>expired stock</v>
      </c>
      <c r="I8" s="13" t="n">
        <f aca="false">IFERROR(__xludf.dummyfunction("""COMPUTED_VALUE"""),47)</f>
        <v>47</v>
      </c>
      <c r="J8" s="13" t="n">
        <f aca="false">IFERROR(__xludf.dummyfunction("""COMPUTED_VALUE"""),1228)</f>
        <v>1228</v>
      </c>
      <c r="K8" s="13" t="n">
        <f aca="false">IFERROR(__xludf.dummyfunction("""COMPUTED_VALUE"""),57716)</f>
        <v>57716</v>
      </c>
      <c r="L8" s="13" t="str">
        <f aca="false">IFERROR(__xludf.dummyfunction("""COMPUTED_VALUE"""),"MM: 47 units expire on 25-Feb-23")</f>
        <v>MM: 47 units expire on 25-Feb-23</v>
      </c>
      <c r="M8" s="13"/>
      <c r="N8" s="13"/>
      <c r="O8" s="13" t="str">
        <f aca="false">IFERROR(__xludf.dummyfunction("""COMPUTED_VALUE"""),"moazam.abrar@tajir-app.com")</f>
        <v>moazam.abrar@tajir-app.com</v>
      </c>
      <c r="P8" s="13" t="str">
        <f aca="false">IFERROR(__xludf.dummyfunction("""COMPUTED_VALUE"""),"Muhammad Moazam Ali")</f>
        <v>Muhammad Moazam Ali</v>
      </c>
      <c r="Q8" s="13" t="str">
        <f aca="false">IF(L8="","",L8)</f>
        <v>MM: 47 units expire on 25-Feb-23</v>
      </c>
    </row>
    <row r="9" customFormat="false" ht="15.75" hidden="false" customHeight="false" outlineLevel="0" collapsed="false">
      <c r="A9" s="13" t="str">
        <f aca="false">IFERROR(__xludf.dummyfunction("""COMPUTED_VALUE"""),"Metro DC Faisalabad")</f>
        <v>Metro DC Faisalabad</v>
      </c>
      <c r="B9" s="13" t="str">
        <f aca="false">IFERROR(__xludf.dummyfunction("""COMPUTED_VALUE"""),"b49f59be-4eb3-441c-845d-cb7ea2398677")</f>
        <v>b49f59be-4eb3-441c-845d-cb7ea2398677</v>
      </c>
      <c r="C9" s="13" t="str">
        <f aca="false">IFERROR(__xludf.dummyfunction("""COMPUTED_VALUE"""),"Murree Brewery Bigg Lychee Plastic x12 Crate 500ml (Half Liter)")</f>
        <v>Murree Brewery Bigg Lychee Plastic x12 Crate 500ml (Half Liter)</v>
      </c>
      <c r="D9" s="13" t="str">
        <f aca="false">IFERROR(__xludf.dummyfunction("""COMPUTED_VALUE"""),"Murree Brewery")</f>
        <v>Murree Brewery</v>
      </c>
      <c r="E9" s="13" t="str">
        <f aca="false">IFERROR(__xludf.dummyfunction("""COMPUTED_VALUE"""),"Beverages")</f>
        <v>Beverages</v>
      </c>
      <c r="F9" s="11" t="n">
        <f aca="false">IFERROR(__xludf.dummyfunction("""COMPUTED_VALUE"""),44963)</f>
        <v>44963</v>
      </c>
      <c r="G9" s="16" t="n">
        <f aca="false">IFERROR(__xludf.dummyfunction("""COMPUTED_VALUE"""),0.615513981482074)</f>
        <v>0.6155139815</v>
      </c>
      <c r="H9" s="13" t="str">
        <f aca="false">IFERROR(__xludf.dummyfunction("""COMPUTED_VALUE"""),"expired stock")</f>
        <v>expired stock</v>
      </c>
      <c r="I9" s="13" t="n">
        <f aca="false">IFERROR(__xludf.dummyfunction("""COMPUTED_VALUE"""),565)</f>
        <v>565</v>
      </c>
      <c r="J9" s="13" t="n">
        <f aca="false">IFERROR(__xludf.dummyfunction("""COMPUTED_VALUE"""),451.25)</f>
        <v>451.25</v>
      </c>
      <c r="K9" s="13" t="n">
        <f aca="false">IFERROR(__xludf.dummyfunction("""COMPUTED_VALUE"""),254956.25)</f>
        <v>254956.25</v>
      </c>
      <c r="L9" s="13" t="str">
        <f aca="false">IFERROR(__xludf.dummyfunction("""COMPUTED_VALUE"""),"MM: 565 units expire on 20-Feb-23")</f>
        <v>MM: 565 units expire on 20-Feb-23</v>
      </c>
      <c r="M9" s="13"/>
      <c r="N9" s="13"/>
      <c r="O9" s="13" t="str">
        <f aca="false">IFERROR(__xludf.dummyfunction("""COMPUTED_VALUE"""),"moazam.abrar@tajir-app.com")</f>
        <v>moazam.abrar@tajir-app.com</v>
      </c>
      <c r="P9" s="13" t="str">
        <f aca="false">IFERROR(__xludf.dummyfunction("""COMPUTED_VALUE"""),"Muhammad Moazam Ali")</f>
        <v>Muhammad Moazam Ali</v>
      </c>
      <c r="Q9" s="13" t="str">
        <f aca="false">IF(L9="","",L9)</f>
        <v>MM: 565 units expire on 20-Feb-23</v>
      </c>
    </row>
    <row r="10" customFormat="false" ht="15.75" hidden="false" customHeight="false" outlineLevel="0" collapsed="false">
      <c r="A10" s="13" t="str">
        <f aca="false">IFERROR(__xludf.dummyfunction("""COMPUTED_VALUE"""),"Metro DC Faisalabad")</f>
        <v>Metro DC Faisalabad</v>
      </c>
      <c r="B10" s="13" t="str">
        <f aca="false">IFERROR(__xludf.dummyfunction("""COMPUTED_VALUE"""),"de2ec4b6-2866-4186-b48b-f743923a1eda")</f>
        <v>de2ec4b6-2866-4186-b48b-f743923a1eda</v>
      </c>
      <c r="C10" s="13" t="str">
        <f aca="false">IFERROR(__xludf.dummyfunction("""COMPUTED_VALUE"""),"Murree Brewery Bigg Apple Diet Plastic x6 Crate 1L")</f>
        <v>Murree Brewery Bigg Apple Diet Plastic x6 Crate 1L</v>
      </c>
      <c r="D10" s="13" t="str">
        <f aca="false">IFERROR(__xludf.dummyfunction("""COMPUTED_VALUE"""),"Murree Brewery")</f>
        <v>Murree Brewery</v>
      </c>
      <c r="E10" s="13" t="str">
        <f aca="false">IFERROR(__xludf.dummyfunction("""COMPUTED_VALUE"""),"Beverages")</f>
        <v>Beverages</v>
      </c>
      <c r="F10" s="11" t="n">
        <f aca="false">IFERROR(__xludf.dummyfunction("""COMPUTED_VALUE"""),44963)</f>
        <v>44963</v>
      </c>
      <c r="G10" s="16" t="n">
        <f aca="false">IFERROR(__xludf.dummyfunction("""COMPUTED_VALUE"""),0.614247905092954)</f>
        <v>0.6142479051</v>
      </c>
      <c r="H10" s="13" t="str">
        <f aca="false">IFERROR(__xludf.dummyfunction("""COMPUTED_VALUE"""),"expired stock")</f>
        <v>expired stock</v>
      </c>
      <c r="I10" s="13" t="n">
        <f aca="false">IFERROR(__xludf.dummyfunction("""COMPUTED_VALUE"""),26)</f>
        <v>26</v>
      </c>
      <c r="J10" s="13" t="n">
        <f aca="false">IFERROR(__xludf.dummyfunction("""COMPUTED_VALUE"""),351.5)</f>
        <v>351.5</v>
      </c>
      <c r="K10" s="13" t="n">
        <f aca="false">IFERROR(__xludf.dummyfunction("""COMPUTED_VALUE"""),9139)</f>
        <v>9139</v>
      </c>
      <c r="L10" s="13" t="str">
        <f aca="false">IFERROR(__xludf.dummyfunction("""COMPUTED_VALUE"""),"MM: 26 units expire on 28-Feb-23")</f>
        <v>MM: 26 units expire on 28-Feb-23</v>
      </c>
      <c r="M10" s="13"/>
      <c r="N10" s="13"/>
      <c r="O10" s="13" t="str">
        <f aca="false">IFERROR(__xludf.dummyfunction("""COMPUTED_VALUE"""),"moazam.abrar@tajir-app.com")</f>
        <v>moazam.abrar@tajir-app.com</v>
      </c>
      <c r="P10" s="13" t="str">
        <f aca="false">IFERROR(__xludf.dummyfunction("""COMPUTED_VALUE"""),"Muhammad Moazam Ali")</f>
        <v>Muhammad Moazam Ali</v>
      </c>
      <c r="Q10" s="13" t="str">
        <f aca="false">IF(L10="","",L10)</f>
        <v>MM: 26 units expire on 28-Feb-23</v>
      </c>
    </row>
    <row r="11" customFormat="false" ht="15.75" hidden="false" customHeight="false" outlineLevel="0" collapsed="false">
      <c r="A11" s="13" t="str">
        <f aca="false">IFERROR(__xludf.dummyfunction("""COMPUTED_VALUE"""),"Metro DC Faisalabad")</f>
        <v>Metro DC Faisalabad</v>
      </c>
      <c r="B11" s="13" t="str">
        <f aca="false">IFERROR(__xludf.dummyfunction("""COMPUTED_VALUE"""),"71b08e38-b6ff-40d8-88f6-947262d0ec6c")</f>
        <v>71b08e38-b6ff-40d8-88f6-947262d0ec6c</v>
      </c>
      <c r="C11" s="13" t="str">
        <f aca="false">IFERROR(__xludf.dummyfunction("""COMPUTED_VALUE"""),"Dare Next Plastic 1L")</f>
        <v>Dare Next Plastic 1L</v>
      </c>
      <c r="D11" s="13" t="str">
        <f aca="false">IFERROR(__xludf.dummyfunction("""COMPUTED_VALUE"""),"Dare Next")</f>
        <v>Dare Next</v>
      </c>
      <c r="E11" s="13" t="str">
        <f aca="false">IFERROR(__xludf.dummyfunction("""COMPUTED_VALUE"""),"Beverages")</f>
        <v>Beverages</v>
      </c>
      <c r="F11" s="11" t="n">
        <f aca="false">IFERROR(__xludf.dummyfunction("""COMPUTED_VALUE"""),44963)</f>
        <v>44963</v>
      </c>
      <c r="G11" s="16" t="n">
        <f aca="false">IFERROR(__xludf.dummyfunction("""COMPUTED_VALUE"""),0.612023229165082)</f>
        <v>0.6120232292</v>
      </c>
      <c r="H11" s="13" t="str">
        <f aca="false">IFERROR(__xludf.dummyfunction("""COMPUTED_VALUE"""),"expired stock")</f>
        <v>expired stock</v>
      </c>
      <c r="I11" s="13" t="n">
        <f aca="false">IFERROR(__xludf.dummyfunction("""COMPUTED_VALUE"""),85)</f>
        <v>85</v>
      </c>
      <c r="J11" s="13" t="n">
        <f aca="false">IFERROR(__xludf.dummyfunction("""COMPUTED_VALUE"""),300)</f>
        <v>300</v>
      </c>
      <c r="K11" s="13" t="n">
        <f aca="false">IFERROR(__xludf.dummyfunction("""COMPUTED_VALUE"""),25500)</f>
        <v>25500</v>
      </c>
      <c r="L11" s="13" t="str">
        <f aca="false">IFERROR(__xludf.dummyfunction("""COMPUTED_VALUE"""),"MM: 85 units expire on 14-Feb-23")</f>
        <v>MM: 85 units expire on 14-Feb-23</v>
      </c>
      <c r="M11" s="13"/>
      <c r="N11" s="13"/>
      <c r="O11" s="13" t="str">
        <f aca="false">IFERROR(__xludf.dummyfunction("""COMPUTED_VALUE"""),"moazam.abrar@tajir-app.com")</f>
        <v>moazam.abrar@tajir-app.com</v>
      </c>
      <c r="P11" s="13" t="str">
        <f aca="false">IFERROR(__xludf.dummyfunction("""COMPUTED_VALUE"""),"Muhammad Moazam Ali")</f>
        <v>Muhammad Moazam Ali</v>
      </c>
      <c r="Q11" s="13" t="str">
        <f aca="false">IF(L11="","",L11)</f>
        <v>MM: 85 units expire on 14-Feb-23</v>
      </c>
    </row>
    <row r="12" customFormat="false" ht="15.75" hidden="false" customHeight="false" outlineLevel="0" collapsed="false">
      <c r="A12" s="13" t="str">
        <f aca="false">IFERROR(__xludf.dummyfunction("""COMPUTED_VALUE"""),"Metro DC Faisalabad")</f>
        <v>Metro DC Faisalabad</v>
      </c>
      <c r="B12" s="13" t="str">
        <f aca="false">IFERROR(__xludf.dummyfunction("""COMPUTED_VALUE"""),"b49f59be-4eb3-441c-845d-cb7ea2398677")</f>
        <v>b49f59be-4eb3-441c-845d-cb7ea2398677</v>
      </c>
      <c r="C12" s="13" t="str">
        <f aca="false">IFERROR(__xludf.dummyfunction("""COMPUTED_VALUE"""),"Murree Brewery Bigg Lychee Plastic x12 Crate 500ml (Half Liter)")</f>
        <v>Murree Brewery Bigg Lychee Plastic x12 Crate 500ml (Half Liter)</v>
      </c>
      <c r="D12" s="13" t="str">
        <f aca="false">IFERROR(__xludf.dummyfunction("""COMPUTED_VALUE"""),"Murree Brewery")</f>
        <v>Murree Brewery</v>
      </c>
      <c r="E12" s="13" t="str">
        <f aca="false">IFERROR(__xludf.dummyfunction("""COMPUTED_VALUE"""),"Beverages")</f>
        <v>Beverages</v>
      </c>
      <c r="F12" s="11" t="n">
        <f aca="false">IFERROR(__xludf.dummyfunction("""COMPUTED_VALUE"""),44964)</f>
        <v>44964</v>
      </c>
      <c r="G12" s="16" t="n">
        <f aca="false">IFERROR(__xludf.dummyfunction("""COMPUTED_VALUE"""),0.83406510416492)</f>
        <v>0.8340651042</v>
      </c>
      <c r="H12" s="13" t="str">
        <f aca="false">IFERROR(__xludf.dummyfunction("""COMPUTED_VALUE"""),"expired stock")</f>
        <v>expired stock</v>
      </c>
      <c r="I12" s="13" t="n">
        <f aca="false">IFERROR(__xludf.dummyfunction("""COMPUTED_VALUE"""),1)</f>
        <v>1</v>
      </c>
      <c r="J12" s="13" t="n">
        <f aca="false">IFERROR(__xludf.dummyfunction("""COMPUTED_VALUE"""),451.25)</f>
        <v>451.25</v>
      </c>
      <c r="K12" s="13" t="n">
        <f aca="false">IFERROR(__xludf.dummyfunction("""COMPUTED_VALUE"""),451.25)</f>
        <v>451.25</v>
      </c>
      <c r="L12" s="13" t="str">
        <f aca="false">IFERROR(__xludf.dummyfunction("""COMPUTED_VALUE"""),"MM: 01 unit expire on 28-Feb-2023")</f>
        <v>MM: 01 unit expire on 28-Feb-2023</v>
      </c>
      <c r="M12" s="13"/>
      <c r="N12" s="13"/>
      <c r="O12" s="13" t="str">
        <f aca="false">IFERROR(__xludf.dummyfunction("""COMPUTED_VALUE"""),"moazam.abrar@tajir-app.com")</f>
        <v>moazam.abrar@tajir-app.com</v>
      </c>
      <c r="P12" s="13" t="str">
        <f aca="false">IFERROR(__xludf.dummyfunction("""COMPUTED_VALUE"""),"Muhammad Moazam Ali")</f>
        <v>Muhammad Moazam Ali</v>
      </c>
      <c r="Q12" s="13" t="str">
        <f aca="false">IF(L12="","",L12)</f>
        <v>MM: 01 unit expire on 28-Feb-2023</v>
      </c>
    </row>
    <row r="13" customFormat="false" ht="15.75" hidden="false" customHeight="false" outlineLevel="0" collapsed="false">
      <c r="A13" s="13" t="str">
        <f aca="false">IFERROR(__xludf.dummyfunction("""COMPUTED_VALUE"""),"Metro DC Faisalabad")</f>
        <v>Metro DC Faisalabad</v>
      </c>
      <c r="B13" s="13" t="str">
        <f aca="false">IFERROR(__xludf.dummyfunction("""COMPUTED_VALUE"""),"cc841ec2-815b-4083-8dea-10ebd3260dde")</f>
        <v>cc841ec2-815b-4083-8dea-10ebd3260dde</v>
      </c>
      <c r="C13" s="13" t="str">
        <f aca="false">IFERROR(__xludf.dummyfunction("""COMPUTED_VALUE"""),"Sherdil Daal Masoor Whole 5kg")</f>
        <v>Sherdil Daal Masoor Whole 5kg</v>
      </c>
      <c r="D13" s="13" t="str">
        <f aca="false">IFERROR(__xludf.dummyfunction("""COMPUTED_VALUE"""),"Sherdil")</f>
        <v>Sherdil</v>
      </c>
      <c r="E13" s="13" t="str">
        <f aca="false">IFERROR(__xludf.dummyfunction("""COMPUTED_VALUE"""),"Pulses")</f>
        <v>Pulses</v>
      </c>
      <c r="F13" s="11" t="n">
        <f aca="false">IFERROR(__xludf.dummyfunction("""COMPUTED_VALUE"""),44964)</f>
        <v>44964</v>
      </c>
      <c r="G13" s="16" t="n">
        <f aca="false">IFERROR(__xludf.dummyfunction("""COMPUTED_VALUE"""),0.386749791666155)</f>
        <v>0.3867497917</v>
      </c>
      <c r="H13" s="13" t="str">
        <f aca="false">IFERROR(__xludf.dummyfunction("""COMPUTED_VALUE"""),"damaged stock")</f>
        <v>damaged stock</v>
      </c>
      <c r="I13" s="13" t="n">
        <f aca="false">IFERROR(__xludf.dummyfunction("""COMPUTED_VALUE"""),2)</f>
        <v>2</v>
      </c>
      <c r="J13" s="13" t="n">
        <f aca="false">IFERROR(__xludf.dummyfunction("""COMPUTED_VALUE"""),1350)</f>
        <v>1350</v>
      </c>
      <c r="K13" s="13" t="n">
        <f aca="false">IFERROR(__xludf.dummyfunction("""COMPUTED_VALUE"""),2700)</f>
        <v>2700</v>
      </c>
      <c r="L13" s="13" t="str">
        <f aca="false">IFERROR(__xludf.dummyfunction("""COMPUTED_VALUE"""),"AR :2 selling unit found damge")</f>
        <v>AR :2 selling unit found damge</v>
      </c>
      <c r="M13" s="13"/>
      <c r="N13" s="13"/>
      <c r="O13" s="13" t="str">
        <f aca="false">IFERROR(__xludf.dummyfunction("""COMPUTED_VALUE"""),"ali.raza@tajir-app.com")</f>
        <v>ali.raza@tajir-app.com</v>
      </c>
      <c r="P13" s="13" t="str">
        <f aca="false">IFERROR(__xludf.dummyfunction("""COMPUTED_VALUE"""),"Ali Raza ")</f>
        <v>Ali Raza </v>
      </c>
      <c r="Q13" s="13" t="str">
        <f aca="false">IF(L13="","",L13)</f>
        <v>AR :2 selling unit found damge</v>
      </c>
    </row>
    <row r="14" customFormat="false" ht="15.75" hidden="false" customHeight="false" outlineLevel="0" collapsed="false">
      <c r="A14" s="13" t="str">
        <f aca="false">IFERROR(__xludf.dummyfunction("""COMPUTED_VALUE"""),"Metro DC Faisalabad")</f>
        <v>Metro DC Faisalabad</v>
      </c>
      <c r="B14" s="13" t="str">
        <f aca="false">IFERROR(__xludf.dummyfunction("""COMPUTED_VALUE"""),"94b66be5-57ed-470c-bca1-0810948fa645")</f>
        <v>94b66be5-57ed-470c-bca1-0810948fa645</v>
      </c>
      <c r="C14" s="13" t="str">
        <f aca="false">IFERROR(__xludf.dummyfunction("""COMPUTED_VALUE"""),"Bisconni Cocomo Double Chocolate Rs25")</f>
        <v>Bisconni Cocomo Double Chocolate Rs25</v>
      </c>
      <c r="D14" s="13" t="str">
        <f aca="false">IFERROR(__xludf.dummyfunction("""COMPUTED_VALUE"""),"Bisconni")</f>
        <v>Bisconni</v>
      </c>
      <c r="E14" s="13" t="str">
        <f aca="false">IFERROR(__xludf.dummyfunction("""COMPUTED_VALUE"""),"Confectionary")</f>
        <v>Confectionary</v>
      </c>
      <c r="F14" s="11" t="n">
        <f aca="false">IFERROR(__xludf.dummyfunction("""COMPUTED_VALUE"""),44965)</f>
        <v>44965</v>
      </c>
      <c r="G14" s="16" t="n">
        <f aca="false">IFERROR(__xludf.dummyfunction("""COMPUTED_VALUE"""),0.144894155091439)</f>
        <v>0.1448941551</v>
      </c>
      <c r="H14" s="13" t="str">
        <f aca="false">IFERROR(__xludf.dummyfunction("""COMPUTED_VALUE"""),"missing stock")</f>
        <v>missing stock</v>
      </c>
      <c r="I14" s="13" t="n">
        <f aca="false">IFERROR(__xludf.dummyfunction("""COMPUTED_VALUE"""),9)</f>
        <v>9</v>
      </c>
      <c r="J14" s="13" t="n">
        <f aca="false">IFERROR(__xludf.dummyfunction("""COMPUTED_VALUE"""),22)</f>
        <v>22</v>
      </c>
      <c r="K14" s="13" t="n">
        <f aca="false">IFERROR(__xludf.dummyfunction("""COMPUTED_VALUE"""),198)</f>
        <v>198</v>
      </c>
      <c r="L14" s="13" t="str">
        <f aca="false">IFERROR(__xludf.dummyfunction("""COMPUTED_VALUE"""),"TA: NOT FOUND")</f>
        <v>TA: NOT FOUND</v>
      </c>
      <c r="M14" s="13"/>
      <c r="N14" s="13"/>
      <c r="O14" s="13" t="str">
        <f aca="false">IFERROR(__xludf.dummyfunction("""COMPUTED_VALUE"""),"taufeeq.akhtar@tajir-app.com")</f>
        <v>taufeeq.akhtar@tajir-app.com</v>
      </c>
      <c r="P14" s="13" t="str">
        <f aca="false">IFERROR(__xludf.dummyfunction("""COMPUTED_VALUE"""),"Taufeeq Akhtar ")</f>
        <v>Taufeeq Akhtar </v>
      </c>
      <c r="Q14" s="13" t="str">
        <f aca="false">IF(L14="","",L14)</f>
        <v>TA: NOT FOUND</v>
      </c>
    </row>
    <row r="15" customFormat="false" ht="15.75" hidden="false" customHeight="false" outlineLevel="0" collapsed="false">
      <c r="A15" s="13" t="str">
        <f aca="false">IFERROR(__xludf.dummyfunction("""COMPUTED_VALUE"""),"Metro DC Faisalabad")</f>
        <v>Metro DC Faisalabad</v>
      </c>
      <c r="B15" s="13" t="str">
        <f aca="false">IFERROR(__xludf.dummyfunction("""COMPUTED_VALUE"""),"40125117-cd27-407a-8221-a385d7fe16bc")</f>
        <v>40125117-cd27-407a-8221-a385d7fe16bc</v>
      </c>
      <c r="C15" s="13" t="str">
        <f aca="false">IFERROR(__xludf.dummyfunction("""COMPUTED_VALUE"""),"Head and Shoulder Neem Shampoo 185ml Rs400")</f>
        <v>Head and Shoulder Neem Shampoo 185ml Rs400</v>
      </c>
      <c r="D15" s="13" t="str">
        <f aca="false">IFERROR(__xludf.dummyfunction("""COMPUTED_VALUE"""),"Head and Shoulders")</f>
        <v>Head and Shoulders</v>
      </c>
      <c r="E15" s="13" t="str">
        <f aca="false">IFERROR(__xludf.dummyfunction("""COMPUTED_VALUE"""),"Shampoo")</f>
        <v>Shampoo</v>
      </c>
      <c r="F15" s="11" t="n">
        <f aca="false">IFERROR(__xludf.dummyfunction("""COMPUTED_VALUE"""),44965)</f>
        <v>44965</v>
      </c>
      <c r="G15" s="16" t="n">
        <f aca="false">IFERROR(__xludf.dummyfunction("""COMPUTED_VALUE"""),0.141679317128455)</f>
        <v>0.1416793171</v>
      </c>
      <c r="H15" s="13" t="str">
        <f aca="false">IFERROR(__xludf.dummyfunction("""COMPUTED_VALUE"""),"missing stock")</f>
        <v>missing stock</v>
      </c>
      <c r="I15" s="13" t="n">
        <f aca="false">IFERROR(__xludf.dummyfunction("""COMPUTED_VALUE"""),4)</f>
        <v>4</v>
      </c>
      <c r="J15" s="13" t="n">
        <f aca="false">IFERROR(__xludf.dummyfunction("""COMPUTED_VALUE"""),343.5)</f>
        <v>343.5</v>
      </c>
      <c r="K15" s="13" t="n">
        <f aca="false">IFERROR(__xludf.dummyfunction("""COMPUTED_VALUE"""),1374)</f>
        <v>1374</v>
      </c>
      <c r="L15" s="13" t="str">
        <f aca="false">IFERROR(__xludf.dummyfunction("""COMPUTED_VALUE"""),"TA: NOT FOUND")</f>
        <v>TA: NOT FOUND</v>
      </c>
      <c r="M15" s="13"/>
      <c r="N15" s="13"/>
      <c r="O15" s="13" t="str">
        <f aca="false">IFERROR(__xludf.dummyfunction("""COMPUTED_VALUE"""),"taufeeq.akhtar@tajir-app.com")</f>
        <v>taufeeq.akhtar@tajir-app.com</v>
      </c>
      <c r="P15" s="13" t="str">
        <f aca="false">IFERROR(__xludf.dummyfunction("""COMPUTED_VALUE"""),"Taufeeq Akhtar ")</f>
        <v>Taufeeq Akhtar </v>
      </c>
      <c r="Q15" s="13" t="str">
        <f aca="false">IF(L15="","",L15)</f>
        <v>TA: NOT FOUND</v>
      </c>
    </row>
    <row r="16" customFormat="false" ht="15.75" hidden="false" customHeight="false" outlineLevel="0" collapsed="false">
      <c r="A16" s="13" t="str">
        <f aca="false">IFERROR(__xludf.dummyfunction("""COMPUTED_VALUE"""),"Metro DC Faisalabad")</f>
        <v>Metro DC Faisalabad</v>
      </c>
      <c r="B16" s="13" t="str">
        <f aca="false">IFERROR(__xludf.dummyfunction("""COMPUTED_VALUE"""),"e0597ab8-48bd-4de3-ba13-14e920c03910")</f>
        <v>e0597ab8-48bd-4de3-ba13-14e920c03910</v>
      </c>
      <c r="C16" s="13" t="str">
        <f aca="false">IFERROR(__xludf.dummyfunction("""COMPUTED_VALUE"""),"Giggly Boom Boom Bubble Gum 72pc Box Rs2.5")</f>
        <v>Giggly Boom Boom Bubble Gum 72pc Box Rs2.5</v>
      </c>
      <c r="D16" s="13" t="str">
        <f aca="false">IFERROR(__xludf.dummyfunction("""COMPUTED_VALUE"""),"Giggly")</f>
        <v>Giggly</v>
      </c>
      <c r="E16" s="13" t="str">
        <f aca="false">IFERROR(__xludf.dummyfunction("""COMPUTED_VALUE"""),"Confectionary")</f>
        <v>Confectionary</v>
      </c>
      <c r="F16" s="11" t="n">
        <f aca="false">IFERROR(__xludf.dummyfunction("""COMPUTED_VALUE"""),44965)</f>
        <v>44965</v>
      </c>
      <c r="G16" s="16" t="n">
        <f aca="false">IFERROR(__xludf.dummyfunction("""COMPUTED_VALUE"""),0.140767453703429)</f>
        <v>0.1407674537</v>
      </c>
      <c r="H16" s="13" t="str">
        <f aca="false">IFERROR(__xludf.dummyfunction("""COMPUTED_VALUE"""),"missing stock")</f>
        <v>missing stock</v>
      </c>
      <c r="I16" s="13" t="n">
        <f aca="false">IFERROR(__xludf.dummyfunction("""COMPUTED_VALUE"""),7)</f>
        <v>7</v>
      </c>
      <c r="J16" s="13" t="n">
        <f aca="false">IFERROR(__xludf.dummyfunction("""COMPUTED_VALUE"""),135.64)</f>
        <v>135.64</v>
      </c>
      <c r="K16" s="13" t="n">
        <f aca="false">IFERROR(__xludf.dummyfunction("""COMPUTED_VALUE"""),949.48)</f>
        <v>949.48</v>
      </c>
      <c r="L16" s="13" t="str">
        <f aca="false">IFERROR(__xludf.dummyfunction("""COMPUTED_VALUE"""),"TA: NOT FOUND")</f>
        <v>TA: NOT FOUND</v>
      </c>
      <c r="M16" s="13"/>
      <c r="N16" s="13"/>
      <c r="O16" s="13" t="str">
        <f aca="false">IFERROR(__xludf.dummyfunction("""COMPUTED_VALUE"""),"taufeeq.akhtar@tajir-app.com")</f>
        <v>taufeeq.akhtar@tajir-app.com</v>
      </c>
      <c r="P16" s="13" t="str">
        <f aca="false">IFERROR(__xludf.dummyfunction("""COMPUTED_VALUE"""),"Taufeeq Akhtar ")</f>
        <v>Taufeeq Akhtar </v>
      </c>
      <c r="Q16" s="13" t="str">
        <f aca="false">IF(L16="","",L16)</f>
        <v>TA: NOT FOUND</v>
      </c>
    </row>
    <row r="17" customFormat="false" ht="15.75" hidden="false" customHeight="false" outlineLevel="0" collapsed="false">
      <c r="A17" s="13" t="str">
        <f aca="false">IFERROR(__xludf.dummyfunction("""COMPUTED_VALUE"""),"Metro DC Faisalabad")</f>
        <v>Metro DC Faisalabad</v>
      </c>
      <c r="B17" s="13" t="str">
        <f aca="false">IFERROR(__xludf.dummyfunction("""COMPUTED_VALUE"""),"08b6a901-ad6a-420f-8ea8-a897c060d8d9")</f>
        <v>08b6a901-ad6a-420f-8ea8-a897c060d8d9</v>
      </c>
      <c r="C17" s="13" t="str">
        <f aca="false">IFERROR(__xludf.dummyfunction("""COMPUTED_VALUE"""),"Bisconni Cocomo Milk Party Pack Rs60")</f>
        <v>Bisconni Cocomo Milk Party Pack Rs60</v>
      </c>
      <c r="D17" s="13" t="str">
        <f aca="false">IFERROR(__xludf.dummyfunction("""COMPUTED_VALUE"""),"Bisconni")</f>
        <v>Bisconni</v>
      </c>
      <c r="E17" s="13" t="str">
        <f aca="false">IFERROR(__xludf.dummyfunction("""COMPUTED_VALUE"""),"Confectionary")</f>
        <v>Confectionary</v>
      </c>
      <c r="F17" s="11" t="n">
        <f aca="false">IFERROR(__xludf.dummyfunction("""COMPUTED_VALUE"""),44965)</f>
        <v>44965</v>
      </c>
      <c r="G17" s="16" t="n">
        <f aca="false">IFERROR(__xludf.dummyfunction("""COMPUTED_VALUE"""),0.130118206017489)</f>
        <v>0.130118206</v>
      </c>
      <c r="H17" s="13" t="str">
        <f aca="false">IFERROR(__xludf.dummyfunction("""COMPUTED_VALUE"""),"missing stock")</f>
        <v>missing stock</v>
      </c>
      <c r="I17" s="13" t="n">
        <f aca="false">IFERROR(__xludf.dummyfunction("""COMPUTED_VALUE"""),3)</f>
        <v>3</v>
      </c>
      <c r="J17" s="13" t="n">
        <f aca="false">IFERROR(__xludf.dummyfunction("""COMPUTED_VALUE"""),52.5)</f>
        <v>52.5</v>
      </c>
      <c r="K17" s="13" t="n">
        <f aca="false">IFERROR(__xludf.dummyfunction("""COMPUTED_VALUE"""),157.5)</f>
        <v>157.5</v>
      </c>
      <c r="L17" s="13" t="str">
        <f aca="false">IFERROR(__xludf.dummyfunction("""COMPUTED_VALUE"""),"TA: Not Found")</f>
        <v>TA: Not Found</v>
      </c>
      <c r="M17" s="13"/>
      <c r="N17" s="13"/>
      <c r="O17" s="13" t="str">
        <f aca="false">IFERROR(__xludf.dummyfunction("""COMPUTED_VALUE"""),"taufeeq.akhtar@tajir-app.com")</f>
        <v>taufeeq.akhtar@tajir-app.com</v>
      </c>
      <c r="P17" s="13" t="str">
        <f aca="false">IFERROR(__xludf.dummyfunction("""COMPUTED_VALUE"""),"Taufeeq Akhtar ")</f>
        <v>Taufeeq Akhtar </v>
      </c>
      <c r="Q17" s="13" t="str">
        <f aca="false">IF(L17="","",L17)</f>
        <v>TA: Not Found</v>
      </c>
    </row>
    <row r="18" customFormat="false" ht="15.75" hidden="false" customHeight="false" outlineLevel="0" collapsed="false">
      <c r="A18" s="13" t="str">
        <f aca="false">IFERROR(__xludf.dummyfunction("""COMPUTED_VALUE"""),"Metro DC Faisalabad")</f>
        <v>Metro DC Faisalabad</v>
      </c>
      <c r="B18" s="13" t="str">
        <f aca="false">IFERROR(__xludf.dummyfunction("""COMPUTED_VALUE"""),"bb395c3c-56d7-4e32-b2ae-c52852d22a73")</f>
        <v>bb395c3c-56d7-4e32-b2ae-c52852d22a73</v>
      </c>
      <c r="C18" s="13" t="str">
        <f aca="false">IFERROR(__xludf.dummyfunction("""COMPUTED_VALUE"""),"Seasly Water 1.5L")</f>
        <v>Seasly Water 1.5L</v>
      </c>
      <c r="D18" s="13" t="str">
        <f aca="false">IFERROR(__xludf.dummyfunction("""COMPUTED_VALUE"""),"Seasly Water")</f>
        <v>Seasly Water</v>
      </c>
      <c r="E18" s="13" t="str">
        <f aca="false">IFERROR(__xludf.dummyfunction("""COMPUTED_VALUE"""),"Beverages")</f>
        <v>Beverages</v>
      </c>
      <c r="F18" s="11" t="n">
        <f aca="false">IFERROR(__xludf.dummyfunction("""COMPUTED_VALUE"""),44966)</f>
        <v>44966</v>
      </c>
      <c r="G18" s="16" t="n">
        <f aca="false">IFERROR(__xludf.dummyfunction("""COMPUTED_VALUE"""),0.342833611109306)</f>
        <v>0.3428336111</v>
      </c>
      <c r="H18" s="13" t="str">
        <f aca="false">IFERROR(__xludf.dummyfunction("""COMPUTED_VALUE"""),"damaged stock")</f>
        <v>damaged stock</v>
      </c>
      <c r="I18" s="13" t="n">
        <f aca="false">IFERROR(__xludf.dummyfunction("""COMPUTED_VALUE"""),1)</f>
        <v>1</v>
      </c>
      <c r="J18" s="13" t="n">
        <f aca="false">IFERROR(__xludf.dummyfunction("""COMPUTED_VALUE"""),150)</f>
        <v>150</v>
      </c>
      <c r="K18" s="13" t="n">
        <f aca="false">IFERROR(__xludf.dummyfunction("""COMPUTED_VALUE"""),150)</f>
        <v>150</v>
      </c>
      <c r="L18" s="13" t="str">
        <f aca="false">IFERROR(__xludf.dummyfunction("""COMPUTED_VALUE"""),"[Code: 466789] AR : 1 selling units found damge  3 bottle empty ")</f>
        <v>[Code: 466789] AR : 1 selling units found damge  3 bottle empty </v>
      </c>
      <c r="M18" s="13" t="str">
        <f aca="false">IFERROR(__xludf.dummyfunction("""COMPUTED_VALUE"""),"466789")</f>
        <v>466789</v>
      </c>
      <c r="N18" s="13"/>
      <c r="O18" s="13" t="str">
        <f aca="false">IFERROR(__xludf.dummyfunction("""COMPUTED_VALUE"""),"ali.raza@tajir-app.com")</f>
        <v>ali.raza@tajir-app.com</v>
      </c>
      <c r="P18" s="13" t="str">
        <f aca="false">IFERROR(__xludf.dummyfunction("""COMPUTED_VALUE"""),"Ali Raza ")</f>
        <v>Ali Raza </v>
      </c>
      <c r="Q18" s="13" t="str">
        <f aca="false">IF(L18="","",L18)</f>
        <v>[Code: 466789] AR : 1 selling units found damge  3 bottle empty </v>
      </c>
    </row>
    <row r="19" customFormat="false" ht="15.75" hidden="false" customHeight="false" outlineLevel="0" collapsed="false">
      <c r="A19" s="13" t="str">
        <f aca="false">IFERROR(__xludf.dummyfunction("""COMPUTED_VALUE"""),"Metro DC Faisalabad")</f>
        <v>Metro DC Faisalabad</v>
      </c>
      <c r="B19" s="13" t="str">
        <f aca="false">IFERROR(__xludf.dummyfunction("""COMPUTED_VALUE"""),"b8389bfa-ef72-4572-80a0-4967b27c702d")</f>
        <v>b8389bfa-ef72-4572-80a0-4967b27c702d</v>
      </c>
      <c r="C19" s="13" t="str">
        <f aca="false">IFERROR(__xludf.dummyfunction("""COMPUTED_VALUE"""),"Mountain Dew plastic 500ml (Other city stock)")</f>
        <v>Mountain Dew plastic 500ml (Other city stock)</v>
      </c>
      <c r="D19" s="13" t="str">
        <f aca="false">IFERROR(__xludf.dummyfunction("""COMPUTED_VALUE"""),"Mountain Dew")</f>
        <v>Mountain Dew</v>
      </c>
      <c r="E19" s="13" t="str">
        <f aca="false">IFERROR(__xludf.dummyfunction("""COMPUTED_VALUE"""),"Beverages")</f>
        <v>Beverages</v>
      </c>
      <c r="F19" s="11" t="n">
        <f aca="false">IFERROR(__xludf.dummyfunction("""COMPUTED_VALUE"""),44967)</f>
        <v>44967</v>
      </c>
      <c r="G19" s="16" t="n">
        <f aca="false">IFERROR(__xludf.dummyfunction("""COMPUTED_VALUE"""),0.839569756943641)</f>
        <v>0.8395697569</v>
      </c>
      <c r="H19" s="13" t="str">
        <f aca="false">IFERROR(__xludf.dummyfunction("""COMPUTED_VALUE"""),"missing stock")</f>
        <v>missing stock</v>
      </c>
      <c r="I19" s="13" t="n">
        <f aca="false">IFERROR(__xludf.dummyfunction("""COMPUTED_VALUE"""),1)</f>
        <v>1</v>
      </c>
      <c r="J19" s="13" t="n">
        <f aca="false">IFERROR(__xludf.dummyfunction("""COMPUTED_VALUE"""),570)</f>
        <v>570</v>
      </c>
      <c r="K19" s="13" t="n">
        <f aca="false">IFERROR(__xludf.dummyfunction("""COMPUTED_VALUE"""),570)</f>
        <v>570</v>
      </c>
      <c r="L19" s="13" t="str">
        <f aca="false">IFERROR(__xludf.dummyfunction("""COMPUTED_VALUE"""),"TA: Not available on floor")</f>
        <v>TA: Not available on floor</v>
      </c>
      <c r="M19" s="13"/>
      <c r="N19" s="13"/>
      <c r="O19" s="13" t="str">
        <f aca="false">IFERROR(__xludf.dummyfunction("""COMPUTED_VALUE"""),"taufeeq.akhtar@tajir-app.com")</f>
        <v>taufeeq.akhtar@tajir-app.com</v>
      </c>
      <c r="P19" s="13" t="str">
        <f aca="false">IFERROR(__xludf.dummyfunction("""COMPUTED_VALUE"""),"Taufeeq Akhtar ")</f>
        <v>Taufeeq Akhtar </v>
      </c>
      <c r="Q19" s="13" t="str">
        <f aca="false">IF(L19="","",L19)</f>
        <v>TA: Not available on floor</v>
      </c>
    </row>
    <row r="20" customFormat="false" ht="15.75" hidden="false" customHeight="false" outlineLevel="0" collapsed="false">
      <c r="A20" s="13" t="str">
        <f aca="false">IFERROR(__xludf.dummyfunction("""COMPUTED_VALUE"""),"Metro DC Faisalabad")</f>
        <v>Metro DC Faisalabad</v>
      </c>
      <c r="B20" s="13" t="str">
        <f aca="false">IFERROR(__xludf.dummyfunction("""COMPUTED_VALUE"""),"c32f9f0f-4d7e-4b6f-a7b3-a66d2ed4951e")</f>
        <v>c32f9f0f-4d7e-4b6f-a7b3-a66d2ed4951e</v>
      </c>
      <c r="C20" s="13" t="str">
        <f aca="false">IFERROR(__xludf.dummyfunction("""COMPUTED_VALUE"""),"Al-Munawar Makayi ka Atta 5kg")</f>
        <v>Al-Munawar Makayi ka Atta 5kg</v>
      </c>
      <c r="D20" s="13" t="str">
        <f aca="false">IFERROR(__xludf.dummyfunction("""COMPUTED_VALUE"""),"Al-Munawar")</f>
        <v>Al-Munawar</v>
      </c>
      <c r="E20" s="13" t="str">
        <f aca="false">IFERROR(__xludf.dummyfunction("""COMPUTED_VALUE"""),"Flour")</f>
        <v>Flour</v>
      </c>
      <c r="F20" s="11" t="n">
        <f aca="false">IFERROR(__xludf.dummyfunction("""COMPUTED_VALUE"""),44968)</f>
        <v>44968</v>
      </c>
      <c r="G20" s="16" t="n">
        <f aca="false">IFERROR(__xludf.dummyfunction("""COMPUTED_VALUE"""),0.791670671297509)</f>
        <v>0.7916706713</v>
      </c>
      <c r="H20" s="13" t="str">
        <f aca="false">IFERROR(__xludf.dummyfunction("""COMPUTED_VALUE"""),"damaged stock")</f>
        <v>damaged stock</v>
      </c>
      <c r="I20" s="13" t="n">
        <f aca="false">IFERROR(__xludf.dummyfunction("""COMPUTED_VALUE"""),1)</f>
        <v>1</v>
      </c>
      <c r="J20" s="13" t="n">
        <f aca="false">IFERROR(__xludf.dummyfunction("""COMPUTED_VALUE"""),530)</f>
        <v>530</v>
      </c>
      <c r="K20" s="13" t="n">
        <f aca="false">IFERROR(__xludf.dummyfunction("""COMPUTED_VALUE"""),530)</f>
        <v>530</v>
      </c>
      <c r="L20" s="13" t="str">
        <f aca="false">IFERROR(__xludf.dummyfunction("""COMPUTED_VALUE"""),"[Code: 22377A] AR: stock removed due to quality issue complaint by customer (Student Mobile &amp; Tuck Shop +923219661100)")</f>
        <v>[Code: 22377A] AR: stock removed due to quality issue complaint by customer (Student Mobile &amp; Tuck Shop +923219661100)</v>
      </c>
      <c r="M20" s="13" t="str">
        <f aca="false">IFERROR(__xludf.dummyfunction("""COMPUTED_VALUE"""),"22377A")</f>
        <v>22377A</v>
      </c>
      <c r="N20" s="13"/>
      <c r="O20" s="13" t="str">
        <f aca="false">IFERROR(__xludf.dummyfunction("""COMPUTED_VALUE"""),"ali.raza@tajir-app.com")</f>
        <v>ali.raza@tajir-app.com</v>
      </c>
      <c r="P20" s="13" t="str">
        <f aca="false">IFERROR(__xludf.dummyfunction("""COMPUTED_VALUE"""),"Ali Raza ")</f>
        <v>Ali Raza </v>
      </c>
      <c r="Q20" s="13" t="str">
        <f aca="false">IF(L20="","",L20)</f>
        <v>[Code: 22377A] AR: stock removed due to quality issue complaint by customer (Student Mobile &amp; Tuck Shop +923219661100)</v>
      </c>
    </row>
    <row r="21" customFormat="false" ht="15.75" hidden="false" customHeight="false" outlineLevel="0" collapsed="false">
      <c r="A21" s="13" t="str">
        <f aca="false">IFERROR(__xludf.dummyfunction("""COMPUTED_VALUE"""),"Metro DC Faisalabad")</f>
        <v>Metro DC Faisalabad</v>
      </c>
      <c r="B21" s="13" t="str">
        <f aca="false">IFERROR(__xludf.dummyfunction("""COMPUTED_VALUE"""),"a5ea6cde-48a4-4099-bfe4-f4287dc723f1")</f>
        <v>a5ea6cde-48a4-4099-bfe4-f4287dc723f1</v>
      </c>
      <c r="C21" s="13" t="str">
        <f aca="false">IFERROR(__xludf.dummyfunction("""COMPUTED_VALUE"""),"Bonus tristar yellow surf 260g Rs50")</f>
        <v>Bonus tristar yellow surf 260g Rs50</v>
      </c>
      <c r="D21" s="13" t="str">
        <f aca="false">IFERROR(__xludf.dummyfunction("""COMPUTED_VALUE"""),"Bonus Surf")</f>
        <v>Bonus Surf</v>
      </c>
      <c r="E21" s="13" t="str">
        <f aca="false">IFERROR(__xludf.dummyfunction("""COMPUTED_VALUE"""),"Surf, Bleach")</f>
        <v>Surf, Bleach</v>
      </c>
      <c r="F21" s="11" t="n">
        <f aca="false">IFERROR(__xludf.dummyfunction("""COMPUTED_VALUE"""),44971)</f>
        <v>44971</v>
      </c>
      <c r="G21" s="16" t="n">
        <f aca="false">IFERROR(__xludf.dummyfunction("""COMPUTED_VALUE"""),0.0516908564828666)</f>
        <v>0.05169085648</v>
      </c>
      <c r="H21" s="13" t="str">
        <f aca="false">IFERROR(__xludf.dummyfunction("""COMPUTED_VALUE"""),"damaged stock")</f>
        <v>damaged stock</v>
      </c>
      <c r="I21" s="13" t="n">
        <f aca="false">IFERROR(__xludf.dummyfunction("""COMPUTED_VALUE"""),1)</f>
        <v>1</v>
      </c>
      <c r="J21" s="13" t="n">
        <f aca="false">IFERROR(__xludf.dummyfunction("""COMPUTED_VALUE"""),45.48)</f>
        <v>45.48</v>
      </c>
      <c r="K21" s="13" t="n">
        <f aca="false">IFERROR(__xludf.dummyfunction("""COMPUTED_VALUE"""),45.48)</f>
        <v>45.48</v>
      </c>
      <c r="L21" s="13" t="str">
        <f aca="false">IFERROR(__xludf.dummyfunction("""COMPUTED_VALUE"""),"[Code: 25689B] TA: Found damaged from bag.")</f>
        <v>[Code: 25689B] TA: Found damaged from bag.</v>
      </c>
      <c r="M21" s="13" t="str">
        <f aca="false">IFERROR(__xludf.dummyfunction("""COMPUTED_VALUE"""),"25689B")</f>
        <v>25689B</v>
      </c>
      <c r="N21" s="13"/>
      <c r="O21" s="13" t="str">
        <f aca="false">IFERROR(__xludf.dummyfunction("""COMPUTED_VALUE"""),"taufeeq.akhtar@tajir-app.com")</f>
        <v>taufeeq.akhtar@tajir-app.com</v>
      </c>
      <c r="P21" s="13" t="str">
        <f aca="false">IFERROR(__xludf.dummyfunction("""COMPUTED_VALUE"""),"Taufeeq Akhtar ")</f>
        <v>Taufeeq Akhtar </v>
      </c>
      <c r="Q21" s="13" t="str">
        <f aca="false">IF(L21="","",L21)</f>
        <v>[Code: 25689B] TA: Found damaged from bag.</v>
      </c>
    </row>
    <row r="22" customFormat="false" ht="15.75" hidden="false" customHeight="false" outlineLevel="0" collapsed="false">
      <c r="A22" s="13" t="str">
        <f aca="false">IFERROR(__xludf.dummyfunction("""COMPUTED_VALUE"""),"Metro DC Faisalabad")</f>
        <v>Metro DC Faisalabad</v>
      </c>
      <c r="B22" s="13" t="str">
        <f aca="false">IFERROR(__xludf.dummyfunction("""COMPUTED_VALUE"""),"d864c0cd-914b-4a54-96d5-8e894ba5f3b6")</f>
        <v>d864c0cd-914b-4a54-96d5-8e894ba5f3b6</v>
      </c>
      <c r="C22" s="13" t="str">
        <f aca="false">IFERROR(__xludf.dummyfunction("""COMPUTED_VALUE"""),"Surf Excel x6 bundle 20g Rs 10")</f>
        <v>Surf Excel x6 bundle 20g Rs 10</v>
      </c>
      <c r="D22" s="13" t="str">
        <f aca="false">IFERROR(__xludf.dummyfunction("""COMPUTED_VALUE"""),"Surf Excel")</f>
        <v>Surf Excel</v>
      </c>
      <c r="E22" s="13" t="str">
        <f aca="false">IFERROR(__xludf.dummyfunction("""COMPUTED_VALUE"""),"Surf, Bleach")</f>
        <v>Surf, Bleach</v>
      </c>
      <c r="F22" s="11" t="n">
        <f aca="false">IFERROR(__xludf.dummyfunction("""COMPUTED_VALUE"""),44971)</f>
        <v>44971</v>
      </c>
      <c r="G22" s="16" t="n">
        <f aca="false">IFERROR(__xludf.dummyfunction("""COMPUTED_VALUE"""),0.0509402546297751)</f>
        <v>0.05094025463</v>
      </c>
      <c r="H22" s="13" t="str">
        <f aca="false">IFERROR(__xludf.dummyfunction("""COMPUTED_VALUE"""),"damaged stock")</f>
        <v>damaged stock</v>
      </c>
      <c r="I22" s="13" t="n">
        <f aca="false">IFERROR(__xludf.dummyfunction("""COMPUTED_VALUE"""),6)</f>
        <v>6</v>
      </c>
      <c r="J22" s="13" t="n">
        <f aca="false">IFERROR(__xludf.dummyfunction("""COMPUTED_VALUE"""),54.17)</f>
        <v>54.17</v>
      </c>
      <c r="K22" s="13" t="n">
        <f aca="false">IFERROR(__xludf.dummyfunction("""COMPUTED_VALUE"""),325.02)</f>
        <v>325.02</v>
      </c>
      <c r="L22" s="13" t="str">
        <f aca="false">IFERROR(__xludf.dummyfunction("""COMPUTED_VALUE"""),"[Code: 339ABB] TA:found damaged from bag during overnight operation.")</f>
        <v>[Code: 339ABB] TA:found damaged from bag during overnight operation.</v>
      </c>
      <c r="M22" s="13" t="str">
        <f aca="false">IFERROR(__xludf.dummyfunction("""COMPUTED_VALUE"""),"339ABB")</f>
        <v>339ABB</v>
      </c>
      <c r="N22" s="13"/>
      <c r="O22" s="13" t="str">
        <f aca="false">IFERROR(__xludf.dummyfunction("""COMPUTED_VALUE"""),"taufeeq.akhtar@tajir-app.com")</f>
        <v>taufeeq.akhtar@tajir-app.com</v>
      </c>
      <c r="P22" s="13" t="str">
        <f aca="false">IFERROR(__xludf.dummyfunction("""COMPUTED_VALUE"""),"Taufeeq Akhtar ")</f>
        <v>Taufeeq Akhtar </v>
      </c>
      <c r="Q22" s="13" t="str">
        <f aca="false">IF(L22="","",L22)</f>
        <v>[Code: 339ABB] TA:found damaged from bag during overnight operation.</v>
      </c>
    </row>
    <row r="23" customFormat="false" ht="15.75" hidden="false" customHeight="false" outlineLevel="0" collapsed="false">
      <c r="A23" s="13" t="str">
        <f aca="false">IFERROR(__xludf.dummyfunction("""COMPUTED_VALUE"""),"Metro DC Faisalabad")</f>
        <v>Metro DC Faisalabad</v>
      </c>
      <c r="B23" s="13" t="str">
        <f aca="false">IFERROR(__xludf.dummyfunction("""COMPUTED_VALUE"""),"07f527c6-69c5-40cd-b2df-65d8fc3b47f7")</f>
        <v>07f527c6-69c5-40cd-b2df-65d8fc3b47f7</v>
      </c>
      <c r="C23" s="13" t="str">
        <f aca="false">IFERROR(__xludf.dummyfunction("""COMPUTED_VALUE"""),"Kolson Dhanak Colour Vermicelli x6 Bundle 160g")</f>
        <v>Kolson Dhanak Colour Vermicelli x6 Bundle 160g</v>
      </c>
      <c r="D23" s="13" t="str">
        <f aca="false">IFERROR(__xludf.dummyfunction("""COMPUTED_VALUE"""),"Kolson")</f>
        <v>Kolson</v>
      </c>
      <c r="E23" s="13" t="str">
        <f aca="false">IFERROR(__xludf.dummyfunction("""COMPUTED_VALUE"""),"Grocery")</f>
        <v>Grocery</v>
      </c>
      <c r="F23" s="11" t="n">
        <f aca="false">IFERROR(__xludf.dummyfunction("""COMPUTED_VALUE"""),44973)</f>
        <v>44973</v>
      </c>
      <c r="G23" s="16" t="n">
        <f aca="false">IFERROR(__xludf.dummyfunction("""COMPUTED_VALUE"""),0.864651817131031)</f>
        <v>0.8646518171</v>
      </c>
      <c r="H23" s="13" t="str">
        <f aca="false">IFERROR(__xludf.dummyfunction("""COMPUTED_VALUE"""),"damaged stock")</f>
        <v>damaged stock</v>
      </c>
      <c r="I23" s="13" t="n">
        <f aca="false">IFERROR(__xludf.dummyfunction("""COMPUTED_VALUE"""),3)</f>
        <v>3</v>
      </c>
      <c r="J23" s="13" t="n">
        <f aca="false">IFERROR(__xludf.dummyfunction("""COMPUTED_VALUE"""),281.52)</f>
        <v>281.52</v>
      </c>
      <c r="K23" s="13" t="n">
        <f aca="false">IFERROR(__xludf.dummyfunction("""COMPUTED_VALUE"""),844.56)</f>
        <v>844.56</v>
      </c>
      <c r="L23" s="13" t="str">
        <f aca="false">IFERROR(__xludf.dummyfunction("""COMPUTED_VALUE"""),"[Code: 3799DE] ZA: Found damage packing (company end Issue) ")</f>
        <v>[Code: 3799DE] ZA: Found damage packing (company end Issue) </v>
      </c>
      <c r="M23" s="13" t="str">
        <f aca="false">IFERROR(__xludf.dummyfunction("""COMPUTED_VALUE"""),"3799DE")</f>
        <v>3799DE</v>
      </c>
      <c r="N23" s="13"/>
      <c r="O23" s="13" t="str">
        <f aca="false">IFERROR(__xludf.dummyfunction("""COMPUTED_VALUE"""),"zeeshan.alimalik@tajir-app.com")</f>
        <v>zeeshan.alimalik@tajir-app.com</v>
      </c>
      <c r="P23" s="13" t="str">
        <f aca="false">IFERROR(__xludf.dummyfunction("""COMPUTED_VALUE"""),"Zeeshan Ali Malik")</f>
        <v>Zeeshan Ali Malik</v>
      </c>
      <c r="Q23" s="13" t="str">
        <f aca="false">IF(L23="","",L23)</f>
        <v>[Code: 3799DE] ZA: Found damage packing (company end Issue) </v>
      </c>
    </row>
    <row r="24" customFormat="false" ht="15.75" hidden="false" customHeight="false" outlineLevel="0" collapsed="false">
      <c r="A24" s="13" t="str">
        <f aca="false">IFERROR(__xludf.dummyfunction("""COMPUTED_VALUE"""),"Metro DC Faisalabad")</f>
        <v>Metro DC Faisalabad</v>
      </c>
      <c r="B24" s="13" t="str">
        <f aca="false">IFERROR(__xludf.dummyfunction("""COMPUTED_VALUE"""),"b49f59be-4eb3-441c-845d-cb7ea2398677")</f>
        <v>b49f59be-4eb3-441c-845d-cb7ea2398677</v>
      </c>
      <c r="C24" s="13" t="str">
        <f aca="false">IFERROR(__xludf.dummyfunction("""COMPUTED_VALUE"""),"Murree Brewery Bigg Lychee Plastic x12 Crate 500ml (Half Liter)")</f>
        <v>Murree Brewery Bigg Lychee Plastic x12 Crate 500ml (Half Liter)</v>
      </c>
      <c r="D24" s="13" t="str">
        <f aca="false">IFERROR(__xludf.dummyfunction("""COMPUTED_VALUE"""),"Murree Brewery")</f>
        <v>Murree Brewery</v>
      </c>
      <c r="E24" s="13" t="str">
        <f aca="false">IFERROR(__xludf.dummyfunction("""COMPUTED_VALUE"""),"Beverages")</f>
        <v>Beverages</v>
      </c>
      <c r="F24" s="11" t="n">
        <f aca="false">IFERROR(__xludf.dummyfunction("""COMPUTED_VALUE"""),44973)</f>
        <v>44973</v>
      </c>
      <c r="G24" s="16" t="n">
        <f aca="false">IFERROR(__xludf.dummyfunction("""COMPUTED_VALUE"""),0.613062731483292)</f>
        <v>0.6130627315</v>
      </c>
      <c r="H24" s="13" t="str">
        <f aca="false">IFERROR(__xludf.dummyfunction("""COMPUTED_VALUE"""),"expired stock")</f>
        <v>expired stock</v>
      </c>
      <c r="I24" s="13" t="n">
        <f aca="false">IFERROR(__xludf.dummyfunction("""COMPUTED_VALUE"""),19)</f>
        <v>19</v>
      </c>
      <c r="J24" s="13" t="n">
        <f aca="false">IFERROR(__xludf.dummyfunction("""COMPUTED_VALUE"""),451.25)</f>
        <v>451.25</v>
      </c>
      <c r="K24" s="13" t="n">
        <f aca="false">IFERROR(__xludf.dummyfunction("""COMPUTED_VALUE"""),8573.75)</f>
        <v>8573.75</v>
      </c>
      <c r="L24" s="13" t="str">
        <f aca="false">IFERROR(__xludf.dummyfunction("""COMPUTED_VALUE"""),"[Code: 456678] [Expiry: 16 Mar, 2023] ZA: Stock removed due to short expiry.")</f>
        <v>[Code: 456678] [Expiry: 16 Mar, 2023] ZA: Stock removed due to short expiry.</v>
      </c>
      <c r="M24" s="13" t="str">
        <f aca="false">IFERROR(__xludf.dummyfunction("""COMPUTED_VALUE"""),"456678")</f>
        <v>456678</v>
      </c>
      <c r="N24" s="13" t="str">
        <f aca="false">IFERROR(__xludf.dummyfunction("""COMPUTED_VALUE"""),"16 Mar, 2023")</f>
        <v>16 Mar, 2023</v>
      </c>
      <c r="O24" s="13" t="str">
        <f aca="false">IFERROR(__xludf.dummyfunction("""COMPUTED_VALUE"""),"zeeshan.alimalik@tajir-app.com")</f>
        <v>zeeshan.alimalik@tajir-app.com</v>
      </c>
      <c r="P24" s="13" t="str">
        <f aca="false">IFERROR(__xludf.dummyfunction("""COMPUTED_VALUE"""),"Zeeshan Ali Malik")</f>
        <v>Zeeshan Ali Malik</v>
      </c>
      <c r="Q24" s="13" t="str">
        <f aca="false">IF(L24="","",L24)</f>
        <v>[Code: 456678] [Expiry: 16 Mar, 2023] ZA: Stock removed due to short expiry.</v>
      </c>
    </row>
    <row r="25" customFormat="false" ht="15.75" hidden="false" customHeight="false" outlineLevel="0" collapsed="false">
      <c r="A25" s="13" t="str">
        <f aca="false">IFERROR(__xludf.dummyfunction("""COMPUTED_VALUE"""),"Metro DC Faisalabad")</f>
        <v>Metro DC Faisalabad</v>
      </c>
      <c r="B25" s="13" t="str">
        <f aca="false">IFERROR(__xludf.dummyfunction("""COMPUTED_VALUE"""),"d864c0cd-914b-4a54-96d5-8e894ba5f3b6")</f>
        <v>d864c0cd-914b-4a54-96d5-8e894ba5f3b6</v>
      </c>
      <c r="C25" s="13" t="str">
        <f aca="false">IFERROR(__xludf.dummyfunction("""COMPUTED_VALUE"""),"Surf Excel x6 bundle 20g Rs 10")</f>
        <v>Surf Excel x6 bundle 20g Rs 10</v>
      </c>
      <c r="D25" s="13" t="str">
        <f aca="false">IFERROR(__xludf.dummyfunction("""COMPUTED_VALUE"""),"Surf Excel")</f>
        <v>Surf Excel</v>
      </c>
      <c r="E25" s="13" t="str">
        <f aca="false">IFERROR(__xludf.dummyfunction("""COMPUTED_VALUE"""),"Surf, Bleach")</f>
        <v>Surf, Bleach</v>
      </c>
      <c r="F25" s="11" t="n">
        <f aca="false">IFERROR(__xludf.dummyfunction("""COMPUTED_VALUE"""),44973)</f>
        <v>44973</v>
      </c>
      <c r="G25" s="16" t="n">
        <f aca="false">IFERROR(__xludf.dummyfunction("""COMPUTED_VALUE"""),0.0560922685184754)</f>
        <v>0.05609226852</v>
      </c>
      <c r="H25" s="13" t="str">
        <f aca="false">IFERROR(__xludf.dummyfunction("""COMPUTED_VALUE"""),"damaged stock")</f>
        <v>damaged stock</v>
      </c>
      <c r="I25" s="13" t="n">
        <f aca="false">IFERROR(__xludf.dummyfunction("""COMPUTED_VALUE"""),1)</f>
        <v>1</v>
      </c>
      <c r="J25" s="13" t="n">
        <f aca="false">IFERROR(__xludf.dummyfunction("""COMPUTED_VALUE"""),54.17)</f>
        <v>54.17</v>
      </c>
      <c r="K25" s="13" t="n">
        <f aca="false">IFERROR(__xludf.dummyfunction("""COMPUTED_VALUE"""),54.17)</f>
        <v>54.17</v>
      </c>
      <c r="L25" s="13" t="str">
        <f aca="false">IFERROR(__xludf.dummyfunction("""COMPUTED_VALUE"""),"[Code: 345667] TA: Company end issue(Found damaged from bag)")</f>
        <v>[Code: 345667] TA: Company end issue(Found damaged from bag)</v>
      </c>
      <c r="M25" s="13" t="str">
        <f aca="false">IFERROR(__xludf.dummyfunction("""COMPUTED_VALUE"""),"345667")</f>
        <v>345667</v>
      </c>
      <c r="N25" s="13"/>
      <c r="O25" s="13" t="str">
        <f aca="false">IFERROR(__xludf.dummyfunction("""COMPUTED_VALUE"""),"taufeeq.akhtar@tajir-app.com")</f>
        <v>taufeeq.akhtar@tajir-app.com</v>
      </c>
      <c r="P25" s="13" t="str">
        <f aca="false">IFERROR(__xludf.dummyfunction("""COMPUTED_VALUE"""),"Taufeeq Akhtar ")</f>
        <v>Taufeeq Akhtar </v>
      </c>
      <c r="Q25" s="13" t="str">
        <f aca="false">IF(L25="","",L25)</f>
        <v>[Code: 345667] TA: Company end issue(Found damaged from bag)</v>
      </c>
    </row>
    <row r="26" customFormat="false" ht="15.75" hidden="false" customHeight="false" outlineLevel="0" collapsed="false">
      <c r="A26" s="13" t="str">
        <f aca="false">IFERROR(__xludf.dummyfunction("""COMPUTED_VALUE"""),"Metro DC Faisalabad")</f>
        <v>Metro DC Faisalabad</v>
      </c>
      <c r="B26" s="13" t="str">
        <f aca="false">IFERROR(__xludf.dummyfunction("""COMPUTED_VALUE"""),"a5ea6cde-48a4-4099-bfe4-f4287dc723f1")</f>
        <v>a5ea6cde-48a4-4099-bfe4-f4287dc723f1</v>
      </c>
      <c r="C26" s="13" t="str">
        <f aca="false">IFERROR(__xludf.dummyfunction("""COMPUTED_VALUE"""),"Bonus tristar yellow surf 260g Rs50")</f>
        <v>Bonus tristar yellow surf 260g Rs50</v>
      </c>
      <c r="D26" s="13" t="str">
        <f aca="false">IFERROR(__xludf.dummyfunction("""COMPUTED_VALUE"""),"Bonus Surf")</f>
        <v>Bonus Surf</v>
      </c>
      <c r="E26" s="13" t="str">
        <f aca="false">IFERROR(__xludf.dummyfunction("""COMPUTED_VALUE"""),"Surf, Bleach")</f>
        <v>Surf, Bleach</v>
      </c>
      <c r="F26" s="11" t="n">
        <f aca="false">IFERROR(__xludf.dummyfunction("""COMPUTED_VALUE"""),44973)</f>
        <v>44973</v>
      </c>
      <c r="G26" s="16" t="n">
        <f aca="false">IFERROR(__xludf.dummyfunction("""COMPUTED_VALUE"""),0.0545749999984101)</f>
        <v>0.054575</v>
      </c>
      <c r="H26" s="13" t="str">
        <f aca="false">IFERROR(__xludf.dummyfunction("""COMPUTED_VALUE"""),"damaged stock")</f>
        <v>damaged stock</v>
      </c>
      <c r="I26" s="13" t="n">
        <f aca="false">IFERROR(__xludf.dummyfunction("""COMPUTED_VALUE"""),2)</f>
        <v>2</v>
      </c>
      <c r="J26" s="13" t="n">
        <f aca="false">IFERROR(__xludf.dummyfunction("""COMPUTED_VALUE"""),45.48)</f>
        <v>45.48</v>
      </c>
      <c r="K26" s="13" t="n">
        <f aca="false">IFERROR(__xludf.dummyfunction("""COMPUTED_VALUE"""),90.96)</f>
        <v>90.96</v>
      </c>
      <c r="L26" s="13" t="str">
        <f aca="false">IFERROR(__xludf.dummyfunction("""COMPUTED_VALUE"""),"[Code: 28CHJJ] TA:company end issue(found damage from bag)")</f>
        <v>[Code: 28CHJJ] TA:company end issue(found damage from bag)</v>
      </c>
      <c r="M26" s="13" t="str">
        <f aca="false">IFERROR(__xludf.dummyfunction("""COMPUTED_VALUE"""),"28CHJJ")</f>
        <v>28CHJJ</v>
      </c>
      <c r="N26" s="13"/>
      <c r="O26" s="13" t="str">
        <f aca="false">IFERROR(__xludf.dummyfunction("""COMPUTED_VALUE"""),"taufeeq.akhtar@tajir-app.com")</f>
        <v>taufeeq.akhtar@tajir-app.com</v>
      </c>
      <c r="P26" s="13" t="str">
        <f aca="false">IFERROR(__xludf.dummyfunction("""COMPUTED_VALUE"""),"Taufeeq Akhtar ")</f>
        <v>Taufeeq Akhtar </v>
      </c>
      <c r="Q26" s="13" t="str">
        <f aca="false">IF(L26="","",L26)</f>
        <v>[Code: 28CHJJ] TA:company end issue(found damage from bag)</v>
      </c>
    </row>
    <row r="27" customFormat="false" ht="15.75" hidden="false" customHeight="false" outlineLevel="0" collapsed="false">
      <c r="A27" s="13" t="str">
        <f aca="false">IFERROR(__xludf.dummyfunction("""COMPUTED_VALUE"""),"Metro DC Faisalabad")</f>
        <v>Metro DC Faisalabad</v>
      </c>
      <c r="B27" s="13" t="str">
        <f aca="false">IFERROR(__xludf.dummyfunction("""COMPUTED_VALUE"""),"2f953f5f-d3c7-49bb-881d-aa2e19ce060a")</f>
        <v>2f953f5f-d3c7-49bb-881d-aa2e19ce060a</v>
      </c>
      <c r="C27" s="13" t="str">
        <f aca="false">IFERROR(__xludf.dummyfunction("""COMPUTED_VALUE"""),"Gibs Crispee Wafers Orange 15pcs Rs10")</f>
        <v>Gibs Crispee Wafers Orange 15pcs Rs10</v>
      </c>
      <c r="D27" s="13" t="str">
        <f aca="false">IFERROR(__xludf.dummyfunction("""COMPUTED_VALUE"""),"Gibs")</f>
        <v>Gibs</v>
      </c>
      <c r="E27" s="13" t="str">
        <f aca="false">IFERROR(__xludf.dummyfunction("""COMPUTED_VALUE"""),"Biscuits, Wafers")</f>
        <v>Biscuits, Wafers</v>
      </c>
      <c r="F27" s="11" t="n">
        <f aca="false">IFERROR(__xludf.dummyfunction("""COMPUTED_VALUE"""),44973)</f>
        <v>44973</v>
      </c>
      <c r="G27" s="16" t="n">
        <f aca="false">IFERROR(__xludf.dummyfunction("""COMPUTED_VALUE"""),0.0511148263896003)</f>
        <v>0.05111482639</v>
      </c>
      <c r="H27" s="13" t="str">
        <f aca="false">IFERROR(__xludf.dummyfunction("""COMPUTED_VALUE"""),"damaged stock")</f>
        <v>damaged stock</v>
      </c>
      <c r="I27" s="13" t="n">
        <f aca="false">IFERROR(__xludf.dummyfunction("""COMPUTED_VALUE"""),1)</f>
        <v>1</v>
      </c>
      <c r="J27" s="13" t="n">
        <f aca="false">IFERROR(__xludf.dummyfunction("""COMPUTED_VALUE"""),128.75)</f>
        <v>128.75</v>
      </c>
      <c r="K27" s="13" t="n">
        <f aca="false">IFERROR(__xludf.dummyfunction("""COMPUTED_VALUE"""),128.75)</f>
        <v>128.75</v>
      </c>
      <c r="L27" s="13" t="str">
        <f aca="false">IFERROR(__xludf.dummyfunction("""COMPUTED_VALUE"""),"[Code: 69HHJK] TA:company end issue(only 4 pieces available in box)")</f>
        <v>[Code: 69HHJK] TA:company end issue(only 4 pieces available in box)</v>
      </c>
      <c r="M27" s="13" t="str">
        <f aca="false">IFERROR(__xludf.dummyfunction("""COMPUTED_VALUE"""),"69HHJK")</f>
        <v>69HHJK</v>
      </c>
      <c r="N27" s="13"/>
      <c r="O27" s="13" t="str">
        <f aca="false">IFERROR(__xludf.dummyfunction("""COMPUTED_VALUE"""),"taufeeq.akhtar@tajir-app.com")</f>
        <v>taufeeq.akhtar@tajir-app.com</v>
      </c>
      <c r="P27" s="13" t="str">
        <f aca="false">IFERROR(__xludf.dummyfunction("""COMPUTED_VALUE"""),"Taufeeq Akhtar ")</f>
        <v>Taufeeq Akhtar </v>
      </c>
      <c r="Q27" s="13" t="str">
        <f aca="false">IF(L27="","",L27)</f>
        <v>[Code: 69HHJK] TA:company end issue(only 4 pieces available in box)</v>
      </c>
    </row>
    <row r="28" customFormat="false" ht="15.75" hidden="false" customHeight="false" outlineLevel="0" collapsed="false">
      <c r="A28" s="13" t="str">
        <f aca="false">IFERROR(__xludf.dummyfunction("""COMPUTED_VALUE"""),"Metro DC Faisalabad")</f>
        <v>Metro DC Faisalabad</v>
      </c>
      <c r="B28" s="13" t="str">
        <f aca="false">IFERROR(__xludf.dummyfunction("""COMPUTED_VALUE"""),"355659b5-dc1b-4187-939c-e7c9bcdd532b")</f>
        <v>355659b5-dc1b-4187-939c-e7c9bcdd532b</v>
      </c>
      <c r="C28" s="13" t="str">
        <f aca="false">IFERROR(__xludf.dummyfunction("""COMPUTED_VALUE"""),"Deer Glider Fountain Ink Pen 10pcs Box")</f>
        <v>Deer Glider Fountain Ink Pen 10pcs Box</v>
      </c>
      <c r="D28" s="13" t="str">
        <f aca="false">IFERROR(__xludf.dummyfunction("""COMPUTED_VALUE"""),"Deer")</f>
        <v>Deer</v>
      </c>
      <c r="E28" s="13" t="str">
        <f aca="false">IFERROR(__xludf.dummyfunction("""COMPUTED_VALUE"""),"Stationery")</f>
        <v>Stationery</v>
      </c>
      <c r="F28" s="11" t="n">
        <f aca="false">IFERROR(__xludf.dummyfunction("""COMPUTED_VALUE"""),44974)</f>
        <v>44974</v>
      </c>
      <c r="G28" s="16" t="n">
        <f aca="false">IFERROR(__xludf.dummyfunction("""COMPUTED_VALUE"""),0.905304479166726)</f>
        <v>0.9053044792</v>
      </c>
      <c r="H28" s="13" t="str">
        <f aca="false">IFERROR(__xludf.dummyfunction("""COMPUTED_VALUE"""),"missing stock")</f>
        <v>missing stock</v>
      </c>
      <c r="I28" s="13" t="n">
        <f aca="false">IFERROR(__xludf.dummyfunction("""COMPUTED_VALUE"""),2)</f>
        <v>2</v>
      </c>
      <c r="J28" s="13" t="n">
        <f aca="false">IFERROR(__xludf.dummyfunction("""COMPUTED_VALUE"""),325.5)</f>
        <v>325.5</v>
      </c>
      <c r="K28" s="13" t="n">
        <f aca="false">IFERROR(__xludf.dummyfunction("""COMPUTED_VALUE"""),651)</f>
        <v>651</v>
      </c>
      <c r="L28" s="13" t="str">
        <f aca="false">IFERROR(__xludf.dummyfunction("""COMPUTED_VALUE"""),"TA:Not Available on floor.")</f>
        <v>TA:Not Available on floor.</v>
      </c>
      <c r="M28" s="13"/>
      <c r="N28" s="13"/>
      <c r="O28" s="13" t="str">
        <f aca="false">IFERROR(__xludf.dummyfunction("""COMPUTED_VALUE"""),"taufeeq.akhtar@tajir-app.com")</f>
        <v>taufeeq.akhtar@tajir-app.com</v>
      </c>
      <c r="P28" s="13" t="str">
        <f aca="false">IFERROR(__xludf.dummyfunction("""COMPUTED_VALUE"""),"Taufeeq Akhtar ")</f>
        <v>Taufeeq Akhtar </v>
      </c>
      <c r="Q28" s="13" t="str">
        <f aca="false">IF(L28="","",L28)</f>
        <v>TA:Not Available on floor.</v>
      </c>
    </row>
    <row r="29" customFormat="false" ht="15.75" hidden="false" customHeight="false" outlineLevel="0" collapsed="false">
      <c r="A29" s="13" t="str">
        <f aca="false">IFERROR(__xludf.dummyfunction("""COMPUTED_VALUE"""),"Metro DC Faisalabad")</f>
        <v>Metro DC Faisalabad</v>
      </c>
      <c r="B29" s="13" t="str">
        <f aca="false">IFERROR(__xludf.dummyfunction("""COMPUTED_VALUE"""),"677536ca-c438-4cd5-bda6-0f9fe40a7515")</f>
        <v>677536ca-c438-4cd5-bda6-0f9fe40a7515</v>
      </c>
      <c r="C29" s="13" t="str">
        <f aca="false">IFERROR(__xludf.dummyfunction("""COMPUTED_VALUE"""),"Closed 3")</f>
        <v>Closed 3</v>
      </c>
      <c r="D29" s="13" t="str">
        <f aca="false">IFERROR(__xludf.dummyfunction("""COMPUTED_VALUE"""),"Ariel Surf")</f>
        <v>Ariel Surf</v>
      </c>
      <c r="E29" s="13" t="str">
        <f aca="false">IFERROR(__xludf.dummyfunction("""COMPUTED_VALUE"""),"Surf, Bleach")</f>
        <v>Surf, Bleach</v>
      </c>
      <c r="F29" s="11" t="n">
        <f aca="false">IFERROR(__xludf.dummyfunction("""COMPUTED_VALUE"""),44976)</f>
        <v>44976</v>
      </c>
      <c r="G29" s="16" t="n">
        <f aca="false">IFERROR(__xludf.dummyfunction("""COMPUTED_VALUE"""),0.958928692128158)</f>
        <v>0.9589286921</v>
      </c>
      <c r="H29" s="13" t="str">
        <f aca="false">IFERROR(__xludf.dummyfunction("""COMPUTED_VALUE"""),"damaged stock")</f>
        <v>damaged stock</v>
      </c>
      <c r="I29" s="13" t="n">
        <f aca="false">IFERROR(__xludf.dummyfunction("""COMPUTED_VALUE"""),1)</f>
        <v>1</v>
      </c>
      <c r="J29" s="13" t="n">
        <f aca="false">IFERROR(__xludf.dummyfunction("""COMPUTED_VALUE"""),270)</f>
        <v>270</v>
      </c>
      <c r="K29" s="13" t="n">
        <f aca="false">IFERROR(__xludf.dummyfunction("""COMPUTED_VALUE"""),270)</f>
        <v>270</v>
      </c>
      <c r="L29" s="13" t="str">
        <f aca="false">IFERROR(__xludf.dummyfunction("""COMPUTED_VALUE"""),"[Code: 267CEE] TA:Company end issue(found damaged from bag)")</f>
        <v>[Code: 267CEE] TA:Company end issue(found damaged from bag)</v>
      </c>
      <c r="M29" s="13" t="str">
        <f aca="false">IFERROR(__xludf.dummyfunction("""COMPUTED_VALUE"""),"267CEE")</f>
        <v>267CEE</v>
      </c>
      <c r="N29" s="13"/>
      <c r="O29" s="13" t="str">
        <f aca="false">IFERROR(__xludf.dummyfunction("""COMPUTED_VALUE"""),"taufeeq.akhtar@tajir-app.com")</f>
        <v>taufeeq.akhtar@tajir-app.com</v>
      </c>
      <c r="P29" s="13" t="str">
        <f aca="false">IFERROR(__xludf.dummyfunction("""COMPUTED_VALUE"""),"Taufeeq Akhtar ")</f>
        <v>Taufeeq Akhtar </v>
      </c>
      <c r="Q29" s="13" t="str">
        <f aca="false">IF(L29="","",L29)</f>
        <v>[Code: 267CEE] TA:Company end issue(found damaged from bag)</v>
      </c>
    </row>
    <row r="30" customFormat="false" ht="15.75" hidden="false" customHeight="false" outlineLevel="0" collapsed="false">
      <c r="A30" s="13" t="str">
        <f aca="false">IFERROR(__xludf.dummyfunction("""COMPUTED_VALUE"""),"Metro DC Faisalabad")</f>
        <v>Metro DC Faisalabad</v>
      </c>
      <c r="B30" s="13" t="str">
        <f aca="false">IFERROR(__xludf.dummyfunction("""COMPUTED_VALUE"""),"d864c0cd-914b-4a54-96d5-8e894ba5f3b6")</f>
        <v>d864c0cd-914b-4a54-96d5-8e894ba5f3b6</v>
      </c>
      <c r="C30" s="13" t="str">
        <f aca="false">IFERROR(__xludf.dummyfunction("""COMPUTED_VALUE"""),"Surf Excel x6 bundle 20g Rs 10")</f>
        <v>Surf Excel x6 bundle 20g Rs 10</v>
      </c>
      <c r="D30" s="13" t="str">
        <f aca="false">IFERROR(__xludf.dummyfunction("""COMPUTED_VALUE"""),"Surf Excel")</f>
        <v>Surf Excel</v>
      </c>
      <c r="E30" s="13" t="str">
        <f aca="false">IFERROR(__xludf.dummyfunction("""COMPUTED_VALUE"""),"Surf, Bleach")</f>
        <v>Surf, Bleach</v>
      </c>
      <c r="F30" s="11" t="n">
        <f aca="false">IFERROR(__xludf.dummyfunction("""COMPUTED_VALUE"""),44976)</f>
        <v>44976</v>
      </c>
      <c r="G30" s="16" t="n">
        <f aca="false">IFERROR(__xludf.dummyfunction("""COMPUTED_VALUE"""),0.957510219907844)</f>
        <v>0.9575102199</v>
      </c>
      <c r="H30" s="13" t="str">
        <f aca="false">IFERROR(__xludf.dummyfunction("""COMPUTED_VALUE"""),"damaged stock")</f>
        <v>damaged stock</v>
      </c>
      <c r="I30" s="13" t="n">
        <f aca="false">IFERROR(__xludf.dummyfunction("""COMPUTED_VALUE"""),13)</f>
        <v>13</v>
      </c>
      <c r="J30" s="13" t="n">
        <f aca="false">IFERROR(__xludf.dummyfunction("""COMPUTED_VALUE"""),54.17)</f>
        <v>54.17</v>
      </c>
      <c r="K30" s="13" t="n">
        <f aca="false">IFERROR(__xludf.dummyfunction("""COMPUTED_VALUE"""),704.21)</f>
        <v>704.21</v>
      </c>
      <c r="L30" s="13" t="str">
        <f aca="false">IFERROR(__xludf.dummyfunction("""COMPUTED_VALUE"""),"[Code: 3789AC] TA:Company end issue(Found damaged from bag)")</f>
        <v>[Code: 3789AC] TA:Company end issue(Found damaged from bag)</v>
      </c>
      <c r="M30" s="13" t="str">
        <f aca="false">IFERROR(__xludf.dummyfunction("""COMPUTED_VALUE"""),"3789AC")</f>
        <v>3789AC</v>
      </c>
      <c r="N30" s="13"/>
      <c r="O30" s="13" t="str">
        <f aca="false">IFERROR(__xludf.dummyfunction("""COMPUTED_VALUE"""),"taufeeq.akhtar@tajir-app.com")</f>
        <v>taufeeq.akhtar@tajir-app.com</v>
      </c>
      <c r="P30" s="13" t="str">
        <f aca="false">IFERROR(__xludf.dummyfunction("""COMPUTED_VALUE"""),"Taufeeq Akhtar ")</f>
        <v>Taufeeq Akhtar </v>
      </c>
      <c r="Q30" s="13" t="str">
        <f aca="false">IF(L30="","",L30)</f>
        <v>[Code: 3789AC] TA:Company end issue(Found damaged from bag)</v>
      </c>
    </row>
    <row r="31" customFormat="false" ht="15.75" hidden="false" customHeight="false" outlineLevel="0" collapsed="false">
      <c r="A31" s="13" t="str">
        <f aca="false">IFERROR(__xludf.dummyfunction("""COMPUTED_VALUE"""),"Metro DC Faisalabad")</f>
        <v>Metro DC Faisalabad</v>
      </c>
      <c r="B31" s="13" t="str">
        <f aca="false">IFERROR(__xludf.dummyfunction("""COMPUTED_VALUE"""),"711ede13-576f-4d62-a580-4aede9c04794")</f>
        <v>711ede13-576f-4d62-a580-4aede9c04794</v>
      </c>
      <c r="C31" s="13" t="str">
        <f aca="false">IFERROR(__xludf.dummyfunction("""COMPUTED_VALUE"""),"Deer Alpha Black Ballpoint 10pcs x5 Bundle (DA001)")</f>
        <v>Deer Alpha Black Ballpoint 10pcs x5 Bundle (DA001)</v>
      </c>
      <c r="D31" s="13" t="str">
        <f aca="false">IFERROR(__xludf.dummyfunction("""COMPUTED_VALUE"""),"Deer")</f>
        <v>Deer</v>
      </c>
      <c r="E31" s="13" t="str">
        <f aca="false">IFERROR(__xludf.dummyfunction("""COMPUTED_VALUE"""),"Stationery")</f>
        <v>Stationery</v>
      </c>
      <c r="F31" s="11" t="n">
        <f aca="false">IFERROR(__xludf.dummyfunction("""COMPUTED_VALUE"""),44976)</f>
        <v>44976</v>
      </c>
      <c r="G31" s="16" t="n">
        <f aca="false">IFERROR(__xludf.dummyfunction("""COMPUTED_VALUE"""),0.0858313310169286)</f>
        <v>0.08583133102</v>
      </c>
      <c r="H31" s="13" t="str">
        <f aca="false">IFERROR(__xludf.dummyfunction("""COMPUTED_VALUE"""),"missing stock")</f>
        <v>missing stock</v>
      </c>
      <c r="I31" s="13" t="n">
        <f aca="false">IFERROR(__xludf.dummyfunction("""COMPUTED_VALUE"""),1)</f>
        <v>1</v>
      </c>
      <c r="J31" s="13" t="n">
        <f aca="false">IFERROR(__xludf.dummyfunction("""COMPUTED_VALUE"""),348.75)</f>
        <v>348.75</v>
      </c>
      <c r="K31" s="13" t="n">
        <f aca="false">IFERROR(__xludf.dummyfunction("""COMPUTED_VALUE"""),348.75)</f>
        <v>348.75</v>
      </c>
      <c r="L31" s="13" t="str">
        <f aca="false">IFERROR(__xludf.dummyfunction("""COMPUTED_VALUE"""),"TA:Sku was not available on floor.")</f>
        <v>TA:Sku was not available on floor.</v>
      </c>
      <c r="M31" s="13"/>
      <c r="N31" s="13"/>
      <c r="O31" s="13" t="str">
        <f aca="false">IFERROR(__xludf.dummyfunction("""COMPUTED_VALUE"""),"taufeeq.akhtar@tajir-app.com")</f>
        <v>taufeeq.akhtar@tajir-app.com</v>
      </c>
      <c r="P31" s="13" t="str">
        <f aca="false">IFERROR(__xludf.dummyfunction("""COMPUTED_VALUE"""),"Taufeeq Akhtar ")</f>
        <v>Taufeeq Akhtar </v>
      </c>
      <c r="Q31" s="13" t="str">
        <f aca="false">IF(L31="","",L31)</f>
        <v>TA:Sku was not available on floor.</v>
      </c>
    </row>
    <row r="32" customFormat="false" ht="15.75" hidden="false" customHeight="false" outlineLevel="0" collapsed="false">
      <c r="A32" s="13" t="str">
        <f aca="false">IFERROR(__xludf.dummyfunction("""COMPUTED_VALUE"""),"Metro DC Faisalabad")</f>
        <v>Metro DC Faisalabad</v>
      </c>
      <c r="B32" s="13" t="str">
        <f aca="false">IFERROR(__xludf.dummyfunction("""COMPUTED_VALUE"""),"cd68a607-af95-45cb-b9f4-2721224c85f8")</f>
        <v>cd68a607-af95-45cb-b9f4-2721224c85f8</v>
      </c>
      <c r="C32" s="13" t="str">
        <f aca="false">IFERROR(__xludf.dummyfunction("""COMPUTED_VALUE"""),"Coca Cola plastic 1.5L")</f>
        <v>Coca Cola plastic 1.5L</v>
      </c>
      <c r="D32" s="13" t="str">
        <f aca="false">IFERROR(__xludf.dummyfunction("""COMPUTED_VALUE"""),"Coca Cola")</f>
        <v>Coca Cola</v>
      </c>
      <c r="E32" s="13" t="str">
        <f aca="false">IFERROR(__xludf.dummyfunction("""COMPUTED_VALUE"""),"Beverages")</f>
        <v>Beverages</v>
      </c>
      <c r="F32" s="11" t="n">
        <f aca="false">IFERROR(__xludf.dummyfunction("""COMPUTED_VALUE"""),44977)</f>
        <v>44977</v>
      </c>
      <c r="G32" s="16" t="n">
        <f aca="false">IFERROR(__xludf.dummyfunction("""COMPUTED_VALUE"""),0.0042478703701494)</f>
        <v>0.00424787037</v>
      </c>
      <c r="H32" s="13" t="str">
        <f aca="false">IFERROR(__xludf.dummyfunction("""COMPUTED_VALUE"""),"damaged stock")</f>
        <v>damaged stock</v>
      </c>
      <c r="I32" s="13" t="n">
        <f aca="false">IFERROR(__xludf.dummyfunction("""COMPUTED_VALUE"""),1)</f>
        <v>1</v>
      </c>
      <c r="J32" s="13" t="n">
        <f aca="false">IFERROR(__xludf.dummyfunction("""COMPUTED_VALUE"""),736.3)</f>
        <v>736.3</v>
      </c>
      <c r="K32" s="13" t="n">
        <f aca="false">IFERROR(__xludf.dummyfunction("""COMPUTED_VALUE"""),736.3)</f>
        <v>736.3</v>
      </c>
      <c r="L32" s="13" t="str">
        <f aca="false">IFERROR(__xludf.dummyfunction("""COMPUTED_VALUE"""),"[Code: 2788AH] TA: Damaged during sorting.")</f>
        <v>[Code: 2788AH] TA: Damaged during sorting.</v>
      </c>
      <c r="M32" s="13" t="str">
        <f aca="false">IFERROR(__xludf.dummyfunction("""COMPUTED_VALUE"""),"2788AH")</f>
        <v>2788AH</v>
      </c>
      <c r="N32" s="13"/>
      <c r="O32" s="13" t="str">
        <f aca="false">IFERROR(__xludf.dummyfunction("""COMPUTED_VALUE"""),"taufeeq.akhtar@tajir-app.com")</f>
        <v>taufeeq.akhtar@tajir-app.com</v>
      </c>
      <c r="P32" s="13" t="str">
        <f aca="false">IFERROR(__xludf.dummyfunction("""COMPUTED_VALUE"""),"Taufeeq Akhtar ")</f>
        <v>Taufeeq Akhtar </v>
      </c>
      <c r="Q32" s="13" t="str">
        <f aca="false">IF(L32="","",L32)</f>
        <v>[Code: 2788AH] TA: Damaged during sorting.</v>
      </c>
    </row>
    <row r="33" customFormat="false" ht="15.75" hidden="false" customHeight="false" outlineLevel="0" collapsed="false">
      <c r="A33" s="13" t="str">
        <f aca="false">IFERROR(__xludf.dummyfunction("""COMPUTED_VALUE"""),"Metro DC Faisalabad")</f>
        <v>Metro DC Faisalabad</v>
      </c>
      <c r="B33" s="13" t="str">
        <f aca="false">IFERROR(__xludf.dummyfunction("""COMPUTED_VALUE"""),"7f59832f-434a-4243-bd33-75b0c68542bd")</f>
        <v>7f59832f-434a-4243-bd33-75b0c68542bd</v>
      </c>
      <c r="C33" s="13" t="str">
        <f aca="false">IFERROR(__xludf.dummyfunction("""COMPUTED_VALUE"""),"Super Crisp Mix Nimko Mexican Chilli Regular Pack Rs30 21g")</f>
        <v>Super Crisp Mix Nimko Mexican Chilli Regular Pack Rs30 21g</v>
      </c>
      <c r="D33" s="13" t="str">
        <f aca="false">IFERROR(__xludf.dummyfunction("""COMPUTED_VALUE"""),"Super Crisp")</f>
        <v>Super Crisp</v>
      </c>
      <c r="E33" s="13" t="str">
        <f aca="false">IFERROR(__xludf.dummyfunction("""COMPUTED_VALUE"""),"Snacks")</f>
        <v>Snacks</v>
      </c>
      <c r="F33" s="11" t="n">
        <f aca="false">IFERROR(__xludf.dummyfunction("""COMPUTED_VALUE"""),44978)</f>
        <v>44978</v>
      </c>
      <c r="G33" s="16" t="n">
        <f aca="false">IFERROR(__xludf.dummyfunction("""COMPUTED_VALUE"""),0.650456805557027)</f>
        <v>0.6504568056</v>
      </c>
      <c r="H33" s="13" t="str">
        <f aca="false">IFERROR(__xludf.dummyfunction("""COMPUTED_VALUE"""),"expired stock")</f>
        <v>expired stock</v>
      </c>
      <c r="I33" s="13" t="n">
        <f aca="false">IFERROR(__xludf.dummyfunction("""COMPUTED_VALUE"""),18)</f>
        <v>18</v>
      </c>
      <c r="J33" s="13" t="n">
        <f aca="false">IFERROR(__xludf.dummyfunction("""COMPUTED_VALUE"""),1176.14)</f>
        <v>1176.14</v>
      </c>
      <c r="K33" s="13" t="n">
        <f aca="false">IFERROR(__xludf.dummyfunction("""COMPUTED_VALUE"""),21170.52)</f>
        <v>21170.52</v>
      </c>
      <c r="L33" s="13" t="str">
        <f aca="false">IFERROR(__xludf.dummyfunction("""COMPUTED_VALUE"""),"[Code: 239ABD] [Expiry: 16 Mar, 2023] Short Expiry")</f>
        <v>[Code: 239ABD] [Expiry: 16 Mar, 2023] Short Expiry</v>
      </c>
      <c r="M33" s="13" t="str">
        <f aca="false">IFERROR(__xludf.dummyfunction("""COMPUTED_VALUE"""),"239ABD")</f>
        <v>239ABD</v>
      </c>
      <c r="N33" s="13" t="str">
        <f aca="false">IFERROR(__xludf.dummyfunction("""COMPUTED_VALUE"""),"16 Mar, 2023")</f>
        <v>16 Mar, 2023</v>
      </c>
      <c r="O33" s="13" t="str">
        <f aca="false">IFERROR(__xludf.dummyfunction("""COMPUTED_VALUE"""),"ali.raza@tajir-app.com")</f>
        <v>ali.raza@tajir-app.com</v>
      </c>
      <c r="P33" s="13" t="str">
        <f aca="false">IFERROR(__xludf.dummyfunction("""COMPUTED_VALUE"""),"Ali Raza ")</f>
        <v>Ali Raza </v>
      </c>
      <c r="Q33" s="13" t="str">
        <f aca="false">IF(L33="","",L33)</f>
        <v>[Code: 239ABD] [Expiry: 16 Mar, 2023] Short Expiry</v>
      </c>
    </row>
    <row r="34" customFormat="false" ht="15.75" hidden="false" customHeight="false" outlineLevel="0" collapsed="false">
      <c r="A34" s="13" t="str">
        <f aca="false">IFERROR(__xludf.dummyfunction("""COMPUTED_VALUE"""),"Metro DC Faisalabad")</f>
        <v>Metro DC Faisalabad</v>
      </c>
      <c r="B34" s="13" t="str">
        <f aca="false">IFERROR(__xludf.dummyfunction("""COMPUTED_VALUE"""),"942ae6e8-b062-46ab-bcd3-a17189bf0e3e")</f>
        <v>942ae6e8-b062-46ab-bcd3-a17189bf0e3e</v>
      </c>
      <c r="C34" s="13" t="str">
        <f aca="false">IFERROR(__xludf.dummyfunction("""COMPUTED_VALUE"""),"SnackCity Kurleez Mirch Masala Rs30")</f>
        <v>SnackCity Kurleez Mirch Masala Rs30</v>
      </c>
      <c r="D34" s="13" t="str">
        <f aca="false">IFERROR(__xludf.dummyfunction("""COMPUTED_VALUE"""),"SnackCity")</f>
        <v>SnackCity</v>
      </c>
      <c r="E34" s="13" t="str">
        <f aca="false">IFERROR(__xludf.dummyfunction("""COMPUTED_VALUE"""),"Snacks")</f>
        <v>Snacks</v>
      </c>
      <c r="F34" s="11" t="n">
        <f aca="false">IFERROR(__xludf.dummyfunction("""COMPUTED_VALUE"""),44978)</f>
        <v>44978</v>
      </c>
      <c r="G34" s="16" t="n">
        <f aca="false">IFERROR(__xludf.dummyfunction("""COMPUTED_VALUE"""),0.649586168980123)</f>
        <v>0.649586169</v>
      </c>
      <c r="H34" s="13" t="str">
        <f aca="false">IFERROR(__xludf.dummyfunction("""COMPUTED_VALUE"""),"expired stock")</f>
        <v>expired stock</v>
      </c>
      <c r="I34" s="13" t="n">
        <f aca="false">IFERROR(__xludf.dummyfunction("""COMPUTED_VALUE"""),26)</f>
        <v>26</v>
      </c>
      <c r="J34" s="13" t="n">
        <f aca="false">IFERROR(__xludf.dummyfunction("""COMPUTED_VALUE"""),557.67)</f>
        <v>557.67</v>
      </c>
      <c r="K34" s="13" t="n">
        <f aca="false">IFERROR(__xludf.dummyfunction("""COMPUTED_VALUE"""),14499.42)</f>
        <v>14499.42</v>
      </c>
      <c r="L34" s="13" t="str">
        <f aca="false">IFERROR(__xludf.dummyfunction("""COMPUTED_VALUE"""),"[Code: 24579C] [Expiry: 17 Mar, 2023] SHort Expiry ")</f>
        <v>[Code: 24579C] [Expiry: 17 Mar, 2023] SHort Expiry </v>
      </c>
      <c r="M34" s="13" t="str">
        <f aca="false">IFERROR(__xludf.dummyfunction("""COMPUTED_VALUE"""),"24579C")</f>
        <v>24579C</v>
      </c>
      <c r="N34" s="13" t="str">
        <f aca="false">IFERROR(__xludf.dummyfunction("""COMPUTED_VALUE"""),"17 Mar, 2023")</f>
        <v>17 Mar, 2023</v>
      </c>
      <c r="O34" s="13" t="str">
        <f aca="false">IFERROR(__xludf.dummyfunction("""COMPUTED_VALUE"""),"ali.raza@tajir-app.com")</f>
        <v>ali.raza@tajir-app.com</v>
      </c>
      <c r="P34" s="13" t="str">
        <f aca="false">IFERROR(__xludf.dummyfunction("""COMPUTED_VALUE"""),"Ali Raza ")</f>
        <v>Ali Raza </v>
      </c>
      <c r="Q34" s="13" t="str">
        <f aca="false">IF(L34="","",L34)</f>
        <v>[Code: 24579C] [Expiry: 17 Mar, 2023] SHort Expiry </v>
      </c>
    </row>
    <row r="35" customFormat="false" ht="15.75" hidden="false" customHeight="false" outlineLevel="0" collapsed="false">
      <c r="A35" s="13" t="str">
        <f aca="false">IFERROR(__xludf.dummyfunction("""COMPUTED_VALUE"""),"Metro DC Faisalabad")</f>
        <v>Metro DC Faisalabad</v>
      </c>
      <c r="B35" s="13" t="str">
        <f aca="false">IFERROR(__xludf.dummyfunction("""COMPUTED_VALUE"""),"da1ccae4-c025-4efb-92e0-3d417439a7df")</f>
        <v>da1ccae4-c025-4efb-92e0-3d417439a7df</v>
      </c>
      <c r="C35" s="13" t="str">
        <f aca="false">IFERROR(__xludf.dummyfunction("""COMPUTED_VALUE"""),"SnackCity Kurleez Ketchup Rs30")</f>
        <v>SnackCity Kurleez Ketchup Rs30</v>
      </c>
      <c r="D35" s="13" t="str">
        <f aca="false">IFERROR(__xludf.dummyfunction("""COMPUTED_VALUE"""),"SnackCity")</f>
        <v>SnackCity</v>
      </c>
      <c r="E35" s="13" t="str">
        <f aca="false">IFERROR(__xludf.dummyfunction("""COMPUTED_VALUE"""),"Snacks")</f>
        <v>Snacks</v>
      </c>
      <c r="F35" s="11" t="n">
        <f aca="false">IFERROR(__xludf.dummyfunction("""COMPUTED_VALUE"""),44978)</f>
        <v>44978</v>
      </c>
      <c r="G35" s="16" t="n">
        <f aca="false">IFERROR(__xludf.dummyfunction("""COMPUTED_VALUE"""),0.648379374998318)</f>
        <v>0.648379375</v>
      </c>
      <c r="H35" s="13" t="str">
        <f aca="false">IFERROR(__xludf.dummyfunction("""COMPUTED_VALUE"""),"expired stock")</f>
        <v>expired stock</v>
      </c>
      <c r="I35" s="13" t="n">
        <f aca="false">IFERROR(__xludf.dummyfunction("""COMPUTED_VALUE"""),92)</f>
        <v>92</v>
      </c>
      <c r="J35" s="13" t="n">
        <f aca="false">IFERROR(__xludf.dummyfunction("""COMPUTED_VALUE"""),557.66)</f>
        <v>557.66</v>
      </c>
      <c r="K35" s="13" t="n">
        <f aca="false">IFERROR(__xludf.dummyfunction("""COMPUTED_VALUE"""),51304.72)</f>
        <v>51304.72</v>
      </c>
      <c r="L35" s="13" t="str">
        <f aca="false">IFERROR(__xludf.dummyfunction("""COMPUTED_VALUE"""),"[Code: 223355] [Expiry: 15 Mar, 2023] Short Expiry")</f>
        <v>[Code: 223355] [Expiry: 15 Mar, 2023] Short Expiry</v>
      </c>
      <c r="M35" s="13" t="str">
        <f aca="false">IFERROR(__xludf.dummyfunction("""COMPUTED_VALUE"""),"223355")</f>
        <v>223355</v>
      </c>
      <c r="N35" s="13" t="str">
        <f aca="false">IFERROR(__xludf.dummyfunction("""COMPUTED_VALUE"""),"15 Mar, 2023")</f>
        <v>15 Mar, 2023</v>
      </c>
      <c r="O35" s="13" t="str">
        <f aca="false">IFERROR(__xludf.dummyfunction("""COMPUTED_VALUE"""),"ali.raza@tajir-app.com")</f>
        <v>ali.raza@tajir-app.com</v>
      </c>
      <c r="P35" s="13" t="str">
        <f aca="false">IFERROR(__xludf.dummyfunction("""COMPUTED_VALUE"""),"Ali Raza ")</f>
        <v>Ali Raza </v>
      </c>
      <c r="Q35" s="13" t="str">
        <f aca="false">IF(L35="","",L35)</f>
        <v>[Code: 223355] [Expiry: 15 Mar, 2023] Short Expiry</v>
      </c>
    </row>
    <row r="36" customFormat="false" ht="15.75" hidden="false" customHeight="false" outlineLevel="0" collapsed="false">
      <c r="A36" s="13" t="str">
        <f aca="false">IFERROR(__xludf.dummyfunction("""COMPUTED_VALUE"""),"Metro DC Faisalabad")</f>
        <v>Metro DC Faisalabad</v>
      </c>
      <c r="B36" s="13" t="str">
        <f aca="false">IFERROR(__xludf.dummyfunction("""COMPUTED_VALUE"""),"7767101f-5d8f-413e-84ca-972e0e452e15")</f>
        <v>7767101f-5d8f-413e-84ca-972e0e452e15</v>
      </c>
      <c r="C36" s="13" t="str">
        <f aca="false">IFERROR(__xludf.dummyfunction("""COMPUTED_VALUE"""),"SnackCity Kurleez BBQ Rs20")</f>
        <v>SnackCity Kurleez BBQ Rs20</v>
      </c>
      <c r="D36" s="13" t="str">
        <f aca="false">IFERROR(__xludf.dummyfunction("""COMPUTED_VALUE"""),"SnackCity")</f>
        <v>SnackCity</v>
      </c>
      <c r="E36" s="13" t="str">
        <f aca="false">IFERROR(__xludf.dummyfunction("""COMPUTED_VALUE"""),"Snacks")</f>
        <v>Snacks</v>
      </c>
      <c r="F36" s="11" t="n">
        <f aca="false">IFERROR(__xludf.dummyfunction("""COMPUTED_VALUE"""),44978)</f>
        <v>44978</v>
      </c>
      <c r="G36" s="16" t="n">
        <f aca="false">IFERROR(__xludf.dummyfunction("""COMPUTED_VALUE"""),0.647309803241167)</f>
        <v>0.6473098032</v>
      </c>
      <c r="H36" s="13" t="str">
        <f aca="false">IFERROR(__xludf.dummyfunction("""COMPUTED_VALUE"""),"expired stock")</f>
        <v>expired stock</v>
      </c>
      <c r="I36" s="13" t="n">
        <f aca="false">IFERROR(__xludf.dummyfunction("""COMPUTED_VALUE"""),26)</f>
        <v>26</v>
      </c>
      <c r="J36" s="13" t="n">
        <f aca="false">IFERROR(__xludf.dummyfunction("""COMPUTED_VALUE"""),743.55)</f>
        <v>743.55</v>
      </c>
      <c r="K36" s="13" t="n">
        <f aca="false">IFERROR(__xludf.dummyfunction("""COMPUTED_VALUE"""),19332.3)</f>
        <v>19332.3</v>
      </c>
      <c r="L36" s="13" t="str">
        <f aca="false">IFERROR(__xludf.dummyfunction("""COMPUTED_VALUE"""),"[Code: 22259A] [Expiry: 11 Mar, 2023] Short Expiry")</f>
        <v>[Code: 22259A] [Expiry: 11 Mar, 2023] Short Expiry</v>
      </c>
      <c r="M36" s="13" t="str">
        <f aca="false">IFERROR(__xludf.dummyfunction("""COMPUTED_VALUE"""),"22259A")</f>
        <v>22259A</v>
      </c>
      <c r="N36" s="13" t="str">
        <f aca="false">IFERROR(__xludf.dummyfunction("""COMPUTED_VALUE"""),"11 Mar, 2023")</f>
        <v>11 Mar, 2023</v>
      </c>
      <c r="O36" s="13" t="str">
        <f aca="false">IFERROR(__xludf.dummyfunction("""COMPUTED_VALUE"""),"ali.raza@tajir-app.com")</f>
        <v>ali.raza@tajir-app.com</v>
      </c>
      <c r="P36" s="13" t="str">
        <f aca="false">IFERROR(__xludf.dummyfunction("""COMPUTED_VALUE"""),"Ali Raza ")</f>
        <v>Ali Raza </v>
      </c>
      <c r="Q36" s="13" t="str">
        <f aca="false">IF(L36="","",L36)</f>
        <v>[Code: 22259A] [Expiry: 11 Mar, 2023] Short Expiry</v>
      </c>
    </row>
    <row r="37" customFormat="false" ht="15.75" hidden="false" customHeight="false" outlineLevel="0" collapsed="false">
      <c r="A37" s="13" t="str">
        <f aca="false">IFERROR(__xludf.dummyfunction("""COMPUTED_VALUE"""),"Metro DC Faisalabad")</f>
        <v>Metro DC Faisalabad</v>
      </c>
      <c r="B37" s="13" t="str">
        <f aca="false">IFERROR(__xludf.dummyfunction("""COMPUTED_VALUE"""),"260b76ec-fddf-4758-963e-2029967a1a3f")</f>
        <v>260b76ec-fddf-4758-963e-2029967a1a3f</v>
      </c>
      <c r="C37" s="13" t="str">
        <f aca="false">IFERROR(__xludf.dummyfunction("""COMPUTED_VALUE"""),"Murree Brewery Lychee Malt Glass x24 Crate 300ml (brown liquid)")</f>
        <v>Murree Brewery Lychee Malt Glass x24 Crate 300ml (brown liquid)</v>
      </c>
      <c r="D37" s="13" t="str">
        <f aca="false">IFERROR(__xludf.dummyfunction("""COMPUTED_VALUE"""),"Murree Brewery")</f>
        <v>Murree Brewery</v>
      </c>
      <c r="E37" s="13" t="str">
        <f aca="false">IFERROR(__xludf.dummyfunction("""COMPUTED_VALUE"""),"Beverages")</f>
        <v>Beverages</v>
      </c>
      <c r="F37" s="11" t="n">
        <f aca="false">IFERROR(__xludf.dummyfunction("""COMPUTED_VALUE"""),44978)</f>
        <v>44978</v>
      </c>
      <c r="G37" s="16" t="n">
        <f aca="false">IFERROR(__xludf.dummyfunction("""COMPUTED_VALUE"""),0.646048784722416)</f>
        <v>0.6460487847</v>
      </c>
      <c r="H37" s="13" t="str">
        <f aca="false">IFERROR(__xludf.dummyfunction("""COMPUTED_VALUE"""),"expired stock")</f>
        <v>expired stock</v>
      </c>
      <c r="I37" s="13" t="n">
        <f aca="false">IFERROR(__xludf.dummyfunction("""COMPUTED_VALUE"""),5)</f>
        <v>5</v>
      </c>
      <c r="J37" s="13" t="n">
        <f aca="false">IFERROR(__xludf.dummyfunction("""COMPUTED_VALUE"""),1130)</f>
        <v>1130</v>
      </c>
      <c r="K37" s="13" t="n">
        <f aca="false">IFERROR(__xludf.dummyfunction("""COMPUTED_VALUE"""),5650)</f>
        <v>5650</v>
      </c>
      <c r="L37" s="13" t="str">
        <f aca="false">IFERROR(__xludf.dummyfunction("""COMPUTED_VALUE"""),"[Code: 288CFH] [Expiry: 5 Mar, 2023] Short Expiry")</f>
        <v>[Code: 288CFH] [Expiry: 5 Mar, 2023] Short Expiry</v>
      </c>
      <c r="M37" s="13" t="str">
        <f aca="false">IFERROR(__xludf.dummyfunction("""COMPUTED_VALUE"""),"288CFH")</f>
        <v>288CFH</v>
      </c>
      <c r="N37" s="13" t="str">
        <f aca="false">IFERROR(__xludf.dummyfunction("""COMPUTED_VALUE"""),"5 Mar, 2023")</f>
        <v>5 Mar, 2023</v>
      </c>
      <c r="O37" s="13" t="str">
        <f aca="false">IFERROR(__xludf.dummyfunction("""COMPUTED_VALUE"""),"ali.raza@tajir-app.com")</f>
        <v>ali.raza@tajir-app.com</v>
      </c>
      <c r="P37" s="13" t="str">
        <f aca="false">IFERROR(__xludf.dummyfunction("""COMPUTED_VALUE"""),"Ali Raza ")</f>
        <v>Ali Raza </v>
      </c>
      <c r="Q37" s="13" t="str">
        <f aca="false">IF(L37="","",L37)</f>
        <v>[Code: 288CFH] [Expiry: 5 Mar, 2023] Short Expiry</v>
      </c>
    </row>
    <row r="38" customFormat="false" ht="15.75" hidden="false" customHeight="false" outlineLevel="0" collapsed="false">
      <c r="A38" s="13" t="str">
        <f aca="false">IFERROR(__xludf.dummyfunction("""COMPUTED_VALUE"""),"Metro DC Faisalabad")</f>
        <v>Metro DC Faisalabad</v>
      </c>
      <c r="B38" s="13" t="str">
        <f aca="false">IFERROR(__xludf.dummyfunction("""COMPUTED_VALUE"""),"f2c4d9b0-dde9-4de7-ac25-b7d66796cd67")</f>
        <v>f2c4d9b0-dde9-4de7-ac25-b7d66796cd67</v>
      </c>
      <c r="C38" s="13" t="str">
        <f aca="false">IFERROR(__xludf.dummyfunction("""COMPUTED_VALUE"""),"Jan Guava 1L")</f>
        <v>Jan Guava 1L</v>
      </c>
      <c r="D38" s="13" t="str">
        <f aca="false">IFERROR(__xludf.dummyfunction("""COMPUTED_VALUE"""),"Jan")</f>
        <v>Jan</v>
      </c>
      <c r="E38" s="13" t="str">
        <f aca="false">IFERROR(__xludf.dummyfunction("""COMPUTED_VALUE"""),"Juice, Syrup, Squash")</f>
        <v>Juice, Syrup, Squash</v>
      </c>
      <c r="F38" s="11" t="n">
        <f aca="false">IFERROR(__xludf.dummyfunction("""COMPUTED_VALUE"""),44978)</f>
        <v>44978</v>
      </c>
      <c r="G38" s="16" t="n">
        <f aca="false">IFERROR(__xludf.dummyfunction("""COMPUTED_VALUE"""),0.644239837963092)</f>
        <v>0.644239838</v>
      </c>
      <c r="H38" s="13" t="str">
        <f aca="false">IFERROR(__xludf.dummyfunction("""COMPUTED_VALUE"""),"expired stock")</f>
        <v>expired stock</v>
      </c>
      <c r="I38" s="13" t="n">
        <f aca="false">IFERROR(__xludf.dummyfunction("""COMPUTED_VALUE"""),327)</f>
        <v>327</v>
      </c>
      <c r="J38" s="13" t="n">
        <f aca="false">IFERROR(__xludf.dummyfunction("""COMPUTED_VALUE"""),84.17)</f>
        <v>84.17</v>
      </c>
      <c r="K38" s="13" t="n">
        <f aca="false">IFERROR(__xludf.dummyfunction("""COMPUTED_VALUE"""),27523.59)</f>
        <v>27523.59</v>
      </c>
      <c r="L38" s="13" t="str">
        <f aca="false">IFERROR(__xludf.dummyfunction("""COMPUTED_VALUE"""),"[Code: 23348J] [Expiry: 20 Mar, 2023] Short Expiry")</f>
        <v>[Code: 23348J] [Expiry: 20 Mar, 2023] Short Expiry</v>
      </c>
      <c r="M38" s="13" t="str">
        <f aca="false">IFERROR(__xludf.dummyfunction("""COMPUTED_VALUE"""),"23348J")</f>
        <v>23348J</v>
      </c>
      <c r="N38" s="13" t="str">
        <f aca="false">IFERROR(__xludf.dummyfunction("""COMPUTED_VALUE"""),"20 Mar, 2023")</f>
        <v>20 Mar, 2023</v>
      </c>
      <c r="O38" s="13" t="str">
        <f aca="false">IFERROR(__xludf.dummyfunction("""COMPUTED_VALUE"""),"ali.raza@tajir-app.com")</f>
        <v>ali.raza@tajir-app.com</v>
      </c>
      <c r="P38" s="13" t="str">
        <f aca="false">IFERROR(__xludf.dummyfunction("""COMPUTED_VALUE"""),"Ali Raza ")</f>
        <v>Ali Raza </v>
      </c>
      <c r="Q38" s="13" t="str">
        <f aca="false">IF(L38="","",L38)</f>
        <v>[Code: 23348J] [Expiry: 20 Mar, 2023] Short Expiry</v>
      </c>
    </row>
    <row r="39" customFormat="false" ht="15.75" hidden="false" customHeight="false" outlineLevel="0" collapsed="false">
      <c r="A39" s="13" t="str">
        <f aca="false">IFERROR(__xludf.dummyfunction("""COMPUTED_VALUE"""),"Metro DC Faisalabad")</f>
        <v>Metro DC Faisalabad</v>
      </c>
      <c r="B39" s="13" t="str">
        <f aca="false">IFERROR(__xludf.dummyfunction("""COMPUTED_VALUE"""),"499ac4af-b138-4562-8ea3-f409a3495a06")</f>
        <v>499ac4af-b138-4562-8ea3-f409a3495a06</v>
      </c>
      <c r="C39" s="13" t="str">
        <f aca="false">IFERROR(__xludf.dummyfunction("""COMPUTED_VALUE"""),"Gibs Kababish khasta Paaray Rs5")</f>
        <v>Gibs Kababish khasta Paaray Rs5</v>
      </c>
      <c r="D39" s="13" t="str">
        <f aca="false">IFERROR(__xludf.dummyfunction("""COMPUTED_VALUE"""),"Gibs")</f>
        <v>Gibs</v>
      </c>
      <c r="E39" s="13" t="str">
        <f aca="false">IFERROR(__xludf.dummyfunction("""COMPUTED_VALUE"""),"Biscuits, Wafers")</f>
        <v>Biscuits, Wafers</v>
      </c>
      <c r="F39" s="11" t="n">
        <f aca="false">IFERROR(__xludf.dummyfunction("""COMPUTED_VALUE"""),44978)</f>
        <v>44978</v>
      </c>
      <c r="G39" s="16" t="n">
        <f aca="false">IFERROR(__xludf.dummyfunction("""COMPUTED_VALUE"""),0.0780143287021138)</f>
        <v>0.0780143287</v>
      </c>
      <c r="H39" s="13" t="str">
        <f aca="false">IFERROR(__xludf.dummyfunction("""COMPUTED_VALUE"""),"missing stock")</f>
        <v>missing stock</v>
      </c>
      <c r="I39" s="13" t="n">
        <f aca="false">IFERROR(__xludf.dummyfunction("""COMPUTED_VALUE"""),18)</f>
        <v>18</v>
      </c>
      <c r="J39" s="13" t="n">
        <f aca="false">IFERROR(__xludf.dummyfunction("""COMPUTED_VALUE"""),118.45)</f>
        <v>118.45</v>
      </c>
      <c r="K39" s="13" t="n">
        <f aca="false">IFERROR(__xludf.dummyfunction("""COMPUTED_VALUE"""),2132.1)</f>
        <v>2132.1</v>
      </c>
      <c r="L39" s="13" t="str">
        <f aca="false">IFERROR(__xludf.dummyfunction("""COMPUTED_VALUE"""),"TA:company end issue(Brand exchane recieved from box)")</f>
        <v>TA:company end issue(Brand exchane recieved from box)</v>
      </c>
      <c r="M39" s="13"/>
      <c r="N39" s="13"/>
      <c r="O39" s="13" t="str">
        <f aca="false">IFERROR(__xludf.dummyfunction("""COMPUTED_VALUE"""),"taufeeq.akhtar@tajir-app.com")</f>
        <v>taufeeq.akhtar@tajir-app.com</v>
      </c>
      <c r="P39" s="13" t="str">
        <f aca="false">IFERROR(__xludf.dummyfunction("""COMPUTED_VALUE"""),"Taufeeq Akhtar ")</f>
        <v>Taufeeq Akhtar </v>
      </c>
      <c r="Q39" s="13" t="str">
        <f aca="false">IF(L39="","",L39)</f>
        <v>TA:company end issue(Brand exchane recieved from box)</v>
      </c>
    </row>
    <row r="40" customFormat="false" ht="15.75" hidden="false" customHeight="false" outlineLevel="0" collapsed="false">
      <c r="A40" s="13" t="str">
        <f aca="false">IFERROR(__xludf.dummyfunction("""COMPUTED_VALUE"""),"Metro DC Faisalabad")</f>
        <v>Metro DC Faisalabad</v>
      </c>
      <c r="B40" s="13" t="str">
        <f aca="false">IFERROR(__xludf.dummyfunction("""COMPUTED_VALUE"""),"596a4a6b-0ee1-4779-99e1-70f9bc3da938")</f>
        <v>596a4a6b-0ee1-4779-99e1-70f9bc3da938</v>
      </c>
      <c r="C40" s="13" t="str">
        <f aca="false">IFERROR(__xludf.dummyfunction("""COMPUTED_VALUE"""),"Bonus tristar yellow surf 470g Rs99")</f>
        <v>Bonus tristar yellow surf 470g Rs99</v>
      </c>
      <c r="D40" s="13" t="str">
        <f aca="false">IFERROR(__xludf.dummyfunction("""COMPUTED_VALUE"""),"Bonus Surf")</f>
        <v>Bonus Surf</v>
      </c>
      <c r="E40" s="13" t="str">
        <f aca="false">IFERROR(__xludf.dummyfunction("""COMPUTED_VALUE"""),"Surf, Bleach")</f>
        <v>Surf, Bleach</v>
      </c>
      <c r="F40" s="11" t="n">
        <f aca="false">IFERROR(__xludf.dummyfunction("""COMPUTED_VALUE"""),44978)</f>
        <v>44978</v>
      </c>
      <c r="G40" s="16" t="n">
        <f aca="false">IFERROR(__xludf.dummyfunction("""COMPUTED_VALUE"""),0.0421326157410372)</f>
        <v>0.04213261574</v>
      </c>
      <c r="H40" s="13" t="str">
        <f aca="false">IFERROR(__xludf.dummyfunction("""COMPUTED_VALUE"""),"damaged stock")</f>
        <v>damaged stock</v>
      </c>
      <c r="I40" s="13" t="n">
        <f aca="false">IFERROR(__xludf.dummyfunction("""COMPUTED_VALUE"""),1)</f>
        <v>1</v>
      </c>
      <c r="J40" s="13" t="n">
        <f aca="false">IFERROR(__xludf.dummyfunction("""COMPUTED_VALUE"""),89.88)</f>
        <v>89.88</v>
      </c>
      <c r="K40" s="13" t="n">
        <f aca="false">IFERROR(__xludf.dummyfunction("""COMPUTED_VALUE"""),89.88)</f>
        <v>89.88</v>
      </c>
      <c r="L40" s="13" t="str">
        <f aca="false">IFERROR(__xludf.dummyfunction("""COMPUTED_VALUE"""),"[Code: 5BBCDG] TA:Found damaged(company end issue)")</f>
        <v>[Code: 5BBCDG] TA:Found damaged(company end issue)</v>
      </c>
      <c r="M40" s="13" t="str">
        <f aca="false">IFERROR(__xludf.dummyfunction("""COMPUTED_VALUE"""),"5BBCDG")</f>
        <v>5BBCDG</v>
      </c>
      <c r="N40" s="13"/>
      <c r="O40" s="13" t="str">
        <f aca="false">IFERROR(__xludf.dummyfunction("""COMPUTED_VALUE"""),"taufeeq.akhtar@tajir-app.com")</f>
        <v>taufeeq.akhtar@tajir-app.com</v>
      </c>
      <c r="P40" s="13" t="str">
        <f aca="false">IFERROR(__xludf.dummyfunction("""COMPUTED_VALUE"""),"Taufeeq Akhtar ")</f>
        <v>Taufeeq Akhtar </v>
      </c>
      <c r="Q40" s="13" t="str">
        <f aca="false">IF(L40="","",L40)</f>
        <v>[Code: 5BBCDG] TA:Found damaged(company end issue)</v>
      </c>
    </row>
    <row r="41" customFormat="false" ht="15.75" hidden="false" customHeight="false" outlineLevel="0" collapsed="false">
      <c r="A41" s="13" t="str">
        <f aca="false">IFERROR(__xludf.dummyfunction("""COMPUTED_VALUE"""),"Metro DC Faisalabad")</f>
        <v>Metro DC Faisalabad</v>
      </c>
      <c r="B41" s="13" t="str">
        <f aca="false">IFERROR(__xludf.dummyfunction("""COMPUTED_VALUE"""),"596a4a6b-0ee1-4779-99e1-70f9bc3da938")</f>
        <v>596a4a6b-0ee1-4779-99e1-70f9bc3da938</v>
      </c>
      <c r="C41" s="13" t="str">
        <f aca="false">IFERROR(__xludf.dummyfunction("""COMPUTED_VALUE"""),"Bonus tristar yellow surf 470g Rs99")</f>
        <v>Bonus tristar yellow surf 470g Rs99</v>
      </c>
      <c r="D41" s="13" t="str">
        <f aca="false">IFERROR(__xludf.dummyfunction("""COMPUTED_VALUE"""),"Bonus Surf")</f>
        <v>Bonus Surf</v>
      </c>
      <c r="E41" s="13" t="str">
        <f aca="false">IFERROR(__xludf.dummyfunction("""COMPUTED_VALUE"""),"Surf, Bleach")</f>
        <v>Surf, Bleach</v>
      </c>
      <c r="F41" s="11" t="n">
        <f aca="false">IFERROR(__xludf.dummyfunction("""COMPUTED_VALUE"""),44978)</f>
        <v>44978</v>
      </c>
      <c r="G41" s="16" t="n">
        <f aca="false">IFERROR(__xludf.dummyfunction("""COMPUTED_VALUE"""),0.0421263657419696)</f>
        <v>0.04212636574</v>
      </c>
      <c r="H41" s="13" t="str">
        <f aca="false">IFERROR(__xludf.dummyfunction("""COMPUTED_VALUE"""),"damaged stock")</f>
        <v>damaged stock</v>
      </c>
      <c r="I41" s="13" t="n">
        <f aca="false">IFERROR(__xludf.dummyfunction("""COMPUTED_VALUE"""),1)</f>
        <v>1</v>
      </c>
      <c r="J41" s="13" t="n">
        <f aca="false">IFERROR(__xludf.dummyfunction("""COMPUTED_VALUE"""),89.88)</f>
        <v>89.88</v>
      </c>
      <c r="K41" s="13" t="n">
        <f aca="false">IFERROR(__xludf.dummyfunction("""COMPUTED_VALUE"""),89.88)</f>
        <v>89.88</v>
      </c>
      <c r="L41" s="13" t="str">
        <f aca="false">IFERROR(__xludf.dummyfunction("""COMPUTED_VALUE"""),"[Code: 5BBCDG] TA:Found damaged(company end issue)")</f>
        <v>[Code: 5BBCDG] TA:Found damaged(company end issue)</v>
      </c>
      <c r="M41" s="13" t="str">
        <f aca="false">IFERROR(__xludf.dummyfunction("""COMPUTED_VALUE"""),"5BBCDG")</f>
        <v>5BBCDG</v>
      </c>
      <c r="N41" s="13"/>
      <c r="O41" s="13" t="str">
        <f aca="false">IFERROR(__xludf.dummyfunction("""COMPUTED_VALUE"""),"taufeeq.akhtar@tajir-app.com")</f>
        <v>taufeeq.akhtar@tajir-app.com</v>
      </c>
      <c r="P41" s="13" t="str">
        <f aca="false">IFERROR(__xludf.dummyfunction("""COMPUTED_VALUE"""),"Taufeeq Akhtar ")</f>
        <v>Taufeeq Akhtar </v>
      </c>
      <c r="Q41" s="13" t="str">
        <f aca="false">IF(L41="","",L41)</f>
        <v>[Code: 5BBCDG] TA:Found damaged(company end issue)</v>
      </c>
    </row>
    <row r="42" customFormat="false" ht="15.75" hidden="false" customHeight="false" outlineLevel="0" collapsed="false">
      <c r="A42" s="13" t="str">
        <f aca="false">IFERROR(__xludf.dummyfunction("""COMPUTED_VALUE"""),"Metro DC Faisalabad")</f>
        <v>Metro DC Faisalabad</v>
      </c>
      <c r="B42" s="13" t="str">
        <f aca="false">IFERROR(__xludf.dummyfunction("""COMPUTED_VALUE"""),"b80ea921-bf1e-42eb-a897-3580365aa85c")</f>
        <v>b80ea921-bf1e-42eb-a897-3580365aa85c</v>
      </c>
      <c r="C42" s="13" t="str">
        <f aca="false">IFERROR(__xludf.dummyfunction("""COMPUTED_VALUE"""),"Tops Tangy Apple Juice x24 Crate 200ml")</f>
        <v>Tops Tangy Apple Juice x24 Crate 200ml</v>
      </c>
      <c r="D42" s="13" t="str">
        <f aca="false">IFERROR(__xludf.dummyfunction("""COMPUTED_VALUE"""),"Tops Food and Beverages")</f>
        <v>Tops Food and Beverages</v>
      </c>
      <c r="E42" s="13" t="str">
        <f aca="false">IFERROR(__xludf.dummyfunction("""COMPUTED_VALUE"""),"Juice, Syrup, Squash")</f>
        <v>Juice, Syrup, Squash</v>
      </c>
      <c r="F42" s="11" t="n">
        <f aca="false">IFERROR(__xludf.dummyfunction("""COMPUTED_VALUE"""),44979)</f>
        <v>44979</v>
      </c>
      <c r="G42" s="16" t="n">
        <f aca="false">IFERROR(__xludf.dummyfunction("""COMPUTED_VALUE"""),0.657574398147356)</f>
        <v>0.6575743981</v>
      </c>
      <c r="H42" s="13" t="str">
        <f aca="false">IFERROR(__xludf.dummyfunction("""COMPUTED_VALUE"""),"expired stock")</f>
        <v>expired stock</v>
      </c>
      <c r="I42" s="13" t="n">
        <f aca="false">IFERROR(__xludf.dummyfunction("""COMPUTED_VALUE"""),116)</f>
        <v>116</v>
      </c>
      <c r="J42" s="13" t="n">
        <f aca="false">IFERROR(__xludf.dummyfunction("""COMPUTED_VALUE"""),456)</f>
        <v>456</v>
      </c>
      <c r="K42" s="13" t="n">
        <f aca="false">IFERROR(__xludf.dummyfunction("""COMPUTED_VALUE"""),52896)</f>
        <v>52896</v>
      </c>
      <c r="L42" s="13" t="str">
        <f aca="false">IFERROR(__xludf.dummyfunction("""COMPUTED_VALUE"""),"[Code: 235679] [Expiry: 8 Mar, 2023] Short Expiry ")</f>
        <v>[Code: 235679] [Expiry: 8 Mar, 2023] Short Expiry </v>
      </c>
      <c r="M42" s="13" t="str">
        <f aca="false">IFERROR(__xludf.dummyfunction("""COMPUTED_VALUE"""),"235679")</f>
        <v>235679</v>
      </c>
      <c r="N42" s="13" t="str">
        <f aca="false">IFERROR(__xludf.dummyfunction("""COMPUTED_VALUE"""),"8 Mar, 2023")</f>
        <v>8 Mar, 2023</v>
      </c>
      <c r="O42" s="13" t="str">
        <f aca="false">IFERROR(__xludf.dummyfunction("""COMPUTED_VALUE"""),"ali.raza@tajir-app.com")</f>
        <v>ali.raza@tajir-app.com</v>
      </c>
      <c r="P42" s="13" t="str">
        <f aca="false">IFERROR(__xludf.dummyfunction("""COMPUTED_VALUE"""),"Ali Raza ")</f>
        <v>Ali Raza </v>
      </c>
      <c r="Q42" s="13" t="str">
        <f aca="false">IF(L42="","",L42)</f>
        <v>[Code: 235679] [Expiry: 8 Mar, 2023] Short Expiry </v>
      </c>
    </row>
    <row r="43" customFormat="false" ht="15.75" hidden="false" customHeight="false" outlineLevel="0" collapsed="false">
      <c r="A43" s="13" t="str">
        <f aca="false">IFERROR(__xludf.dummyfunction("""COMPUTED_VALUE"""),"Metro DC Faisalabad")</f>
        <v>Metro DC Faisalabad</v>
      </c>
      <c r="B43" s="13" t="str">
        <f aca="false">IFERROR(__xludf.dummyfunction("""COMPUTED_VALUE"""),"de2ec4b6-2866-4186-b48b-f743923a1eda")</f>
        <v>de2ec4b6-2866-4186-b48b-f743923a1eda</v>
      </c>
      <c r="C43" s="13" t="str">
        <f aca="false">IFERROR(__xludf.dummyfunction("""COMPUTED_VALUE"""),"Murree Brewery Bigg Apple Diet Plastic x6 Crate 1L")</f>
        <v>Murree Brewery Bigg Apple Diet Plastic x6 Crate 1L</v>
      </c>
      <c r="D43" s="13" t="str">
        <f aca="false">IFERROR(__xludf.dummyfunction("""COMPUTED_VALUE"""),"Murree Brewery")</f>
        <v>Murree Brewery</v>
      </c>
      <c r="E43" s="13" t="str">
        <f aca="false">IFERROR(__xludf.dummyfunction("""COMPUTED_VALUE"""),"Beverages")</f>
        <v>Beverages</v>
      </c>
      <c r="F43" s="11" t="n">
        <f aca="false">IFERROR(__xludf.dummyfunction("""COMPUTED_VALUE"""),44979)</f>
        <v>44979</v>
      </c>
      <c r="G43" s="16" t="n">
        <f aca="false">IFERROR(__xludf.dummyfunction("""COMPUTED_VALUE"""),0.655493668981174)</f>
        <v>0.655493669</v>
      </c>
      <c r="H43" s="13" t="str">
        <f aca="false">IFERROR(__xludf.dummyfunction("""COMPUTED_VALUE"""),"expired stock")</f>
        <v>expired stock</v>
      </c>
      <c r="I43" s="13" t="n">
        <f aca="false">IFERROR(__xludf.dummyfunction("""COMPUTED_VALUE"""),114)</f>
        <v>114</v>
      </c>
      <c r="J43" s="13" t="n">
        <f aca="false">IFERROR(__xludf.dummyfunction("""COMPUTED_VALUE"""),175.75)</f>
        <v>175.75</v>
      </c>
      <c r="K43" s="13" t="n">
        <f aca="false">IFERROR(__xludf.dummyfunction("""COMPUTED_VALUE"""),20035.5)</f>
        <v>20035.5</v>
      </c>
      <c r="L43" s="13" t="str">
        <f aca="false">IFERROR(__xludf.dummyfunction("""COMPUTED_VALUE"""),"[Code: 235699] [Expiry: 21 Mar, 2023] Short Expiry")</f>
        <v>[Code: 235699] [Expiry: 21 Mar, 2023] Short Expiry</v>
      </c>
      <c r="M43" s="13" t="str">
        <f aca="false">IFERROR(__xludf.dummyfunction("""COMPUTED_VALUE"""),"235699")</f>
        <v>235699</v>
      </c>
      <c r="N43" s="13" t="str">
        <f aca="false">IFERROR(__xludf.dummyfunction("""COMPUTED_VALUE"""),"21 Mar, 2023")</f>
        <v>21 Mar, 2023</v>
      </c>
      <c r="O43" s="13" t="str">
        <f aca="false">IFERROR(__xludf.dummyfunction("""COMPUTED_VALUE"""),"ali.raza@tajir-app.com")</f>
        <v>ali.raza@tajir-app.com</v>
      </c>
      <c r="P43" s="13" t="str">
        <f aca="false">IFERROR(__xludf.dummyfunction("""COMPUTED_VALUE"""),"Ali Raza ")</f>
        <v>Ali Raza </v>
      </c>
      <c r="Q43" s="13" t="str">
        <f aca="false">IF(L43="","",L43)</f>
        <v>[Code: 235699] [Expiry: 21 Mar, 2023] Short Expiry</v>
      </c>
    </row>
    <row r="44" customFormat="false" ht="15.75" hidden="false" customHeight="false" outlineLevel="0" collapsed="false">
      <c r="A44" s="13" t="str">
        <f aca="false">IFERROR(__xludf.dummyfunction("""COMPUTED_VALUE"""),"Metro DC Faisalabad")</f>
        <v>Metro DC Faisalabad</v>
      </c>
      <c r="B44" s="13" t="str">
        <f aca="false">IFERROR(__xludf.dummyfunction("""COMPUTED_VALUE"""),"08b6a901-ad6a-420f-8ea8-a897c060d8d9")</f>
        <v>08b6a901-ad6a-420f-8ea8-a897c060d8d9</v>
      </c>
      <c r="C44" s="13" t="str">
        <f aca="false">IFERROR(__xludf.dummyfunction("""COMPUTED_VALUE"""),"Bisconni Cocomo Milk Party Pack Rs60")</f>
        <v>Bisconni Cocomo Milk Party Pack Rs60</v>
      </c>
      <c r="D44" s="13" t="str">
        <f aca="false">IFERROR(__xludf.dummyfunction("""COMPUTED_VALUE"""),"Bisconni")</f>
        <v>Bisconni</v>
      </c>
      <c r="E44" s="13" t="str">
        <f aca="false">IFERROR(__xludf.dummyfunction("""COMPUTED_VALUE"""),"Confectionary")</f>
        <v>Confectionary</v>
      </c>
      <c r="F44" s="11" t="n">
        <f aca="false">IFERROR(__xludf.dummyfunction("""COMPUTED_VALUE"""),44979)</f>
        <v>44979</v>
      </c>
      <c r="G44" s="16" t="n">
        <f aca="false">IFERROR(__xludf.dummyfunction("""COMPUTED_VALUE"""),0.0338493749985071)</f>
        <v>0.033849375</v>
      </c>
      <c r="H44" s="13" t="str">
        <f aca="false">IFERROR(__xludf.dummyfunction("""COMPUTED_VALUE"""),"damaged stock")</f>
        <v>damaged stock</v>
      </c>
      <c r="I44" s="13" t="n">
        <f aca="false">IFERROR(__xludf.dummyfunction("""COMPUTED_VALUE"""),1)</f>
        <v>1</v>
      </c>
      <c r="J44" s="13" t="n">
        <f aca="false">IFERROR(__xludf.dummyfunction("""COMPUTED_VALUE"""),52.5)</f>
        <v>52.5</v>
      </c>
      <c r="K44" s="13" t="n">
        <f aca="false">IFERROR(__xludf.dummyfunction("""COMPUTED_VALUE"""),52.5)</f>
        <v>52.5</v>
      </c>
      <c r="L44" s="13" t="str">
        <f aca="false">IFERROR(__xludf.dummyfunction("""COMPUTED_VALUE"""),"[Code: 3567BD] TA: found emty plastic(company end issue)")</f>
        <v>[Code: 3567BD] TA: found emty plastic(company end issue)</v>
      </c>
      <c r="M44" s="13" t="str">
        <f aca="false">IFERROR(__xludf.dummyfunction("""COMPUTED_VALUE"""),"3567BD")</f>
        <v>3567BD</v>
      </c>
      <c r="N44" s="13"/>
      <c r="O44" s="13" t="str">
        <f aca="false">IFERROR(__xludf.dummyfunction("""COMPUTED_VALUE"""),"taufeeq.akhtar@tajir-app.com")</f>
        <v>taufeeq.akhtar@tajir-app.com</v>
      </c>
      <c r="P44" s="13" t="str">
        <f aca="false">IFERROR(__xludf.dummyfunction("""COMPUTED_VALUE"""),"Taufeeq Akhtar ")</f>
        <v>Taufeeq Akhtar </v>
      </c>
      <c r="Q44" s="13" t="str">
        <f aca="false">IF(L44="","",L44)</f>
        <v>[Code: 3567BD] TA: found emty plastic(company end issue)</v>
      </c>
    </row>
    <row r="45" customFormat="false" ht="15.75" hidden="false" customHeight="false" outlineLevel="0" collapsed="false">
      <c r="A45" s="13" t="str">
        <f aca="false">IFERROR(__xludf.dummyfunction("""COMPUTED_VALUE"""),"Metro DC Faisalabad")</f>
        <v>Metro DC Faisalabad</v>
      </c>
      <c r="B45" s="13" t="str">
        <f aca="false">IFERROR(__xludf.dummyfunction("""COMPUTED_VALUE"""),"596a4a6b-0ee1-4779-99e1-70f9bc3da938")</f>
        <v>596a4a6b-0ee1-4779-99e1-70f9bc3da938</v>
      </c>
      <c r="C45" s="13" t="str">
        <f aca="false">IFERROR(__xludf.dummyfunction("""COMPUTED_VALUE"""),"Bonus tristar yellow surf 470g Rs99")</f>
        <v>Bonus tristar yellow surf 470g Rs99</v>
      </c>
      <c r="D45" s="13" t="str">
        <f aca="false">IFERROR(__xludf.dummyfunction("""COMPUTED_VALUE"""),"Bonus Surf")</f>
        <v>Bonus Surf</v>
      </c>
      <c r="E45" s="13" t="str">
        <f aca="false">IFERROR(__xludf.dummyfunction("""COMPUTED_VALUE"""),"Surf, Bleach")</f>
        <v>Surf, Bleach</v>
      </c>
      <c r="F45" s="11" t="n">
        <f aca="false">IFERROR(__xludf.dummyfunction("""COMPUTED_VALUE"""),44979)</f>
        <v>44979</v>
      </c>
      <c r="G45" s="16" t="n">
        <f aca="false">IFERROR(__xludf.dummyfunction("""COMPUTED_VALUE"""),0.0301857754614323)</f>
        <v>0.03018577546</v>
      </c>
      <c r="H45" s="13" t="str">
        <f aca="false">IFERROR(__xludf.dummyfunction("""COMPUTED_VALUE"""),"damaged stock")</f>
        <v>damaged stock</v>
      </c>
      <c r="I45" s="13" t="n">
        <f aca="false">IFERROR(__xludf.dummyfunction("""COMPUTED_VALUE"""),1)</f>
        <v>1</v>
      </c>
      <c r="J45" s="13" t="n">
        <f aca="false">IFERROR(__xludf.dummyfunction("""COMPUTED_VALUE"""),89.88)</f>
        <v>89.88</v>
      </c>
      <c r="K45" s="13" t="n">
        <f aca="false">IFERROR(__xludf.dummyfunction("""COMPUTED_VALUE"""),89.88)</f>
        <v>89.88</v>
      </c>
      <c r="L45" s="13" t="str">
        <f aca="false">IFERROR(__xludf.dummyfunction("""COMPUTED_VALUE"""),"[Code: 2468CC] TA:Found Damaged (company end issue)")</f>
        <v>[Code: 2468CC] TA:Found Damaged (company end issue)</v>
      </c>
      <c r="M45" s="13" t="str">
        <f aca="false">IFERROR(__xludf.dummyfunction("""COMPUTED_VALUE"""),"2468CC")</f>
        <v>2468CC</v>
      </c>
      <c r="N45" s="13"/>
      <c r="O45" s="13" t="str">
        <f aca="false">IFERROR(__xludf.dummyfunction("""COMPUTED_VALUE"""),"taufeeq.akhtar@tajir-app.com")</f>
        <v>taufeeq.akhtar@tajir-app.com</v>
      </c>
      <c r="P45" s="13" t="str">
        <f aca="false">IFERROR(__xludf.dummyfunction("""COMPUTED_VALUE"""),"Taufeeq Akhtar ")</f>
        <v>Taufeeq Akhtar </v>
      </c>
      <c r="Q45" s="13" t="str">
        <f aca="false">IF(L45="","",L45)</f>
        <v>[Code: 2468CC] TA:Found Damaged (company end issue)</v>
      </c>
    </row>
    <row r="46" customFormat="false" ht="15.75" hidden="false" customHeight="false" outlineLevel="0" collapsed="false">
      <c r="A46" s="13" t="str">
        <f aca="false">IFERROR(__xludf.dummyfunction("""COMPUTED_VALUE"""),"Metro DC Faisalabad")</f>
        <v>Metro DC Faisalabad</v>
      </c>
      <c r="B46" s="13" t="str">
        <f aca="false">IFERROR(__xludf.dummyfunction("""COMPUTED_VALUE"""),"d864c0cd-914b-4a54-96d5-8e894ba5f3b6")</f>
        <v>d864c0cd-914b-4a54-96d5-8e894ba5f3b6</v>
      </c>
      <c r="C46" s="13" t="str">
        <f aca="false">IFERROR(__xludf.dummyfunction("""COMPUTED_VALUE"""),"Surf Excel x6 bundle 20g Rs 10")</f>
        <v>Surf Excel x6 bundle 20g Rs 10</v>
      </c>
      <c r="D46" s="13" t="str">
        <f aca="false">IFERROR(__xludf.dummyfunction("""COMPUTED_VALUE"""),"Surf Excel")</f>
        <v>Surf Excel</v>
      </c>
      <c r="E46" s="13" t="str">
        <f aca="false">IFERROR(__xludf.dummyfunction("""COMPUTED_VALUE"""),"Surf, Bleach")</f>
        <v>Surf, Bleach</v>
      </c>
      <c r="F46" s="11" t="n">
        <f aca="false">IFERROR(__xludf.dummyfunction("""COMPUTED_VALUE"""),44979)</f>
        <v>44979</v>
      </c>
      <c r="G46" s="16" t="n">
        <f aca="false">IFERROR(__xludf.dummyfunction("""COMPUTED_VALUE"""),0.0283704629623)</f>
        <v>0.02837046296</v>
      </c>
      <c r="H46" s="13" t="str">
        <f aca="false">IFERROR(__xludf.dummyfunction("""COMPUTED_VALUE"""),"damaged stock")</f>
        <v>damaged stock</v>
      </c>
      <c r="I46" s="13" t="n">
        <f aca="false">IFERROR(__xludf.dummyfunction("""COMPUTED_VALUE"""),1)</f>
        <v>1</v>
      </c>
      <c r="J46" s="13" t="n">
        <f aca="false">IFERROR(__xludf.dummyfunction("""COMPUTED_VALUE"""),54.17)</f>
        <v>54.17</v>
      </c>
      <c r="K46" s="13" t="n">
        <f aca="false">IFERROR(__xludf.dummyfunction("""COMPUTED_VALUE"""),54.17)</f>
        <v>54.17</v>
      </c>
      <c r="L46" s="13" t="str">
        <f aca="false">IFERROR(__xludf.dummyfunction("""COMPUTED_VALUE"""),"[Code: 44568A] TA:Damaged during sorting")</f>
        <v>[Code: 44568A] TA:Damaged during sorting</v>
      </c>
      <c r="M46" s="13" t="str">
        <f aca="false">IFERROR(__xludf.dummyfunction("""COMPUTED_VALUE"""),"44568A")</f>
        <v>44568A</v>
      </c>
      <c r="N46" s="13"/>
      <c r="O46" s="13" t="str">
        <f aca="false">IFERROR(__xludf.dummyfunction("""COMPUTED_VALUE"""),"taufeeq.akhtar@tajir-app.com")</f>
        <v>taufeeq.akhtar@tajir-app.com</v>
      </c>
      <c r="P46" s="13" t="str">
        <f aca="false">IFERROR(__xludf.dummyfunction("""COMPUTED_VALUE"""),"Taufeeq Akhtar ")</f>
        <v>Taufeeq Akhtar </v>
      </c>
      <c r="Q46" s="13" t="str">
        <f aca="false">IF(L46="","",L46)</f>
        <v>[Code: 44568A] TA:Damaged during sorting</v>
      </c>
    </row>
    <row r="47" customFormat="false" ht="15.75" hidden="false" customHeight="false" outlineLevel="0" collapsed="false">
      <c r="A47" s="13" t="str">
        <f aca="false">IFERROR(__xludf.dummyfunction("""COMPUTED_VALUE"""),"Metro DC Faisalabad")</f>
        <v>Metro DC Faisalabad</v>
      </c>
      <c r="B47" s="13" t="str">
        <f aca="false">IFERROR(__xludf.dummyfunction("""COMPUTED_VALUE"""),"4868927a-2538-48aa-a68f-a58afcdcf44d")</f>
        <v>4868927a-2538-48aa-a68f-a58afcdcf44d</v>
      </c>
      <c r="C47" s="13" t="str">
        <f aca="false">IFERROR(__xludf.dummyfunction("""COMPUTED_VALUE"""),"LU Zeera Plus Biscuits Snack Pack Rs40")</f>
        <v>LU Zeera Plus Biscuits Snack Pack Rs40</v>
      </c>
      <c r="D47" s="13" t="str">
        <f aca="false">IFERROR(__xludf.dummyfunction("""COMPUTED_VALUE"""),"LU")</f>
        <v>LU</v>
      </c>
      <c r="E47" s="13" t="str">
        <f aca="false">IFERROR(__xludf.dummyfunction("""COMPUTED_VALUE"""),"Biscuits, Wafers")</f>
        <v>Biscuits, Wafers</v>
      </c>
      <c r="F47" s="11" t="n">
        <f aca="false">IFERROR(__xludf.dummyfunction("""COMPUTED_VALUE"""),44980)</f>
        <v>44980</v>
      </c>
      <c r="G47" s="16" t="n">
        <f aca="false">IFERROR(__xludf.dummyfunction("""COMPUTED_VALUE"""),0.0183812152777832)</f>
        <v>0.01838121528</v>
      </c>
      <c r="H47" s="13" t="str">
        <f aca="false">IFERROR(__xludf.dummyfunction("""COMPUTED_VALUE"""),"damaged stock")</f>
        <v>damaged stock</v>
      </c>
      <c r="I47" s="13" t="n">
        <f aca="false">IFERROR(__xludf.dummyfunction("""COMPUTED_VALUE"""),1)</f>
        <v>1</v>
      </c>
      <c r="J47" s="13" t="n">
        <f aca="false">IFERROR(__xludf.dummyfunction("""COMPUTED_VALUE"""),212.44)</f>
        <v>212.44</v>
      </c>
      <c r="K47" s="13" t="n">
        <f aca="false">IFERROR(__xludf.dummyfunction("""COMPUTED_VALUE"""),212.44)</f>
        <v>212.44</v>
      </c>
      <c r="L47" s="13" t="str">
        <f aca="false">IFERROR(__xludf.dummyfunction("""COMPUTED_VALUE"""),"[Code: 248FHJ] TA: found damaged during display in the rack(A3) . 1 packet is missing from the box. Date:22/2/2023")</f>
        <v>[Code: 248FHJ] TA: found damaged during display in the rack(A3) . 1 packet is missing from the box. Date:22/2/2023</v>
      </c>
      <c r="M47" s="13" t="str">
        <f aca="false">IFERROR(__xludf.dummyfunction("""COMPUTED_VALUE"""),"248FHJ")</f>
        <v>248FHJ</v>
      </c>
      <c r="N47" s="13"/>
      <c r="O47" s="13" t="str">
        <f aca="false">IFERROR(__xludf.dummyfunction("""COMPUTED_VALUE"""),"taufeeq.akhtar@tajir-app.com")</f>
        <v>taufeeq.akhtar@tajir-app.com</v>
      </c>
      <c r="P47" s="13" t="str">
        <f aca="false">IFERROR(__xludf.dummyfunction("""COMPUTED_VALUE"""),"Taufeeq Akhtar ")</f>
        <v>Taufeeq Akhtar </v>
      </c>
      <c r="Q47" s="13" t="str">
        <f aca="false">IF(L47="","",L47)</f>
        <v>[Code: 248FHJ] TA: found damaged during display in the rack(A3) . 1 packet is missing from the box. Date:22/2/2023</v>
      </c>
    </row>
    <row r="48" customFormat="false" ht="15.75" hidden="false" customHeight="false" outlineLevel="0" collapsed="false">
      <c r="A48" s="13" t="str">
        <f aca="false">IFERROR(__xludf.dummyfunction("""COMPUTED_VALUE"""),"Metro DC Faisalabad")</f>
        <v>Metro DC Faisalabad</v>
      </c>
      <c r="B48" s="13" t="str">
        <f aca="false">IFERROR(__xludf.dummyfunction("""COMPUTED_VALUE"""),"bb845504-19f0-4af9-9884-b7ca9dc80572")</f>
        <v>bb845504-19f0-4af9-9884-b7ca9dc80572</v>
      </c>
      <c r="C48" s="13" t="str">
        <f aca="false">IFERROR(__xludf.dummyfunction("""COMPUTED_VALUE"""),"Harpic Toilet Cleaner Original 750ml Rs625")</f>
        <v>Harpic Toilet Cleaner Original 750ml Rs625</v>
      </c>
      <c r="D48" s="13" t="str">
        <f aca="false">IFERROR(__xludf.dummyfunction("""COMPUTED_VALUE"""),"Harpic")</f>
        <v>Harpic</v>
      </c>
      <c r="E48" s="13" t="str">
        <f aca="false">IFERROR(__xludf.dummyfunction("""COMPUTED_VALUE"""),"Home Care")</f>
        <v>Home Care</v>
      </c>
      <c r="F48" s="11" t="n">
        <f aca="false">IFERROR(__xludf.dummyfunction("""COMPUTED_VALUE"""),44980)</f>
        <v>44980</v>
      </c>
      <c r="G48" s="16" t="n">
        <f aca="false">IFERROR(__xludf.dummyfunction("""COMPUTED_VALUE"""),0.0107024884265888)</f>
        <v>0.01070248843</v>
      </c>
      <c r="H48" s="13" t="str">
        <f aca="false">IFERROR(__xludf.dummyfunction("""COMPUTED_VALUE"""),"missing stock")</f>
        <v>missing stock</v>
      </c>
      <c r="I48" s="13" t="n">
        <f aca="false">IFERROR(__xludf.dummyfunction("""COMPUTED_VALUE"""),3)</f>
        <v>3</v>
      </c>
      <c r="J48" s="13" t="n">
        <f aca="false">IFERROR(__xludf.dummyfunction("""COMPUTED_VALUE"""),492.97)</f>
        <v>492.97</v>
      </c>
      <c r="K48" s="13" t="n">
        <f aca="false">IFERROR(__xludf.dummyfunction("""COMPUTED_VALUE"""),1478.91)</f>
        <v>1478.91</v>
      </c>
      <c r="L48" s="13" t="str">
        <f aca="false">IFERROR(__xludf.dummyfunction("""COMPUTED_VALUE"""),"TA:Not found on floor(3 units were lived in audit on 31st jan 2023)")</f>
        <v>TA:Not found on floor(3 units were lived in audit on 31st jan 2023)</v>
      </c>
      <c r="M48" s="13"/>
      <c r="N48" s="13"/>
      <c r="O48" s="13" t="str">
        <f aca="false">IFERROR(__xludf.dummyfunction("""COMPUTED_VALUE"""),"taufeeq.akhtar@tajir-app.com")</f>
        <v>taufeeq.akhtar@tajir-app.com</v>
      </c>
      <c r="P48" s="13" t="str">
        <f aca="false">IFERROR(__xludf.dummyfunction("""COMPUTED_VALUE"""),"Taufeeq Akhtar ")</f>
        <v>Taufeeq Akhtar </v>
      </c>
      <c r="Q48" s="13" t="str">
        <f aca="false">IF(L48="","",L48)</f>
        <v>TA:Not found on floor(3 units were lived in audit on 31st jan 2023)</v>
      </c>
    </row>
    <row r="49" customFormat="false" ht="15.75" hidden="false" customHeight="false" outlineLevel="0" collapsed="false">
      <c r="A49" s="13" t="str">
        <f aca="false">IFERROR(__xludf.dummyfunction("""COMPUTED_VALUE"""),"Metro DC Faisalabad")</f>
        <v>Metro DC Faisalabad</v>
      </c>
      <c r="B49" s="13" t="str">
        <f aca="false">IFERROR(__xludf.dummyfunction("""COMPUTED_VALUE"""),"bb845504-19f0-4af9-9884-b7ca9dc80572")</f>
        <v>bb845504-19f0-4af9-9884-b7ca9dc80572</v>
      </c>
      <c r="C49" s="13" t="str">
        <f aca="false">IFERROR(__xludf.dummyfunction("""COMPUTED_VALUE"""),"Harpic Toilet Cleaner Original 750ml Rs625")</f>
        <v>Harpic Toilet Cleaner Original 750ml Rs625</v>
      </c>
      <c r="D49" s="13" t="str">
        <f aca="false">IFERROR(__xludf.dummyfunction("""COMPUTED_VALUE"""),"Harpic")</f>
        <v>Harpic</v>
      </c>
      <c r="E49" s="13" t="str">
        <f aca="false">IFERROR(__xludf.dummyfunction("""COMPUTED_VALUE"""),"Home Care")</f>
        <v>Home Care</v>
      </c>
      <c r="F49" s="11" t="n">
        <f aca="false">IFERROR(__xludf.dummyfunction("""COMPUTED_VALUE"""),44980)</f>
        <v>44980</v>
      </c>
      <c r="G49" s="16" t="n">
        <f aca="false">IFERROR(__xludf.dummyfunction("""COMPUTED_VALUE"""),0.0105994328721489)</f>
        <v>0.01059943287</v>
      </c>
      <c r="H49" s="13" t="str">
        <f aca="false">IFERROR(__xludf.dummyfunction("""COMPUTED_VALUE"""),"missing stock")</f>
        <v>missing stock</v>
      </c>
      <c r="I49" s="13" t="n">
        <f aca="false">IFERROR(__xludf.dummyfunction("""COMPUTED_VALUE"""),3)</f>
        <v>3</v>
      </c>
      <c r="J49" s="13" t="n">
        <f aca="false">IFERROR(__xludf.dummyfunction("""COMPUTED_VALUE"""),492.97)</f>
        <v>492.97</v>
      </c>
      <c r="K49" s="13" t="n">
        <f aca="false">IFERROR(__xludf.dummyfunction("""COMPUTED_VALUE"""),1478.91)</f>
        <v>1478.91</v>
      </c>
      <c r="L49" s="13" t="str">
        <f aca="false">IFERROR(__xludf.dummyfunction("""COMPUTED_VALUE"""),"TA:Not found on floor(3 units were lived in audit on 31st jan 2023)")</f>
        <v>TA:Not found on floor(3 units were lived in audit on 31st jan 2023)</v>
      </c>
      <c r="M49" s="13"/>
      <c r="N49" s="13"/>
      <c r="O49" s="13" t="str">
        <f aca="false">IFERROR(__xludf.dummyfunction("""COMPUTED_VALUE"""),"taufeeq.akhtar@tajir-app.com")</f>
        <v>taufeeq.akhtar@tajir-app.com</v>
      </c>
      <c r="P49" s="13" t="str">
        <f aca="false">IFERROR(__xludf.dummyfunction("""COMPUTED_VALUE"""),"Taufeeq Akhtar ")</f>
        <v>Taufeeq Akhtar </v>
      </c>
      <c r="Q49" s="13" t="str">
        <f aca="false">IF(L49="","",L49)</f>
        <v>TA:Not found on floor(3 units were lived in audit on 31st jan 2023)</v>
      </c>
    </row>
    <row r="50" customFormat="false" ht="15.75" hidden="false" customHeight="false" outlineLevel="0" collapsed="false">
      <c r="A50" s="13" t="str">
        <f aca="false">IFERROR(__xludf.dummyfunction("""COMPUTED_VALUE"""),"Metro DC Faisalabad")</f>
        <v>Metro DC Faisalabad</v>
      </c>
      <c r="B50" s="13" t="str">
        <f aca="false">IFERROR(__xludf.dummyfunction("""COMPUTED_VALUE"""),"0d2f17bc-36e0-41fe-b498-89a7a8a34416")</f>
        <v>0d2f17bc-36e0-41fe-b498-89a7a8a34416</v>
      </c>
      <c r="C50" s="13" t="str">
        <f aca="false">IFERROR(__xludf.dummyfunction("""COMPUTED_VALUE"""),"Brite Surf x12 bundle 23g Rs 10")</f>
        <v>Brite Surf x12 bundle 23g Rs 10</v>
      </c>
      <c r="D50" s="13" t="str">
        <f aca="false">IFERROR(__xludf.dummyfunction("""COMPUTED_VALUE"""),"Brite Surf")</f>
        <v>Brite Surf</v>
      </c>
      <c r="E50" s="13" t="str">
        <f aca="false">IFERROR(__xludf.dummyfunction("""COMPUTED_VALUE"""),"Surf, Bleach")</f>
        <v>Surf, Bleach</v>
      </c>
      <c r="F50" s="11" t="n">
        <f aca="false">IFERROR(__xludf.dummyfunction("""COMPUTED_VALUE"""),44981)</f>
        <v>44981</v>
      </c>
      <c r="G50" s="16" t="n">
        <f aca="false">IFERROR(__xludf.dummyfunction("""COMPUTED_VALUE"""),0.899383333334206)</f>
        <v>0.8993833333</v>
      </c>
      <c r="H50" s="13" t="str">
        <f aca="false">IFERROR(__xludf.dummyfunction("""COMPUTED_VALUE"""),"damaged stock")</f>
        <v>damaged stock</v>
      </c>
      <c r="I50" s="13" t="n">
        <f aca="false">IFERROR(__xludf.dummyfunction("""COMPUTED_VALUE"""),2)</f>
        <v>2</v>
      </c>
      <c r="J50" s="13" t="n">
        <f aca="false">IFERROR(__xludf.dummyfunction("""COMPUTED_VALUE"""),107.03)</f>
        <v>107.03</v>
      </c>
      <c r="K50" s="13" t="n">
        <f aca="false">IFERROR(__xludf.dummyfunction("""COMPUTED_VALUE"""),214.06)</f>
        <v>214.06</v>
      </c>
      <c r="L50" s="13" t="str">
        <f aca="false">IFERROR(__xludf.dummyfunction("""COMPUTED_VALUE"""),"[Code: 567ACD] TA:Damaged during sorting by sorter.NON Food Area say milay.")</f>
        <v>[Code: 567ACD] TA:Damaged during sorting by sorter.NON Food Area say milay.</v>
      </c>
      <c r="M50" s="13" t="str">
        <f aca="false">IFERROR(__xludf.dummyfunction("""COMPUTED_VALUE"""),"567ACD")</f>
        <v>567ACD</v>
      </c>
      <c r="N50" s="13"/>
      <c r="O50" s="13" t="str">
        <f aca="false">IFERROR(__xludf.dummyfunction("""COMPUTED_VALUE"""),"taufeeq.akhtar@tajir-app.com")</f>
        <v>taufeeq.akhtar@tajir-app.com</v>
      </c>
      <c r="P50" s="13" t="str">
        <f aca="false">IFERROR(__xludf.dummyfunction("""COMPUTED_VALUE"""),"Taufeeq Akhtar ")</f>
        <v>Taufeeq Akhtar </v>
      </c>
      <c r="Q50" s="13" t="str">
        <f aca="false">IF(L50="","",L50)</f>
        <v>[Code: 567ACD] TA:Damaged during sorting by sorter.NON Food Area say milay.</v>
      </c>
    </row>
    <row r="51" customFormat="false" ht="15.75" hidden="false" customHeight="false" outlineLevel="0" collapsed="false">
      <c r="A51" s="13" t="str">
        <f aca="false">IFERROR(__xludf.dummyfunction("""COMPUTED_VALUE"""),"Metro DC Faisalabad")</f>
        <v>Metro DC Faisalabad</v>
      </c>
      <c r="B51" s="13" t="str">
        <f aca="false">IFERROR(__xludf.dummyfunction("""COMPUTED_VALUE"""),"a790a37f-fc1f-4e5c-ab11-b92c75978f33")</f>
        <v>a790a37f-fc1f-4e5c-ab11-b92c75978f33</v>
      </c>
      <c r="C51" s="13" t="str">
        <f aca="false">IFERROR(__xludf.dummyfunction("""COMPUTED_VALUE"""),"Super Crisp Masala Party Pack Rs50 45g")</f>
        <v>Super Crisp Masala Party Pack Rs50 45g</v>
      </c>
      <c r="D51" s="13" t="str">
        <f aca="false">IFERROR(__xludf.dummyfunction("""COMPUTED_VALUE"""),"Super Crisp")</f>
        <v>Super Crisp</v>
      </c>
      <c r="E51" s="13" t="str">
        <f aca="false">IFERROR(__xludf.dummyfunction("""COMPUTED_VALUE"""),"Snacks")</f>
        <v>Snacks</v>
      </c>
      <c r="F51" s="11" t="n">
        <f aca="false">IFERROR(__xludf.dummyfunction("""COMPUTED_VALUE"""),44982)</f>
        <v>44982</v>
      </c>
      <c r="G51" s="16" t="n">
        <f aca="false">IFERROR(__xludf.dummyfunction("""COMPUTED_VALUE"""),0.901376122685756)</f>
        <v>0.9013761227</v>
      </c>
      <c r="H51" s="13" t="str">
        <f aca="false">IFERROR(__xludf.dummyfunction("""COMPUTED_VALUE"""),"missing stock")</f>
        <v>missing stock</v>
      </c>
      <c r="I51" s="13" t="n">
        <f aca="false">IFERROR(__xludf.dummyfunction("""COMPUTED_VALUE"""),1)</f>
        <v>1</v>
      </c>
      <c r="J51" s="13" t="n">
        <f aca="false">IFERROR(__xludf.dummyfunction("""COMPUTED_VALUE"""),494.34)</f>
        <v>494.34</v>
      </c>
      <c r="K51" s="13" t="n">
        <f aca="false">IFERROR(__xludf.dummyfunction("""COMPUTED_VALUE"""),494.34)</f>
        <v>494.34</v>
      </c>
      <c r="L51" s="13" t="str">
        <f aca="false">IFERROR(__xludf.dummyfunction("""COMPUTED_VALUE"""),"Brand exchange with Super Crisp Salted Party Pack 45g Rs60")</f>
        <v>Brand exchange with Super Crisp Salted Party Pack 45g Rs60</v>
      </c>
      <c r="M51" s="13"/>
      <c r="N51" s="13"/>
      <c r="O51" s="13" t="str">
        <f aca="false">IFERROR(__xludf.dummyfunction("""COMPUTED_VALUE"""),"ali.raza@tajir-app.com")</f>
        <v>ali.raza@tajir-app.com</v>
      </c>
      <c r="P51" s="13" t="str">
        <f aca="false">IFERROR(__xludf.dummyfunction("""COMPUTED_VALUE"""),"Ali Raza ")</f>
        <v>Ali Raza </v>
      </c>
      <c r="Q51" s="13" t="str">
        <f aca="false">IF(L51="","",L51)</f>
        <v>Brand exchange with Super Crisp Salted Party Pack 45g Rs60</v>
      </c>
    </row>
    <row r="52" customFormat="false" ht="15.75" hidden="false" customHeight="false" outlineLevel="0" collapsed="false">
      <c r="A52" s="13" t="str">
        <f aca="false">IFERROR(__xludf.dummyfunction("""COMPUTED_VALUE"""),"Metro DC Faisalabad")</f>
        <v>Metro DC Faisalabad</v>
      </c>
      <c r="B52" s="13" t="str">
        <f aca="false">IFERROR(__xludf.dummyfunction("""COMPUTED_VALUE"""),"5729dfa4-cfe1-40d5-949b-b76cae2d4a6a")</f>
        <v>5729dfa4-cfe1-40d5-949b-b76cae2d4a6a</v>
      </c>
      <c r="C52" s="13" t="str">
        <f aca="false">IFERROR(__xludf.dummyfunction("""COMPUTED_VALUE"""),"Super Crisp Salted Party Pack 45g Rs60")</f>
        <v>Super Crisp Salted Party Pack 45g Rs60</v>
      </c>
      <c r="D52" s="13" t="str">
        <f aca="false">IFERROR(__xludf.dummyfunction("""COMPUTED_VALUE"""),"Super Crisp")</f>
        <v>Super Crisp</v>
      </c>
      <c r="E52" s="13" t="str">
        <f aca="false">IFERROR(__xludf.dummyfunction("""COMPUTED_VALUE"""),"Snacks")</f>
        <v>Snacks</v>
      </c>
      <c r="F52" s="11" t="n">
        <f aca="false">IFERROR(__xludf.dummyfunction("""COMPUTED_VALUE"""),44982)</f>
        <v>44982</v>
      </c>
      <c r="G52" s="16" t="n">
        <f aca="false">IFERROR(__xludf.dummyfunction("""COMPUTED_VALUE"""),0.896993356481616)</f>
        <v>0.8969933565</v>
      </c>
      <c r="H52" s="13" t="str">
        <f aca="false">IFERROR(__xludf.dummyfunction("""COMPUTED_VALUE"""),"expired stock")</f>
        <v>expired stock</v>
      </c>
      <c r="I52" s="13" t="n">
        <f aca="false">IFERROR(__xludf.dummyfunction("""COMPUTED_VALUE"""),1)</f>
        <v>1</v>
      </c>
      <c r="J52" s="13" t="n">
        <f aca="false">IFERROR(__xludf.dummyfunction("""COMPUTED_VALUE"""),577.08)</f>
        <v>577.08</v>
      </c>
      <c r="K52" s="13" t="n">
        <f aca="false">IFERROR(__xludf.dummyfunction("""COMPUTED_VALUE"""),577.08)</f>
        <v>577.08</v>
      </c>
      <c r="L52" s="13" t="str">
        <f aca="false">IFERROR(__xludf.dummyfunction("""COMPUTED_VALUE"""),"[Code: 22567F] [Expiry: 3 Mar, 2023] Short Expiry")</f>
        <v>[Code: 22567F] [Expiry: 3 Mar, 2023] Short Expiry</v>
      </c>
      <c r="M52" s="13" t="str">
        <f aca="false">IFERROR(__xludf.dummyfunction("""COMPUTED_VALUE"""),"22567F")</f>
        <v>22567F</v>
      </c>
      <c r="N52" s="13" t="str">
        <f aca="false">IFERROR(__xludf.dummyfunction("""COMPUTED_VALUE"""),"3 Mar, 2023")</f>
        <v>3 Mar, 2023</v>
      </c>
      <c r="O52" s="13" t="str">
        <f aca="false">IFERROR(__xludf.dummyfunction("""COMPUTED_VALUE"""),"ali.raza@tajir-app.com")</f>
        <v>ali.raza@tajir-app.com</v>
      </c>
      <c r="P52" s="13" t="str">
        <f aca="false">IFERROR(__xludf.dummyfunction("""COMPUTED_VALUE"""),"Ali Raza ")</f>
        <v>Ali Raza </v>
      </c>
      <c r="Q52" s="13" t="str">
        <f aca="false">IF(L52="","",L52)</f>
        <v>[Code: 22567F] [Expiry: 3 Mar, 2023] Short Expiry</v>
      </c>
    </row>
    <row r="53" customFormat="false" ht="15.75" hidden="false" customHeight="false" outlineLevel="0" collapsed="false">
      <c r="A53" s="13" t="str">
        <f aca="false">IFERROR(__xludf.dummyfunction("""COMPUTED_VALUE"""),"Metro DC Faisalabad")</f>
        <v>Metro DC Faisalabad</v>
      </c>
      <c r="B53" s="13" t="str">
        <f aca="false">IFERROR(__xludf.dummyfunction("""COMPUTED_VALUE"""),"f87ff78a-1bae-4831-98d3-4830bfb86513")</f>
        <v>f87ff78a-1bae-4831-98d3-4830bfb86513</v>
      </c>
      <c r="C53" s="13" t="str">
        <f aca="false">IFERROR(__xludf.dummyfunction("""COMPUTED_VALUE"""),"Kolson Snackers French Cheese x24 Carton Rs20 12g")</f>
        <v>Kolson Snackers French Cheese x24 Carton Rs20 12g</v>
      </c>
      <c r="D53" s="13" t="str">
        <f aca="false">IFERROR(__xludf.dummyfunction("""COMPUTED_VALUE"""),"Kolson")</f>
        <v>Kolson</v>
      </c>
      <c r="E53" s="13" t="str">
        <f aca="false">IFERROR(__xludf.dummyfunction("""COMPUTED_VALUE"""),"Snacks")</f>
        <v>Snacks</v>
      </c>
      <c r="F53" s="11" t="n">
        <f aca="false">IFERROR(__xludf.dummyfunction("""COMPUTED_VALUE"""),44982)</f>
        <v>44982</v>
      </c>
      <c r="G53" s="16" t="n">
        <f aca="false">IFERROR(__xludf.dummyfunction("""COMPUTED_VALUE"""),0.89593649305416)</f>
        <v>0.8959364931</v>
      </c>
      <c r="H53" s="13" t="str">
        <f aca="false">IFERROR(__xludf.dummyfunction("""COMPUTED_VALUE"""),"expired stock")</f>
        <v>expired stock</v>
      </c>
      <c r="I53" s="13" t="n">
        <f aca="false">IFERROR(__xludf.dummyfunction("""COMPUTED_VALUE"""),3)</f>
        <v>3</v>
      </c>
      <c r="J53" s="13" t="n">
        <f aca="false">IFERROR(__xludf.dummyfunction("""COMPUTED_VALUE"""),416.4)</f>
        <v>416.4</v>
      </c>
      <c r="K53" s="13" t="n">
        <f aca="false">IFERROR(__xludf.dummyfunction("""COMPUTED_VALUE"""),1249.2)</f>
        <v>1249.2</v>
      </c>
      <c r="L53" s="13" t="str">
        <f aca="false">IFERROR(__xludf.dummyfunction("""COMPUTED_VALUE"""),"[Code: 89AAAA] [Expiry: 4 Mar, 2023] Short Expiry ")</f>
        <v>[Code: 89AAAA] [Expiry: 4 Mar, 2023] Short Expiry </v>
      </c>
      <c r="M53" s="13" t="str">
        <f aca="false">IFERROR(__xludf.dummyfunction("""COMPUTED_VALUE"""),"89AAAA")</f>
        <v>89AAAA</v>
      </c>
      <c r="N53" s="13" t="str">
        <f aca="false">IFERROR(__xludf.dummyfunction("""COMPUTED_VALUE"""),"4 Mar, 2023")</f>
        <v>4 Mar, 2023</v>
      </c>
      <c r="O53" s="13" t="str">
        <f aca="false">IFERROR(__xludf.dummyfunction("""COMPUTED_VALUE"""),"ali.raza@tajir-app.com")</f>
        <v>ali.raza@tajir-app.com</v>
      </c>
      <c r="P53" s="13" t="str">
        <f aca="false">IFERROR(__xludf.dummyfunction("""COMPUTED_VALUE"""),"Ali Raza ")</f>
        <v>Ali Raza </v>
      </c>
      <c r="Q53" s="13" t="str">
        <f aca="false">IF(L53="","",L53)</f>
        <v>[Code: 89AAAA] [Expiry: 4 Mar, 2023] Short Expiry </v>
      </c>
    </row>
    <row r="54" customFormat="false" ht="15.75" hidden="false" customHeight="false" outlineLevel="0" collapsed="false">
      <c r="A54" s="13" t="str">
        <f aca="false">IFERROR(__xludf.dummyfunction("""COMPUTED_VALUE"""),"Metro DC Faisalabad")</f>
        <v>Metro DC Faisalabad</v>
      </c>
      <c r="B54" s="13" t="str">
        <f aca="false">IFERROR(__xludf.dummyfunction("""COMPUTED_VALUE"""),"176983fa-732d-441c-8dad-ce901c437dc3")</f>
        <v>176983fa-732d-441c-8dad-ce901c437dc3</v>
      </c>
      <c r="C54" s="13" t="str">
        <f aca="false">IFERROR(__xludf.dummyfunction("""COMPUTED_VALUE"""),"Shangrila Imli Ginger Sauce x3 Bundle 400g Rs190")</f>
        <v>Shangrila Imli Ginger Sauce x3 Bundle 400g Rs190</v>
      </c>
      <c r="D54" s="13" t="str">
        <f aca="false">IFERROR(__xludf.dummyfunction("""COMPUTED_VALUE"""),"Shangrila")</f>
        <v>Shangrila</v>
      </c>
      <c r="E54" s="13" t="str">
        <f aca="false">IFERROR(__xludf.dummyfunction("""COMPUTED_VALUE"""),"Sauces")</f>
        <v>Sauces</v>
      </c>
      <c r="F54" s="11" t="n">
        <f aca="false">IFERROR(__xludf.dummyfunction("""COMPUTED_VALUE"""),44984)</f>
        <v>44984</v>
      </c>
      <c r="G54" s="16" t="n">
        <f aca="false">IFERROR(__xludf.dummyfunction("""COMPUTED_VALUE"""),0.038622372685169)</f>
        <v>0.03862237269</v>
      </c>
      <c r="H54" s="13" t="str">
        <f aca="false">IFERROR(__xludf.dummyfunction("""COMPUTED_VALUE"""),"damaged stock")</f>
        <v>damaged stock</v>
      </c>
      <c r="I54" s="13" t="n">
        <f aca="false">IFERROR(__xludf.dummyfunction("""COMPUTED_VALUE"""),1)</f>
        <v>1</v>
      </c>
      <c r="J54" s="13" t="n">
        <f aca="false">IFERROR(__xludf.dummyfunction("""COMPUTED_VALUE"""),467.21)</f>
        <v>467.21</v>
      </c>
      <c r="K54" s="13" t="n">
        <f aca="false">IFERROR(__xludf.dummyfunction("""COMPUTED_VALUE"""),467.21)</f>
        <v>467.21</v>
      </c>
      <c r="L54" s="13" t="str">
        <f aca="false">IFERROR(__xludf.dummyfunction("""COMPUTED_VALUE"""),"[Code: 6899BC] TA: Found damaged from row B1.(sorting k doran rack say damaged mila display may laga tha)")</f>
        <v>[Code: 6899BC] TA: Found damaged from row B1.(sorting k doran rack say damaged mila display may laga tha)</v>
      </c>
      <c r="M54" s="13" t="str">
        <f aca="false">IFERROR(__xludf.dummyfunction("""COMPUTED_VALUE"""),"6899BC")</f>
        <v>6899BC</v>
      </c>
      <c r="N54" s="13"/>
      <c r="O54" s="13" t="str">
        <f aca="false">IFERROR(__xludf.dummyfunction("""COMPUTED_VALUE"""),"taufeeq.akhtar@tajir-app.com")</f>
        <v>taufeeq.akhtar@tajir-app.com</v>
      </c>
      <c r="P54" s="13" t="str">
        <f aca="false">IFERROR(__xludf.dummyfunction("""COMPUTED_VALUE"""),"Taufeeq Akhtar ")</f>
        <v>Taufeeq Akhtar </v>
      </c>
      <c r="Q54" s="13" t="str">
        <f aca="false">IF(L54="","",L54)</f>
        <v>[Code: 6899BC] TA: Found damaged from row B1.(sorting k doran rack say damaged mila display may laga tha)</v>
      </c>
    </row>
    <row r="55" customFormat="false" ht="15.75" hidden="false" customHeight="false" outlineLevel="0" collapsed="false">
      <c r="A55" s="13" t="str">
        <f aca="false">IFERROR(__xludf.dummyfunction("""COMPUTED_VALUE"""),"Metro DC Faisalabad")</f>
        <v>Metro DC Faisalabad</v>
      </c>
      <c r="B55" s="13" t="str">
        <f aca="false">IFERROR(__xludf.dummyfunction("""COMPUTED_VALUE"""),"7895eaf1-f271-4f8b-8491-c25a4a901b63")</f>
        <v>7895eaf1-f271-4f8b-8491-c25a4a901b63</v>
      </c>
      <c r="C55" s="13" t="str">
        <f aca="false">IFERROR(__xludf.dummyfunction("""COMPUTED_VALUE"""),"Super Crisp BBQ Popular Pack Rs20 14g")</f>
        <v>Super Crisp BBQ Popular Pack Rs20 14g</v>
      </c>
      <c r="D55" s="13" t="str">
        <f aca="false">IFERROR(__xludf.dummyfunction("""COMPUTED_VALUE"""),"Super Crisp")</f>
        <v>Super Crisp</v>
      </c>
      <c r="E55" s="13" t="str">
        <f aca="false">IFERROR(__xludf.dummyfunction("""COMPUTED_VALUE"""),"Snacks")</f>
        <v>Snacks</v>
      </c>
      <c r="F55" s="11" t="n">
        <f aca="false">IFERROR(__xludf.dummyfunction("""COMPUTED_VALUE"""),44985)</f>
        <v>44985</v>
      </c>
      <c r="G55" s="16" t="n">
        <f aca="false">IFERROR(__xludf.dummyfunction("""COMPUTED_VALUE"""),0.839587372686155)</f>
        <v>0.8395873727</v>
      </c>
      <c r="H55" s="13" t="str">
        <f aca="false">IFERROR(__xludf.dummyfunction("""COMPUTED_VALUE"""),"expired stock")</f>
        <v>expired stock</v>
      </c>
      <c r="I55" s="13" t="n">
        <f aca="false">IFERROR(__xludf.dummyfunction("""COMPUTED_VALUE"""),34)</f>
        <v>34</v>
      </c>
      <c r="J55" s="13" t="n">
        <f aca="false">IFERROR(__xludf.dummyfunction("""COMPUTED_VALUE"""),811.49)</f>
        <v>811.49</v>
      </c>
      <c r="K55" s="13" t="n">
        <f aca="false">IFERROR(__xludf.dummyfunction("""COMPUTED_VALUE"""),27590.66)</f>
        <v>27590.66</v>
      </c>
      <c r="L55" s="13" t="str">
        <f aca="false">IFERROR(__xludf.dummyfunction("""COMPUTED_VALUE"""),"[Code: 8CDEGJ] [Expiry: 16 Mar, 2023] Short Expiry ")</f>
        <v>[Code: 8CDEGJ] [Expiry: 16 Mar, 2023] Short Expiry </v>
      </c>
      <c r="M55" s="13" t="str">
        <f aca="false">IFERROR(__xludf.dummyfunction("""COMPUTED_VALUE"""),"8CDEGJ")</f>
        <v>8CDEGJ</v>
      </c>
      <c r="N55" s="13" t="str">
        <f aca="false">IFERROR(__xludf.dummyfunction("""COMPUTED_VALUE"""),"16 Mar, 2023")</f>
        <v>16 Mar, 2023</v>
      </c>
      <c r="O55" s="13" t="str">
        <f aca="false">IFERROR(__xludf.dummyfunction("""COMPUTED_VALUE"""),"ali.raza@tajir-app.com")</f>
        <v>ali.raza@tajir-app.com</v>
      </c>
      <c r="P55" s="13" t="str">
        <f aca="false">IFERROR(__xludf.dummyfunction("""COMPUTED_VALUE"""),"Ali Raza ")</f>
        <v>Ali Raza </v>
      </c>
      <c r="Q55" s="13" t="str">
        <f aca="false">IF(L55="","",L55)</f>
        <v>[Code: 8CDEGJ] [Expiry: 16 Mar, 2023] Short Expiry </v>
      </c>
    </row>
    <row r="56" customFormat="false" ht="15.75" hidden="false" customHeight="false" outlineLevel="0" collapsed="false">
      <c r="A56" s="13" t="str">
        <f aca="false">IFERROR(__xludf.dummyfunction("""COMPUTED_VALUE"""),"Metro DC Faisalabad")</f>
        <v>Metro DC Faisalabad</v>
      </c>
      <c r="B56" s="13" t="str">
        <f aca="false">IFERROR(__xludf.dummyfunction("""COMPUTED_VALUE"""),"d35314e0-f3f4-47fe-90aa-af65dab10e9d")</f>
        <v>d35314e0-f3f4-47fe-90aa-af65dab10e9d</v>
      </c>
      <c r="C56" s="13" t="str">
        <f aca="false">IFERROR(__xludf.dummyfunction("""COMPUTED_VALUE"""),"Bonus tristar detergent x6 bundle 48g Rs10")</f>
        <v>Bonus tristar detergent x6 bundle 48g Rs10</v>
      </c>
      <c r="D56" s="13" t="str">
        <f aca="false">IFERROR(__xludf.dummyfunction("""COMPUTED_VALUE"""),"Bonus Surf")</f>
        <v>Bonus Surf</v>
      </c>
      <c r="E56" s="13" t="str">
        <f aca="false">IFERROR(__xludf.dummyfunction("""COMPUTED_VALUE"""),"Surf, Bleach")</f>
        <v>Surf, Bleach</v>
      </c>
      <c r="F56" s="11" t="n">
        <f aca="false">IFERROR(__xludf.dummyfunction("""COMPUTED_VALUE"""),44986)</f>
        <v>44986</v>
      </c>
      <c r="G56" s="16" t="n">
        <f aca="false">IFERROR(__xludf.dummyfunction("""COMPUTED_VALUE"""),0.987827465276409)</f>
        <v>0.9878274653</v>
      </c>
      <c r="H56" s="13" t="str">
        <f aca="false">IFERROR(__xludf.dummyfunction("""COMPUTED_VALUE"""),"damaged stock")</f>
        <v>damaged stock</v>
      </c>
      <c r="I56" s="13" t="n">
        <f aca="false">IFERROR(__xludf.dummyfunction("""COMPUTED_VALUE"""),1)</f>
        <v>1</v>
      </c>
      <c r="J56" s="13" t="n">
        <f aca="false">IFERROR(__xludf.dummyfunction("""COMPUTED_VALUE"""),55.13)</f>
        <v>55.13</v>
      </c>
      <c r="K56" s="13" t="n">
        <f aca="false">IFERROR(__xludf.dummyfunction("""COMPUTED_VALUE"""),55.13)</f>
        <v>55.13</v>
      </c>
      <c r="L56" s="13" t="str">
        <f aca="false">IFERROR(__xludf.dummyfunction("""COMPUTED_VALUE"""),"[Code: 227899] TA: Damaged during display by patrolling officer|:")</f>
        <v>[Code: 227899] TA: Damaged during display by patrolling officer|:</v>
      </c>
      <c r="M56" s="13" t="str">
        <f aca="false">IFERROR(__xludf.dummyfunction("""COMPUTED_VALUE"""),"227899")</f>
        <v>227899</v>
      </c>
      <c r="N56" s="13"/>
      <c r="O56" s="13" t="str">
        <f aca="false">IFERROR(__xludf.dummyfunction("""COMPUTED_VALUE"""),"taufeeq.akhtar@tajir-app.com")</f>
        <v>taufeeq.akhtar@tajir-app.com</v>
      </c>
      <c r="P56" s="13" t="str">
        <f aca="false">IFERROR(__xludf.dummyfunction("""COMPUTED_VALUE"""),"Taufeeq Akhtar ")</f>
        <v>Taufeeq Akhtar </v>
      </c>
      <c r="Q56" s="13" t="str">
        <f aca="false">IF(L56="","",L56)</f>
        <v>[Code: 227899] TA: Damaged during display by patrolling officer|:</v>
      </c>
    </row>
    <row r="57" customFormat="false" ht="15.75" hidden="false" customHeight="false" outlineLevel="0" collapsed="false">
      <c r="A57" s="13" t="str">
        <f aca="false">IFERROR(__xludf.dummyfunction("""COMPUTED_VALUE"""),"Metro DC Faisalabad")</f>
        <v>Metro DC Faisalabad</v>
      </c>
      <c r="B57" s="13" t="str">
        <f aca="false">IFERROR(__xludf.dummyfunction("""COMPUTED_VALUE"""),"75edc3b0-f1d5-4e06-b8f6-848eeb320e52")</f>
        <v>75edc3b0-f1d5-4e06-b8f6-848eeb320e52</v>
      </c>
      <c r="C57" s="13" t="str">
        <f aca="false">IFERROR(__xludf.dummyfunction("""COMPUTED_VALUE"""),"Surf Excel x6 bundle 115g Rs50")</f>
        <v>Surf Excel x6 bundle 115g Rs50</v>
      </c>
      <c r="D57" s="13" t="str">
        <f aca="false">IFERROR(__xludf.dummyfunction("""COMPUTED_VALUE"""),"Surf Excel")</f>
        <v>Surf Excel</v>
      </c>
      <c r="E57" s="13" t="str">
        <f aca="false">IFERROR(__xludf.dummyfunction("""COMPUTED_VALUE"""),"Surf, Bleach")</f>
        <v>Surf, Bleach</v>
      </c>
      <c r="F57" s="11" t="n">
        <f aca="false">IFERROR(__xludf.dummyfunction("""COMPUTED_VALUE"""),44986)</f>
        <v>44986</v>
      </c>
      <c r="G57" s="16" t="n">
        <f aca="false">IFERROR(__xludf.dummyfunction("""COMPUTED_VALUE"""),0.873166631943539)</f>
        <v>0.8731666319</v>
      </c>
      <c r="H57" s="13" t="str">
        <f aca="false">IFERROR(__xludf.dummyfunction("""COMPUTED_VALUE"""),"damaged stock")</f>
        <v>damaged stock</v>
      </c>
      <c r="I57" s="13" t="n">
        <f aca="false">IFERROR(__xludf.dummyfunction("""COMPUTED_VALUE"""),1)</f>
        <v>1</v>
      </c>
      <c r="J57" s="13" t="n">
        <f aca="false">IFERROR(__xludf.dummyfunction("""COMPUTED_VALUE"""),272)</f>
        <v>272</v>
      </c>
      <c r="K57" s="13" t="n">
        <f aca="false">IFERROR(__xludf.dummyfunction("""COMPUTED_VALUE"""),272)</f>
        <v>272</v>
      </c>
      <c r="L57" s="13" t="str">
        <f aca="false">IFERROR(__xludf.dummyfunction("""COMPUTED_VALUE"""),"[Code: 889ACE] 01 pc found damage in packed bag during sorting")</f>
        <v>[Code: 889ACE] 01 pc found damage in packed bag during sorting</v>
      </c>
      <c r="M57" s="13" t="str">
        <f aca="false">IFERROR(__xludf.dummyfunction("""COMPUTED_VALUE"""),"889ACE")</f>
        <v>889ACE</v>
      </c>
      <c r="N57" s="13"/>
      <c r="O57" s="13" t="str">
        <f aca="false">IFERROR(__xludf.dummyfunction("""COMPUTED_VALUE"""),"zeeshan.alimalik@tajir-app.com")</f>
        <v>zeeshan.alimalik@tajir-app.com</v>
      </c>
      <c r="P57" s="13" t="str">
        <f aca="false">IFERROR(__xludf.dummyfunction("""COMPUTED_VALUE"""),"Zeeshan Ali Malik")</f>
        <v>Zeeshan Ali Malik</v>
      </c>
      <c r="Q57" s="13" t="str">
        <f aca="false">IF(L57="","",L57)</f>
        <v>[Code: 889ACE] 01 pc found damage in packed bag during sorting</v>
      </c>
    </row>
    <row r="58" customFormat="false" ht="15.75" hidden="false" customHeight="false" outlineLevel="0" collapsed="false">
      <c r="A58" s="13" t="str">
        <f aca="false">IFERROR(__xludf.dummyfunction("""COMPUTED_VALUE"""),"Metro DC Faisalabad")</f>
        <v>Metro DC Faisalabad</v>
      </c>
      <c r="B58" s="13" t="str">
        <f aca="false">IFERROR(__xludf.dummyfunction("""COMPUTED_VALUE"""),"677536ca-c438-4cd5-bda6-0f9fe40a7515")</f>
        <v>677536ca-c438-4cd5-bda6-0f9fe40a7515</v>
      </c>
      <c r="C58" s="13" t="str">
        <f aca="false">IFERROR(__xludf.dummyfunction("""COMPUTED_VALUE"""),"Closed 3")</f>
        <v>Closed 3</v>
      </c>
      <c r="D58" s="13" t="str">
        <f aca="false">IFERROR(__xludf.dummyfunction("""COMPUTED_VALUE"""),"Ariel Surf")</f>
        <v>Ariel Surf</v>
      </c>
      <c r="E58" s="13" t="str">
        <f aca="false">IFERROR(__xludf.dummyfunction("""COMPUTED_VALUE"""),"Surf, Bleach")</f>
        <v>Surf, Bleach</v>
      </c>
      <c r="F58" s="11" t="n">
        <f aca="false">IFERROR(__xludf.dummyfunction("""COMPUTED_VALUE"""),44986)</f>
        <v>44986</v>
      </c>
      <c r="G58" s="16" t="n">
        <f aca="false">IFERROR(__xludf.dummyfunction("""COMPUTED_VALUE"""),0.871482361110798)</f>
        <v>0.8714823611</v>
      </c>
      <c r="H58" s="13" t="str">
        <f aca="false">IFERROR(__xludf.dummyfunction("""COMPUTED_VALUE"""),"damaged stock")</f>
        <v>damaged stock</v>
      </c>
      <c r="I58" s="13" t="n">
        <f aca="false">IFERROR(__xludf.dummyfunction("""COMPUTED_VALUE"""),1)</f>
        <v>1</v>
      </c>
      <c r="J58" s="13" t="n">
        <f aca="false">IFERROR(__xludf.dummyfunction("""COMPUTED_VALUE"""),270)</f>
        <v>270</v>
      </c>
      <c r="K58" s="13" t="n">
        <f aca="false">IFERROR(__xludf.dummyfunction("""COMPUTED_VALUE"""),270)</f>
        <v>270</v>
      </c>
      <c r="L58" s="13" t="str">
        <f aca="false">IFERROR(__xludf.dummyfunction("""COMPUTED_VALUE"""),"[Code: 233668] 01 selling unit found damage in packed bag during sorting")</f>
        <v>[Code: 233668] 01 selling unit found damage in packed bag during sorting</v>
      </c>
      <c r="M58" s="13" t="str">
        <f aca="false">IFERROR(__xludf.dummyfunction("""COMPUTED_VALUE"""),"233668")</f>
        <v>233668</v>
      </c>
      <c r="N58" s="13"/>
      <c r="O58" s="13" t="str">
        <f aca="false">IFERROR(__xludf.dummyfunction("""COMPUTED_VALUE"""),"zeeshan.alimalik@tajir-app.com")</f>
        <v>zeeshan.alimalik@tajir-app.com</v>
      </c>
      <c r="P58" s="13" t="str">
        <f aca="false">IFERROR(__xludf.dummyfunction("""COMPUTED_VALUE"""),"Zeeshan Ali Malik")</f>
        <v>Zeeshan Ali Malik</v>
      </c>
      <c r="Q58" s="13" t="str">
        <f aca="false">IF(L58="","",L58)</f>
        <v>[Code: 233668] 01 selling unit found damage in packed bag during sorting</v>
      </c>
    </row>
    <row r="59" customFormat="false" ht="15.75" hidden="false" customHeight="false" outlineLevel="0" collapsed="false">
      <c r="A59" s="13" t="str">
        <f aca="false">IFERROR(__xludf.dummyfunction("""COMPUTED_VALUE"""),"Metro DC Faisalabad")</f>
        <v>Metro DC Faisalabad</v>
      </c>
      <c r="B59" s="13" t="str">
        <f aca="false">IFERROR(__xludf.dummyfunction("""COMPUTED_VALUE"""),"2597743e-4d52-4816-b29b-53d4227dec5f")</f>
        <v>2597743e-4d52-4816-b29b-53d4227dec5f</v>
      </c>
      <c r="C59" s="13" t="str">
        <f aca="false">IFERROR(__xludf.dummyfunction("""COMPUTED_VALUE"""),"Murree Brewery Apple Malt Glass x24 Crate 300ml")</f>
        <v>Murree Brewery Apple Malt Glass x24 Crate 300ml</v>
      </c>
      <c r="D59" s="13" t="str">
        <f aca="false">IFERROR(__xludf.dummyfunction("""COMPUTED_VALUE"""),"Murree Brewery")</f>
        <v>Murree Brewery</v>
      </c>
      <c r="E59" s="13" t="str">
        <f aca="false">IFERROR(__xludf.dummyfunction("""COMPUTED_VALUE"""),"Beverages")</f>
        <v>Beverages</v>
      </c>
      <c r="F59" s="11" t="n">
        <f aca="false">IFERROR(__xludf.dummyfunction("""COMPUTED_VALUE"""),44986)</f>
        <v>44986</v>
      </c>
      <c r="G59" s="16" t="n">
        <f aca="false">IFERROR(__xludf.dummyfunction("""COMPUTED_VALUE"""),0.843317777776829)</f>
        <v>0.8433177778</v>
      </c>
      <c r="H59" s="13" t="str">
        <f aca="false">IFERROR(__xludf.dummyfunction("""COMPUTED_VALUE"""),"expired stock")</f>
        <v>expired stock</v>
      </c>
      <c r="I59" s="13" t="n">
        <f aca="false">IFERROR(__xludf.dummyfunction("""COMPUTED_VALUE"""),10)</f>
        <v>10</v>
      </c>
      <c r="J59" s="13" t="n">
        <f aca="false">IFERROR(__xludf.dummyfunction("""COMPUTED_VALUE"""),1130)</f>
        <v>1130</v>
      </c>
      <c r="K59" s="13" t="n">
        <f aca="false">IFERROR(__xludf.dummyfunction("""COMPUTED_VALUE"""),11300)</f>
        <v>11300</v>
      </c>
      <c r="L59" s="13" t="str">
        <f aca="false">IFERROR(__xludf.dummyfunction("""COMPUTED_VALUE"""),"[Code: 4567AA] [Expiry: 26 Mar, 2023] Short Expiry")</f>
        <v>[Code: 4567AA] [Expiry: 26 Mar, 2023] Short Expiry</v>
      </c>
      <c r="M59" s="13" t="str">
        <f aca="false">IFERROR(__xludf.dummyfunction("""COMPUTED_VALUE"""),"4567AA")</f>
        <v>4567AA</v>
      </c>
      <c r="N59" s="13" t="str">
        <f aca="false">IFERROR(__xludf.dummyfunction("""COMPUTED_VALUE"""),"26 Mar, 2023")</f>
        <v>26 Mar, 2023</v>
      </c>
      <c r="O59" s="13" t="str">
        <f aca="false">IFERROR(__xludf.dummyfunction("""COMPUTED_VALUE"""),"ali.raza@tajir-app.com")</f>
        <v>ali.raza@tajir-app.com</v>
      </c>
      <c r="P59" s="13" t="str">
        <f aca="false">IFERROR(__xludf.dummyfunction("""COMPUTED_VALUE"""),"Ali Raza ")</f>
        <v>Ali Raza </v>
      </c>
      <c r="Q59" s="13" t="str">
        <f aca="false">IF(L59="","",L59)</f>
        <v>[Code: 4567AA] [Expiry: 26 Mar, 2023] Short Expiry</v>
      </c>
    </row>
    <row r="60" customFormat="false" ht="15.75" hidden="false" customHeight="false" outlineLevel="0" collapsed="false">
      <c r="A60" s="13" t="str">
        <f aca="false">IFERROR(__xludf.dummyfunction("""COMPUTED_VALUE"""),"Metro DC Faisalabad")</f>
        <v>Metro DC Faisalabad</v>
      </c>
      <c r="B60" s="13" t="str">
        <f aca="false">IFERROR(__xludf.dummyfunction("""COMPUTED_VALUE"""),"9350d930-ed80-48de-9795-74af93723368")</f>
        <v>9350d930-ed80-48de-9795-74af93723368</v>
      </c>
      <c r="C60" s="13" t="str">
        <f aca="false">IFERROR(__xludf.dummyfunction("""COMPUTED_VALUE"""),"Sunsilk Stunning Black Shine Shampoo 185ml Rs330")</f>
        <v>Sunsilk Stunning Black Shine Shampoo 185ml Rs330</v>
      </c>
      <c r="D60" s="13" t="str">
        <f aca="false">IFERROR(__xludf.dummyfunction("""COMPUTED_VALUE"""),"Sunsilk")</f>
        <v>Sunsilk</v>
      </c>
      <c r="E60" s="13" t="str">
        <f aca="false">IFERROR(__xludf.dummyfunction("""COMPUTED_VALUE"""),"Shampoo")</f>
        <v>Shampoo</v>
      </c>
      <c r="F60" s="11" t="n">
        <f aca="false">IFERROR(__xludf.dummyfunction("""COMPUTED_VALUE"""),44987)</f>
        <v>44987</v>
      </c>
      <c r="G60" s="16" t="n">
        <f aca="false">IFERROR(__xludf.dummyfunction("""COMPUTED_VALUE"""),0.642073888888754)</f>
        <v>0.6420738889</v>
      </c>
      <c r="H60" s="13" t="str">
        <f aca="false">IFERROR(__xludf.dummyfunction("""COMPUTED_VALUE"""),"damaged stock")</f>
        <v>damaged stock</v>
      </c>
      <c r="I60" s="13" t="n">
        <f aca="false">IFERROR(__xludf.dummyfunction("""COMPUTED_VALUE"""),1)</f>
        <v>1</v>
      </c>
      <c r="J60" s="13" t="n">
        <f aca="false">IFERROR(__xludf.dummyfunction("""COMPUTED_VALUE"""),286.25)</f>
        <v>286.25</v>
      </c>
      <c r="K60" s="13" t="n">
        <f aca="false">IFERROR(__xludf.dummyfunction("""COMPUTED_VALUE"""),286.25)</f>
        <v>286.25</v>
      </c>
      <c r="L60" s="13" t="str">
        <f aca="false">IFERROR(__xludf.dummyfunction("""COMPUTED_VALUE"""),"[Code: 234EJK] Damage by sorter during sorting")</f>
        <v>[Code: 234EJK] Damage by sorter during sorting</v>
      </c>
      <c r="M60" s="13" t="str">
        <f aca="false">IFERROR(__xludf.dummyfunction("""COMPUTED_VALUE"""),"234EJK")</f>
        <v>234EJK</v>
      </c>
      <c r="N60" s="13"/>
      <c r="O60" s="13" t="str">
        <f aca="false">IFERROR(__xludf.dummyfunction("""COMPUTED_VALUE"""),"zeeshan.alimalik@tajir-app.com")</f>
        <v>zeeshan.alimalik@tajir-app.com</v>
      </c>
      <c r="P60" s="13" t="str">
        <f aca="false">IFERROR(__xludf.dummyfunction("""COMPUTED_VALUE"""),"Zeeshan Ali Malik")</f>
        <v>Zeeshan Ali Malik</v>
      </c>
      <c r="Q60" s="13" t="str">
        <f aca="false">IF(L60="","",L60)</f>
        <v>[Code: 234EJK] Damage by sorter during sorting</v>
      </c>
    </row>
    <row r="61" customFormat="false" ht="15.75" hidden="false" customHeight="false" outlineLevel="0" collapsed="false">
      <c r="A61" s="13" t="str">
        <f aca="false">IFERROR(__xludf.dummyfunction("""COMPUTED_VALUE"""),"Metro DC Faisalabad")</f>
        <v>Metro DC Faisalabad</v>
      </c>
      <c r="B61" s="13" t="str">
        <f aca="false">IFERROR(__xludf.dummyfunction("""COMPUTED_VALUE"""),"b3727af3-5194-4b68-9804-0a02d53a5902")</f>
        <v>b3727af3-5194-4b68-9804-0a02d53a5902</v>
      </c>
      <c r="C61" s="13" t="str">
        <f aca="false">IFERROR(__xludf.dummyfunction("""COMPUTED_VALUE"""),"Juice Time Guava x24 200ml")</f>
        <v>Juice Time Guava x24 200ml</v>
      </c>
      <c r="D61" s="13" t="str">
        <f aca="false">IFERROR(__xludf.dummyfunction("""COMPUTED_VALUE"""),"Juice Time")</f>
        <v>Juice Time</v>
      </c>
      <c r="E61" s="13" t="str">
        <f aca="false">IFERROR(__xludf.dummyfunction("""COMPUTED_VALUE"""),"Juice, Syrup, Squash")</f>
        <v>Juice, Syrup, Squash</v>
      </c>
      <c r="F61" s="11" t="n">
        <f aca="false">IFERROR(__xludf.dummyfunction("""COMPUTED_VALUE"""),44988)</f>
        <v>44988</v>
      </c>
      <c r="G61" s="16" t="n">
        <f aca="false">IFERROR(__xludf.dummyfunction("""COMPUTED_VALUE"""),0.899165266204103)</f>
        <v>0.8991652662</v>
      </c>
      <c r="H61" s="13" t="str">
        <f aca="false">IFERROR(__xludf.dummyfunction("""COMPUTED_VALUE"""),"damaged stock")</f>
        <v>damaged stock</v>
      </c>
      <c r="I61" s="13" t="n">
        <f aca="false">IFERROR(__xludf.dummyfunction("""COMPUTED_VALUE"""),3)</f>
        <v>3</v>
      </c>
      <c r="J61" s="13" t="n">
        <f aca="false">IFERROR(__xludf.dummyfunction("""COMPUTED_VALUE"""),380)</f>
        <v>380</v>
      </c>
      <c r="K61" s="13" t="n">
        <f aca="false">IFERROR(__xludf.dummyfunction("""COMPUTED_VALUE"""),1140)</f>
        <v>1140</v>
      </c>
      <c r="L61" s="13" t="str">
        <f aca="false">IFERROR(__xludf.dummyfunction("""COMPUTED_VALUE"""),"[Code: 26679A] TA: quality kaafi kharab hay(nami k wajah say ulli par gayi hay)")</f>
        <v>[Code: 26679A] TA: quality kaafi kharab hay(nami k wajah say ulli par gayi hay)</v>
      </c>
      <c r="M61" s="13" t="str">
        <f aca="false">IFERROR(__xludf.dummyfunction("""COMPUTED_VALUE"""),"26679A")</f>
        <v>26679A</v>
      </c>
      <c r="N61" s="13"/>
      <c r="O61" s="13" t="str">
        <f aca="false">IFERROR(__xludf.dummyfunction("""COMPUTED_VALUE"""),"taufeeq.akhtar@tajir-app.com")</f>
        <v>taufeeq.akhtar@tajir-app.com</v>
      </c>
      <c r="P61" s="13" t="str">
        <f aca="false">IFERROR(__xludf.dummyfunction("""COMPUTED_VALUE"""),"Taufeeq Akhtar ")</f>
        <v>Taufeeq Akhtar </v>
      </c>
      <c r="Q61" s="13" t="str">
        <f aca="false">IF(L61="","",L61)</f>
        <v>[Code: 26679A] TA: quality kaafi kharab hay(nami k wajah say ulli par gayi hay)</v>
      </c>
    </row>
    <row r="62" customFormat="false" ht="15.75" hidden="false" customHeight="false" outlineLevel="0" collapsed="false">
      <c r="A62" s="13" t="str">
        <f aca="false">IFERROR(__xludf.dummyfunction("""COMPUTED_VALUE"""),"Metro DC Faisalabad")</f>
        <v>Metro DC Faisalabad</v>
      </c>
      <c r="B62" s="13" t="str">
        <f aca="false">IFERROR(__xludf.dummyfunction("""COMPUTED_VALUE"""),"1e2dbc4d-414f-41dc-b7dd-26d7d4ff979f")</f>
        <v>1e2dbc4d-414f-41dc-b7dd-26d7d4ff979f</v>
      </c>
      <c r="C62" s="13" t="str">
        <f aca="false">IFERROR(__xludf.dummyfunction("""COMPUTED_VALUE"""),"Seasly Water 500ml")</f>
        <v>Seasly Water 500ml</v>
      </c>
      <c r="D62" s="13" t="str">
        <f aca="false">IFERROR(__xludf.dummyfunction("""COMPUTED_VALUE"""),"Seasly Water")</f>
        <v>Seasly Water</v>
      </c>
      <c r="E62" s="13" t="str">
        <f aca="false">IFERROR(__xludf.dummyfunction("""COMPUTED_VALUE"""),"Beverages")</f>
        <v>Beverages</v>
      </c>
      <c r="F62" s="11" t="n">
        <f aca="false">IFERROR(__xludf.dummyfunction("""COMPUTED_VALUE"""),44988)</f>
        <v>44988</v>
      </c>
      <c r="G62" s="16" t="n">
        <f aca="false">IFERROR(__xludf.dummyfunction("""COMPUTED_VALUE"""),0.839948298612281)</f>
        <v>0.8399482986</v>
      </c>
      <c r="H62" s="13" t="str">
        <f aca="false">IFERROR(__xludf.dummyfunction("""COMPUTED_VALUE"""),"damaged stock")</f>
        <v>damaged stock</v>
      </c>
      <c r="I62" s="13" t="n">
        <f aca="false">IFERROR(__xludf.dummyfunction("""COMPUTED_VALUE"""),7)</f>
        <v>7</v>
      </c>
      <c r="J62" s="13" t="n">
        <f aca="false">IFERROR(__xludf.dummyfunction("""COMPUTED_VALUE"""),150)</f>
        <v>150</v>
      </c>
      <c r="K62" s="13" t="n">
        <f aca="false">IFERROR(__xludf.dummyfunction("""COMPUTED_VALUE"""),1050)</f>
        <v>1050</v>
      </c>
      <c r="L62" s="13" t="str">
        <f aca="false">IFERROR(__xludf.dummyfunction("""COMPUTED_VALUE"""),"[Code: 3489AA] TA: Damaged :(chakka girnay ki wajah say damage hogaye)")</f>
        <v>[Code: 3489AA] TA: Damaged :(chakka girnay ki wajah say damage hogaye)</v>
      </c>
      <c r="M62" s="13" t="str">
        <f aca="false">IFERROR(__xludf.dummyfunction("""COMPUTED_VALUE"""),"3489AA")</f>
        <v>3489AA</v>
      </c>
      <c r="N62" s="13"/>
      <c r="O62" s="13" t="str">
        <f aca="false">IFERROR(__xludf.dummyfunction("""COMPUTED_VALUE"""),"taufeeq.akhtar@tajir-app.com")</f>
        <v>taufeeq.akhtar@tajir-app.com</v>
      </c>
      <c r="P62" s="13" t="str">
        <f aca="false">IFERROR(__xludf.dummyfunction("""COMPUTED_VALUE"""),"Taufeeq Akhtar ")</f>
        <v>Taufeeq Akhtar </v>
      </c>
      <c r="Q62" s="13" t="str">
        <f aca="false">IF(L62="","",L62)</f>
        <v>[Code: 3489AA] TA: Damaged :(chakka girnay ki wajah say damage hogaye)</v>
      </c>
    </row>
    <row r="63" customFormat="false" ht="15.75" hidden="false" customHeight="false" outlineLevel="0" collapsed="false">
      <c r="A63" s="13" t="str">
        <f aca="false">IFERROR(__xludf.dummyfunction("""COMPUTED_VALUE"""),"Metro DC Faisalabad")</f>
        <v>Metro DC Faisalabad</v>
      </c>
      <c r="B63" s="13" t="str">
        <f aca="false">IFERROR(__xludf.dummyfunction("""COMPUTED_VALUE"""),"12646735-2228-4137-ba21-ca9d802b51c3")</f>
        <v>12646735-2228-4137-ba21-ca9d802b51c3</v>
      </c>
      <c r="C63" s="13" t="str">
        <f aca="false">IFERROR(__xludf.dummyfunction("""COMPUTED_VALUE"""),"Lipton yellow label tea 85g Rs200")</f>
        <v>Lipton yellow label tea 85g Rs200</v>
      </c>
      <c r="D63" s="13" t="str">
        <f aca="false">IFERROR(__xludf.dummyfunction("""COMPUTED_VALUE"""),"Lipton")</f>
        <v>Lipton</v>
      </c>
      <c r="E63" s="13" t="str">
        <f aca="false">IFERROR(__xludf.dummyfunction("""COMPUTED_VALUE"""),"Tea, Coffee")</f>
        <v>Tea, Coffee</v>
      </c>
      <c r="F63" s="11" t="n">
        <f aca="false">IFERROR(__xludf.dummyfunction("""COMPUTED_VALUE"""),44988)</f>
        <v>44988</v>
      </c>
      <c r="G63" s="16" t="n">
        <f aca="false">IFERROR(__xludf.dummyfunction("""COMPUTED_VALUE"""),0.73961156250056)</f>
        <v>0.7396115625</v>
      </c>
      <c r="H63" s="13" t="str">
        <f aca="false">IFERROR(__xludf.dummyfunction("""COMPUTED_VALUE"""),"damaged stock")</f>
        <v>damaged stock</v>
      </c>
      <c r="I63" s="13" t="n">
        <f aca="false">IFERROR(__xludf.dummyfunction("""COMPUTED_VALUE"""),1)</f>
        <v>1</v>
      </c>
      <c r="J63" s="13" t="n">
        <f aca="false">IFERROR(__xludf.dummyfunction("""COMPUTED_VALUE"""),182.15)</f>
        <v>182.15</v>
      </c>
      <c r="K63" s="13" t="n">
        <f aca="false">IFERROR(__xludf.dummyfunction("""COMPUTED_VALUE"""),182.15)</f>
        <v>182.15</v>
      </c>
      <c r="L63" s="13" t="str">
        <f aca="false">IFERROR(__xludf.dummyfunction("""COMPUTED_VALUE"""),"[Code: 57ABBE] TA: Company end issue: box bilkul khali hay andr say.")</f>
        <v>[Code: 57ABBE] TA: Company end issue: box bilkul khali hay andr say.</v>
      </c>
      <c r="M63" s="13" t="str">
        <f aca="false">IFERROR(__xludf.dummyfunction("""COMPUTED_VALUE"""),"57ABBE")</f>
        <v>57ABBE</v>
      </c>
      <c r="N63" s="13"/>
      <c r="O63" s="13" t="str">
        <f aca="false">IFERROR(__xludf.dummyfunction("""COMPUTED_VALUE"""),"taufeeq.akhtar@tajir-app.com")</f>
        <v>taufeeq.akhtar@tajir-app.com</v>
      </c>
      <c r="P63" s="13" t="str">
        <f aca="false">IFERROR(__xludf.dummyfunction("""COMPUTED_VALUE"""),"Taufeeq Akhtar ")</f>
        <v>Taufeeq Akhtar </v>
      </c>
      <c r="Q63" s="13" t="str">
        <f aca="false">IF(L63="","",L63)</f>
        <v>[Code: 57ABBE] TA: Company end issue: box bilkul khali hay andr say.</v>
      </c>
    </row>
    <row r="64" customFormat="false" ht="15.75" hidden="false" customHeight="false" outlineLevel="0" collapsed="false">
      <c r="A64" s="13" t="str">
        <f aca="false">IFERROR(__xludf.dummyfunction("""COMPUTED_VALUE"""),"Metro DC Faisalabad")</f>
        <v>Metro DC Faisalabad</v>
      </c>
      <c r="B64" s="13" t="str">
        <f aca="false">IFERROR(__xludf.dummyfunction("""COMPUTED_VALUE"""),"bb395c3c-56d7-4e32-b2ae-c52852d22a73")</f>
        <v>bb395c3c-56d7-4e32-b2ae-c52852d22a73</v>
      </c>
      <c r="C64" s="13" t="str">
        <f aca="false">IFERROR(__xludf.dummyfunction("""COMPUTED_VALUE"""),"Seasly Water 1.5L")</f>
        <v>Seasly Water 1.5L</v>
      </c>
      <c r="D64" s="13" t="str">
        <f aca="false">IFERROR(__xludf.dummyfunction("""COMPUTED_VALUE"""),"Seasly Water")</f>
        <v>Seasly Water</v>
      </c>
      <c r="E64" s="13" t="str">
        <f aca="false">IFERROR(__xludf.dummyfunction("""COMPUTED_VALUE"""),"Beverages")</f>
        <v>Beverages</v>
      </c>
      <c r="F64" s="11" t="n">
        <f aca="false">IFERROR(__xludf.dummyfunction("""COMPUTED_VALUE"""),44988)</f>
        <v>44988</v>
      </c>
      <c r="G64" s="16" t="n">
        <f aca="false">IFERROR(__xludf.dummyfunction("""COMPUTED_VALUE"""),0.738087951388835)</f>
        <v>0.7380879514</v>
      </c>
      <c r="H64" s="13" t="str">
        <f aca="false">IFERROR(__xludf.dummyfunction("""COMPUTED_VALUE"""),"damaged stock")</f>
        <v>damaged stock</v>
      </c>
      <c r="I64" s="13" t="n">
        <f aca="false">IFERROR(__xludf.dummyfunction("""COMPUTED_VALUE"""),7)</f>
        <v>7</v>
      </c>
      <c r="J64" s="13" t="n">
        <f aca="false">IFERROR(__xludf.dummyfunction("""COMPUTED_VALUE"""),150)</f>
        <v>150</v>
      </c>
      <c r="K64" s="13" t="n">
        <f aca="false">IFERROR(__xludf.dummyfunction("""COMPUTED_VALUE"""),1050)</f>
        <v>1050</v>
      </c>
      <c r="L64" s="13" t="str">
        <f aca="false">IFERROR(__xludf.dummyfunction("""COMPUTED_VALUE"""),"[Code: 268BCD] TA:chakka girnay ki wajah say damage hogaye. ")</f>
        <v>[Code: 268BCD] TA:chakka girnay ki wajah say damage hogaye. </v>
      </c>
      <c r="M64" s="13" t="str">
        <f aca="false">IFERROR(__xludf.dummyfunction("""COMPUTED_VALUE"""),"268BCD")</f>
        <v>268BCD</v>
      </c>
      <c r="N64" s="13"/>
      <c r="O64" s="13" t="str">
        <f aca="false">IFERROR(__xludf.dummyfunction("""COMPUTED_VALUE"""),"taufeeq.akhtar@tajir-app.com")</f>
        <v>taufeeq.akhtar@tajir-app.com</v>
      </c>
      <c r="P64" s="13" t="str">
        <f aca="false">IFERROR(__xludf.dummyfunction("""COMPUTED_VALUE"""),"Taufeeq Akhtar ")</f>
        <v>Taufeeq Akhtar </v>
      </c>
      <c r="Q64" s="13" t="str">
        <f aca="false">IF(L64="","",L64)</f>
        <v>[Code: 268BCD] TA:chakka girnay ki wajah say damage hogaye. </v>
      </c>
    </row>
    <row r="65" customFormat="false" ht="15.75" hidden="false" customHeight="false" outlineLevel="0" collapsed="false">
      <c r="A65" s="13" t="str">
        <f aca="false">IFERROR(__xludf.dummyfunction("""COMPUTED_VALUE"""),"Metro DC Faisalabad")</f>
        <v>Metro DC Faisalabad</v>
      </c>
      <c r="B65" s="13" t="str">
        <f aca="false">IFERROR(__xludf.dummyfunction("""COMPUTED_VALUE"""),"bb395c3c-56d7-4e32-b2ae-c52852d22a73")</f>
        <v>bb395c3c-56d7-4e32-b2ae-c52852d22a73</v>
      </c>
      <c r="C65" s="13" t="str">
        <f aca="false">IFERROR(__xludf.dummyfunction("""COMPUTED_VALUE"""),"Seasly Water 1.5L")</f>
        <v>Seasly Water 1.5L</v>
      </c>
      <c r="D65" s="13" t="str">
        <f aca="false">IFERROR(__xludf.dummyfunction("""COMPUTED_VALUE"""),"Seasly Water")</f>
        <v>Seasly Water</v>
      </c>
      <c r="E65" s="13" t="str">
        <f aca="false">IFERROR(__xludf.dummyfunction("""COMPUTED_VALUE"""),"Beverages")</f>
        <v>Beverages</v>
      </c>
      <c r="F65" s="11" t="n">
        <f aca="false">IFERROR(__xludf.dummyfunction("""COMPUTED_VALUE"""),44989)</f>
        <v>44989</v>
      </c>
      <c r="G65" s="16" t="n">
        <f aca="false">IFERROR(__xludf.dummyfunction("""COMPUTED_VALUE"""),0.347041238426697)</f>
        <v>0.3470412384</v>
      </c>
      <c r="H65" s="13" t="str">
        <f aca="false">IFERROR(__xludf.dummyfunction("""COMPUTED_VALUE"""),"damaged stock")</f>
        <v>damaged stock</v>
      </c>
      <c r="I65" s="13" t="n">
        <f aca="false">IFERROR(__xludf.dummyfunction("""COMPUTED_VALUE"""),1)</f>
        <v>1</v>
      </c>
      <c r="J65" s="13" t="n">
        <f aca="false">IFERROR(__xludf.dummyfunction("""COMPUTED_VALUE"""),150)</f>
        <v>150</v>
      </c>
      <c r="K65" s="13" t="n">
        <f aca="false">IFERROR(__xludf.dummyfunction("""COMPUTED_VALUE"""),150)</f>
        <v>150</v>
      </c>
      <c r="L65" s="13" t="str">
        <f aca="false">IFERROR(__xludf.dummyfunction("""COMPUTED_VALUE"""),"[Code: 245568] 1 selling unit damgechakka girnay ki wajah say damage hogaye.")</f>
        <v>[Code: 245568] 1 selling unit damgechakka girnay ki wajah say damage hogaye.</v>
      </c>
      <c r="M65" s="13" t="str">
        <f aca="false">IFERROR(__xludf.dummyfunction("""COMPUTED_VALUE"""),"245568")</f>
        <v>245568</v>
      </c>
      <c r="N65" s="13"/>
      <c r="O65" s="13" t="str">
        <f aca="false">IFERROR(__xludf.dummyfunction("""COMPUTED_VALUE"""),"ali.raza@tajir-app.com")</f>
        <v>ali.raza@tajir-app.com</v>
      </c>
      <c r="P65" s="13" t="str">
        <f aca="false">IFERROR(__xludf.dummyfunction("""COMPUTED_VALUE"""),"Ali Raza ")</f>
        <v>Ali Raza </v>
      </c>
      <c r="Q65" s="13" t="str">
        <f aca="false">IF(L65="","",L65)</f>
        <v>[Code: 245568] 1 selling unit damgechakka girnay ki wajah say damage hogaye.</v>
      </c>
    </row>
    <row r="66" customFormat="false" ht="15.75" hidden="false" customHeight="false" outlineLevel="0" collapsed="false">
      <c r="A66" s="13" t="str">
        <f aca="false">IFERROR(__xludf.dummyfunction("""COMPUTED_VALUE"""),"Metro DC Faisalabad")</f>
        <v>Metro DC Faisalabad</v>
      </c>
      <c r="B66" s="13" t="str">
        <f aca="false">IFERROR(__xludf.dummyfunction("""COMPUTED_VALUE"""),"041381e9-f87a-4632-a2aa-f4c5284c079a")</f>
        <v>041381e9-f87a-4632-a2aa-f4c5284c079a</v>
      </c>
      <c r="C66" s="13" t="str">
        <f aca="false">IFERROR(__xludf.dummyfunction("""COMPUTED_VALUE"""),"Bonus tristar yellow surf 1kg Rs195")</f>
        <v>Bonus tristar yellow surf 1kg Rs195</v>
      </c>
      <c r="D66" s="13" t="str">
        <f aca="false">IFERROR(__xludf.dummyfunction("""COMPUTED_VALUE"""),"Bonus Surf")</f>
        <v>Bonus Surf</v>
      </c>
      <c r="E66" s="13" t="str">
        <f aca="false">IFERROR(__xludf.dummyfunction("""COMPUTED_VALUE"""),"Surf, Bleach")</f>
        <v>Surf, Bleach</v>
      </c>
      <c r="F66" s="11" t="n">
        <f aca="false">IFERROR(__xludf.dummyfunction("""COMPUTED_VALUE"""),44990)</f>
        <v>44990</v>
      </c>
      <c r="G66" s="16" t="n">
        <f aca="false">IFERROR(__xludf.dummyfunction("""COMPUTED_VALUE"""),0.143829837963917)</f>
        <v>0.143829838</v>
      </c>
      <c r="H66" s="13" t="str">
        <f aca="false">IFERROR(__xludf.dummyfunction("""COMPUTED_VALUE"""),"damaged stock")</f>
        <v>damaged stock</v>
      </c>
      <c r="I66" s="13" t="n">
        <f aca="false">IFERROR(__xludf.dummyfunction("""COMPUTED_VALUE"""),1)</f>
        <v>1</v>
      </c>
      <c r="J66" s="13" t="n">
        <f aca="false">IFERROR(__xludf.dummyfunction("""COMPUTED_VALUE"""),177.84)</f>
        <v>177.84</v>
      </c>
      <c r="K66" s="13" t="n">
        <f aca="false">IFERROR(__xludf.dummyfunction("""COMPUTED_VALUE"""),177.84)</f>
        <v>177.84</v>
      </c>
      <c r="L66" s="13" t="str">
        <f aca="false">IFERROR(__xludf.dummyfunction("""COMPUTED_VALUE"""),"[Code: 2249CC] TA:Company end issue.(bag say damage nikla hay )")</f>
        <v>[Code: 2249CC] TA:Company end issue.(bag say damage nikla hay )</v>
      </c>
      <c r="M66" s="13" t="str">
        <f aca="false">IFERROR(__xludf.dummyfunction("""COMPUTED_VALUE"""),"2249CC")</f>
        <v>2249CC</v>
      </c>
      <c r="N66" s="13"/>
      <c r="O66" s="13" t="str">
        <f aca="false">IFERROR(__xludf.dummyfunction("""COMPUTED_VALUE"""),"taufeeq.akhtar@tajir-app.com")</f>
        <v>taufeeq.akhtar@tajir-app.com</v>
      </c>
      <c r="P66" s="13" t="str">
        <f aca="false">IFERROR(__xludf.dummyfunction("""COMPUTED_VALUE"""),"Taufeeq Akhtar ")</f>
        <v>Taufeeq Akhtar </v>
      </c>
      <c r="Q66" s="13" t="str">
        <f aca="false">IF(L66="","",L66)</f>
        <v>[Code: 2249CC] TA:Company end issue.(bag say damage nikla hay )</v>
      </c>
    </row>
    <row r="67" customFormat="false" ht="15.75" hidden="false" customHeight="false" outlineLevel="0" collapsed="false">
      <c r="A67" s="13" t="str">
        <f aca="false">IFERROR(__xludf.dummyfunction("""COMPUTED_VALUE"""),"Metro DC Faisalabad")</f>
        <v>Metro DC Faisalabad</v>
      </c>
      <c r="B67" s="13" t="str">
        <f aca="false">IFERROR(__xludf.dummyfunction("""COMPUTED_VALUE"""),"677536ca-c438-4cd5-bda6-0f9fe40a7515")</f>
        <v>677536ca-c438-4cd5-bda6-0f9fe40a7515</v>
      </c>
      <c r="C67" s="13" t="str">
        <f aca="false">IFERROR(__xludf.dummyfunction("""COMPUTED_VALUE"""),"Closed 3")</f>
        <v>Closed 3</v>
      </c>
      <c r="D67" s="13" t="str">
        <f aca="false">IFERROR(__xludf.dummyfunction("""COMPUTED_VALUE"""),"Ariel Surf")</f>
        <v>Ariel Surf</v>
      </c>
      <c r="E67" s="13" t="str">
        <f aca="false">IFERROR(__xludf.dummyfunction("""COMPUTED_VALUE"""),"Surf, Bleach")</f>
        <v>Surf, Bleach</v>
      </c>
      <c r="F67" s="11" t="n">
        <f aca="false">IFERROR(__xludf.dummyfunction("""COMPUTED_VALUE"""),44990)</f>
        <v>44990</v>
      </c>
      <c r="G67" s="16" t="n">
        <f aca="false">IFERROR(__xludf.dummyfunction("""COMPUTED_VALUE"""),0.142303657406815)</f>
        <v>0.1423036574</v>
      </c>
      <c r="H67" s="13" t="str">
        <f aca="false">IFERROR(__xludf.dummyfunction("""COMPUTED_VALUE"""),"damaged stock")</f>
        <v>damaged stock</v>
      </c>
      <c r="I67" s="13" t="n">
        <f aca="false">IFERROR(__xludf.dummyfunction("""COMPUTED_VALUE"""),1)</f>
        <v>1</v>
      </c>
      <c r="J67" s="13" t="n">
        <f aca="false">IFERROR(__xludf.dummyfunction("""COMPUTED_VALUE"""),270)</f>
        <v>270</v>
      </c>
      <c r="K67" s="13" t="n">
        <f aca="false">IFERROR(__xludf.dummyfunction("""COMPUTED_VALUE"""),270)</f>
        <v>270</v>
      </c>
      <c r="L67" s="13" t="str">
        <f aca="false">IFERROR(__xludf.dummyfunction("""COMPUTED_VALUE"""),"[Code: 24666D] TA: Bag say damage nikla company end issue.")</f>
        <v>[Code: 24666D] TA: Bag say damage nikla company end issue.</v>
      </c>
      <c r="M67" s="13" t="str">
        <f aca="false">IFERROR(__xludf.dummyfunction("""COMPUTED_VALUE"""),"24666D")</f>
        <v>24666D</v>
      </c>
      <c r="N67" s="13"/>
      <c r="O67" s="13" t="str">
        <f aca="false">IFERROR(__xludf.dummyfunction("""COMPUTED_VALUE"""),"taufeeq.akhtar@tajir-app.com")</f>
        <v>taufeeq.akhtar@tajir-app.com</v>
      </c>
      <c r="P67" s="13" t="str">
        <f aca="false">IFERROR(__xludf.dummyfunction("""COMPUTED_VALUE"""),"Taufeeq Akhtar ")</f>
        <v>Taufeeq Akhtar </v>
      </c>
      <c r="Q67" s="13" t="str">
        <f aca="false">IF(L67="","",L67)</f>
        <v>[Code: 24666D] TA: Bag say damage nikla company end issue.</v>
      </c>
    </row>
    <row r="68" customFormat="false" ht="15.75" hidden="false" customHeight="false" outlineLevel="0" collapsed="false">
      <c r="A68" s="13" t="str">
        <f aca="false">IFERROR(__xludf.dummyfunction("""COMPUTED_VALUE"""),"Metro DC Faisalabad")</f>
        <v>Metro DC Faisalabad</v>
      </c>
      <c r="B68" s="13" t="str">
        <f aca="false">IFERROR(__xludf.dummyfunction("""COMPUTED_VALUE"""),"75edc3b0-f1d5-4e06-b8f6-848eeb320e52")</f>
        <v>75edc3b0-f1d5-4e06-b8f6-848eeb320e52</v>
      </c>
      <c r="C68" s="13" t="str">
        <f aca="false">IFERROR(__xludf.dummyfunction("""COMPUTED_VALUE"""),"Surf Excel x6 bundle 115g Rs50")</f>
        <v>Surf Excel x6 bundle 115g Rs50</v>
      </c>
      <c r="D68" s="13" t="str">
        <f aca="false">IFERROR(__xludf.dummyfunction("""COMPUTED_VALUE"""),"Surf Excel")</f>
        <v>Surf Excel</v>
      </c>
      <c r="E68" s="13" t="str">
        <f aca="false">IFERROR(__xludf.dummyfunction("""COMPUTED_VALUE"""),"Surf, Bleach")</f>
        <v>Surf, Bleach</v>
      </c>
      <c r="F68" s="11" t="n">
        <f aca="false">IFERROR(__xludf.dummyfunction("""COMPUTED_VALUE"""),44990)</f>
        <v>44990</v>
      </c>
      <c r="G68" s="16" t="n">
        <f aca="false">IFERROR(__xludf.dummyfunction("""COMPUTED_VALUE"""),0.141077222222238)</f>
        <v>0.1410772222</v>
      </c>
      <c r="H68" s="13" t="str">
        <f aca="false">IFERROR(__xludf.dummyfunction("""COMPUTED_VALUE"""),"damaged stock")</f>
        <v>damaged stock</v>
      </c>
      <c r="I68" s="13" t="n">
        <f aca="false">IFERROR(__xludf.dummyfunction("""COMPUTED_VALUE"""),1)</f>
        <v>1</v>
      </c>
      <c r="J68" s="13" t="n">
        <f aca="false">IFERROR(__xludf.dummyfunction("""COMPUTED_VALUE"""),272)</f>
        <v>272</v>
      </c>
      <c r="K68" s="13" t="n">
        <f aca="false">IFERROR(__xludf.dummyfunction("""COMPUTED_VALUE"""),272)</f>
        <v>272</v>
      </c>
      <c r="L68" s="13" t="str">
        <f aca="false">IFERROR(__xludf.dummyfunction("""COMPUTED_VALUE"""),"[Code: BBMMNN] TA: Bag say damage nikla tha display krtay waqt.")</f>
        <v>[Code: BBMMNN] TA: Bag say damage nikla tha display krtay waqt.</v>
      </c>
      <c r="M68" s="13" t="str">
        <f aca="false">IFERROR(__xludf.dummyfunction("""COMPUTED_VALUE"""),"BBMMNN")</f>
        <v>BBMMNN</v>
      </c>
      <c r="N68" s="13"/>
      <c r="O68" s="13" t="str">
        <f aca="false">IFERROR(__xludf.dummyfunction("""COMPUTED_VALUE"""),"taufeeq.akhtar@tajir-app.com")</f>
        <v>taufeeq.akhtar@tajir-app.com</v>
      </c>
      <c r="P68" s="13" t="str">
        <f aca="false">IFERROR(__xludf.dummyfunction("""COMPUTED_VALUE"""),"Taufeeq Akhtar ")</f>
        <v>Taufeeq Akhtar </v>
      </c>
      <c r="Q68" s="13" t="str">
        <f aca="false">IF(L68="","",L68)</f>
        <v>[Code: BBMMNN] TA: Bag say damage nikla tha display krtay waqt.</v>
      </c>
    </row>
    <row r="69" customFormat="false" ht="15.75" hidden="false" customHeight="false" outlineLevel="0" collapsed="false">
      <c r="A69" s="13" t="str">
        <f aca="false">IFERROR(__xludf.dummyfunction("""COMPUTED_VALUE"""),"Metro DC Faisalabad")</f>
        <v>Metro DC Faisalabad</v>
      </c>
      <c r="B69" s="13" t="str">
        <f aca="false">IFERROR(__xludf.dummyfunction("""COMPUTED_VALUE"""),"d864c0cd-914b-4a54-96d5-8e894ba5f3b6")</f>
        <v>d864c0cd-914b-4a54-96d5-8e894ba5f3b6</v>
      </c>
      <c r="C69" s="13" t="str">
        <f aca="false">IFERROR(__xludf.dummyfunction("""COMPUTED_VALUE"""),"Surf Excel x6 bundle 20g Rs 10")</f>
        <v>Surf Excel x6 bundle 20g Rs 10</v>
      </c>
      <c r="D69" s="13" t="str">
        <f aca="false">IFERROR(__xludf.dummyfunction("""COMPUTED_VALUE"""),"Surf Excel")</f>
        <v>Surf Excel</v>
      </c>
      <c r="E69" s="13" t="str">
        <f aca="false">IFERROR(__xludf.dummyfunction("""COMPUTED_VALUE"""),"Surf, Bleach")</f>
        <v>Surf, Bleach</v>
      </c>
      <c r="F69" s="11" t="n">
        <f aca="false">IFERROR(__xludf.dummyfunction("""COMPUTED_VALUE"""),44990)</f>
        <v>44990</v>
      </c>
      <c r="G69" s="16" t="n">
        <f aca="false">IFERROR(__xludf.dummyfunction("""COMPUTED_VALUE"""),0.139776388888765)</f>
        <v>0.1397763889</v>
      </c>
      <c r="H69" s="13" t="str">
        <f aca="false">IFERROR(__xludf.dummyfunction("""COMPUTED_VALUE"""),"damaged stock")</f>
        <v>damaged stock</v>
      </c>
      <c r="I69" s="13" t="n">
        <f aca="false">IFERROR(__xludf.dummyfunction("""COMPUTED_VALUE"""),1)</f>
        <v>1</v>
      </c>
      <c r="J69" s="13" t="n">
        <f aca="false">IFERROR(__xludf.dummyfunction("""COMPUTED_VALUE"""),54.75)</f>
        <v>54.75</v>
      </c>
      <c r="K69" s="13" t="n">
        <f aca="false">IFERROR(__xludf.dummyfunction("""COMPUTED_VALUE"""),54.75)</f>
        <v>54.75</v>
      </c>
      <c r="L69" s="13" t="str">
        <f aca="false">IFERROR(__xludf.dummyfunction("""COMPUTED_VALUE"""),"[Code: 34999F] TA: Bag say damage nikla tha display krtay waqt")</f>
        <v>[Code: 34999F] TA: Bag say damage nikla tha display krtay waqt</v>
      </c>
      <c r="M69" s="13" t="str">
        <f aca="false">IFERROR(__xludf.dummyfunction("""COMPUTED_VALUE"""),"34999F")</f>
        <v>34999F</v>
      </c>
      <c r="N69" s="13"/>
      <c r="O69" s="13" t="str">
        <f aca="false">IFERROR(__xludf.dummyfunction("""COMPUTED_VALUE"""),"taufeeq.akhtar@tajir-app.com")</f>
        <v>taufeeq.akhtar@tajir-app.com</v>
      </c>
      <c r="P69" s="13" t="str">
        <f aca="false">IFERROR(__xludf.dummyfunction("""COMPUTED_VALUE"""),"Taufeeq Akhtar ")</f>
        <v>Taufeeq Akhtar </v>
      </c>
      <c r="Q69" s="13" t="str">
        <f aca="false">IF(L69="","",L69)</f>
        <v>[Code: 34999F] TA: Bag say damage nikla tha display krtay waqt</v>
      </c>
    </row>
    <row r="70" customFormat="false" ht="15.75" hidden="false" customHeight="false" outlineLevel="0" collapsed="false">
      <c r="A70" s="13" t="str">
        <f aca="false">IFERROR(__xludf.dummyfunction("""COMPUTED_VALUE"""),"Metro DC Faisalabad")</f>
        <v>Metro DC Faisalabad</v>
      </c>
      <c r="B70" s="13" t="str">
        <f aca="false">IFERROR(__xludf.dummyfunction("""COMPUTED_VALUE"""),"978a88b5-e0d1-4d9d-b7a1-90921ab8d4f0")</f>
        <v>978a88b5-e0d1-4d9d-b7a1-90921ab8d4f0</v>
      </c>
      <c r="C70" s="13" t="str">
        <f aca="false">IFERROR(__xludf.dummyfunction("""COMPUTED_VALUE"""),"Sherdil Daal Mash Wash 5kg")</f>
        <v>Sherdil Daal Mash Wash 5kg</v>
      </c>
      <c r="D70" s="13" t="str">
        <f aca="false">IFERROR(__xludf.dummyfunction("""COMPUTED_VALUE"""),"Sherdil")</f>
        <v>Sherdil</v>
      </c>
      <c r="E70" s="13" t="str">
        <f aca="false">IFERROR(__xludf.dummyfunction("""COMPUTED_VALUE"""),"Pulses")</f>
        <v>Pulses</v>
      </c>
      <c r="F70" s="11" t="n">
        <f aca="false">IFERROR(__xludf.dummyfunction("""COMPUTED_VALUE"""),44992)</f>
        <v>44992</v>
      </c>
      <c r="G70" s="16" t="n">
        <f aca="false">IFERROR(__xludf.dummyfunction("""COMPUTED_VALUE"""),0.88439553240793)</f>
        <v>0.8843955324</v>
      </c>
      <c r="H70" s="13" t="str">
        <f aca="false">IFERROR(__xludf.dummyfunction("""COMPUTED_VALUE"""),"damaged stock")</f>
        <v>damaged stock</v>
      </c>
      <c r="I70" s="13" t="n">
        <f aca="false">IFERROR(__xludf.dummyfunction("""COMPUTED_VALUE"""),1)</f>
        <v>1</v>
      </c>
      <c r="J70" s="13" t="n">
        <f aca="false">IFERROR(__xludf.dummyfunction("""COMPUTED_VALUE"""),2379)</f>
        <v>2379</v>
      </c>
      <c r="K70" s="13" t="n">
        <f aca="false">IFERROR(__xludf.dummyfunction("""COMPUTED_VALUE"""),2379)</f>
        <v>2379</v>
      </c>
      <c r="L70" s="13" t="str">
        <f aca="false">IFERROR(__xludf.dummyfunction("""COMPUTED_VALUE"""),"[Code: 55999B] Quality Issue")</f>
        <v>[Code: 55999B] Quality Issue</v>
      </c>
      <c r="M70" s="13" t="str">
        <f aca="false">IFERROR(__xludf.dummyfunction("""COMPUTED_VALUE"""),"55999B")</f>
        <v>55999B</v>
      </c>
      <c r="N70" s="13"/>
      <c r="O70" s="13" t="str">
        <f aca="false">IFERROR(__xludf.dummyfunction("""COMPUTED_VALUE"""),"ali.raza@tajir-app.com")</f>
        <v>ali.raza@tajir-app.com</v>
      </c>
      <c r="P70" s="13" t="str">
        <f aca="false">IFERROR(__xludf.dummyfunction("""COMPUTED_VALUE"""),"Ali Raza ")</f>
        <v>Ali Raza </v>
      </c>
      <c r="Q70" s="13" t="str">
        <f aca="false">IF(L70="","",L70)</f>
        <v>[Code: 55999B] Quality Issue</v>
      </c>
    </row>
    <row r="71" customFormat="false" ht="15.75" hidden="false" customHeight="false" outlineLevel="0" collapsed="false">
      <c r="A71" s="13" t="str">
        <f aca="false">IFERROR(__xludf.dummyfunction("""COMPUTED_VALUE"""),"Metro DC Faisalabad")</f>
        <v>Metro DC Faisalabad</v>
      </c>
      <c r="B71" s="13" t="str">
        <f aca="false">IFERROR(__xludf.dummyfunction("""COMPUTED_VALUE"""),"d673742c-5290-4691-88c8-ed8b00341db9")</f>
        <v>d673742c-5290-4691-88c8-ed8b00341db9</v>
      </c>
      <c r="C71" s="13" t="str">
        <f aca="false">IFERROR(__xludf.dummyfunction("""COMPUTED_VALUE"""),"Shangrila Tomato Ketchup x6 Bundle 80g Rs40")</f>
        <v>Shangrila Tomato Ketchup x6 Bundle 80g Rs40</v>
      </c>
      <c r="D71" s="13" t="str">
        <f aca="false">IFERROR(__xludf.dummyfunction("""COMPUTED_VALUE"""),"Shangrila")</f>
        <v>Shangrila</v>
      </c>
      <c r="E71" s="13" t="str">
        <f aca="false">IFERROR(__xludf.dummyfunction("""COMPUTED_VALUE"""),"Sauces")</f>
        <v>Sauces</v>
      </c>
      <c r="F71" s="11" t="n">
        <f aca="false">IFERROR(__xludf.dummyfunction("""COMPUTED_VALUE"""),44992)</f>
        <v>44992</v>
      </c>
      <c r="G71" s="16" t="n">
        <f aca="false">IFERROR(__xludf.dummyfunction("""COMPUTED_VALUE"""),0.0669292708336783)</f>
        <v>0.06692927083</v>
      </c>
      <c r="H71" s="13" t="str">
        <f aca="false">IFERROR(__xludf.dummyfunction("""COMPUTED_VALUE"""),"damaged stock")</f>
        <v>damaged stock</v>
      </c>
      <c r="I71" s="13" t="n">
        <f aca="false">IFERROR(__xludf.dummyfunction("""COMPUTED_VALUE"""),1)</f>
        <v>1</v>
      </c>
      <c r="J71" s="13" t="n">
        <f aca="false">IFERROR(__xludf.dummyfunction("""COMPUTED_VALUE"""),188.49)</f>
        <v>188.49</v>
      </c>
      <c r="K71" s="13" t="n">
        <f aca="false">IFERROR(__xludf.dummyfunction("""COMPUTED_VALUE"""),188.49)</f>
        <v>188.49</v>
      </c>
      <c r="L71" s="13" t="str">
        <f aca="false">IFERROR(__xludf.dummyfunction("""COMPUTED_VALUE"""),"[Code: 57BDEF] TA:display krtay waqt box may say damage nikla.")</f>
        <v>[Code: 57BDEF] TA:display krtay waqt box may say damage nikla.</v>
      </c>
      <c r="M71" s="13" t="str">
        <f aca="false">IFERROR(__xludf.dummyfunction("""COMPUTED_VALUE"""),"57BDEF")</f>
        <v>57BDEF</v>
      </c>
      <c r="N71" s="13"/>
      <c r="O71" s="13" t="str">
        <f aca="false">IFERROR(__xludf.dummyfunction("""COMPUTED_VALUE"""),"taufeeq.akhtar@tajir-app.com")</f>
        <v>taufeeq.akhtar@tajir-app.com</v>
      </c>
      <c r="P71" s="13" t="str">
        <f aca="false">IFERROR(__xludf.dummyfunction("""COMPUTED_VALUE"""),"Taufeeq Akhtar ")</f>
        <v>Taufeeq Akhtar </v>
      </c>
      <c r="Q71" s="13" t="str">
        <f aca="false">IF(L71="","",L71)</f>
        <v>[Code: 57BDEF] TA:display krtay waqt box may say damage nikla.</v>
      </c>
    </row>
    <row r="72" customFormat="false" ht="15.75" hidden="false" customHeight="false" outlineLevel="0" collapsed="false">
      <c r="A72" s="13" t="str">
        <f aca="false">IFERROR(__xludf.dummyfunction("""COMPUTED_VALUE"""),"Metro DC Faisalabad")</f>
        <v>Metro DC Faisalabad</v>
      </c>
      <c r="B72" s="13" t="str">
        <f aca="false">IFERROR(__xludf.dummyfunction("""COMPUTED_VALUE"""),"cd2007fb-3e0b-4260-9f93-e56ace372150")</f>
        <v>cd2007fb-3e0b-4260-9f93-e56ace372150</v>
      </c>
      <c r="C72" s="13" t="str">
        <f aca="false">IFERROR(__xludf.dummyfunction("""COMPUTED_VALUE"""),"Brite Surf 500g Rs260")</f>
        <v>Brite Surf 500g Rs260</v>
      </c>
      <c r="D72" s="13" t="str">
        <f aca="false">IFERROR(__xludf.dummyfunction("""COMPUTED_VALUE"""),"Brite Surf")</f>
        <v>Brite Surf</v>
      </c>
      <c r="E72" s="13" t="str">
        <f aca="false">IFERROR(__xludf.dummyfunction("""COMPUTED_VALUE"""),"Surf, Bleach")</f>
        <v>Surf, Bleach</v>
      </c>
      <c r="F72" s="11" t="n">
        <f aca="false">IFERROR(__xludf.dummyfunction("""COMPUTED_VALUE"""),44992)</f>
        <v>44992</v>
      </c>
      <c r="G72" s="16" t="n">
        <f aca="false">IFERROR(__xludf.dummyfunction("""COMPUTED_VALUE"""),0.0571433101839671)</f>
        <v>0.05714331018</v>
      </c>
      <c r="H72" s="13" t="str">
        <f aca="false">IFERROR(__xludf.dummyfunction("""COMPUTED_VALUE"""),"damaged stock")</f>
        <v>damaged stock</v>
      </c>
      <c r="I72" s="13" t="n">
        <f aca="false">IFERROR(__xludf.dummyfunction("""COMPUTED_VALUE"""),1)</f>
        <v>1</v>
      </c>
      <c r="J72" s="13" t="n">
        <f aca="false">IFERROR(__xludf.dummyfunction("""COMPUTED_VALUE"""),238.42)</f>
        <v>238.42</v>
      </c>
      <c r="K72" s="13" t="n">
        <f aca="false">IFERROR(__xludf.dummyfunction("""COMPUTED_VALUE"""),238.42)</f>
        <v>238.42</v>
      </c>
      <c r="L72" s="13" t="str">
        <f aca="false">IFERROR(__xludf.dummyfunction("""COMPUTED_VALUE"""),"[Code: 223378] TA: box may say damage nikla display lagatay waqt")</f>
        <v>[Code: 223378] TA: box may say damage nikla display lagatay waqt</v>
      </c>
      <c r="M72" s="13" t="str">
        <f aca="false">IFERROR(__xludf.dummyfunction("""COMPUTED_VALUE"""),"223378")</f>
        <v>223378</v>
      </c>
      <c r="N72" s="13"/>
      <c r="O72" s="13" t="str">
        <f aca="false">IFERROR(__xludf.dummyfunction("""COMPUTED_VALUE"""),"taufeeq.akhtar@tajir-app.com")</f>
        <v>taufeeq.akhtar@tajir-app.com</v>
      </c>
      <c r="P72" s="13" t="str">
        <f aca="false">IFERROR(__xludf.dummyfunction("""COMPUTED_VALUE"""),"Taufeeq Akhtar ")</f>
        <v>Taufeeq Akhtar </v>
      </c>
      <c r="Q72" s="13" t="str">
        <f aca="false">IF(L72="","",L72)</f>
        <v>[Code: 223378] TA: box may say damage nikla display lagatay waqt</v>
      </c>
    </row>
    <row r="73" customFormat="false" ht="15.75" hidden="false" customHeight="false" outlineLevel="0" collapsed="false">
      <c r="A73" s="13" t="str">
        <f aca="false">IFERROR(__xludf.dummyfunction("""COMPUTED_VALUE"""),"Metro DC Faisalabad")</f>
        <v>Metro DC Faisalabad</v>
      </c>
      <c r="B73" s="13" t="str">
        <f aca="false">IFERROR(__xludf.dummyfunction("""COMPUTED_VALUE"""),"de4cce85-245a-4396-906f-6d53fd57b7e2")</f>
        <v>de4cce85-245a-4396-906f-6d53fd57b7e2</v>
      </c>
      <c r="C73" s="13" t="str">
        <f aca="false">IFERROR(__xludf.dummyfunction("""COMPUTED_VALUE"""),"Supreme Tea Pouch 900g Rs1550")</f>
        <v>Supreme Tea Pouch 900g Rs1550</v>
      </c>
      <c r="D73" s="13" t="str">
        <f aca="false">IFERROR(__xludf.dummyfunction("""COMPUTED_VALUE"""),"Brookebond Supreme")</f>
        <v>Brookebond Supreme</v>
      </c>
      <c r="E73" s="13" t="str">
        <f aca="false">IFERROR(__xludf.dummyfunction("""COMPUTED_VALUE"""),"Tea, Coffee")</f>
        <v>Tea, Coffee</v>
      </c>
      <c r="F73" s="11" t="n">
        <f aca="false">IFERROR(__xludf.dummyfunction("""COMPUTED_VALUE"""),44994)</f>
        <v>44994</v>
      </c>
      <c r="G73" s="16" t="n">
        <f aca="false">IFERROR(__xludf.dummyfunction("""COMPUTED_VALUE"""),0.0819022106497758)</f>
        <v>0.08190221065</v>
      </c>
      <c r="H73" s="13" t="str">
        <f aca="false">IFERROR(__xludf.dummyfunction("""COMPUTED_VALUE"""),"missing stock")</f>
        <v>missing stock</v>
      </c>
      <c r="I73" s="13" t="n">
        <f aca="false">IFERROR(__xludf.dummyfunction("""COMPUTED_VALUE"""),2)</f>
        <v>2</v>
      </c>
      <c r="J73" s="13" t="n">
        <f aca="false">IFERROR(__xludf.dummyfunction("""COMPUTED_VALUE"""),1400)</f>
        <v>1400</v>
      </c>
      <c r="K73" s="13" t="n">
        <f aca="false">IFERROR(__xludf.dummyfunction("""COMPUTED_VALUE"""),2800)</f>
        <v>2800</v>
      </c>
      <c r="L73" s="13" t="str">
        <f aca="false">IFERROR(__xludf.dummyfunction("""COMPUTED_VALUE"""),"TA; The Sku not Available on the floor.")</f>
        <v>TA; The Sku not Available on the floor.</v>
      </c>
      <c r="M73" s="13"/>
      <c r="N73" s="13"/>
      <c r="O73" s="13" t="str">
        <f aca="false">IFERROR(__xludf.dummyfunction("""COMPUTED_VALUE"""),"taufeeq.akhtar@tajir-app.com")</f>
        <v>taufeeq.akhtar@tajir-app.com</v>
      </c>
      <c r="P73" s="13" t="str">
        <f aca="false">IFERROR(__xludf.dummyfunction("""COMPUTED_VALUE"""),"Taufeeq Akhtar ")</f>
        <v>Taufeeq Akhtar </v>
      </c>
      <c r="Q73" s="13" t="str">
        <f aca="false">IF(L73="","",L73)</f>
        <v>TA; The Sku not Available on the floor.</v>
      </c>
    </row>
    <row r="74" customFormat="false" ht="15.75" hidden="false" customHeight="false" outlineLevel="0" collapsed="false">
      <c r="A74" s="13" t="str">
        <f aca="false">IFERROR(__xludf.dummyfunction("""COMPUTED_VALUE"""),"Metro DC Faisalabad")</f>
        <v>Metro DC Faisalabad</v>
      </c>
      <c r="B74" s="13" t="str">
        <f aca="false">IFERROR(__xludf.dummyfunction("""COMPUTED_VALUE"""),"357b5b8b-a5b4-4c2a-8610-be5bdb3ef70d")</f>
        <v>357b5b8b-a5b4-4c2a-8610-be5bdb3ef70d</v>
      </c>
      <c r="C74" s="13" t="str">
        <f aca="false">IFERROR(__xludf.dummyfunction("""COMPUTED_VALUE"""),"Tapal Danedar Tea 430g Rs780")</f>
        <v>Tapal Danedar Tea 430g Rs780</v>
      </c>
      <c r="D74" s="13" t="str">
        <f aca="false">IFERROR(__xludf.dummyfunction("""COMPUTED_VALUE"""),"Tapal")</f>
        <v>Tapal</v>
      </c>
      <c r="E74" s="13" t="str">
        <f aca="false">IFERROR(__xludf.dummyfunction("""COMPUTED_VALUE"""),"Tea, Coffee")</f>
        <v>Tea, Coffee</v>
      </c>
      <c r="F74" s="11" t="n">
        <f aca="false">IFERROR(__xludf.dummyfunction("""COMPUTED_VALUE"""),44995)</f>
        <v>44995</v>
      </c>
      <c r="G74" s="16" t="n">
        <f aca="false">IFERROR(__xludf.dummyfunction("""COMPUTED_VALUE"""),0.94771657407388)</f>
        <v>0.9477165741</v>
      </c>
      <c r="H74" s="13" t="str">
        <f aca="false">IFERROR(__xludf.dummyfunction("""COMPUTED_VALUE"""),"missing stock")</f>
        <v>missing stock</v>
      </c>
      <c r="I74" s="13" t="n">
        <f aca="false">IFERROR(__xludf.dummyfunction("""COMPUTED_VALUE"""),1)</f>
        <v>1</v>
      </c>
      <c r="J74" s="13" t="n">
        <f aca="false">IFERROR(__xludf.dummyfunction("""COMPUTED_VALUE"""),729.83)</f>
        <v>729.83</v>
      </c>
      <c r="K74" s="13" t="n">
        <f aca="false">IFERROR(__xludf.dummyfunction("""COMPUTED_VALUE"""),729.83)</f>
        <v>729.83</v>
      </c>
      <c r="L74" s="13" t="str">
        <f aca="false">IFERROR(__xludf.dummyfunction("""COMPUTED_VALUE"""),"TA:Not avvailable on floor.")</f>
        <v>TA:Not avvailable on floor.</v>
      </c>
      <c r="M74" s="13"/>
      <c r="N74" s="13"/>
      <c r="O74" s="13" t="str">
        <f aca="false">IFERROR(__xludf.dummyfunction("""COMPUTED_VALUE"""),"taufeeq.akhtar@tajir-app.com")</f>
        <v>taufeeq.akhtar@tajir-app.com</v>
      </c>
      <c r="P74" s="13" t="str">
        <f aca="false">IFERROR(__xludf.dummyfunction("""COMPUTED_VALUE"""),"Taufeeq Akhtar ")</f>
        <v>Taufeeq Akhtar </v>
      </c>
      <c r="Q74" s="13" t="str">
        <f aca="false">IF(L74="","",L74)</f>
        <v>TA:Not avvailable on floor.</v>
      </c>
    </row>
    <row r="75" customFormat="false" ht="15.75" hidden="false" customHeight="false" outlineLevel="0" collapsed="false">
      <c r="A75" s="13" t="str">
        <f aca="false">IFERROR(__xludf.dummyfunction("""COMPUTED_VALUE"""),"Metro DC Faisalabad")</f>
        <v>Metro DC Faisalabad</v>
      </c>
      <c r="B75" s="13" t="str">
        <f aca="false">IFERROR(__xludf.dummyfunction("""COMPUTED_VALUE"""),"9d01e7dd-caa1-425f-b532-766075078ff7")</f>
        <v>9d01e7dd-caa1-425f-b532-766075078ff7</v>
      </c>
      <c r="C75" s="13" t="str">
        <f aca="false">IFERROR(__xludf.dummyfunction("""COMPUTED_VALUE"""),"Sunlight Pink Clean and Jasmine Fresh x6 Bundle 35g")</f>
        <v>Sunlight Pink Clean and Jasmine Fresh x6 Bundle 35g</v>
      </c>
      <c r="D75" s="13" t="str">
        <f aca="false">IFERROR(__xludf.dummyfunction("""COMPUTED_VALUE"""),"Sunlight")</f>
        <v>Sunlight</v>
      </c>
      <c r="E75" s="13" t="str">
        <f aca="false">IFERROR(__xludf.dummyfunction("""COMPUTED_VALUE"""),"Surf, Bleach")</f>
        <v>Surf, Bleach</v>
      </c>
      <c r="F75" s="11" t="n">
        <f aca="false">IFERROR(__xludf.dummyfunction("""COMPUTED_VALUE"""),44995)</f>
        <v>44995</v>
      </c>
      <c r="G75" s="16" t="n">
        <f aca="false">IFERROR(__xludf.dummyfunction("""COMPUTED_VALUE"""),0.915344826388188)</f>
        <v>0.9153448264</v>
      </c>
      <c r="H75" s="13" t="str">
        <f aca="false">IFERROR(__xludf.dummyfunction("""COMPUTED_VALUE"""),"damaged stock")</f>
        <v>damaged stock</v>
      </c>
      <c r="I75" s="13" t="n">
        <f aca="false">IFERROR(__xludf.dummyfunction("""COMPUTED_VALUE"""),1)</f>
        <v>1</v>
      </c>
      <c r="J75" s="13" t="n">
        <f aca="false">IFERROR(__xludf.dummyfunction("""COMPUTED_VALUE"""),54.96)</f>
        <v>54.96</v>
      </c>
      <c r="K75" s="13" t="n">
        <f aca="false">IFERROR(__xludf.dummyfunction("""COMPUTED_VALUE"""),54.96)</f>
        <v>54.96</v>
      </c>
      <c r="L75" s="13" t="str">
        <f aca="false">IFERROR(__xludf.dummyfunction("""COMPUTED_VALUE"""),"[Code: 3ACCHK] TA: bag may say damage nikla.company end issue.")</f>
        <v>[Code: 3ACCHK] TA: bag may say damage nikla.company end issue.</v>
      </c>
      <c r="M75" s="13" t="str">
        <f aca="false">IFERROR(__xludf.dummyfunction("""COMPUTED_VALUE"""),"3ACCHK")</f>
        <v>3ACCHK</v>
      </c>
      <c r="N75" s="13"/>
      <c r="O75" s="13" t="str">
        <f aca="false">IFERROR(__xludf.dummyfunction("""COMPUTED_VALUE"""),"taufeeq.akhtar@tajir-app.com")</f>
        <v>taufeeq.akhtar@tajir-app.com</v>
      </c>
      <c r="P75" s="13" t="str">
        <f aca="false">IFERROR(__xludf.dummyfunction("""COMPUTED_VALUE"""),"Taufeeq Akhtar ")</f>
        <v>Taufeeq Akhtar </v>
      </c>
      <c r="Q75" s="13" t="str">
        <f aca="false">IF(L75="","",L75)</f>
        <v>[Code: 3ACCHK] TA: bag may say damage nikla.company end issue.</v>
      </c>
    </row>
    <row r="76" customFormat="false" ht="15.75" hidden="false" customHeight="false" outlineLevel="0" collapsed="false">
      <c r="A76" s="13" t="str">
        <f aca="false">IFERROR(__xludf.dummyfunction("""COMPUTED_VALUE"""),"Metro DC Faisalabad")</f>
        <v>Metro DC Faisalabad</v>
      </c>
      <c r="B76" s="13" t="str">
        <f aca="false">IFERROR(__xludf.dummyfunction("""COMPUTED_VALUE"""),"d35314e0-f3f4-47fe-90aa-af65dab10e9d")</f>
        <v>d35314e0-f3f4-47fe-90aa-af65dab10e9d</v>
      </c>
      <c r="C76" s="13" t="str">
        <f aca="false">IFERROR(__xludf.dummyfunction("""COMPUTED_VALUE"""),"Bonus tristar detergent x6 bundle 48g Rs10")</f>
        <v>Bonus tristar detergent x6 bundle 48g Rs10</v>
      </c>
      <c r="D76" s="13" t="str">
        <f aca="false">IFERROR(__xludf.dummyfunction("""COMPUTED_VALUE"""),"Bonus Surf")</f>
        <v>Bonus Surf</v>
      </c>
      <c r="E76" s="13" t="str">
        <f aca="false">IFERROR(__xludf.dummyfunction("""COMPUTED_VALUE"""),"Surf, Bleach")</f>
        <v>Surf, Bleach</v>
      </c>
      <c r="F76" s="11" t="n">
        <f aca="false">IFERROR(__xludf.dummyfunction("""COMPUTED_VALUE"""),44995)</f>
        <v>44995</v>
      </c>
      <c r="G76" s="16" t="n">
        <f aca="false">IFERROR(__xludf.dummyfunction("""COMPUTED_VALUE"""),0.91371997685072)</f>
        <v>0.9137199769</v>
      </c>
      <c r="H76" s="13" t="str">
        <f aca="false">IFERROR(__xludf.dummyfunction("""COMPUTED_VALUE"""),"damaged stock")</f>
        <v>damaged stock</v>
      </c>
      <c r="I76" s="13" t="n">
        <f aca="false">IFERROR(__xludf.dummyfunction("""COMPUTED_VALUE"""),1)</f>
        <v>1</v>
      </c>
      <c r="J76" s="13" t="n">
        <f aca="false">IFERROR(__xludf.dummyfunction("""COMPUTED_VALUE"""),55.13)</f>
        <v>55.13</v>
      </c>
      <c r="K76" s="13" t="n">
        <f aca="false">IFERROR(__xludf.dummyfunction("""COMPUTED_VALUE"""),55.13)</f>
        <v>55.13</v>
      </c>
      <c r="L76" s="13" t="str">
        <f aca="false">IFERROR(__xludf.dummyfunction("""COMPUTED_VALUE"""),"[Code: 689ADG] TA:boray may say damage nikla.")</f>
        <v>[Code: 689ADG] TA:boray may say damage nikla.</v>
      </c>
      <c r="M76" s="13" t="str">
        <f aca="false">IFERROR(__xludf.dummyfunction("""COMPUTED_VALUE"""),"689ADG")</f>
        <v>689ADG</v>
      </c>
      <c r="N76" s="13"/>
      <c r="O76" s="13" t="str">
        <f aca="false">IFERROR(__xludf.dummyfunction("""COMPUTED_VALUE"""),"taufeeq.akhtar@tajir-app.com")</f>
        <v>taufeeq.akhtar@tajir-app.com</v>
      </c>
      <c r="P76" s="13" t="str">
        <f aca="false">IFERROR(__xludf.dummyfunction("""COMPUTED_VALUE"""),"Taufeeq Akhtar ")</f>
        <v>Taufeeq Akhtar </v>
      </c>
      <c r="Q76" s="13" t="str">
        <f aca="false">IF(L76="","",L76)</f>
        <v>[Code: 689ADG] TA:boray may say damage nikla.</v>
      </c>
    </row>
    <row r="77" customFormat="false" ht="15.75" hidden="false" customHeight="false" outlineLevel="0" collapsed="false">
      <c r="A77" s="13" t="str">
        <f aca="false">IFERROR(__xludf.dummyfunction("""COMPUTED_VALUE"""),"Metro DC Faisalabad")</f>
        <v>Metro DC Faisalabad</v>
      </c>
      <c r="B77" s="13" t="str">
        <f aca="false">IFERROR(__xludf.dummyfunction("""COMPUTED_VALUE"""),"d864c0cd-914b-4a54-96d5-8e894ba5f3b6")</f>
        <v>d864c0cd-914b-4a54-96d5-8e894ba5f3b6</v>
      </c>
      <c r="C77" s="13" t="str">
        <f aca="false">IFERROR(__xludf.dummyfunction("""COMPUTED_VALUE"""),"Surf Excel x6 bundle 20g Rs 10")</f>
        <v>Surf Excel x6 bundle 20g Rs 10</v>
      </c>
      <c r="D77" s="13" t="str">
        <f aca="false">IFERROR(__xludf.dummyfunction("""COMPUTED_VALUE"""),"Surf Excel")</f>
        <v>Surf Excel</v>
      </c>
      <c r="E77" s="13" t="str">
        <f aca="false">IFERROR(__xludf.dummyfunction("""COMPUTED_VALUE"""),"Surf, Bleach")</f>
        <v>Surf, Bleach</v>
      </c>
      <c r="F77" s="11" t="n">
        <f aca="false">IFERROR(__xludf.dummyfunction("""COMPUTED_VALUE"""),44995)</f>
        <v>44995</v>
      </c>
      <c r="G77" s="16" t="n">
        <f aca="false">IFERROR(__xludf.dummyfunction("""COMPUTED_VALUE"""),0.912699872686069)</f>
        <v>0.9126998727</v>
      </c>
      <c r="H77" s="13" t="str">
        <f aca="false">IFERROR(__xludf.dummyfunction("""COMPUTED_VALUE"""),"damaged stock")</f>
        <v>damaged stock</v>
      </c>
      <c r="I77" s="13" t="n">
        <f aca="false">IFERROR(__xludf.dummyfunction("""COMPUTED_VALUE"""),2)</f>
        <v>2</v>
      </c>
      <c r="J77" s="13" t="n">
        <f aca="false">IFERROR(__xludf.dummyfunction("""COMPUTED_VALUE"""),54.75)</f>
        <v>54.75</v>
      </c>
      <c r="K77" s="13" t="n">
        <f aca="false">IFERROR(__xludf.dummyfunction("""COMPUTED_VALUE"""),109.5)</f>
        <v>109.5</v>
      </c>
      <c r="L77" s="13" t="str">
        <f aca="false">IFERROR(__xludf.dummyfunction("""COMPUTED_VALUE"""),"[Code: 3567CD] TA:aik unit display lagaty waqt damage hogia. aik unit bag may say damage nikla.")</f>
        <v>[Code: 3567CD] TA:aik unit display lagaty waqt damage hogia. aik unit bag may say damage nikla.</v>
      </c>
      <c r="M77" s="13" t="str">
        <f aca="false">IFERROR(__xludf.dummyfunction("""COMPUTED_VALUE"""),"3567CD")</f>
        <v>3567CD</v>
      </c>
      <c r="N77" s="13"/>
      <c r="O77" s="13" t="str">
        <f aca="false">IFERROR(__xludf.dummyfunction("""COMPUTED_VALUE"""),"taufeeq.akhtar@tajir-app.com")</f>
        <v>taufeeq.akhtar@tajir-app.com</v>
      </c>
      <c r="P77" s="13" t="str">
        <f aca="false">IFERROR(__xludf.dummyfunction("""COMPUTED_VALUE"""),"Taufeeq Akhtar ")</f>
        <v>Taufeeq Akhtar </v>
      </c>
      <c r="Q77" s="13" t="str">
        <f aca="false">IF(L77="","",L77)</f>
        <v>[Code: 3567CD] TA:aik unit display lagaty waqt damage hogia. aik unit bag may say damage nikla.</v>
      </c>
    </row>
    <row r="78" customFormat="false" ht="15.75" hidden="false" customHeight="false" outlineLevel="0" collapsed="false">
      <c r="A78" s="13" t="str">
        <f aca="false">IFERROR(__xludf.dummyfunction("""COMPUTED_VALUE"""),"Metro DC Faisalabad")</f>
        <v>Metro DC Faisalabad</v>
      </c>
      <c r="B78" s="13" t="str">
        <f aca="false">IFERROR(__xludf.dummyfunction("""COMPUTED_VALUE"""),"186ae300-06b4-48fc-9604-02d2c07f5d21")</f>
        <v>186ae300-06b4-48fc-9604-02d2c07f5d21</v>
      </c>
      <c r="C78" s="13" t="str">
        <f aca="false">IFERROR(__xludf.dummyfunction("""COMPUTED_VALUE"""),"Ariel Original Surf x12 bundle 20g Rs 10")</f>
        <v>Ariel Original Surf x12 bundle 20g Rs 10</v>
      </c>
      <c r="D78" s="13" t="str">
        <f aca="false">IFERROR(__xludf.dummyfunction("""COMPUTED_VALUE"""),"Ariel Surf")</f>
        <v>Ariel Surf</v>
      </c>
      <c r="E78" s="13" t="str">
        <f aca="false">IFERROR(__xludf.dummyfunction("""COMPUTED_VALUE"""),"Surf, Bleach")</f>
        <v>Surf, Bleach</v>
      </c>
      <c r="F78" s="11" t="n">
        <f aca="false">IFERROR(__xludf.dummyfunction("""COMPUTED_VALUE"""),44995)</f>
        <v>44995</v>
      </c>
      <c r="G78" s="16" t="n">
        <f aca="false">IFERROR(__xludf.dummyfunction("""COMPUTED_VALUE"""),0.909296770831856)</f>
        <v>0.9092967708</v>
      </c>
      <c r="H78" s="13" t="str">
        <f aca="false">IFERROR(__xludf.dummyfunction("""COMPUTED_VALUE"""),"damaged stock")</f>
        <v>damaged stock</v>
      </c>
      <c r="I78" s="13" t="n">
        <f aca="false">IFERROR(__xludf.dummyfunction("""COMPUTED_VALUE"""),1)</f>
        <v>1</v>
      </c>
      <c r="J78" s="13" t="n">
        <f aca="false">IFERROR(__xludf.dummyfunction("""COMPUTED_VALUE"""),106.8)</f>
        <v>106.8</v>
      </c>
      <c r="K78" s="13" t="n">
        <f aca="false">IFERROR(__xludf.dummyfunction("""COMPUTED_VALUE"""),106.8)</f>
        <v>106.8</v>
      </c>
      <c r="L78" s="13" t="str">
        <f aca="false">IFERROR(__xludf.dummyfunction("""COMPUTED_VALUE"""),"[Code: 5889DH] TA:bag may say damage nikila display lagaty waqt.")</f>
        <v>[Code: 5889DH] TA:bag may say damage nikila display lagaty waqt.</v>
      </c>
      <c r="M78" s="13" t="str">
        <f aca="false">IFERROR(__xludf.dummyfunction("""COMPUTED_VALUE"""),"5889DH")</f>
        <v>5889DH</v>
      </c>
      <c r="N78" s="13"/>
      <c r="O78" s="13" t="str">
        <f aca="false">IFERROR(__xludf.dummyfunction("""COMPUTED_VALUE"""),"taufeeq.akhtar@tajir-app.com")</f>
        <v>taufeeq.akhtar@tajir-app.com</v>
      </c>
      <c r="P78" s="13" t="str">
        <f aca="false">IFERROR(__xludf.dummyfunction("""COMPUTED_VALUE"""),"Taufeeq Akhtar ")</f>
        <v>Taufeeq Akhtar </v>
      </c>
      <c r="Q78" s="13" t="str">
        <f aca="false">IF(L78="","",L78)</f>
        <v>[Code: 5889DH] TA:bag may say damage nikila display lagaty waqt.</v>
      </c>
    </row>
    <row r="79" customFormat="false" ht="15.75" hidden="false" customHeight="false" outlineLevel="0" collapsed="false">
      <c r="A79" s="13" t="str">
        <f aca="false">IFERROR(__xludf.dummyfunction("""COMPUTED_VALUE"""),"Metro DC Faisalabad")</f>
        <v>Metro DC Faisalabad</v>
      </c>
      <c r="B79" s="13" t="str">
        <f aca="false">IFERROR(__xludf.dummyfunction("""COMPUTED_VALUE"""),"677536ca-c438-4cd5-bda6-0f9fe40a7515")</f>
        <v>677536ca-c438-4cd5-bda6-0f9fe40a7515</v>
      </c>
      <c r="C79" s="13" t="str">
        <f aca="false">IFERROR(__xludf.dummyfunction("""COMPUTED_VALUE"""),"Closed 3")</f>
        <v>Closed 3</v>
      </c>
      <c r="D79" s="13" t="str">
        <f aca="false">IFERROR(__xludf.dummyfunction("""COMPUTED_VALUE"""),"Ariel Surf")</f>
        <v>Ariel Surf</v>
      </c>
      <c r="E79" s="13" t="str">
        <f aca="false">IFERROR(__xludf.dummyfunction("""COMPUTED_VALUE"""),"Surf, Bleach")</f>
        <v>Surf, Bleach</v>
      </c>
      <c r="F79" s="11" t="n">
        <f aca="false">IFERROR(__xludf.dummyfunction("""COMPUTED_VALUE"""),44995)</f>
        <v>44995</v>
      </c>
      <c r="G79" s="16" t="n">
        <f aca="false">IFERROR(__xludf.dummyfunction("""COMPUTED_VALUE"""),0.907848912035695)</f>
        <v>0.907848912</v>
      </c>
      <c r="H79" s="13" t="str">
        <f aca="false">IFERROR(__xludf.dummyfunction("""COMPUTED_VALUE"""),"damaged stock")</f>
        <v>damaged stock</v>
      </c>
      <c r="I79" s="13" t="n">
        <f aca="false">IFERROR(__xludf.dummyfunction("""COMPUTED_VALUE"""),1)</f>
        <v>1</v>
      </c>
      <c r="J79" s="13" t="n">
        <f aca="false">IFERROR(__xludf.dummyfunction("""COMPUTED_VALUE"""),267.6)</f>
        <v>267.6</v>
      </c>
      <c r="K79" s="13" t="n">
        <f aca="false">IFERROR(__xludf.dummyfunction("""COMPUTED_VALUE"""),267.6)</f>
        <v>267.6</v>
      </c>
      <c r="L79" s="13" t="str">
        <f aca="false">IFERROR(__xludf.dummyfunction("""COMPUTED_VALUE"""),"[Code: 778AAA] TA:box may say damage nikla display lagaty waqt.")</f>
        <v>[Code: 778AAA] TA:box may say damage nikla display lagaty waqt.</v>
      </c>
      <c r="M79" s="13" t="str">
        <f aca="false">IFERROR(__xludf.dummyfunction("""COMPUTED_VALUE"""),"778AAA")</f>
        <v>778AAA</v>
      </c>
      <c r="N79" s="13"/>
      <c r="O79" s="13" t="str">
        <f aca="false">IFERROR(__xludf.dummyfunction("""COMPUTED_VALUE"""),"taufeeq.akhtar@tajir-app.com")</f>
        <v>taufeeq.akhtar@tajir-app.com</v>
      </c>
      <c r="P79" s="13" t="str">
        <f aca="false">IFERROR(__xludf.dummyfunction("""COMPUTED_VALUE"""),"Taufeeq Akhtar ")</f>
        <v>Taufeeq Akhtar </v>
      </c>
      <c r="Q79" s="13" t="str">
        <f aca="false">IF(L79="","",L79)</f>
        <v>[Code: 778AAA] TA:box may say damage nikla display lagaty waqt.</v>
      </c>
    </row>
    <row r="80" customFormat="false" ht="15.75" hidden="false" customHeight="false" outlineLevel="0" collapsed="false">
      <c r="A80" s="13" t="str">
        <f aca="false">IFERROR(__xludf.dummyfunction("""COMPUTED_VALUE"""),"Metro DC Faisalabad")</f>
        <v>Metro DC Faisalabad</v>
      </c>
      <c r="B80" s="13" t="str">
        <f aca="false">IFERROR(__xludf.dummyfunction("""COMPUTED_VALUE"""),"d35314e0-f3f4-47fe-90aa-af65dab10e9d")</f>
        <v>d35314e0-f3f4-47fe-90aa-af65dab10e9d</v>
      </c>
      <c r="C80" s="13" t="str">
        <f aca="false">IFERROR(__xludf.dummyfunction("""COMPUTED_VALUE"""),"Bonus tristar detergent x6 bundle 48g Rs10")</f>
        <v>Bonus tristar detergent x6 bundle 48g Rs10</v>
      </c>
      <c r="D80" s="13" t="str">
        <f aca="false">IFERROR(__xludf.dummyfunction("""COMPUTED_VALUE"""),"Bonus Surf")</f>
        <v>Bonus Surf</v>
      </c>
      <c r="E80" s="13" t="str">
        <f aca="false">IFERROR(__xludf.dummyfunction("""COMPUTED_VALUE"""),"Surf, Bleach")</f>
        <v>Surf, Bleach</v>
      </c>
      <c r="F80" s="11" t="n">
        <f aca="false">IFERROR(__xludf.dummyfunction("""COMPUTED_VALUE"""),44998)</f>
        <v>44998</v>
      </c>
      <c r="G80" s="16" t="n">
        <f aca="false">IFERROR(__xludf.dummyfunction("""COMPUTED_VALUE"""),0.0211330787046469)</f>
        <v>0.0211330787</v>
      </c>
      <c r="H80" s="13" t="str">
        <f aca="false">IFERROR(__xludf.dummyfunction("""COMPUTED_VALUE"""),"damaged stock")</f>
        <v>damaged stock</v>
      </c>
      <c r="I80" s="13" t="n">
        <f aca="false">IFERROR(__xludf.dummyfunction("""COMPUTED_VALUE"""),2)</f>
        <v>2</v>
      </c>
      <c r="J80" s="13" t="n">
        <f aca="false">IFERROR(__xludf.dummyfunction("""COMPUTED_VALUE"""),55.25)</f>
        <v>55.25</v>
      </c>
      <c r="K80" s="13" t="n">
        <f aca="false">IFERROR(__xludf.dummyfunction("""COMPUTED_VALUE"""),110.5)</f>
        <v>110.5</v>
      </c>
      <c r="L80" s="13" t="str">
        <f aca="false">IFERROR(__xludf.dummyfunction("""COMPUTED_VALUE"""),"[Code: 34BCCF] TA:Two units found damaged from bag during display.")</f>
        <v>[Code: 34BCCF] TA:Two units found damaged from bag during display.</v>
      </c>
      <c r="M80" s="13" t="str">
        <f aca="false">IFERROR(__xludf.dummyfunction("""COMPUTED_VALUE"""),"34BCCF")</f>
        <v>34BCCF</v>
      </c>
      <c r="N80" s="13"/>
      <c r="O80" s="13" t="str">
        <f aca="false">IFERROR(__xludf.dummyfunction("""COMPUTED_VALUE"""),"taufeeq.akhtar@tajir-app.com")</f>
        <v>taufeeq.akhtar@tajir-app.com</v>
      </c>
      <c r="P80" s="13" t="str">
        <f aca="false">IFERROR(__xludf.dummyfunction("""COMPUTED_VALUE"""),"Taufeeq Akhtar ")</f>
        <v>Taufeeq Akhtar </v>
      </c>
      <c r="Q80" s="13" t="str">
        <f aca="false">IF(L80="","",L80)</f>
        <v>[Code: 34BCCF] TA:Two units found damaged from bag during display.</v>
      </c>
    </row>
    <row r="81" customFormat="false" ht="15.75" hidden="false" customHeight="false" outlineLevel="0" collapsed="false">
      <c r="A81" s="13" t="str">
        <f aca="false">IFERROR(__xludf.dummyfunction("""COMPUTED_VALUE"""),"Metro DC Faisalabad")</f>
        <v>Metro DC Faisalabad</v>
      </c>
      <c r="B81" s="13" t="str">
        <f aca="false">IFERROR(__xludf.dummyfunction("""COMPUTED_VALUE"""),"d97fb0bb-676a-494c-8110-12dd03c0c397")</f>
        <v>d97fb0bb-676a-494c-8110-12dd03c0c397</v>
      </c>
      <c r="C81" s="13" t="str">
        <f aca="false">IFERROR(__xludf.dummyfunction("""COMPUTED_VALUE"""),"Sherdil Dal Mash Wash 500g")</f>
        <v>Sherdil Dal Mash Wash 500g</v>
      </c>
      <c r="D81" s="13" t="str">
        <f aca="false">IFERROR(__xludf.dummyfunction("""COMPUTED_VALUE"""),"Sherdil")</f>
        <v>Sherdil</v>
      </c>
      <c r="E81" s="13" t="str">
        <f aca="false">IFERROR(__xludf.dummyfunction("""COMPUTED_VALUE"""),"Pulses")</f>
        <v>Pulses</v>
      </c>
      <c r="F81" s="11" t="n">
        <f aca="false">IFERROR(__xludf.dummyfunction("""COMPUTED_VALUE"""),45000)</f>
        <v>45000</v>
      </c>
      <c r="G81" s="16" t="n">
        <f aca="false">IFERROR(__xludf.dummyfunction("""COMPUTED_VALUE"""),0.863788483797574)</f>
        <v>0.8637884838</v>
      </c>
      <c r="H81" s="13" t="str">
        <f aca="false">IFERROR(__xludf.dummyfunction("""COMPUTED_VALUE"""),"damaged stock")</f>
        <v>damaged stock</v>
      </c>
      <c r="I81" s="13" t="n">
        <f aca="false">IFERROR(__xludf.dummyfunction("""COMPUTED_VALUE"""),3)</f>
        <v>3</v>
      </c>
      <c r="J81" s="13" t="n">
        <f aca="false">IFERROR(__xludf.dummyfunction("""COMPUTED_VALUE"""),257)</f>
        <v>257</v>
      </c>
      <c r="K81" s="13" t="n">
        <f aca="false">IFERROR(__xludf.dummyfunction("""COMPUTED_VALUE"""),771)</f>
        <v>771</v>
      </c>
      <c r="L81" s="13" t="str">
        <f aca="false">IFERROR(__xludf.dummyfunction("""COMPUTED_VALUE"""),"[Code: 2359AA] ZA: Remove due to fungus (Same Batch as fresh stock) ")</f>
        <v>[Code: 2359AA] ZA: Remove due to fungus (Same Batch as fresh stock) </v>
      </c>
      <c r="M81" s="13" t="str">
        <f aca="false">IFERROR(__xludf.dummyfunction("""COMPUTED_VALUE"""),"2359AA")</f>
        <v>2359AA</v>
      </c>
      <c r="N81" s="13"/>
      <c r="O81" s="13" t="str">
        <f aca="false">IFERROR(__xludf.dummyfunction("""COMPUTED_VALUE"""),"zeeshan.alimalik@tajir-app.com")</f>
        <v>zeeshan.alimalik@tajir-app.com</v>
      </c>
      <c r="P81" s="13" t="str">
        <f aca="false">IFERROR(__xludf.dummyfunction("""COMPUTED_VALUE"""),"Zeeshan Ali Malik")</f>
        <v>Zeeshan Ali Malik</v>
      </c>
      <c r="Q81" s="13" t="str">
        <f aca="false">IF(L81="","",L81)</f>
        <v>[Code: 2359AA] ZA: Remove due to fungus (Same Batch as fresh stock) </v>
      </c>
    </row>
    <row r="82" customFormat="false" ht="15.75" hidden="false" customHeight="false" outlineLevel="0" collapsed="false">
      <c r="A82" s="13" t="str">
        <f aca="false">IFERROR(__xludf.dummyfunction("""COMPUTED_VALUE"""),"Metro DC Faisalabad")</f>
        <v>Metro DC Faisalabad</v>
      </c>
      <c r="B82" s="13" t="str">
        <f aca="false">IFERROR(__xludf.dummyfunction("""COMPUTED_VALUE"""),"d864c0cd-914b-4a54-96d5-8e894ba5f3b6")</f>
        <v>d864c0cd-914b-4a54-96d5-8e894ba5f3b6</v>
      </c>
      <c r="C82" s="13" t="str">
        <f aca="false">IFERROR(__xludf.dummyfunction("""COMPUTED_VALUE"""),"Surf Excel x6 bundle 20g Rs 10")</f>
        <v>Surf Excel x6 bundle 20g Rs 10</v>
      </c>
      <c r="D82" s="13" t="str">
        <f aca="false">IFERROR(__xludf.dummyfunction("""COMPUTED_VALUE"""),"Surf Excel")</f>
        <v>Surf Excel</v>
      </c>
      <c r="E82" s="13" t="str">
        <f aca="false">IFERROR(__xludf.dummyfunction("""COMPUTED_VALUE"""),"Surf, Bleach")</f>
        <v>Surf, Bleach</v>
      </c>
      <c r="F82" s="11" t="n">
        <f aca="false">IFERROR(__xludf.dummyfunction("""COMPUTED_VALUE"""),45000)</f>
        <v>45000</v>
      </c>
      <c r="G82" s="16" t="n">
        <f aca="false">IFERROR(__xludf.dummyfunction("""COMPUTED_VALUE"""),0.0285137847212844)</f>
        <v>0.02851378472</v>
      </c>
      <c r="H82" s="13" t="str">
        <f aca="false">IFERROR(__xludf.dummyfunction("""COMPUTED_VALUE"""),"damaged stock")</f>
        <v>damaged stock</v>
      </c>
      <c r="I82" s="13" t="n">
        <f aca="false">IFERROR(__xludf.dummyfunction("""COMPUTED_VALUE"""),3)</f>
        <v>3</v>
      </c>
      <c r="J82" s="13" t="n">
        <f aca="false">IFERROR(__xludf.dummyfunction("""COMPUTED_VALUE"""),54.75)</f>
        <v>54.75</v>
      </c>
      <c r="K82" s="13" t="n">
        <f aca="false">IFERROR(__xludf.dummyfunction("""COMPUTED_VALUE"""),164.25)</f>
        <v>164.25</v>
      </c>
      <c r="L82" s="13" t="str">
        <f aca="false">IFERROR(__xludf.dummyfunction("""COMPUTED_VALUE"""),"[Code: 47AAHK] TA:bag may say damage nikla display krtay waqt;")</f>
        <v>[Code: 47AAHK] TA:bag may say damage nikla display krtay waqt;</v>
      </c>
      <c r="M82" s="13" t="str">
        <f aca="false">IFERROR(__xludf.dummyfunction("""COMPUTED_VALUE"""),"47AAHK")</f>
        <v>47AAHK</v>
      </c>
      <c r="N82" s="13"/>
      <c r="O82" s="13" t="str">
        <f aca="false">IFERROR(__xludf.dummyfunction("""COMPUTED_VALUE"""),"taufeeq.akhtar@tajir-app.com")</f>
        <v>taufeeq.akhtar@tajir-app.com</v>
      </c>
      <c r="P82" s="13" t="str">
        <f aca="false">IFERROR(__xludf.dummyfunction("""COMPUTED_VALUE"""),"Taufeeq Akhtar ")</f>
        <v>Taufeeq Akhtar </v>
      </c>
      <c r="Q82" s="13" t="str">
        <f aca="false">IF(L82="","",L82)</f>
        <v>[Code: 47AAHK] TA:bag may say damage nikla display krtay waqt;</v>
      </c>
    </row>
    <row r="83" customFormat="false" ht="15.75" hidden="false" customHeight="false" outlineLevel="0" collapsed="false">
      <c r="A83" s="13" t="str">
        <f aca="false">IFERROR(__xludf.dummyfunction("""COMPUTED_VALUE"""),"Metro DC Faisalabad")</f>
        <v>Metro DC Faisalabad</v>
      </c>
      <c r="B83" s="13" t="str">
        <f aca="false">IFERROR(__xludf.dummyfunction("""COMPUTED_VALUE"""),"0d2f17bc-36e0-41fe-b498-89a7a8a34416")</f>
        <v>0d2f17bc-36e0-41fe-b498-89a7a8a34416</v>
      </c>
      <c r="C83" s="13" t="str">
        <f aca="false">IFERROR(__xludf.dummyfunction("""COMPUTED_VALUE"""),"Brite Surf x12 bundle 23g Rs 10")</f>
        <v>Brite Surf x12 bundle 23g Rs 10</v>
      </c>
      <c r="D83" s="13" t="str">
        <f aca="false">IFERROR(__xludf.dummyfunction("""COMPUTED_VALUE"""),"Brite Surf")</f>
        <v>Brite Surf</v>
      </c>
      <c r="E83" s="13" t="str">
        <f aca="false">IFERROR(__xludf.dummyfunction("""COMPUTED_VALUE"""),"Surf, Bleach")</f>
        <v>Surf, Bleach</v>
      </c>
      <c r="F83" s="11" t="n">
        <f aca="false">IFERROR(__xludf.dummyfunction("""COMPUTED_VALUE"""),45000)</f>
        <v>45000</v>
      </c>
      <c r="G83" s="16" t="n">
        <f aca="false">IFERROR(__xludf.dummyfunction("""COMPUTED_VALUE"""),0.0260724421289775)</f>
        <v>0.02607244213</v>
      </c>
      <c r="H83" s="13" t="str">
        <f aca="false">IFERROR(__xludf.dummyfunction("""COMPUTED_VALUE"""),"damaged stock")</f>
        <v>damaged stock</v>
      </c>
      <c r="I83" s="13" t="n">
        <f aca="false">IFERROR(__xludf.dummyfunction("""COMPUTED_VALUE"""),1)</f>
        <v>1</v>
      </c>
      <c r="J83" s="13" t="n">
        <f aca="false">IFERROR(__xludf.dummyfunction("""COMPUTED_VALUE"""),107.91)</f>
        <v>107.91</v>
      </c>
      <c r="K83" s="13" t="n">
        <f aca="false">IFERROR(__xludf.dummyfunction("""COMPUTED_VALUE"""),107.91)</f>
        <v>107.91</v>
      </c>
      <c r="L83" s="13" t="str">
        <f aca="false">IFERROR(__xludf.dummyfunction("""COMPUTED_VALUE"""),"[Code: 57BBDD] TA:Box may say damage nikla display krtay waqt;")</f>
        <v>[Code: 57BBDD] TA:Box may say damage nikla display krtay waqt;</v>
      </c>
      <c r="M83" s="13" t="str">
        <f aca="false">IFERROR(__xludf.dummyfunction("""COMPUTED_VALUE"""),"57BBDD")</f>
        <v>57BBDD</v>
      </c>
      <c r="N83" s="13"/>
      <c r="O83" s="13" t="str">
        <f aca="false">IFERROR(__xludf.dummyfunction("""COMPUTED_VALUE"""),"taufeeq.akhtar@tajir-app.com")</f>
        <v>taufeeq.akhtar@tajir-app.com</v>
      </c>
      <c r="P83" s="13" t="str">
        <f aca="false">IFERROR(__xludf.dummyfunction("""COMPUTED_VALUE"""),"Taufeeq Akhtar ")</f>
        <v>Taufeeq Akhtar </v>
      </c>
      <c r="Q83" s="13" t="str">
        <f aca="false">IF(L83="","",L83)</f>
        <v>[Code: 57BBDD] TA:Box may say damage nikla display krtay waqt;</v>
      </c>
    </row>
    <row r="84" customFormat="false" ht="15.75" hidden="false" customHeight="false" outlineLevel="0" collapsed="false">
      <c r="A84" s="13" t="str">
        <f aca="false">IFERROR(__xludf.dummyfunction("""COMPUTED_VALUE"""),"Metro DC Faisalabad")</f>
        <v>Metro DC Faisalabad</v>
      </c>
      <c r="B84" s="13" t="str">
        <f aca="false">IFERROR(__xludf.dummyfunction("""COMPUTED_VALUE"""),"523bbc04-e7e5-439b-ba66-47801764f013")</f>
        <v>523bbc04-e7e5-439b-ba66-47801764f013</v>
      </c>
      <c r="C84" s="13" t="str">
        <f aca="false">IFERROR(__xludf.dummyfunction("""COMPUTED_VALUE"""),"Sherdil Badam 100g")</f>
        <v>Sherdil Badam 100g</v>
      </c>
      <c r="D84" s="13" t="str">
        <f aca="false">IFERROR(__xludf.dummyfunction("""COMPUTED_VALUE"""),"Sherdil")</f>
        <v>Sherdil</v>
      </c>
      <c r="E84" s="13" t="str">
        <f aca="false">IFERROR(__xludf.dummyfunction("""COMPUTED_VALUE"""),"Spices")</f>
        <v>Spices</v>
      </c>
      <c r="F84" s="11" t="n">
        <f aca="false">IFERROR(__xludf.dummyfunction("""COMPUTED_VALUE"""),45002)</f>
        <v>45002</v>
      </c>
      <c r="G84" s="16" t="n">
        <f aca="false">IFERROR(__xludf.dummyfunction("""COMPUTED_VALUE"""),0.918667824074985)</f>
        <v>0.9186678241</v>
      </c>
      <c r="H84" s="13" t="str">
        <f aca="false">IFERROR(__xludf.dummyfunction("""COMPUTED_VALUE"""),"missing stock")</f>
        <v>missing stock</v>
      </c>
      <c r="I84" s="13" t="n">
        <f aca="false">IFERROR(__xludf.dummyfunction("""COMPUTED_VALUE"""),1)</f>
        <v>1</v>
      </c>
      <c r="J84" s="13" t="n">
        <f aca="false">IFERROR(__xludf.dummyfunction("""COMPUTED_VALUE"""),248)</f>
        <v>248</v>
      </c>
      <c r="K84" s="13" t="n">
        <f aca="false">IFERROR(__xludf.dummyfunction("""COMPUTED_VALUE"""),248)</f>
        <v>248</v>
      </c>
      <c r="L84" s="13" t="str">
        <f aca="false">IFERROR(__xludf.dummyfunction("""COMPUTED_VALUE"""),"TA; not Available on the Floor")</f>
        <v>TA; not Available on the Floor</v>
      </c>
      <c r="M84" s="13"/>
      <c r="N84" s="13"/>
      <c r="O84" s="13" t="str">
        <f aca="false">IFERROR(__xludf.dummyfunction("""COMPUTED_VALUE"""),"taufeeq.akhtar@tajir-app.com")</f>
        <v>taufeeq.akhtar@tajir-app.com</v>
      </c>
      <c r="P84" s="13" t="str">
        <f aca="false">IFERROR(__xludf.dummyfunction("""COMPUTED_VALUE"""),"Taufeeq Akhtar ")</f>
        <v>Taufeeq Akhtar </v>
      </c>
      <c r="Q84" s="13" t="str">
        <f aca="false">IF(L84="","",L84)</f>
        <v>TA; not Available on the Floor</v>
      </c>
    </row>
    <row r="85" customFormat="false" ht="15.75" hidden="false" customHeight="false" outlineLevel="0" collapsed="false">
      <c r="A85" s="13" t="str">
        <f aca="false">IFERROR(__xludf.dummyfunction("""COMPUTED_VALUE"""),"Metro DC Faisalabad")</f>
        <v>Metro DC Faisalabad</v>
      </c>
      <c r="B85" s="13" t="str">
        <f aca="false">IFERROR(__xludf.dummyfunction("""COMPUTED_VALUE"""),"e2b7c4a7-2047-4074-a21c-0b3245d5a55a")</f>
        <v>e2b7c4a7-2047-4074-a21c-0b3245d5a55a</v>
      </c>
      <c r="C85" s="13" t="str">
        <f aca="false">IFERROR(__xludf.dummyfunction("""COMPUTED_VALUE"""),"Lemon Max Liquid Regular Pouch 450ml (Green) Rs185")</f>
        <v>Lemon Max Liquid Regular Pouch 450ml (Green) Rs185</v>
      </c>
      <c r="D85" s="13" t="str">
        <f aca="false">IFERROR(__xludf.dummyfunction("""COMPUTED_VALUE"""),"Lemon Max")</f>
        <v>Lemon Max</v>
      </c>
      <c r="E85" s="13" t="str">
        <f aca="false">IFERROR(__xludf.dummyfunction("""COMPUTED_VALUE"""),"Home Care")</f>
        <v>Home Care</v>
      </c>
      <c r="F85" s="11" t="n">
        <f aca="false">IFERROR(__xludf.dummyfunction("""COMPUTED_VALUE"""),45002)</f>
        <v>45002</v>
      </c>
      <c r="G85" s="16" t="n">
        <f aca="false">IFERROR(__xludf.dummyfunction("""COMPUTED_VALUE"""),0.917385092594204)</f>
        <v>0.9173850926</v>
      </c>
      <c r="H85" s="13" t="str">
        <f aca="false">IFERROR(__xludf.dummyfunction("""COMPUTED_VALUE"""),"damaged stock")</f>
        <v>damaged stock</v>
      </c>
      <c r="I85" s="13" t="n">
        <f aca="false">IFERROR(__xludf.dummyfunction("""COMPUTED_VALUE"""),1)</f>
        <v>1</v>
      </c>
      <c r="J85" s="13" t="n">
        <f aca="false">IFERROR(__xludf.dummyfunction("""COMPUTED_VALUE"""),166.77)</f>
        <v>166.77</v>
      </c>
      <c r="K85" s="13" t="n">
        <f aca="false">IFERROR(__xludf.dummyfunction("""COMPUTED_VALUE"""),166.77)</f>
        <v>166.77</v>
      </c>
      <c r="L85" s="13" t="str">
        <f aca="false">IFERROR(__xludf.dummyfunction("""COMPUTED_VALUE"""),"[Code: 2359CF] TA;BOX may say damage nikla he ")</f>
        <v>[Code: 2359CF] TA;BOX may say damage nikla he </v>
      </c>
      <c r="M85" s="13" t="str">
        <f aca="false">IFERROR(__xludf.dummyfunction("""COMPUTED_VALUE"""),"2359CF")</f>
        <v>2359CF</v>
      </c>
      <c r="N85" s="13"/>
      <c r="O85" s="13" t="str">
        <f aca="false">IFERROR(__xludf.dummyfunction("""COMPUTED_VALUE"""),"taufeeq.akhtar@tajir-app.com")</f>
        <v>taufeeq.akhtar@tajir-app.com</v>
      </c>
      <c r="P85" s="13" t="str">
        <f aca="false">IFERROR(__xludf.dummyfunction("""COMPUTED_VALUE"""),"Taufeeq Akhtar ")</f>
        <v>Taufeeq Akhtar </v>
      </c>
      <c r="Q85" s="13" t="str">
        <f aca="false">IF(L85="","",L85)</f>
        <v>[Code: 2359CF] TA;BOX may say damage nikla he </v>
      </c>
    </row>
    <row r="86" customFormat="false" ht="15.75" hidden="false" customHeight="false" outlineLevel="0" collapsed="false">
      <c r="A86" s="13" t="str">
        <f aca="false">IFERROR(__xludf.dummyfunction("""COMPUTED_VALUE"""),"Metro DC Faisalabad")</f>
        <v>Metro DC Faisalabad</v>
      </c>
      <c r="B86" s="13" t="str">
        <f aca="false">IFERROR(__xludf.dummyfunction("""COMPUTED_VALUE"""),"d864c0cd-914b-4a54-96d5-8e894ba5f3b6")</f>
        <v>d864c0cd-914b-4a54-96d5-8e894ba5f3b6</v>
      </c>
      <c r="C86" s="13" t="str">
        <f aca="false">IFERROR(__xludf.dummyfunction("""COMPUTED_VALUE"""),"Surf Excel x6 bundle 20g Rs 10")</f>
        <v>Surf Excel x6 bundle 20g Rs 10</v>
      </c>
      <c r="D86" s="13" t="str">
        <f aca="false">IFERROR(__xludf.dummyfunction("""COMPUTED_VALUE"""),"Surf Excel")</f>
        <v>Surf Excel</v>
      </c>
      <c r="E86" s="13" t="str">
        <f aca="false">IFERROR(__xludf.dummyfunction("""COMPUTED_VALUE"""),"Surf, Bleach")</f>
        <v>Surf, Bleach</v>
      </c>
      <c r="F86" s="11" t="n">
        <f aca="false">IFERROR(__xludf.dummyfunction("""COMPUTED_VALUE"""),45002)</f>
        <v>45002</v>
      </c>
      <c r="G86" s="16" t="n">
        <f aca="false">IFERROR(__xludf.dummyfunction("""COMPUTED_VALUE"""),0.915177743056995)</f>
        <v>0.9151777431</v>
      </c>
      <c r="H86" s="13" t="str">
        <f aca="false">IFERROR(__xludf.dummyfunction("""COMPUTED_VALUE"""),"damaged stock")</f>
        <v>damaged stock</v>
      </c>
      <c r="I86" s="13" t="n">
        <f aca="false">IFERROR(__xludf.dummyfunction("""COMPUTED_VALUE"""),2)</f>
        <v>2</v>
      </c>
      <c r="J86" s="13" t="n">
        <f aca="false">IFERROR(__xludf.dummyfunction("""COMPUTED_VALUE"""),54.75)</f>
        <v>54.75</v>
      </c>
      <c r="K86" s="13" t="n">
        <f aca="false">IFERROR(__xludf.dummyfunction("""COMPUTED_VALUE"""),109.5)</f>
        <v>109.5</v>
      </c>
      <c r="L86" s="13" t="str">
        <f aca="false">IFERROR(__xludf.dummyfunction("""COMPUTED_VALUE"""),"[Code: 2234BE] TA:bag may say damage nikla display krtay waqt seal sy open he")</f>
        <v>[Code: 2234BE] TA:bag may say damage nikla display krtay waqt seal sy open he</v>
      </c>
      <c r="M86" s="13" t="str">
        <f aca="false">IFERROR(__xludf.dummyfunction("""COMPUTED_VALUE"""),"2234BE")</f>
        <v>2234BE</v>
      </c>
      <c r="N86" s="13"/>
      <c r="O86" s="13" t="str">
        <f aca="false">IFERROR(__xludf.dummyfunction("""COMPUTED_VALUE"""),"taufeeq.akhtar@tajir-app.com")</f>
        <v>taufeeq.akhtar@tajir-app.com</v>
      </c>
      <c r="P86" s="13" t="str">
        <f aca="false">IFERROR(__xludf.dummyfunction("""COMPUTED_VALUE"""),"Taufeeq Akhtar ")</f>
        <v>Taufeeq Akhtar </v>
      </c>
      <c r="Q86" s="13" t="str">
        <f aca="false">IF(L86="","",L86)</f>
        <v>[Code: 2234BE] TA:bag may say damage nikla display krtay waqt seal sy open he</v>
      </c>
    </row>
    <row r="87" customFormat="false" ht="15.75" hidden="false" customHeight="false" outlineLevel="0" collapsed="false">
      <c r="A87" s="13" t="str">
        <f aca="false">IFERROR(__xludf.dummyfunction("""COMPUTED_VALUE"""),"Metro DC Faisalabad")</f>
        <v>Metro DC Faisalabad</v>
      </c>
      <c r="B87" s="13" t="str">
        <f aca="false">IFERROR(__xludf.dummyfunction("""COMPUTED_VALUE"""),"38f91ed7-8c25-4061-b1cb-85ac528c02dc")</f>
        <v>38f91ed7-8c25-4061-b1cb-85ac528c02dc</v>
      </c>
      <c r="C87" s="13" t="str">
        <f aca="false">IFERROR(__xludf.dummyfunction("""COMPUTED_VALUE"""),"Shangrila Tomato Ketchup x6 Bundle 70g")</f>
        <v>Shangrila Tomato Ketchup x6 Bundle 70g</v>
      </c>
      <c r="D87" s="13" t="str">
        <f aca="false">IFERROR(__xludf.dummyfunction("""COMPUTED_VALUE"""),"Shangrila")</f>
        <v>Shangrila</v>
      </c>
      <c r="E87" s="13" t="str">
        <f aca="false">IFERROR(__xludf.dummyfunction("""COMPUTED_VALUE"""),"Sauces")</f>
        <v>Sauces</v>
      </c>
      <c r="F87" s="11" t="n">
        <f aca="false">IFERROR(__xludf.dummyfunction("""COMPUTED_VALUE"""),45004)</f>
        <v>45004</v>
      </c>
      <c r="G87" s="16" t="n">
        <f aca="false">IFERROR(__xludf.dummyfunction("""COMPUTED_VALUE"""),0.0560737037018874)</f>
        <v>0.0560737037</v>
      </c>
      <c r="H87" s="13" t="str">
        <f aca="false">IFERROR(__xludf.dummyfunction("""COMPUTED_VALUE"""),"damaged stock")</f>
        <v>damaged stock</v>
      </c>
      <c r="I87" s="13" t="n">
        <f aca="false">IFERROR(__xludf.dummyfunction("""COMPUTED_VALUE"""),1)</f>
        <v>1</v>
      </c>
      <c r="J87" s="13" t="n">
        <f aca="false">IFERROR(__xludf.dummyfunction("""COMPUTED_VALUE"""),188.49)</f>
        <v>188.49</v>
      </c>
      <c r="K87" s="13" t="n">
        <f aca="false">IFERROR(__xludf.dummyfunction("""COMPUTED_VALUE"""),188.49)</f>
        <v>188.49</v>
      </c>
      <c r="L87" s="13" t="str">
        <f aca="false">IFERROR(__xludf.dummyfunction("""COMPUTED_VALUE"""),"[Code: 3347AC] TA:display lagaty waqt carton say damage nikla.")</f>
        <v>[Code: 3347AC] TA:display lagaty waqt carton say damage nikla.</v>
      </c>
      <c r="M87" s="13" t="str">
        <f aca="false">IFERROR(__xludf.dummyfunction("""COMPUTED_VALUE"""),"3347AC")</f>
        <v>3347AC</v>
      </c>
      <c r="N87" s="13"/>
      <c r="O87" s="13" t="str">
        <f aca="false">IFERROR(__xludf.dummyfunction("""COMPUTED_VALUE"""),"taufeeq.akhtar@tajir-app.com")</f>
        <v>taufeeq.akhtar@tajir-app.com</v>
      </c>
      <c r="P87" s="13" t="str">
        <f aca="false">IFERROR(__xludf.dummyfunction("""COMPUTED_VALUE"""),"Taufeeq Akhtar ")</f>
        <v>Taufeeq Akhtar </v>
      </c>
      <c r="Q87" s="13" t="str">
        <f aca="false">IF(L87="","",L87)</f>
        <v>[Code: 3347AC] TA:display lagaty waqt carton say damage nikla.</v>
      </c>
    </row>
    <row r="88" customFormat="false" ht="15.75" hidden="false" customHeight="false" outlineLevel="0" collapsed="false">
      <c r="A88" s="13" t="str">
        <f aca="false">IFERROR(__xludf.dummyfunction("""COMPUTED_VALUE"""),"Metro DC Faisalabad")</f>
        <v>Metro DC Faisalabad</v>
      </c>
      <c r="B88" s="13" t="str">
        <f aca="false">IFERROR(__xludf.dummyfunction("""COMPUTED_VALUE"""),"a5ea6cde-48a4-4099-bfe4-f4287dc723f1")</f>
        <v>a5ea6cde-48a4-4099-bfe4-f4287dc723f1</v>
      </c>
      <c r="C88" s="13" t="str">
        <f aca="false">IFERROR(__xludf.dummyfunction("""COMPUTED_VALUE"""),"Bonus tristar yellow surf 260g Rs50")</f>
        <v>Bonus tristar yellow surf 260g Rs50</v>
      </c>
      <c r="D88" s="13" t="str">
        <f aca="false">IFERROR(__xludf.dummyfunction("""COMPUTED_VALUE"""),"Bonus Surf")</f>
        <v>Bonus Surf</v>
      </c>
      <c r="E88" s="13" t="str">
        <f aca="false">IFERROR(__xludf.dummyfunction("""COMPUTED_VALUE"""),"Surf, Bleach")</f>
        <v>Surf, Bleach</v>
      </c>
      <c r="F88" s="11" t="n">
        <f aca="false">IFERROR(__xludf.dummyfunction("""COMPUTED_VALUE"""),45005)</f>
        <v>45005</v>
      </c>
      <c r="G88" s="16" t="n">
        <f aca="false">IFERROR(__xludf.dummyfunction("""COMPUTED_VALUE"""),0.989532557870182)</f>
        <v>0.9895325579</v>
      </c>
      <c r="H88" s="13" t="str">
        <f aca="false">IFERROR(__xludf.dummyfunction("""COMPUTED_VALUE"""),"damaged stock")</f>
        <v>damaged stock</v>
      </c>
      <c r="I88" s="13" t="n">
        <f aca="false">IFERROR(__xludf.dummyfunction("""COMPUTED_VALUE"""),1)</f>
        <v>1</v>
      </c>
      <c r="J88" s="13" t="n">
        <f aca="false">IFERROR(__xludf.dummyfunction("""COMPUTED_VALUE"""),45.59)</f>
        <v>45.59</v>
      </c>
      <c r="K88" s="13" t="n">
        <f aca="false">IFERROR(__xludf.dummyfunction("""COMPUTED_VALUE"""),45.59)</f>
        <v>45.59</v>
      </c>
      <c r="L88" s="13" t="str">
        <f aca="false">IFERROR(__xludf.dummyfunction("""COMPUTED_VALUE"""),"[Code: 236789] TA:bag say damage nikla display k doran.")</f>
        <v>[Code: 236789] TA:bag say damage nikla display k doran.</v>
      </c>
      <c r="M88" s="13" t="str">
        <f aca="false">IFERROR(__xludf.dummyfunction("""COMPUTED_VALUE"""),"236789")</f>
        <v>236789</v>
      </c>
      <c r="N88" s="13"/>
      <c r="O88" s="13" t="str">
        <f aca="false">IFERROR(__xludf.dummyfunction("""COMPUTED_VALUE"""),"taufeeq.akhtar@tajir-app.com")</f>
        <v>taufeeq.akhtar@tajir-app.com</v>
      </c>
      <c r="P88" s="13" t="str">
        <f aca="false">IFERROR(__xludf.dummyfunction("""COMPUTED_VALUE"""),"Taufeeq Akhtar ")</f>
        <v>Taufeeq Akhtar </v>
      </c>
      <c r="Q88" s="13" t="str">
        <f aca="false">IF(L88="","",L88)</f>
        <v>[Code: 236789] TA:bag say damage nikla display k doran.</v>
      </c>
    </row>
    <row r="89" customFormat="false" ht="15.75" hidden="false" customHeight="false" outlineLevel="0" collapsed="false">
      <c r="A89" s="13" t="str">
        <f aca="false">IFERROR(__xludf.dummyfunction("""COMPUTED_VALUE"""),"Metro DC Faisalabad")</f>
        <v>Metro DC Faisalabad</v>
      </c>
      <c r="B89" s="13" t="str">
        <f aca="false">IFERROR(__xludf.dummyfunction("""COMPUTED_VALUE"""),"186ae300-06b4-48fc-9604-02d2c07f5d21")</f>
        <v>186ae300-06b4-48fc-9604-02d2c07f5d21</v>
      </c>
      <c r="C89" s="13" t="str">
        <f aca="false">IFERROR(__xludf.dummyfunction("""COMPUTED_VALUE"""),"Ariel Original Surf x12 bundle 20g Rs 10")</f>
        <v>Ariel Original Surf x12 bundle 20g Rs 10</v>
      </c>
      <c r="D89" s="13" t="str">
        <f aca="false">IFERROR(__xludf.dummyfunction("""COMPUTED_VALUE"""),"Ariel Surf")</f>
        <v>Ariel Surf</v>
      </c>
      <c r="E89" s="13" t="str">
        <f aca="false">IFERROR(__xludf.dummyfunction("""COMPUTED_VALUE"""),"Surf, Bleach")</f>
        <v>Surf, Bleach</v>
      </c>
      <c r="F89" s="11" t="n">
        <f aca="false">IFERROR(__xludf.dummyfunction("""COMPUTED_VALUE"""),45005)</f>
        <v>45005</v>
      </c>
      <c r="G89" s="16" t="n">
        <f aca="false">IFERROR(__xludf.dummyfunction("""COMPUTED_VALUE"""),0.988385000001169)</f>
        <v>0.988385</v>
      </c>
      <c r="H89" s="13" t="str">
        <f aca="false">IFERROR(__xludf.dummyfunction("""COMPUTED_VALUE"""),"damaged stock")</f>
        <v>damaged stock</v>
      </c>
      <c r="I89" s="13" t="n">
        <f aca="false">IFERROR(__xludf.dummyfunction("""COMPUTED_VALUE"""),1)</f>
        <v>1</v>
      </c>
      <c r="J89" s="13" t="n">
        <f aca="false">IFERROR(__xludf.dummyfunction("""COMPUTED_VALUE"""),106.8)</f>
        <v>106.8</v>
      </c>
      <c r="K89" s="13" t="n">
        <f aca="false">IFERROR(__xludf.dummyfunction("""COMPUTED_VALUE"""),106.8)</f>
        <v>106.8</v>
      </c>
      <c r="L89" s="13" t="str">
        <f aca="false">IFERROR(__xludf.dummyfunction("""COMPUTED_VALUE"""),"[Code: 23378A] TA:bag may say damage nikla display k doran.")</f>
        <v>[Code: 23378A] TA:bag may say damage nikla display k doran.</v>
      </c>
      <c r="M89" s="13" t="str">
        <f aca="false">IFERROR(__xludf.dummyfunction("""COMPUTED_VALUE"""),"23378A")</f>
        <v>23378A</v>
      </c>
      <c r="N89" s="13"/>
      <c r="O89" s="13" t="str">
        <f aca="false">IFERROR(__xludf.dummyfunction("""COMPUTED_VALUE"""),"taufeeq.akhtar@tajir-app.com")</f>
        <v>taufeeq.akhtar@tajir-app.com</v>
      </c>
      <c r="P89" s="13" t="str">
        <f aca="false">IFERROR(__xludf.dummyfunction("""COMPUTED_VALUE"""),"Taufeeq Akhtar ")</f>
        <v>Taufeeq Akhtar </v>
      </c>
      <c r="Q89" s="13" t="str">
        <f aca="false">IF(L89="","",L89)</f>
        <v>[Code: 23378A] TA:bag may say damage nikla display k doran.</v>
      </c>
    </row>
    <row r="90" customFormat="false" ht="15.75" hidden="false" customHeight="false" outlineLevel="0" collapsed="false">
      <c r="A90" s="13" t="str">
        <f aca="false">IFERROR(__xludf.dummyfunction("""COMPUTED_VALUE"""),"Metro DC Faisalabad")</f>
        <v>Metro DC Faisalabad</v>
      </c>
      <c r="B90" s="13" t="str">
        <f aca="false">IFERROR(__xludf.dummyfunction("""COMPUTED_VALUE"""),"d864c0cd-914b-4a54-96d5-8e894ba5f3b6")</f>
        <v>d864c0cd-914b-4a54-96d5-8e894ba5f3b6</v>
      </c>
      <c r="C90" s="13" t="str">
        <f aca="false">IFERROR(__xludf.dummyfunction("""COMPUTED_VALUE"""),"Surf Excel x6 bundle 20g Rs 10")</f>
        <v>Surf Excel x6 bundle 20g Rs 10</v>
      </c>
      <c r="D90" s="13" t="str">
        <f aca="false">IFERROR(__xludf.dummyfunction("""COMPUTED_VALUE"""),"Surf Excel")</f>
        <v>Surf Excel</v>
      </c>
      <c r="E90" s="13" t="str">
        <f aca="false">IFERROR(__xludf.dummyfunction("""COMPUTED_VALUE"""),"Surf, Bleach")</f>
        <v>Surf, Bleach</v>
      </c>
      <c r="F90" s="11" t="n">
        <f aca="false">IFERROR(__xludf.dummyfunction("""COMPUTED_VALUE"""),45005)</f>
        <v>45005</v>
      </c>
      <c r="G90" s="16" t="n">
        <f aca="false">IFERROR(__xludf.dummyfunction("""COMPUTED_VALUE"""),0.986862638889444)</f>
        <v>0.9868626389</v>
      </c>
      <c r="H90" s="13" t="str">
        <f aca="false">IFERROR(__xludf.dummyfunction("""COMPUTED_VALUE"""),"damaged stock")</f>
        <v>damaged stock</v>
      </c>
      <c r="I90" s="13" t="n">
        <f aca="false">IFERROR(__xludf.dummyfunction("""COMPUTED_VALUE"""),1)</f>
        <v>1</v>
      </c>
      <c r="J90" s="13" t="n">
        <f aca="false">IFERROR(__xludf.dummyfunction("""COMPUTED_VALUE"""),54.75)</f>
        <v>54.75</v>
      </c>
      <c r="K90" s="13" t="n">
        <f aca="false">IFERROR(__xludf.dummyfunction("""COMPUTED_VALUE"""),54.75)</f>
        <v>54.75</v>
      </c>
      <c r="L90" s="13" t="str">
        <f aca="false">IFERROR(__xludf.dummyfunction("""COMPUTED_VALUE"""),"[Code: 33579C] TA:Sorting k doran damage hogia sorter say.")</f>
        <v>[Code: 33579C] TA:Sorting k doran damage hogia sorter say.</v>
      </c>
      <c r="M90" s="13" t="str">
        <f aca="false">IFERROR(__xludf.dummyfunction("""COMPUTED_VALUE"""),"33579C")</f>
        <v>33579C</v>
      </c>
      <c r="N90" s="13"/>
      <c r="O90" s="13" t="str">
        <f aca="false">IFERROR(__xludf.dummyfunction("""COMPUTED_VALUE"""),"taufeeq.akhtar@tajir-app.com")</f>
        <v>taufeeq.akhtar@tajir-app.com</v>
      </c>
      <c r="P90" s="13" t="str">
        <f aca="false">IFERROR(__xludf.dummyfunction("""COMPUTED_VALUE"""),"Taufeeq Akhtar ")</f>
        <v>Taufeeq Akhtar </v>
      </c>
      <c r="Q90" s="13" t="str">
        <f aca="false">IF(L90="","",L90)</f>
        <v>[Code: 33579C] TA:Sorting k doran damage hogia sorter say.</v>
      </c>
    </row>
    <row r="91" customFormat="false" ht="15.75" hidden="false" customHeight="false" outlineLevel="0" collapsed="false">
      <c r="A91" s="13" t="str">
        <f aca="false">IFERROR(__xludf.dummyfunction("""COMPUTED_VALUE"""),"Metro DC Faisalabad")</f>
        <v>Metro DC Faisalabad</v>
      </c>
      <c r="B91" s="13" t="str">
        <f aca="false">IFERROR(__xludf.dummyfunction("""COMPUTED_VALUE"""),"75edc3b0-f1d5-4e06-b8f6-848eeb320e52")</f>
        <v>75edc3b0-f1d5-4e06-b8f6-848eeb320e52</v>
      </c>
      <c r="C91" s="13" t="str">
        <f aca="false">IFERROR(__xludf.dummyfunction("""COMPUTED_VALUE"""),"Surf Excel x6 bundle 115g Rs50")</f>
        <v>Surf Excel x6 bundle 115g Rs50</v>
      </c>
      <c r="D91" s="13" t="str">
        <f aca="false">IFERROR(__xludf.dummyfunction("""COMPUTED_VALUE"""),"Surf Excel")</f>
        <v>Surf Excel</v>
      </c>
      <c r="E91" s="13" t="str">
        <f aca="false">IFERROR(__xludf.dummyfunction("""COMPUTED_VALUE"""),"Surf, Bleach")</f>
        <v>Surf, Bleach</v>
      </c>
      <c r="F91" s="11" t="n">
        <f aca="false">IFERROR(__xludf.dummyfunction("""COMPUTED_VALUE"""),45005)</f>
        <v>45005</v>
      </c>
      <c r="G91" s="16" t="n">
        <f aca="false">IFERROR(__xludf.dummyfunction("""COMPUTED_VALUE"""),0.9860896643521)</f>
        <v>0.9860896644</v>
      </c>
      <c r="H91" s="13" t="str">
        <f aca="false">IFERROR(__xludf.dummyfunction("""COMPUTED_VALUE"""),"damaged stock")</f>
        <v>damaged stock</v>
      </c>
      <c r="I91" s="13" t="n">
        <f aca="false">IFERROR(__xludf.dummyfunction("""COMPUTED_VALUE"""),1)</f>
        <v>1</v>
      </c>
      <c r="J91" s="13" t="n">
        <f aca="false">IFERROR(__xludf.dummyfunction("""COMPUTED_VALUE"""),272)</f>
        <v>272</v>
      </c>
      <c r="K91" s="13" t="n">
        <f aca="false">IFERROR(__xludf.dummyfunction("""COMPUTED_VALUE"""),272)</f>
        <v>272</v>
      </c>
      <c r="L91" s="13" t="str">
        <f aca="false">IFERROR(__xludf.dummyfunction("""COMPUTED_VALUE"""),"[Code: 588CCD] TA:bag may say damage nikla display krtay waqt.")</f>
        <v>[Code: 588CCD] TA:bag may say damage nikla display krtay waqt.</v>
      </c>
      <c r="M91" s="13" t="str">
        <f aca="false">IFERROR(__xludf.dummyfunction("""COMPUTED_VALUE"""),"588CCD")</f>
        <v>588CCD</v>
      </c>
      <c r="N91" s="13"/>
      <c r="O91" s="13" t="str">
        <f aca="false">IFERROR(__xludf.dummyfunction("""COMPUTED_VALUE"""),"taufeeq.akhtar@tajir-app.com")</f>
        <v>taufeeq.akhtar@tajir-app.com</v>
      </c>
      <c r="P91" s="13" t="str">
        <f aca="false">IFERROR(__xludf.dummyfunction("""COMPUTED_VALUE"""),"Taufeeq Akhtar ")</f>
        <v>Taufeeq Akhtar </v>
      </c>
      <c r="Q91" s="13" t="str">
        <f aca="false">IF(L91="","",L91)</f>
        <v>[Code: 588CCD] TA:bag may say damage nikla display krtay waqt.</v>
      </c>
    </row>
    <row r="92" customFormat="false" ht="15.75" hidden="false" customHeight="false" outlineLevel="0" collapsed="false">
      <c r="A92" s="13" t="str">
        <f aca="false">IFERROR(__xludf.dummyfunction("""COMPUTED_VALUE"""),"Metro DC Faisalabad")</f>
        <v>Metro DC Faisalabad</v>
      </c>
      <c r="B92" s="13" t="str">
        <f aca="false">IFERROR(__xludf.dummyfunction("""COMPUTED_VALUE"""),"c7372592-c402-4c85-b228-945a854bb01b")</f>
        <v>c7372592-c402-4c85-b228-945a854bb01b</v>
      </c>
      <c r="C92" s="13" t="str">
        <f aca="false">IFERROR(__xludf.dummyfunction("""COMPUTED_VALUE"""),"Murree Brewery Big Apple Can x24 Crate 250ml")</f>
        <v>Murree Brewery Big Apple Can x24 Crate 250ml</v>
      </c>
      <c r="D92" s="13" t="str">
        <f aca="false">IFERROR(__xludf.dummyfunction("""COMPUTED_VALUE"""),"Murree Brewery")</f>
        <v>Murree Brewery</v>
      </c>
      <c r="E92" s="13" t="str">
        <f aca="false">IFERROR(__xludf.dummyfunction("""COMPUTED_VALUE"""),"Beverages")</f>
        <v>Beverages</v>
      </c>
      <c r="F92" s="11" t="n">
        <f aca="false">IFERROR(__xludf.dummyfunction("""COMPUTED_VALUE"""),45007)</f>
        <v>45007</v>
      </c>
      <c r="G92" s="16" t="n">
        <f aca="false">IFERROR(__xludf.dummyfunction("""COMPUTED_VALUE"""),0.675379525461502)</f>
        <v>0.6753795255</v>
      </c>
      <c r="H92" s="13" t="str">
        <f aca="false">IFERROR(__xludf.dummyfunction("""COMPUTED_VALUE"""),"expired stock")</f>
        <v>expired stock</v>
      </c>
      <c r="I92" s="13" t="n">
        <f aca="false">IFERROR(__xludf.dummyfunction("""COMPUTED_VALUE"""),28)</f>
        <v>28</v>
      </c>
      <c r="J92" s="13" t="n">
        <f aca="false">IFERROR(__xludf.dummyfunction("""COMPUTED_VALUE"""),1203)</f>
        <v>1203</v>
      </c>
      <c r="K92" s="13" t="n">
        <f aca="false">IFERROR(__xludf.dummyfunction("""COMPUTED_VALUE"""),33684)</f>
        <v>33684</v>
      </c>
      <c r="L92" s="13" t="str">
        <f aca="false">IFERROR(__xludf.dummyfunction("""COMPUTED_VALUE"""),"[Code: 355668] [Expiry: 1 Apr, 2023] ZA: Short expiry stock")</f>
        <v>[Code: 355668] [Expiry: 1 Apr, 2023] ZA: Short expiry stock</v>
      </c>
      <c r="M92" s="13" t="str">
        <f aca="false">IFERROR(__xludf.dummyfunction("""COMPUTED_VALUE"""),"355668")</f>
        <v>355668</v>
      </c>
      <c r="N92" s="13" t="str">
        <f aca="false">IFERROR(__xludf.dummyfunction("""COMPUTED_VALUE"""),"1 Apr, 2023")</f>
        <v>1 Apr, 2023</v>
      </c>
      <c r="O92" s="13" t="str">
        <f aca="false">IFERROR(__xludf.dummyfunction("""COMPUTED_VALUE"""),"zeeshan.alimalik@tajir-app.com")</f>
        <v>zeeshan.alimalik@tajir-app.com</v>
      </c>
      <c r="P92" s="13" t="str">
        <f aca="false">IFERROR(__xludf.dummyfunction("""COMPUTED_VALUE"""),"Zeeshan Ali Malik")</f>
        <v>Zeeshan Ali Malik</v>
      </c>
      <c r="Q92" s="13" t="str">
        <f aca="false">IF(L92="","",L92)</f>
        <v>[Code: 355668] [Expiry: 1 Apr, 2023] ZA: Short expiry stock</v>
      </c>
    </row>
    <row r="93" customFormat="false" ht="15.75" hidden="false" customHeight="false" outlineLevel="0" collapsed="false">
      <c r="A93" s="13" t="str">
        <f aca="false">IFERROR(__xludf.dummyfunction("""COMPUTED_VALUE"""),"Metro DC Faisalabad")</f>
        <v>Metro DC Faisalabad</v>
      </c>
      <c r="B93" s="13" t="str">
        <f aca="false">IFERROR(__xludf.dummyfunction("""COMPUTED_VALUE"""),"a5ea6cde-48a4-4099-bfe4-f4287dc723f1")</f>
        <v>a5ea6cde-48a4-4099-bfe4-f4287dc723f1</v>
      </c>
      <c r="C93" s="13" t="str">
        <f aca="false">IFERROR(__xludf.dummyfunction("""COMPUTED_VALUE"""),"Bonus tristar yellow surf 260g Rs50")</f>
        <v>Bonus tristar yellow surf 260g Rs50</v>
      </c>
      <c r="D93" s="13" t="str">
        <f aca="false">IFERROR(__xludf.dummyfunction("""COMPUTED_VALUE"""),"Bonus Surf")</f>
        <v>Bonus Surf</v>
      </c>
      <c r="E93" s="13" t="str">
        <f aca="false">IFERROR(__xludf.dummyfunction("""COMPUTED_VALUE"""),"Surf, Bleach")</f>
        <v>Surf, Bleach</v>
      </c>
      <c r="F93" s="11" t="n">
        <f aca="false">IFERROR(__xludf.dummyfunction("""COMPUTED_VALUE"""),45007)</f>
        <v>45007</v>
      </c>
      <c r="G93" s="16" t="n">
        <f aca="false">IFERROR(__xludf.dummyfunction("""COMPUTED_VALUE"""),0.00245898148026343)</f>
        <v>0.00245898148</v>
      </c>
      <c r="H93" s="13" t="str">
        <f aca="false">IFERROR(__xludf.dummyfunction("""COMPUTED_VALUE"""),"damaged stock")</f>
        <v>damaged stock</v>
      </c>
      <c r="I93" s="13" t="n">
        <f aca="false">IFERROR(__xludf.dummyfunction("""COMPUTED_VALUE"""),1)</f>
        <v>1</v>
      </c>
      <c r="J93" s="13" t="n">
        <f aca="false">IFERROR(__xludf.dummyfunction("""COMPUTED_VALUE"""),45.59)</f>
        <v>45.59</v>
      </c>
      <c r="K93" s="13" t="n">
        <f aca="false">IFERROR(__xludf.dummyfunction("""COMPUTED_VALUE"""),45.59)</f>
        <v>45.59</v>
      </c>
      <c r="L93" s="13" t="str">
        <f aca="false">IFERROR(__xludf.dummyfunction("""COMPUTED_VALUE"""),"[Code: 4467AA] TA;Bag sy damge nikla he seal sy open he.")</f>
        <v>[Code: 4467AA] TA;Bag sy damge nikla he seal sy open he.</v>
      </c>
      <c r="M93" s="13" t="str">
        <f aca="false">IFERROR(__xludf.dummyfunction("""COMPUTED_VALUE"""),"4467AA")</f>
        <v>4467AA</v>
      </c>
      <c r="N93" s="13"/>
      <c r="O93" s="13" t="str">
        <f aca="false">IFERROR(__xludf.dummyfunction("""COMPUTED_VALUE"""),"taufeeq.akhtar@tajir-app.com")</f>
        <v>taufeeq.akhtar@tajir-app.com</v>
      </c>
      <c r="P93" s="13" t="str">
        <f aca="false">IFERROR(__xludf.dummyfunction("""COMPUTED_VALUE"""),"Taufeeq Akhtar ")</f>
        <v>Taufeeq Akhtar </v>
      </c>
      <c r="Q93" s="13" t="str">
        <f aca="false">IF(L93="","",L93)</f>
        <v>[Code: 4467AA] TA;Bag sy damge nikla he seal sy open he.</v>
      </c>
    </row>
    <row r="94" customFormat="false" ht="15.75" hidden="false" customHeight="false" outlineLevel="0" collapsed="false">
      <c r="A94" s="13" t="str">
        <f aca="false">IFERROR(__xludf.dummyfunction("""COMPUTED_VALUE"""),"Metro DC Faisalabad")</f>
        <v>Metro DC Faisalabad</v>
      </c>
      <c r="B94" s="13" t="str">
        <f aca="false">IFERROR(__xludf.dummyfunction("""COMPUTED_VALUE"""),"d673742c-5290-4691-88c8-ed8b00341db9")</f>
        <v>d673742c-5290-4691-88c8-ed8b00341db9</v>
      </c>
      <c r="C94" s="13" t="str">
        <f aca="false">IFERROR(__xludf.dummyfunction("""COMPUTED_VALUE"""),"Shangrila Tomato Ketchup x6 Bundle 80g Rs40")</f>
        <v>Shangrila Tomato Ketchup x6 Bundle 80g Rs40</v>
      </c>
      <c r="D94" s="13" t="str">
        <f aca="false">IFERROR(__xludf.dummyfunction("""COMPUTED_VALUE"""),"Shangrila")</f>
        <v>Shangrila</v>
      </c>
      <c r="E94" s="13" t="str">
        <f aca="false">IFERROR(__xludf.dummyfunction("""COMPUTED_VALUE"""),"Sauces")</f>
        <v>Sauces</v>
      </c>
      <c r="F94" s="11" t="n">
        <f aca="false">IFERROR(__xludf.dummyfunction("""COMPUTED_VALUE"""),45009)</f>
        <v>45009</v>
      </c>
      <c r="G94" s="16" t="n">
        <f aca="false">IFERROR(__xludf.dummyfunction("""COMPUTED_VALUE"""),0.973931875001584)</f>
        <v>0.973931875</v>
      </c>
      <c r="H94" s="13" t="str">
        <f aca="false">IFERROR(__xludf.dummyfunction("""COMPUTED_VALUE"""),"damaged stock")</f>
        <v>damaged stock</v>
      </c>
      <c r="I94" s="13" t="n">
        <f aca="false">IFERROR(__xludf.dummyfunction("""COMPUTED_VALUE"""),1)</f>
        <v>1</v>
      </c>
      <c r="J94" s="13" t="n">
        <f aca="false">IFERROR(__xludf.dummyfunction("""COMPUTED_VALUE"""),188.49)</f>
        <v>188.49</v>
      </c>
      <c r="K94" s="13" t="n">
        <f aca="false">IFERROR(__xludf.dummyfunction("""COMPUTED_VALUE"""),188.49)</f>
        <v>188.49</v>
      </c>
      <c r="L94" s="13" t="str">
        <f aca="false">IFERROR(__xludf.dummyfunction("""COMPUTED_VALUE"""),"[Code: 25689B] TA:found damaged in the rake during sorting.")</f>
        <v>[Code: 25689B] TA:found damaged in the rake during sorting.</v>
      </c>
      <c r="M94" s="13" t="str">
        <f aca="false">IFERROR(__xludf.dummyfunction("""COMPUTED_VALUE"""),"25689B")</f>
        <v>25689B</v>
      </c>
      <c r="N94" s="13"/>
      <c r="O94" s="13" t="str">
        <f aca="false">IFERROR(__xludf.dummyfunction("""COMPUTED_VALUE"""),"taufeeq.akhtar@tajir-app.com")</f>
        <v>taufeeq.akhtar@tajir-app.com</v>
      </c>
      <c r="P94" s="13" t="str">
        <f aca="false">IFERROR(__xludf.dummyfunction("""COMPUTED_VALUE"""),"Taufeeq Akhtar ")</f>
        <v>Taufeeq Akhtar </v>
      </c>
      <c r="Q94" s="13" t="str">
        <f aca="false">IF(L94="","",L94)</f>
        <v>[Code: 25689B] TA:found damaged in the rake during sorting.</v>
      </c>
    </row>
    <row r="95" customFormat="false" ht="15.75" hidden="false" customHeight="false" outlineLevel="0" collapsed="false">
      <c r="A95" s="13" t="str">
        <f aca="false">IFERROR(__xludf.dummyfunction("""COMPUTED_VALUE"""),"Metro DC Faisalabad")</f>
        <v>Metro DC Faisalabad</v>
      </c>
      <c r="B95" s="13" t="str">
        <f aca="false">IFERROR(__xludf.dummyfunction("""COMPUTED_VALUE"""),"d673742c-5290-4691-88c8-ed8b00341db9")</f>
        <v>d673742c-5290-4691-88c8-ed8b00341db9</v>
      </c>
      <c r="C95" s="13" t="str">
        <f aca="false">IFERROR(__xludf.dummyfunction("""COMPUTED_VALUE"""),"Shangrila Tomato Ketchup x6 Bundle 80g Rs40")</f>
        <v>Shangrila Tomato Ketchup x6 Bundle 80g Rs40</v>
      </c>
      <c r="D95" s="13" t="str">
        <f aca="false">IFERROR(__xludf.dummyfunction("""COMPUTED_VALUE"""),"Shangrila")</f>
        <v>Shangrila</v>
      </c>
      <c r="E95" s="13" t="str">
        <f aca="false">IFERROR(__xludf.dummyfunction("""COMPUTED_VALUE"""),"Sauces")</f>
        <v>Sauces</v>
      </c>
      <c r="F95" s="11" t="n">
        <f aca="false">IFERROR(__xludf.dummyfunction("""COMPUTED_VALUE"""),45009)</f>
        <v>45009</v>
      </c>
      <c r="G95" s="16" t="n">
        <f aca="false">IFERROR(__xludf.dummyfunction("""COMPUTED_VALUE"""),0.973925231483066)</f>
        <v>0.9739252315</v>
      </c>
      <c r="H95" s="13" t="str">
        <f aca="false">IFERROR(__xludf.dummyfunction("""COMPUTED_VALUE"""),"damaged stock")</f>
        <v>damaged stock</v>
      </c>
      <c r="I95" s="13" t="n">
        <f aca="false">IFERROR(__xludf.dummyfunction("""COMPUTED_VALUE"""),1)</f>
        <v>1</v>
      </c>
      <c r="J95" s="13" t="n">
        <f aca="false">IFERROR(__xludf.dummyfunction("""COMPUTED_VALUE"""),188.49)</f>
        <v>188.49</v>
      </c>
      <c r="K95" s="13" t="n">
        <f aca="false">IFERROR(__xludf.dummyfunction("""COMPUTED_VALUE"""),188.49)</f>
        <v>188.49</v>
      </c>
      <c r="L95" s="13" t="str">
        <f aca="false">IFERROR(__xludf.dummyfunction("""COMPUTED_VALUE"""),"[Code: 25689B] TA:found damaged in the rake during sorting.")</f>
        <v>[Code: 25689B] TA:found damaged in the rake during sorting.</v>
      </c>
      <c r="M95" s="13" t="str">
        <f aca="false">IFERROR(__xludf.dummyfunction("""COMPUTED_VALUE"""),"25689B")</f>
        <v>25689B</v>
      </c>
      <c r="N95" s="13"/>
      <c r="O95" s="13" t="str">
        <f aca="false">IFERROR(__xludf.dummyfunction("""COMPUTED_VALUE"""),"taufeeq.akhtar@tajir-app.com")</f>
        <v>taufeeq.akhtar@tajir-app.com</v>
      </c>
      <c r="P95" s="13" t="str">
        <f aca="false">IFERROR(__xludf.dummyfunction("""COMPUTED_VALUE"""),"Taufeeq Akhtar ")</f>
        <v>Taufeeq Akhtar </v>
      </c>
      <c r="Q95" s="13" t="str">
        <f aca="false">IF(L95="","",L95)</f>
        <v>[Code: 25689B] TA:found damaged in the rake during sorting.</v>
      </c>
    </row>
    <row r="96" customFormat="false" ht="15.75" hidden="false" customHeight="false" outlineLevel="0" collapsed="false">
      <c r="A96" s="13" t="str">
        <f aca="false">IFERROR(__xludf.dummyfunction("""COMPUTED_VALUE"""),"Metro DC Faisalabad")</f>
        <v>Metro DC Faisalabad</v>
      </c>
      <c r="B96" s="13" t="str">
        <f aca="false">IFERROR(__xludf.dummyfunction("""COMPUTED_VALUE"""),"4c447aed-9a95-4032-b894-8b48ec3876ce")</f>
        <v>4c447aed-9a95-4032-b894-8b48ec3876ce</v>
      </c>
      <c r="C96" s="13" t="str">
        <f aca="false">IFERROR(__xludf.dummyfunction("""COMPUTED_VALUE"""),"Shangrila Tomato Ketchup x3 Bundle 400g Rs175")</f>
        <v>Shangrila Tomato Ketchup x3 Bundle 400g Rs175</v>
      </c>
      <c r="D96" s="13" t="str">
        <f aca="false">IFERROR(__xludf.dummyfunction("""COMPUTED_VALUE"""),"Shangrila")</f>
        <v>Shangrila</v>
      </c>
      <c r="E96" s="13" t="str">
        <f aca="false">IFERROR(__xludf.dummyfunction("""COMPUTED_VALUE"""),"Sauces")</f>
        <v>Sauces</v>
      </c>
      <c r="F96" s="11" t="n">
        <f aca="false">IFERROR(__xludf.dummyfunction("""COMPUTED_VALUE"""),45009)</f>
        <v>45009</v>
      </c>
      <c r="G96" s="16" t="n">
        <f aca="false">IFERROR(__xludf.dummyfunction("""COMPUTED_VALUE"""),0.972727500000329)</f>
        <v>0.9727275</v>
      </c>
      <c r="H96" s="13" t="str">
        <f aca="false">IFERROR(__xludf.dummyfunction("""COMPUTED_VALUE"""),"damaged stock")</f>
        <v>damaged stock</v>
      </c>
      <c r="I96" s="13" t="n">
        <f aca="false">IFERROR(__xludf.dummyfunction("""COMPUTED_VALUE"""),1)</f>
        <v>1</v>
      </c>
      <c r="J96" s="13" t="n">
        <f aca="false">IFERROR(__xludf.dummyfunction("""COMPUTED_VALUE"""),430.85)</f>
        <v>430.85</v>
      </c>
      <c r="K96" s="13" t="n">
        <f aca="false">IFERROR(__xludf.dummyfunction("""COMPUTED_VALUE"""),430.85)</f>
        <v>430.85</v>
      </c>
      <c r="L96" s="13" t="str">
        <f aca="false">IFERROR(__xludf.dummyfunction("""COMPUTED_VALUE"""),"[Code: 23579A] TA: display krtay waqt carton may say damaged nikla.")</f>
        <v>[Code: 23579A] TA: display krtay waqt carton may say damaged nikla.</v>
      </c>
      <c r="M96" s="13" t="str">
        <f aca="false">IFERROR(__xludf.dummyfunction("""COMPUTED_VALUE"""),"23579A")</f>
        <v>23579A</v>
      </c>
      <c r="N96" s="13"/>
      <c r="O96" s="13" t="str">
        <f aca="false">IFERROR(__xludf.dummyfunction("""COMPUTED_VALUE"""),"taufeeq.akhtar@tajir-app.com")</f>
        <v>taufeeq.akhtar@tajir-app.com</v>
      </c>
      <c r="P96" s="13" t="str">
        <f aca="false">IFERROR(__xludf.dummyfunction("""COMPUTED_VALUE"""),"Taufeeq Akhtar ")</f>
        <v>Taufeeq Akhtar </v>
      </c>
      <c r="Q96" s="13" t="str">
        <f aca="false">IF(L96="","",L96)</f>
        <v>[Code: 23579A] TA: display krtay waqt carton may say damaged nikla.</v>
      </c>
    </row>
    <row r="97" customFormat="false" ht="15.75" hidden="false" customHeight="false" outlineLevel="0" collapsed="false">
      <c r="A97" s="13" t="str">
        <f aca="false">IFERROR(__xludf.dummyfunction("""COMPUTED_VALUE"""),"Metro DC Faisalabad")</f>
        <v>Metro DC Faisalabad</v>
      </c>
      <c r="B97" s="13" t="str">
        <f aca="false">IFERROR(__xludf.dummyfunction("""COMPUTED_VALUE"""),"67c33ff3-e486-487d-844a-b17c396936ee")</f>
        <v>67c33ff3-e486-487d-844a-b17c396936ee</v>
      </c>
      <c r="C97" s="13" t="str">
        <f aca="false">IFERROR(__xludf.dummyfunction("""COMPUTED_VALUE"""),"Coca Cola plastic 1L")</f>
        <v>Coca Cola plastic 1L</v>
      </c>
      <c r="D97" s="13" t="str">
        <f aca="false">IFERROR(__xludf.dummyfunction("""COMPUTED_VALUE"""),"Coca Cola")</f>
        <v>Coca Cola</v>
      </c>
      <c r="E97" s="13" t="str">
        <f aca="false">IFERROR(__xludf.dummyfunction("""COMPUTED_VALUE"""),"Beverages")</f>
        <v>Beverages</v>
      </c>
      <c r="F97" s="11" t="n">
        <f aca="false">IFERROR(__xludf.dummyfunction("""COMPUTED_VALUE"""),45009)</f>
        <v>45009</v>
      </c>
      <c r="G97" s="16" t="n">
        <f aca="false">IFERROR(__xludf.dummyfunction("""COMPUTED_VALUE"""),0.971270972223618)</f>
        <v>0.9712709722</v>
      </c>
      <c r="H97" s="13" t="str">
        <f aca="false">IFERROR(__xludf.dummyfunction("""COMPUTED_VALUE"""),"damaged stock")</f>
        <v>damaged stock</v>
      </c>
      <c r="I97" s="13" t="n">
        <f aca="false">IFERROR(__xludf.dummyfunction("""COMPUTED_VALUE"""),1)</f>
        <v>1</v>
      </c>
      <c r="J97" s="13" t="n">
        <f aca="false">IFERROR(__xludf.dummyfunction("""COMPUTED_VALUE"""),632)</f>
        <v>632</v>
      </c>
      <c r="K97" s="13" t="n">
        <f aca="false">IFERROR(__xludf.dummyfunction("""COMPUTED_VALUE"""),632)</f>
        <v>632</v>
      </c>
      <c r="L97" s="13" t="str">
        <f aca="false">IFERROR(__xludf.dummyfunction("""COMPUTED_VALUE"""),"[Code: 368GHL] TA:Low fill and found damaged in the display (company end issue)")</f>
        <v>[Code: 368GHL] TA:Low fill and found damaged in the display (company end issue)</v>
      </c>
      <c r="M97" s="13" t="str">
        <f aca="false">IFERROR(__xludf.dummyfunction("""COMPUTED_VALUE"""),"368GHL")</f>
        <v>368GHL</v>
      </c>
      <c r="N97" s="13"/>
      <c r="O97" s="13" t="str">
        <f aca="false">IFERROR(__xludf.dummyfunction("""COMPUTED_VALUE"""),"taufeeq.akhtar@tajir-app.com")</f>
        <v>taufeeq.akhtar@tajir-app.com</v>
      </c>
      <c r="P97" s="13" t="str">
        <f aca="false">IFERROR(__xludf.dummyfunction("""COMPUTED_VALUE"""),"Taufeeq Akhtar ")</f>
        <v>Taufeeq Akhtar </v>
      </c>
      <c r="Q97" s="13" t="str">
        <f aca="false">IF(L97="","",L97)</f>
        <v>[Code: 368GHL] TA:Low fill and found damaged in the display (company end issue)</v>
      </c>
    </row>
    <row r="98" customFormat="false" ht="15.75" hidden="false" customHeight="false" outlineLevel="0" collapsed="false">
      <c r="A98" s="13" t="str">
        <f aca="false">IFERROR(__xludf.dummyfunction("""COMPUTED_VALUE"""),"Metro DC Faisalabad")</f>
        <v>Metro DC Faisalabad</v>
      </c>
      <c r="B98" s="13" t="str">
        <f aca="false">IFERROR(__xludf.dummyfunction("""COMPUTED_VALUE"""),"cd68a607-af95-45cb-b9f4-2721224c85f8")</f>
        <v>cd68a607-af95-45cb-b9f4-2721224c85f8</v>
      </c>
      <c r="C98" s="13" t="str">
        <f aca="false">IFERROR(__xludf.dummyfunction("""COMPUTED_VALUE"""),"Coca Cola plastic 1.5L")</f>
        <v>Coca Cola plastic 1.5L</v>
      </c>
      <c r="D98" s="13" t="str">
        <f aca="false">IFERROR(__xludf.dummyfunction("""COMPUTED_VALUE"""),"Coca Cola")</f>
        <v>Coca Cola</v>
      </c>
      <c r="E98" s="13" t="str">
        <f aca="false">IFERROR(__xludf.dummyfunction("""COMPUTED_VALUE"""),"Beverages")</f>
        <v>Beverages</v>
      </c>
      <c r="F98" s="11" t="n">
        <f aca="false">IFERROR(__xludf.dummyfunction("""COMPUTED_VALUE"""),45009)</f>
        <v>45009</v>
      </c>
      <c r="G98" s="16" t="n">
        <f aca="false">IFERROR(__xludf.dummyfunction("""COMPUTED_VALUE"""),0.968729305553782)</f>
        <v>0.9687293056</v>
      </c>
      <c r="H98" s="13" t="str">
        <f aca="false">IFERROR(__xludf.dummyfunction("""COMPUTED_VALUE"""),"damaged stock")</f>
        <v>damaged stock</v>
      </c>
      <c r="I98" s="13" t="n">
        <f aca="false">IFERROR(__xludf.dummyfunction("""COMPUTED_VALUE"""),1)</f>
        <v>1</v>
      </c>
      <c r="J98" s="13" t="n">
        <f aca="false">IFERROR(__xludf.dummyfunction("""COMPUTED_VALUE"""),790)</f>
        <v>790</v>
      </c>
      <c r="K98" s="13" t="n">
        <f aca="false">IFERROR(__xludf.dummyfunction("""COMPUTED_VALUE"""),790)</f>
        <v>790</v>
      </c>
      <c r="L98" s="13" t="str">
        <f aca="false">IFERROR(__xludf.dummyfunction("""COMPUTED_VALUE"""),"[Code: 47ABCD] TA:low fill and bottle seal is also loosed (company end issue)")</f>
        <v>[Code: 47ABCD] TA:low fill and bottle seal is also loosed (company end issue)</v>
      </c>
      <c r="M98" s="13" t="str">
        <f aca="false">IFERROR(__xludf.dummyfunction("""COMPUTED_VALUE"""),"47ABCD")</f>
        <v>47ABCD</v>
      </c>
      <c r="N98" s="13"/>
      <c r="O98" s="13" t="str">
        <f aca="false">IFERROR(__xludf.dummyfunction("""COMPUTED_VALUE"""),"taufeeq.akhtar@tajir-app.com")</f>
        <v>taufeeq.akhtar@tajir-app.com</v>
      </c>
      <c r="P98" s="13" t="str">
        <f aca="false">IFERROR(__xludf.dummyfunction("""COMPUTED_VALUE"""),"Taufeeq Akhtar ")</f>
        <v>Taufeeq Akhtar </v>
      </c>
      <c r="Q98" s="13" t="str">
        <f aca="false">IF(L98="","",L98)</f>
        <v>[Code: 47ABCD] TA:low fill and bottle seal is also loosed (company end issue)</v>
      </c>
    </row>
    <row r="99" customFormat="false" ht="15.75" hidden="false" customHeight="false" outlineLevel="0" collapsed="false">
      <c r="A99" s="13" t="str">
        <f aca="false">IFERROR(__xludf.dummyfunction("""COMPUTED_VALUE"""),"Metro DC Faisalabad")</f>
        <v>Metro DC Faisalabad</v>
      </c>
      <c r="B99" s="13" t="str">
        <f aca="false">IFERROR(__xludf.dummyfunction("""COMPUTED_VALUE"""),"89a7eba5-d5a6-48cb-8b55-2b0790561ea2")</f>
        <v>89a7eba5-d5a6-48cb-8b55-2b0790561ea2</v>
      </c>
      <c r="C99" s="13" t="str">
        <f aca="false">IFERROR(__xludf.dummyfunction("""COMPUTED_VALUE"""),"Super Crisp Salted Popular Pack Rs20 14g")</f>
        <v>Super Crisp Salted Popular Pack Rs20 14g</v>
      </c>
      <c r="D99" s="13" t="str">
        <f aca="false">IFERROR(__xludf.dummyfunction("""COMPUTED_VALUE"""),"Super Crisp")</f>
        <v>Super Crisp</v>
      </c>
      <c r="E99" s="13" t="str">
        <f aca="false">IFERROR(__xludf.dummyfunction("""COMPUTED_VALUE"""),"Snacks")</f>
        <v>Snacks</v>
      </c>
      <c r="F99" s="11" t="n">
        <f aca="false">IFERROR(__xludf.dummyfunction("""COMPUTED_VALUE"""),45011)</f>
        <v>45011</v>
      </c>
      <c r="G99" s="16" t="n">
        <f aca="false">IFERROR(__xludf.dummyfunction("""COMPUTED_VALUE"""),0.795979363425894)</f>
        <v>0.7959793634</v>
      </c>
      <c r="H99" s="13" t="str">
        <f aca="false">IFERROR(__xludf.dummyfunction("""COMPUTED_VALUE"""),"expired stock")</f>
        <v>expired stock</v>
      </c>
      <c r="I99" s="13" t="n">
        <f aca="false">IFERROR(__xludf.dummyfunction("""COMPUTED_VALUE"""),1)</f>
        <v>1</v>
      </c>
      <c r="J99" s="13" t="n">
        <f aca="false">IFERROR(__xludf.dummyfunction("""COMPUTED_VALUE"""),811.49)</f>
        <v>811.49</v>
      </c>
      <c r="K99" s="13" t="n">
        <f aca="false">IFERROR(__xludf.dummyfunction("""COMPUTED_VALUE"""),811.49)</f>
        <v>811.49</v>
      </c>
      <c r="L99" s="13" t="str">
        <f aca="false">IFERROR(__xludf.dummyfunction("""COMPUTED_VALUE"""),"[Code: 34568C] [Expiry: 9 Apr, 2023] Short Expiry")</f>
        <v>[Code: 34568C] [Expiry: 9 Apr, 2023] Short Expiry</v>
      </c>
      <c r="M99" s="13" t="str">
        <f aca="false">IFERROR(__xludf.dummyfunction("""COMPUTED_VALUE"""),"34568C")</f>
        <v>34568C</v>
      </c>
      <c r="N99" s="13" t="str">
        <f aca="false">IFERROR(__xludf.dummyfunction("""COMPUTED_VALUE"""),"9 Apr, 2023")</f>
        <v>9 Apr, 2023</v>
      </c>
      <c r="O99" s="13" t="str">
        <f aca="false">IFERROR(__xludf.dummyfunction("""COMPUTED_VALUE"""),"ali.raza@tajir-app.com")</f>
        <v>ali.raza@tajir-app.com</v>
      </c>
      <c r="P99" s="13" t="str">
        <f aca="false">IFERROR(__xludf.dummyfunction("""COMPUTED_VALUE"""),"Ali Raza ")</f>
        <v>Ali Raza </v>
      </c>
      <c r="Q99" s="13" t="str">
        <f aca="false">IF(L99="","",L99)</f>
        <v>[Code: 34568C] [Expiry: 9 Apr, 2023] Short Expiry</v>
      </c>
    </row>
    <row r="100" customFormat="false" ht="15.75" hidden="false" customHeight="false" outlineLevel="0" collapsed="false">
      <c r="A100" s="13" t="str">
        <f aca="false">IFERROR(__xludf.dummyfunction("""COMPUTED_VALUE"""),"Metro DC Faisalabad")</f>
        <v>Metro DC Faisalabad</v>
      </c>
      <c r="B100" s="13" t="str">
        <f aca="false">IFERROR(__xludf.dummyfunction("""COMPUTED_VALUE"""),"886117d5-99b1-4ea5-b746-725766108721")</f>
        <v>886117d5-99b1-4ea5-b746-725766108721</v>
      </c>
      <c r="C100" s="13" t="str">
        <f aca="false">IFERROR(__xludf.dummyfunction("""COMPUTED_VALUE"""),"Murree Brewery Pineapple Malt Glass x24 Crate 300ml")</f>
        <v>Murree Brewery Pineapple Malt Glass x24 Crate 300ml</v>
      </c>
      <c r="D100" s="13" t="str">
        <f aca="false">IFERROR(__xludf.dummyfunction("""COMPUTED_VALUE"""),"Murree Brewery")</f>
        <v>Murree Brewery</v>
      </c>
      <c r="E100" s="13" t="str">
        <f aca="false">IFERROR(__xludf.dummyfunction("""COMPUTED_VALUE"""),"Beverages")</f>
        <v>Beverages</v>
      </c>
      <c r="F100" s="11" t="n">
        <f aca="false">IFERROR(__xludf.dummyfunction("""COMPUTED_VALUE"""),45012)</f>
        <v>45012</v>
      </c>
      <c r="G100" s="16" t="n">
        <f aca="false">IFERROR(__xludf.dummyfunction("""COMPUTED_VALUE"""),0.929420949074624)</f>
        <v>0.9294209491</v>
      </c>
      <c r="H100" s="13" t="str">
        <f aca="false">IFERROR(__xludf.dummyfunction("""COMPUTED_VALUE"""),"expired stock")</f>
        <v>expired stock</v>
      </c>
      <c r="I100" s="13" t="n">
        <f aca="false">IFERROR(__xludf.dummyfunction("""COMPUTED_VALUE"""),33)</f>
        <v>33</v>
      </c>
      <c r="J100" s="13" t="n">
        <f aca="false">IFERROR(__xludf.dummyfunction("""COMPUTED_VALUE"""),1021)</f>
        <v>1021</v>
      </c>
      <c r="K100" s="13" t="n">
        <f aca="false">IFERROR(__xludf.dummyfunction("""COMPUTED_VALUE"""),33693)</f>
        <v>33693</v>
      </c>
      <c r="L100" s="13" t="str">
        <f aca="false">IFERROR(__xludf.dummyfunction("""COMPUTED_VALUE"""),"[Code: 222245] [Expiry: 4 Oct, 2023] TA:short expired stock(4 oct, ki stock pari hay 33 units)")</f>
        <v>[Code: 222245] [Expiry: 4 Oct, 2023] TA:short expired stock(4 oct, ki stock pari hay 33 units)</v>
      </c>
      <c r="M100" s="13" t="str">
        <f aca="false">IFERROR(__xludf.dummyfunction("""COMPUTED_VALUE"""),"222245")</f>
        <v>222245</v>
      </c>
      <c r="N100" s="13" t="str">
        <f aca="false">IFERROR(__xludf.dummyfunction("""COMPUTED_VALUE"""),"4 Oct, 2023")</f>
        <v>4 Oct, 2023</v>
      </c>
      <c r="O100" s="13" t="str">
        <f aca="false">IFERROR(__xludf.dummyfunction("""COMPUTED_VALUE"""),"taufeeq.akhtar@tajir-app.com")</f>
        <v>taufeeq.akhtar@tajir-app.com</v>
      </c>
      <c r="P100" s="13" t="str">
        <f aca="false">IFERROR(__xludf.dummyfunction("""COMPUTED_VALUE"""),"Taufeeq Akhtar ")</f>
        <v>Taufeeq Akhtar </v>
      </c>
      <c r="Q100" s="13" t="str">
        <f aca="false">IF(L100="","",L100)</f>
        <v>[Code: 222245] [Expiry: 4 Oct, 2023] TA:short expired stock(4 oct, ki stock pari hay 33 units)</v>
      </c>
    </row>
    <row r="101" customFormat="false" ht="15.75" hidden="false" customHeight="false" outlineLevel="0" collapsed="false">
      <c r="A101" s="13" t="str">
        <f aca="false">IFERROR(__xludf.dummyfunction("""COMPUTED_VALUE"""),"Metro DC Faisalabad")</f>
        <v>Metro DC Faisalabad</v>
      </c>
      <c r="B101" s="13" t="str">
        <f aca="false">IFERROR(__xludf.dummyfunction("""COMPUTED_VALUE"""),"89a7eba5-d5a6-48cb-8b55-2b0790561ea2")</f>
        <v>89a7eba5-d5a6-48cb-8b55-2b0790561ea2</v>
      </c>
      <c r="C101" s="13" t="str">
        <f aca="false">IFERROR(__xludf.dummyfunction("""COMPUTED_VALUE"""),"Super Crisp Salted Popular Pack Rs20 14g")</f>
        <v>Super Crisp Salted Popular Pack Rs20 14g</v>
      </c>
      <c r="D101" s="13" t="str">
        <f aca="false">IFERROR(__xludf.dummyfunction("""COMPUTED_VALUE"""),"Super Crisp")</f>
        <v>Super Crisp</v>
      </c>
      <c r="E101" s="13" t="str">
        <f aca="false">IFERROR(__xludf.dummyfunction("""COMPUTED_VALUE"""),"Snacks")</f>
        <v>Snacks</v>
      </c>
      <c r="F101" s="11" t="n">
        <f aca="false">IFERROR(__xludf.dummyfunction("""COMPUTED_VALUE"""),45012)</f>
        <v>45012</v>
      </c>
      <c r="G101" s="16" t="n">
        <f aca="false">IFERROR(__xludf.dummyfunction("""COMPUTED_VALUE"""),0.923075914350402)</f>
        <v>0.9230759144</v>
      </c>
      <c r="H101" s="13" t="str">
        <f aca="false">IFERROR(__xludf.dummyfunction("""COMPUTED_VALUE"""),"expired stock")</f>
        <v>expired stock</v>
      </c>
      <c r="I101" s="13" t="n">
        <f aca="false">IFERROR(__xludf.dummyfunction("""COMPUTED_VALUE"""),37)</f>
        <v>37</v>
      </c>
      <c r="J101" s="13" t="n">
        <f aca="false">IFERROR(__xludf.dummyfunction("""COMPUTED_VALUE"""),811.49)</f>
        <v>811.49</v>
      </c>
      <c r="K101" s="13" t="n">
        <f aca="false">IFERROR(__xludf.dummyfunction("""COMPUTED_VALUE"""),30025.13)</f>
        <v>30025.13</v>
      </c>
      <c r="L101" s="13" t="str">
        <f aca="false">IFERROR(__xludf.dummyfunction("""COMPUTED_VALUE"""),"[Code: 567789] [Expiry: 4 Sep, 2023] TA:short expired stock (expiry date 4 april 2023)")</f>
        <v>[Code: 567789] [Expiry: 4 Sep, 2023] TA:short expired stock (expiry date 4 april 2023)</v>
      </c>
      <c r="M101" s="13" t="str">
        <f aca="false">IFERROR(__xludf.dummyfunction("""COMPUTED_VALUE"""),"567789")</f>
        <v>567789</v>
      </c>
      <c r="N101" s="13" t="str">
        <f aca="false">IFERROR(__xludf.dummyfunction("""COMPUTED_VALUE"""),"4 Sep, 2023")</f>
        <v>4 Sep, 2023</v>
      </c>
      <c r="O101" s="13" t="str">
        <f aca="false">IFERROR(__xludf.dummyfunction("""COMPUTED_VALUE"""),"taufeeq.akhtar@tajir-app.com")</f>
        <v>taufeeq.akhtar@tajir-app.com</v>
      </c>
      <c r="P101" s="13" t="str">
        <f aca="false">IFERROR(__xludf.dummyfunction("""COMPUTED_VALUE"""),"Taufeeq Akhtar ")</f>
        <v>Taufeeq Akhtar </v>
      </c>
      <c r="Q101" s="13" t="str">
        <f aca="false">IF(L101="","",L101)</f>
        <v>[Code: 567789] [Expiry: 4 Sep, 2023] TA:short expired stock (expiry date 4 april 2023)</v>
      </c>
    </row>
    <row r="102" customFormat="false" ht="15.75" hidden="false" customHeight="false" outlineLevel="0" collapsed="false">
      <c r="A102" s="13" t="str">
        <f aca="false">IFERROR(__xludf.dummyfunction("""COMPUTED_VALUE"""),"Metro DC Faisalabad")</f>
        <v>Metro DC Faisalabad</v>
      </c>
      <c r="B102" s="13" t="str">
        <f aca="false">IFERROR(__xludf.dummyfunction("""COMPUTED_VALUE"""),"9c395894-35c2-4217-9eff-b0a22e04c2d1")</f>
        <v>9c395894-35c2-4217-9eff-b0a22e04c2d1</v>
      </c>
      <c r="C102" s="13" t="str">
        <f aca="false">IFERROR(__xludf.dummyfunction("""COMPUTED_VALUE"""),"Coca Cola plastic 2.25L (Jumbo)")</f>
        <v>Coca Cola plastic 2.25L (Jumbo)</v>
      </c>
      <c r="D102" s="13" t="str">
        <f aca="false">IFERROR(__xludf.dummyfunction("""COMPUTED_VALUE"""),"Coca Cola")</f>
        <v>Coca Cola</v>
      </c>
      <c r="E102" s="13" t="str">
        <f aca="false">IFERROR(__xludf.dummyfunction("""COMPUTED_VALUE"""),"Beverages")</f>
        <v>Beverages</v>
      </c>
      <c r="F102" s="11" t="n">
        <f aca="false">IFERROR(__xludf.dummyfunction("""COMPUTED_VALUE"""),45012)</f>
        <v>45012</v>
      </c>
      <c r="G102" s="16" t="n">
        <f aca="false">IFERROR(__xludf.dummyfunction("""COMPUTED_VALUE"""),0.857627002314658)</f>
        <v>0.8576270023</v>
      </c>
      <c r="H102" s="13" t="str">
        <f aca="false">IFERROR(__xludf.dummyfunction("""COMPUTED_VALUE"""),"damaged stock")</f>
        <v>damaged stock</v>
      </c>
      <c r="I102" s="13" t="n">
        <f aca="false">IFERROR(__xludf.dummyfunction("""COMPUTED_VALUE"""),1)</f>
        <v>1</v>
      </c>
      <c r="J102" s="13" t="n">
        <f aca="false">IFERROR(__xludf.dummyfunction("""COMPUTED_VALUE"""),1126.1)</f>
        <v>1126.1</v>
      </c>
      <c r="K102" s="13" t="n">
        <f aca="false">IFERROR(__xludf.dummyfunction("""COMPUTED_VALUE"""),1126.1)</f>
        <v>1126.1</v>
      </c>
      <c r="L102" s="13" t="str">
        <f aca="false">IFERROR(__xludf.dummyfunction("""COMPUTED_VALUE"""),"[Code: 23347A] TA:company end issue :(low fill and loose botal milay hay pet k ander say).")</f>
        <v>[Code: 23347A] TA:company end issue :(low fill and loose botal milay hay pet k ander say).</v>
      </c>
      <c r="M102" s="13" t="str">
        <f aca="false">IFERROR(__xludf.dummyfunction("""COMPUTED_VALUE"""),"23347A")</f>
        <v>23347A</v>
      </c>
      <c r="N102" s="13"/>
      <c r="O102" s="13" t="str">
        <f aca="false">IFERROR(__xludf.dummyfunction("""COMPUTED_VALUE"""),"taufeeq.akhtar@tajir-app.com")</f>
        <v>taufeeq.akhtar@tajir-app.com</v>
      </c>
      <c r="P102" s="13" t="str">
        <f aca="false">IFERROR(__xludf.dummyfunction("""COMPUTED_VALUE"""),"Taufeeq Akhtar ")</f>
        <v>Taufeeq Akhtar </v>
      </c>
      <c r="Q102" s="13" t="str">
        <f aca="false">IF(L102="","",L102)</f>
        <v>[Code: 23347A] TA:company end issue :(low fill and loose botal milay hay pet k ander say).</v>
      </c>
    </row>
    <row r="103" customFormat="false" ht="15.75" hidden="false" customHeight="false" outlineLevel="0" collapsed="false">
      <c r="A103" s="13" t="str">
        <f aca="false">IFERROR(__xludf.dummyfunction("""COMPUTED_VALUE"""),"Metro DC Faisalabad")</f>
        <v>Metro DC Faisalabad</v>
      </c>
      <c r="B103" s="13" t="str">
        <f aca="false">IFERROR(__xludf.dummyfunction("""COMPUTED_VALUE"""),"3951e68d-8cd5-48c2-ba36-322050c21998")</f>
        <v>3951e68d-8cd5-48c2-ba36-322050c21998</v>
      </c>
      <c r="C103" s="13" t="str">
        <f aca="false">IFERROR(__xludf.dummyfunction("""COMPUTED_VALUE"""),"Sherdil Dal Mash Wash 1kg")</f>
        <v>Sherdil Dal Mash Wash 1kg</v>
      </c>
      <c r="D103" s="13" t="str">
        <f aca="false">IFERROR(__xludf.dummyfunction("""COMPUTED_VALUE"""),"Sherdil")</f>
        <v>Sherdil</v>
      </c>
      <c r="E103" s="13" t="str">
        <f aca="false">IFERROR(__xludf.dummyfunction("""COMPUTED_VALUE"""),"Pulses")</f>
        <v>Pulses</v>
      </c>
      <c r="F103" s="11" t="n">
        <f aca="false">IFERROR(__xludf.dummyfunction("""COMPUTED_VALUE"""),45012)</f>
        <v>45012</v>
      </c>
      <c r="G103" s="16" t="n">
        <f aca="false">IFERROR(__xludf.dummyfunction("""COMPUTED_VALUE"""),0.8207552893528)</f>
        <v>0.8207552894</v>
      </c>
      <c r="H103" s="13" t="str">
        <f aca="false">IFERROR(__xludf.dummyfunction("""COMPUTED_VALUE"""),"damaged stock")</f>
        <v>damaged stock</v>
      </c>
      <c r="I103" s="13" t="n">
        <f aca="false">IFERROR(__xludf.dummyfunction("""COMPUTED_VALUE"""),1)</f>
        <v>1</v>
      </c>
      <c r="J103" s="13" t="n">
        <f aca="false">IFERROR(__xludf.dummyfunction("""COMPUTED_VALUE"""),497)</f>
        <v>497</v>
      </c>
      <c r="K103" s="13" t="n">
        <f aca="false">IFERROR(__xludf.dummyfunction("""COMPUTED_VALUE"""),497)</f>
        <v>497</v>
      </c>
      <c r="L103" s="13" t="str">
        <f aca="false">IFERROR(__xludf.dummyfunction("""COMPUTED_VALUE"""),"[Code: 24668A] TA:qaulity sahi nahi daal ki ulli (haryali ) lagi hay or smell bhi arhi hay daal may say.")</f>
        <v>[Code: 24668A] TA:qaulity sahi nahi daal ki ulli (haryali ) lagi hay or smell bhi arhi hay daal may say.</v>
      </c>
      <c r="M103" s="13" t="str">
        <f aca="false">IFERROR(__xludf.dummyfunction("""COMPUTED_VALUE"""),"24668A")</f>
        <v>24668A</v>
      </c>
      <c r="N103" s="13"/>
      <c r="O103" s="13" t="str">
        <f aca="false">IFERROR(__xludf.dummyfunction("""COMPUTED_VALUE"""),"taufeeq.akhtar@tajir-app.com")</f>
        <v>taufeeq.akhtar@tajir-app.com</v>
      </c>
      <c r="P103" s="13" t="str">
        <f aca="false">IFERROR(__xludf.dummyfunction("""COMPUTED_VALUE"""),"Taufeeq Akhtar ")</f>
        <v>Taufeeq Akhtar </v>
      </c>
      <c r="Q103" s="13" t="str">
        <f aca="false">IF(L103="","",L103)</f>
        <v>[Code: 24668A] TA:qaulity sahi nahi daal ki ulli (haryali ) lagi hay or smell bhi arhi hay daal may say.</v>
      </c>
    </row>
    <row r="104" customFormat="false" ht="15.75" hidden="false" customHeight="false" outlineLevel="0" collapsed="false">
      <c r="A104" s="13" t="str">
        <f aca="false">IFERROR(__xludf.dummyfunction("""COMPUTED_VALUE"""),"Metro DC Faisalabad")</f>
        <v>Metro DC Faisalabad</v>
      </c>
      <c r="B104" s="13" t="str">
        <f aca="false">IFERROR(__xludf.dummyfunction("""COMPUTED_VALUE"""),"978a88b5-e0d1-4d9d-b7a1-90921ab8d4f0")</f>
        <v>978a88b5-e0d1-4d9d-b7a1-90921ab8d4f0</v>
      </c>
      <c r="C104" s="13" t="str">
        <f aca="false">IFERROR(__xludf.dummyfunction("""COMPUTED_VALUE"""),"Sherdil Daal Mash Wash 5kg")</f>
        <v>Sherdil Daal Mash Wash 5kg</v>
      </c>
      <c r="D104" s="13" t="str">
        <f aca="false">IFERROR(__xludf.dummyfunction("""COMPUTED_VALUE"""),"Sherdil")</f>
        <v>Sherdil</v>
      </c>
      <c r="E104" s="13" t="str">
        <f aca="false">IFERROR(__xludf.dummyfunction("""COMPUTED_VALUE"""),"Pulses")</f>
        <v>Pulses</v>
      </c>
      <c r="F104" s="11" t="n">
        <f aca="false">IFERROR(__xludf.dummyfunction("""COMPUTED_VALUE"""),45012)</f>
        <v>45012</v>
      </c>
      <c r="G104" s="16" t="n">
        <f aca="false">IFERROR(__xludf.dummyfunction("""COMPUTED_VALUE"""),0.818813773149307)</f>
        <v>0.8188137731</v>
      </c>
      <c r="H104" s="13" t="str">
        <f aca="false">IFERROR(__xludf.dummyfunction("""COMPUTED_VALUE"""),"damaged stock")</f>
        <v>damaged stock</v>
      </c>
      <c r="I104" s="13" t="n">
        <f aca="false">IFERROR(__xludf.dummyfunction("""COMPUTED_VALUE"""),1)</f>
        <v>1</v>
      </c>
      <c r="J104" s="13" t="n">
        <f aca="false">IFERROR(__xludf.dummyfunction("""COMPUTED_VALUE"""),2379)</f>
        <v>2379</v>
      </c>
      <c r="K104" s="13" t="n">
        <f aca="false">IFERROR(__xludf.dummyfunction("""COMPUTED_VALUE"""),2379)</f>
        <v>2379</v>
      </c>
      <c r="L104" s="13" t="str">
        <f aca="false">IFERROR(__xludf.dummyfunction("""COMPUTED_VALUE"""),"[Code: 56699C] TA:qaulity sahi nahi daal ki ulli (haryali ) lagi hay or smell bhi arhi hay daal may say.")</f>
        <v>[Code: 56699C] TA:qaulity sahi nahi daal ki ulli (haryali ) lagi hay or smell bhi arhi hay daal may say.</v>
      </c>
      <c r="M104" s="13" t="str">
        <f aca="false">IFERROR(__xludf.dummyfunction("""COMPUTED_VALUE"""),"56699C")</f>
        <v>56699C</v>
      </c>
      <c r="N104" s="13"/>
      <c r="O104" s="13" t="str">
        <f aca="false">IFERROR(__xludf.dummyfunction("""COMPUTED_VALUE"""),"taufeeq.akhtar@tajir-app.com")</f>
        <v>taufeeq.akhtar@tajir-app.com</v>
      </c>
      <c r="P104" s="13" t="str">
        <f aca="false">IFERROR(__xludf.dummyfunction("""COMPUTED_VALUE"""),"Taufeeq Akhtar ")</f>
        <v>Taufeeq Akhtar </v>
      </c>
      <c r="Q104" s="13" t="str">
        <f aca="false">IF(L104="","",L104)</f>
        <v>[Code: 56699C] TA:qaulity sahi nahi daal ki ulli (haryali ) lagi hay or smell bhi arhi hay daal may say.</v>
      </c>
    </row>
    <row r="105" customFormat="false" ht="15.75" hidden="false" customHeight="false" outlineLevel="0" collapsed="false">
      <c r="A105" s="13" t="str">
        <f aca="false">IFERROR(__xludf.dummyfunction("""COMPUTED_VALUE"""),"Metro DC Faisalabad")</f>
        <v>Metro DC Faisalabad</v>
      </c>
      <c r="B105" s="13" t="str">
        <f aca="false">IFERROR(__xludf.dummyfunction("""COMPUTED_VALUE"""),"9c395894-35c2-4217-9eff-b0a22e04c2d1")</f>
        <v>9c395894-35c2-4217-9eff-b0a22e04c2d1</v>
      </c>
      <c r="C105" s="13" t="str">
        <f aca="false">IFERROR(__xludf.dummyfunction("""COMPUTED_VALUE"""),"Coca Cola plastic 2.25L (Jumbo)")</f>
        <v>Coca Cola plastic 2.25L (Jumbo)</v>
      </c>
      <c r="D105" s="13" t="str">
        <f aca="false">IFERROR(__xludf.dummyfunction("""COMPUTED_VALUE"""),"Coca Cola")</f>
        <v>Coca Cola</v>
      </c>
      <c r="E105" s="13" t="str">
        <f aca="false">IFERROR(__xludf.dummyfunction("""COMPUTED_VALUE"""),"Beverages")</f>
        <v>Beverages</v>
      </c>
      <c r="F105" s="11" t="n">
        <f aca="false">IFERROR(__xludf.dummyfunction("""COMPUTED_VALUE"""),45012)</f>
        <v>45012</v>
      </c>
      <c r="G105" s="16" t="n">
        <f aca="false">IFERROR(__xludf.dummyfunction("""COMPUTED_VALUE"""),0.0443076273144429)</f>
        <v>0.04430762731</v>
      </c>
      <c r="H105" s="13" t="str">
        <f aca="false">IFERROR(__xludf.dummyfunction("""COMPUTED_VALUE"""),"damaged stock")</f>
        <v>damaged stock</v>
      </c>
      <c r="I105" s="13" t="n">
        <f aca="false">IFERROR(__xludf.dummyfunction("""COMPUTED_VALUE"""),1)</f>
        <v>1</v>
      </c>
      <c r="J105" s="13" t="n">
        <f aca="false">IFERROR(__xludf.dummyfunction("""COMPUTED_VALUE"""),1126.1)</f>
        <v>1126.1</v>
      </c>
      <c r="K105" s="13" t="n">
        <f aca="false">IFERROR(__xludf.dummyfunction("""COMPUTED_VALUE"""),1126.1)</f>
        <v>1126.1</v>
      </c>
      <c r="L105" s="13" t="str">
        <f aca="false">IFERROR(__xludf.dummyfunction("""COMPUTED_VALUE"""),"[Code: 444899] TA:Sorting k doran sorter say damage hogia keel lagnay k wajah say.")</f>
        <v>[Code: 444899] TA:Sorting k doran sorter say damage hogia keel lagnay k wajah say.</v>
      </c>
      <c r="M105" s="13" t="str">
        <f aca="false">IFERROR(__xludf.dummyfunction("""COMPUTED_VALUE"""),"444899")</f>
        <v>444899</v>
      </c>
      <c r="N105" s="13"/>
      <c r="O105" s="13" t="str">
        <f aca="false">IFERROR(__xludf.dummyfunction("""COMPUTED_VALUE"""),"taufeeq.akhtar@tajir-app.com")</f>
        <v>taufeeq.akhtar@tajir-app.com</v>
      </c>
      <c r="P105" s="13" t="str">
        <f aca="false">IFERROR(__xludf.dummyfunction("""COMPUTED_VALUE"""),"Taufeeq Akhtar ")</f>
        <v>Taufeeq Akhtar </v>
      </c>
      <c r="Q105" s="13" t="str">
        <f aca="false">IF(L105="","",L105)</f>
        <v>[Code: 444899] TA:Sorting k doran sorter say damage hogia keel lagnay k wajah say.</v>
      </c>
    </row>
    <row r="106" customFormat="false" ht="15.75" hidden="false" customHeight="false" outlineLevel="0" collapsed="false">
      <c r="A106" s="13" t="str">
        <f aca="false">IFERROR(__xludf.dummyfunction("""COMPUTED_VALUE"""),"Metro DC Faisalabad")</f>
        <v>Metro DC Faisalabad</v>
      </c>
      <c r="B106" s="13" t="str">
        <f aca="false">IFERROR(__xludf.dummyfunction("""COMPUTED_VALUE"""),"cd68a607-af95-45cb-b9f4-2721224c85f8")</f>
        <v>cd68a607-af95-45cb-b9f4-2721224c85f8</v>
      </c>
      <c r="C106" s="13" t="str">
        <f aca="false">IFERROR(__xludf.dummyfunction("""COMPUTED_VALUE"""),"Coca Cola plastic 1.5L")</f>
        <v>Coca Cola plastic 1.5L</v>
      </c>
      <c r="D106" s="13" t="str">
        <f aca="false">IFERROR(__xludf.dummyfunction("""COMPUTED_VALUE"""),"Coca Cola")</f>
        <v>Coca Cola</v>
      </c>
      <c r="E106" s="13" t="str">
        <f aca="false">IFERROR(__xludf.dummyfunction("""COMPUTED_VALUE"""),"Beverages")</f>
        <v>Beverages</v>
      </c>
      <c r="F106" s="11" t="n">
        <f aca="false">IFERROR(__xludf.dummyfunction("""COMPUTED_VALUE"""),45012)</f>
        <v>45012</v>
      </c>
      <c r="G106" s="16" t="n">
        <f aca="false">IFERROR(__xludf.dummyfunction("""COMPUTED_VALUE"""),0.0421649189826187)</f>
        <v>0.04216491898</v>
      </c>
      <c r="H106" s="13" t="str">
        <f aca="false">IFERROR(__xludf.dummyfunction("""COMPUTED_VALUE"""),"damaged stock")</f>
        <v>damaged stock</v>
      </c>
      <c r="I106" s="13" t="n">
        <f aca="false">IFERROR(__xludf.dummyfunction("""COMPUTED_VALUE"""),2)</f>
        <v>2</v>
      </c>
      <c r="J106" s="13" t="n">
        <f aca="false">IFERROR(__xludf.dummyfunction("""COMPUTED_VALUE"""),790)</f>
        <v>790</v>
      </c>
      <c r="K106" s="13" t="n">
        <f aca="false">IFERROR(__xludf.dummyfunction("""COMPUTED_VALUE"""),1580)</f>
        <v>1580</v>
      </c>
      <c r="L106" s="13" t="str">
        <f aca="false">IFERROR(__xludf.dummyfunction("""COMPUTED_VALUE"""),"[Code: 389CEJ] TA:company end issue(pallets k under say khali botel milay hay sorting k doran)")</f>
        <v>[Code: 389CEJ] TA:company end issue(pallets k under say khali botel milay hay sorting k doran)</v>
      </c>
      <c r="M106" s="13" t="str">
        <f aca="false">IFERROR(__xludf.dummyfunction("""COMPUTED_VALUE"""),"389CEJ")</f>
        <v>389CEJ</v>
      </c>
      <c r="N106" s="13"/>
      <c r="O106" s="13" t="str">
        <f aca="false">IFERROR(__xludf.dummyfunction("""COMPUTED_VALUE"""),"taufeeq.akhtar@tajir-app.com")</f>
        <v>taufeeq.akhtar@tajir-app.com</v>
      </c>
      <c r="P106" s="13" t="str">
        <f aca="false">IFERROR(__xludf.dummyfunction("""COMPUTED_VALUE"""),"Taufeeq Akhtar ")</f>
        <v>Taufeeq Akhtar </v>
      </c>
      <c r="Q106" s="13" t="str">
        <f aca="false">IF(L106="","",L106)</f>
        <v>[Code: 389CEJ] TA:company end issue(pallets k under say khali botel milay hay sorting k doran)</v>
      </c>
    </row>
    <row r="107" customFormat="false" ht="15.75" hidden="false" customHeight="false" outlineLevel="0" collapsed="false">
      <c r="A107" s="13" t="str">
        <f aca="false">IFERROR(__xludf.dummyfunction("""COMPUTED_VALUE"""),"Metro DC Faisalabad")</f>
        <v>Metro DC Faisalabad</v>
      </c>
      <c r="B107" s="13" t="str">
        <f aca="false">IFERROR(__xludf.dummyfunction("""COMPUTED_VALUE"""),"36f65055-820f-48bd-917c-ec2013ee64ec")</f>
        <v>36f65055-820f-48bd-917c-ec2013ee64ec</v>
      </c>
      <c r="C107" s="13" t="str">
        <f aca="false">IFERROR(__xludf.dummyfunction("""COMPUTED_VALUE"""),"Shangrila Chilli Garlic Sauce x3 Bundle 800g")</f>
        <v>Shangrila Chilli Garlic Sauce x3 Bundle 800g</v>
      </c>
      <c r="D107" s="13" t="str">
        <f aca="false">IFERROR(__xludf.dummyfunction("""COMPUTED_VALUE"""),"Shangrila")</f>
        <v>Shangrila</v>
      </c>
      <c r="E107" s="13" t="str">
        <f aca="false">IFERROR(__xludf.dummyfunction("""COMPUTED_VALUE"""),"Sauces")</f>
        <v>Sauces</v>
      </c>
      <c r="F107" s="11" t="n">
        <f aca="false">IFERROR(__xludf.dummyfunction("""COMPUTED_VALUE"""),45013)</f>
        <v>45013</v>
      </c>
      <c r="G107" s="16" t="n">
        <f aca="false">IFERROR(__xludf.dummyfunction("""COMPUTED_VALUE"""),0.0267020023138123)</f>
        <v>0.02670200231</v>
      </c>
      <c r="H107" s="13" t="str">
        <f aca="false">IFERROR(__xludf.dummyfunction("""COMPUTED_VALUE"""),"missing stock")</f>
        <v>missing stock</v>
      </c>
      <c r="I107" s="13" t="n">
        <f aca="false">IFERROR(__xludf.dummyfunction("""COMPUTED_VALUE"""),1)</f>
        <v>1</v>
      </c>
      <c r="J107" s="13" t="n">
        <f aca="false">IFERROR(__xludf.dummyfunction("""COMPUTED_VALUE"""),778.23)</f>
        <v>778.23</v>
      </c>
      <c r="K107" s="13" t="n">
        <f aca="false">IFERROR(__xludf.dummyfunction("""COMPUTED_VALUE"""),778.23)</f>
        <v>778.23</v>
      </c>
      <c r="L107" s="13" t="str">
        <f aca="false">IFERROR(__xludf.dummyfunction("""COMPUTED_VALUE"""),"TA:Not found in floor.")</f>
        <v>TA:Not found in floor.</v>
      </c>
      <c r="M107" s="13"/>
      <c r="N107" s="13"/>
      <c r="O107" s="13" t="str">
        <f aca="false">IFERROR(__xludf.dummyfunction("""COMPUTED_VALUE"""),"taufeeq.akhtar@tajir-app.com")</f>
        <v>taufeeq.akhtar@tajir-app.com</v>
      </c>
      <c r="P107" s="13" t="str">
        <f aca="false">IFERROR(__xludf.dummyfunction("""COMPUTED_VALUE"""),"Taufeeq Akhtar ")</f>
        <v>Taufeeq Akhtar </v>
      </c>
      <c r="Q107" s="13" t="str">
        <f aca="false">IF(L107="","",L107)</f>
        <v>TA:Not found in floor.</v>
      </c>
    </row>
    <row r="108" customFormat="false" ht="15.75" hidden="false" customHeight="false" outlineLevel="0" collapsed="false">
      <c r="A108" s="13" t="str">
        <f aca="false">IFERROR(__xludf.dummyfunction("""COMPUTED_VALUE"""),"Metro DC Faisalabad")</f>
        <v>Metro DC Faisalabad</v>
      </c>
      <c r="B108" s="13" t="str">
        <f aca="false">IFERROR(__xludf.dummyfunction("""COMPUTED_VALUE"""),"e1d071e3-d27f-47ca-bd86-13408e8d89dd")</f>
        <v>e1d071e3-d27f-47ca-bd86-13408e8d89dd</v>
      </c>
      <c r="C108" s="13" t="str">
        <f aca="false">IFERROR(__xludf.dummyfunction("""COMPUTED_VALUE"""),"Shangrila Tomato Ketchup x3 Bundle 800g")</f>
        <v>Shangrila Tomato Ketchup x3 Bundle 800g</v>
      </c>
      <c r="D108" s="13" t="str">
        <f aca="false">IFERROR(__xludf.dummyfunction("""COMPUTED_VALUE"""),"Shangrila")</f>
        <v>Shangrila</v>
      </c>
      <c r="E108" s="13" t="str">
        <f aca="false">IFERROR(__xludf.dummyfunction("""COMPUTED_VALUE"""),"Sauces")</f>
        <v>Sauces</v>
      </c>
      <c r="F108" s="11" t="n">
        <f aca="false">IFERROR(__xludf.dummyfunction("""COMPUTED_VALUE"""),45013)</f>
        <v>45013</v>
      </c>
      <c r="G108" s="16" t="n">
        <f aca="false">IFERROR(__xludf.dummyfunction("""COMPUTED_VALUE"""),0.0259050231496357)</f>
        <v>0.02590502315</v>
      </c>
      <c r="H108" s="13" t="str">
        <f aca="false">IFERROR(__xludf.dummyfunction("""COMPUTED_VALUE"""),"missing stock")</f>
        <v>missing stock</v>
      </c>
      <c r="I108" s="13" t="n">
        <f aca="false">IFERROR(__xludf.dummyfunction("""COMPUTED_VALUE"""),2)</f>
        <v>2</v>
      </c>
      <c r="J108" s="13" t="n">
        <f aca="false">IFERROR(__xludf.dummyfunction("""COMPUTED_VALUE"""),778.23)</f>
        <v>778.23</v>
      </c>
      <c r="K108" s="13" t="n">
        <f aca="false">IFERROR(__xludf.dummyfunction("""COMPUTED_VALUE"""),1556.46)</f>
        <v>1556.46</v>
      </c>
      <c r="L108" s="13" t="str">
        <f aca="false">IFERROR(__xludf.dummyfunction("""COMPUTED_VALUE"""),"TA:Not found in floor")</f>
        <v>TA:Not found in floor</v>
      </c>
      <c r="M108" s="13"/>
      <c r="N108" s="13"/>
      <c r="O108" s="13" t="str">
        <f aca="false">IFERROR(__xludf.dummyfunction("""COMPUTED_VALUE"""),"taufeeq.akhtar@tajir-app.com")</f>
        <v>taufeeq.akhtar@tajir-app.com</v>
      </c>
      <c r="P108" s="13" t="str">
        <f aca="false">IFERROR(__xludf.dummyfunction("""COMPUTED_VALUE"""),"Taufeeq Akhtar ")</f>
        <v>Taufeeq Akhtar </v>
      </c>
      <c r="Q108" s="13" t="str">
        <f aca="false">IF(L108="","",L108)</f>
        <v>TA:Not found in floor</v>
      </c>
    </row>
    <row r="109" customFormat="false" ht="15.75" hidden="false" customHeight="false" outlineLevel="0" collapsed="false">
      <c r="A109" s="13" t="str">
        <f aca="false">IFERROR(__xludf.dummyfunction("""COMPUTED_VALUE"""),"Metro DC Faisalabad")</f>
        <v>Metro DC Faisalabad</v>
      </c>
      <c r="B109" s="13" t="str">
        <f aca="false">IFERROR(__xludf.dummyfunction("""COMPUTED_VALUE"""),"2597743e-4d52-4816-b29b-53d4227dec5f")</f>
        <v>2597743e-4d52-4816-b29b-53d4227dec5f</v>
      </c>
      <c r="C109" s="13" t="str">
        <f aca="false">IFERROR(__xludf.dummyfunction("""COMPUTED_VALUE"""),"Murree Brewery Apple Malt Glass x24 Crate 300ml")</f>
        <v>Murree Brewery Apple Malt Glass x24 Crate 300ml</v>
      </c>
      <c r="D109" s="13" t="str">
        <f aca="false">IFERROR(__xludf.dummyfunction("""COMPUTED_VALUE"""),"Murree Brewery")</f>
        <v>Murree Brewery</v>
      </c>
      <c r="E109" s="13" t="str">
        <f aca="false">IFERROR(__xludf.dummyfunction("""COMPUTED_VALUE"""),"Beverages")</f>
        <v>Beverages</v>
      </c>
      <c r="F109" s="11" t="n">
        <f aca="false">IFERROR(__xludf.dummyfunction("""COMPUTED_VALUE"""),45013)</f>
        <v>45013</v>
      </c>
      <c r="G109" s="16" t="n">
        <f aca="false">IFERROR(__xludf.dummyfunction("""COMPUTED_VALUE"""),0.0194653472228259)</f>
        <v>0.01946534722</v>
      </c>
      <c r="H109" s="13" t="str">
        <f aca="false">IFERROR(__xludf.dummyfunction("""COMPUTED_VALUE"""),"expired stock")</f>
        <v>expired stock</v>
      </c>
      <c r="I109" s="13" t="n">
        <f aca="false">IFERROR(__xludf.dummyfunction("""COMPUTED_VALUE"""),23)</f>
        <v>23</v>
      </c>
      <c r="J109" s="13" t="n">
        <f aca="false">IFERROR(__xludf.dummyfunction("""COMPUTED_VALUE"""),1130)</f>
        <v>1130</v>
      </c>
      <c r="K109" s="13" t="n">
        <f aca="false">IFERROR(__xludf.dummyfunction("""COMPUTED_VALUE"""),25990)</f>
        <v>25990</v>
      </c>
      <c r="L109" s="13" t="str">
        <f aca="false">IFERROR(__xludf.dummyfunction("""COMPUTED_VALUE"""),"[Code: ACDFJL] [Expiry: 4 Sep, 2023] TA:short expired stock of 9 april 2023.")</f>
        <v>[Code: ACDFJL] [Expiry: 4 Sep, 2023] TA:short expired stock of 9 april 2023.</v>
      </c>
      <c r="M109" s="13" t="str">
        <f aca="false">IFERROR(__xludf.dummyfunction("""COMPUTED_VALUE"""),"ACDFJL")</f>
        <v>ACDFJL</v>
      </c>
      <c r="N109" s="13" t="str">
        <f aca="false">IFERROR(__xludf.dummyfunction("""COMPUTED_VALUE"""),"4 Sep, 2023")</f>
        <v>4 Sep, 2023</v>
      </c>
      <c r="O109" s="13" t="str">
        <f aca="false">IFERROR(__xludf.dummyfunction("""COMPUTED_VALUE"""),"taufeeq.akhtar@tajir-app.com")</f>
        <v>taufeeq.akhtar@tajir-app.com</v>
      </c>
      <c r="P109" s="13" t="str">
        <f aca="false">IFERROR(__xludf.dummyfunction("""COMPUTED_VALUE"""),"Taufeeq Akhtar ")</f>
        <v>Taufeeq Akhtar </v>
      </c>
      <c r="Q109" s="13" t="str">
        <f aca="false">IF(L109="","",L109)</f>
        <v>[Code: ACDFJL] [Expiry: 4 Sep, 2023] TA:short expired stock of 9 april 2023.</v>
      </c>
    </row>
    <row r="110" customFormat="false" ht="15.75" hidden="false" customHeight="false" outlineLevel="0" collapsed="false">
      <c r="A110" s="13" t="str">
        <f aca="false">IFERROR(__xludf.dummyfunction("""COMPUTED_VALUE"""),"Metro DC Faisalabad")</f>
        <v>Metro DC Faisalabad</v>
      </c>
      <c r="B110" s="13" t="str">
        <f aca="false">IFERROR(__xludf.dummyfunction("""COMPUTED_VALUE"""),"cd68a607-af95-45cb-b9f4-2721224c85f8")</f>
        <v>cd68a607-af95-45cb-b9f4-2721224c85f8</v>
      </c>
      <c r="C110" s="13" t="str">
        <f aca="false">IFERROR(__xludf.dummyfunction("""COMPUTED_VALUE"""),"Coca Cola plastic 1.5L")</f>
        <v>Coca Cola plastic 1.5L</v>
      </c>
      <c r="D110" s="13" t="str">
        <f aca="false">IFERROR(__xludf.dummyfunction("""COMPUTED_VALUE"""),"Coca Cola")</f>
        <v>Coca Cola</v>
      </c>
      <c r="E110" s="13" t="str">
        <f aca="false">IFERROR(__xludf.dummyfunction("""COMPUTED_VALUE"""),"Beverages")</f>
        <v>Beverages</v>
      </c>
      <c r="F110" s="11" t="n">
        <f aca="false">IFERROR(__xludf.dummyfunction("""COMPUTED_VALUE"""),45017)</f>
        <v>45017</v>
      </c>
      <c r="G110" s="16" t="n">
        <f aca="false">IFERROR(__xludf.dummyfunction("""COMPUTED_VALUE"""),0.875707835649479)</f>
        <v>0.8757078356</v>
      </c>
      <c r="H110" s="13" t="str">
        <f aca="false">IFERROR(__xludf.dummyfunction("""COMPUTED_VALUE"""),"damaged stock")</f>
        <v>damaged stock</v>
      </c>
      <c r="I110" s="13" t="n">
        <f aca="false">IFERROR(__xludf.dummyfunction("""COMPUTED_VALUE"""),2)</f>
        <v>2</v>
      </c>
      <c r="J110" s="13" t="n">
        <f aca="false">IFERROR(__xludf.dummyfunction("""COMPUTED_VALUE"""),790)</f>
        <v>790</v>
      </c>
      <c r="K110" s="13" t="n">
        <f aca="false">IFERROR(__xludf.dummyfunction("""COMPUTED_VALUE"""),1580)</f>
        <v>1580</v>
      </c>
      <c r="L110" s="13" t="str">
        <f aca="false">IFERROR(__xludf.dummyfunction("""COMPUTED_VALUE"""),"[Code: 348EGG] TA:company end issue(pallets k under say khali botel  Or kush botel lose Mili hain Sorting ky doran  )")</f>
        <v>[Code: 348EGG] TA:company end issue(pallets k under say khali botel  Or kush botel lose Mili hain Sorting ky doran  )</v>
      </c>
      <c r="M110" s="13" t="str">
        <f aca="false">IFERROR(__xludf.dummyfunction("""COMPUTED_VALUE"""),"348EGG")</f>
        <v>348EGG</v>
      </c>
      <c r="N110" s="13"/>
      <c r="O110" s="13" t="str">
        <f aca="false">IFERROR(__xludf.dummyfunction("""COMPUTED_VALUE"""),"taufeeq.akhtar@tajir-app.com")</f>
        <v>taufeeq.akhtar@tajir-app.com</v>
      </c>
      <c r="P110" s="13" t="str">
        <f aca="false">IFERROR(__xludf.dummyfunction("""COMPUTED_VALUE"""),"Taufeeq Akhtar ")</f>
        <v>Taufeeq Akhtar </v>
      </c>
      <c r="Q110" s="13" t="str">
        <f aca="false">IF(L110="","",L110)</f>
        <v>[Code: 348EGG] TA:company end issue(pallets k under say khali botel  Or kush botel lose Mili hain Sorting ky doran  )</v>
      </c>
    </row>
    <row r="111" customFormat="false" ht="15.75" hidden="false" customHeight="false" outlineLevel="0" collapsed="false">
      <c r="A111" s="13" t="str">
        <f aca="false">IFERROR(__xludf.dummyfunction("""COMPUTED_VALUE"""),"Metro DC Faisalabad")</f>
        <v>Metro DC Faisalabad</v>
      </c>
      <c r="B111" s="13" t="str">
        <f aca="false">IFERROR(__xludf.dummyfunction("""COMPUTED_VALUE"""),"ae3c4d47-c25a-4d8a-91fe-7e939d3514ad")</f>
        <v>ae3c4d47-c25a-4d8a-91fe-7e939d3514ad</v>
      </c>
      <c r="C111" s="13" t="str">
        <f aca="false">IFERROR(__xludf.dummyfunction("""COMPUTED_VALUE"""),"Sunsilk Stunning Black Shine Shampoo x16 bundle 4.5ml")</f>
        <v>Sunsilk Stunning Black Shine Shampoo x16 bundle 4.5ml</v>
      </c>
      <c r="D111" s="13" t="str">
        <f aca="false">IFERROR(__xludf.dummyfunction("""COMPUTED_VALUE"""),"Sunsilk")</f>
        <v>Sunsilk</v>
      </c>
      <c r="E111" s="13" t="str">
        <f aca="false">IFERROR(__xludf.dummyfunction("""COMPUTED_VALUE"""),"Shampoo")</f>
        <v>Shampoo</v>
      </c>
      <c r="F111" s="11" t="n">
        <f aca="false">IFERROR(__xludf.dummyfunction("""COMPUTED_VALUE"""),45018)</f>
        <v>45018</v>
      </c>
      <c r="G111" s="16" t="n">
        <f aca="false">IFERROR(__xludf.dummyfunction("""COMPUTED_VALUE"""),0.902773657407936)</f>
        <v>0.9027736574</v>
      </c>
      <c r="H111" s="13" t="str">
        <f aca="false">IFERROR(__xludf.dummyfunction("""COMPUTED_VALUE"""),"damaged stock")</f>
        <v>damaged stock</v>
      </c>
      <c r="I111" s="13" t="n">
        <f aca="false">IFERROR(__xludf.dummyfunction("""COMPUTED_VALUE"""),1)</f>
        <v>1</v>
      </c>
      <c r="J111" s="13" t="n">
        <f aca="false">IFERROR(__xludf.dummyfunction("""COMPUTED_VALUE"""),71.77)</f>
        <v>71.77</v>
      </c>
      <c r="K111" s="13" t="n">
        <f aca="false">IFERROR(__xludf.dummyfunction("""COMPUTED_VALUE"""),71.77)</f>
        <v>71.77</v>
      </c>
      <c r="L111" s="13" t="str">
        <f aca="false">IFERROR(__xludf.dummyfunction("""COMPUTED_VALUE"""),"[Code: 358BCF] TA:box may say damage nikla.")</f>
        <v>[Code: 358BCF] TA:box may say damage nikla.</v>
      </c>
      <c r="M111" s="13" t="str">
        <f aca="false">IFERROR(__xludf.dummyfunction("""COMPUTED_VALUE"""),"358BCF")</f>
        <v>358BCF</v>
      </c>
      <c r="N111" s="13"/>
      <c r="O111" s="13" t="str">
        <f aca="false">IFERROR(__xludf.dummyfunction("""COMPUTED_VALUE"""),"taufeeq.akhtar@tajir-app.com")</f>
        <v>taufeeq.akhtar@tajir-app.com</v>
      </c>
      <c r="P111" s="13" t="str">
        <f aca="false">IFERROR(__xludf.dummyfunction("""COMPUTED_VALUE"""),"Taufeeq Akhtar ")</f>
        <v>Taufeeq Akhtar </v>
      </c>
      <c r="Q111" s="13" t="str">
        <f aca="false">IF(L111="","",L111)</f>
        <v>[Code: 358BCF] TA:box may say damage nikla.</v>
      </c>
    </row>
    <row r="112" customFormat="false" ht="15.75" hidden="false" customHeight="false" outlineLevel="0" collapsed="false">
      <c r="A112" s="13" t="str">
        <f aca="false">IFERROR(__xludf.dummyfunction("""COMPUTED_VALUE"""),"Metro DC Faisalabad")</f>
        <v>Metro DC Faisalabad</v>
      </c>
      <c r="B112" s="13" t="str">
        <f aca="false">IFERROR(__xludf.dummyfunction("""COMPUTED_VALUE"""),"cd68a607-af95-45cb-b9f4-2721224c85f8")</f>
        <v>cd68a607-af95-45cb-b9f4-2721224c85f8</v>
      </c>
      <c r="C112" s="13" t="str">
        <f aca="false">IFERROR(__xludf.dummyfunction("""COMPUTED_VALUE"""),"Coca Cola plastic 1.5L")</f>
        <v>Coca Cola plastic 1.5L</v>
      </c>
      <c r="D112" s="13" t="str">
        <f aca="false">IFERROR(__xludf.dummyfunction("""COMPUTED_VALUE"""),"Coca Cola")</f>
        <v>Coca Cola</v>
      </c>
      <c r="E112" s="13" t="str">
        <f aca="false">IFERROR(__xludf.dummyfunction("""COMPUTED_VALUE"""),"Beverages")</f>
        <v>Beverages</v>
      </c>
      <c r="F112" s="11" t="n">
        <f aca="false">IFERROR(__xludf.dummyfunction("""COMPUTED_VALUE"""),45018)</f>
        <v>45018</v>
      </c>
      <c r="G112" s="16" t="n">
        <f aca="false">IFERROR(__xludf.dummyfunction("""COMPUTED_VALUE"""),0.899516886574672)</f>
        <v>0.8995168866</v>
      </c>
      <c r="H112" s="13" t="str">
        <f aca="false">IFERROR(__xludf.dummyfunction("""COMPUTED_VALUE"""),"damaged stock")</f>
        <v>damaged stock</v>
      </c>
      <c r="I112" s="13" t="n">
        <f aca="false">IFERROR(__xludf.dummyfunction("""COMPUTED_VALUE"""),4)</f>
        <v>4</v>
      </c>
      <c r="J112" s="13" t="n">
        <f aca="false">IFERROR(__xludf.dummyfunction("""COMPUTED_VALUE"""),790)</f>
        <v>790</v>
      </c>
      <c r="K112" s="13" t="n">
        <f aca="false">IFERROR(__xludf.dummyfunction("""COMPUTED_VALUE"""),3160)</f>
        <v>3160</v>
      </c>
      <c r="L112" s="13" t="str">
        <f aca="false">IFERROR(__xludf.dummyfunction("""COMPUTED_VALUE"""),"[Code: 6AJLNP] TA: company end issue(chakkay may botel khali or loose milay hay.)")</f>
        <v>[Code: 6AJLNP] TA: company end issue(chakkay may botel khali or loose milay hay.)</v>
      </c>
      <c r="M112" s="13" t="str">
        <f aca="false">IFERROR(__xludf.dummyfunction("""COMPUTED_VALUE"""),"6AJLNP")</f>
        <v>6AJLNP</v>
      </c>
      <c r="N112" s="13"/>
      <c r="O112" s="13" t="str">
        <f aca="false">IFERROR(__xludf.dummyfunction("""COMPUTED_VALUE"""),"taufeeq.akhtar@tajir-app.com")</f>
        <v>taufeeq.akhtar@tajir-app.com</v>
      </c>
      <c r="P112" s="13" t="str">
        <f aca="false">IFERROR(__xludf.dummyfunction("""COMPUTED_VALUE"""),"Taufeeq Akhtar ")</f>
        <v>Taufeeq Akhtar </v>
      </c>
      <c r="Q112" s="13" t="str">
        <f aca="false">IF(L112="","",L112)</f>
        <v>[Code: 6AJLNP] TA: company end issue(chakkay may botel khali or loose milay hay.)</v>
      </c>
    </row>
    <row r="113" customFormat="false" ht="15.75" hidden="false" customHeight="false" outlineLevel="0" collapsed="false">
      <c r="A113" s="13" t="str">
        <f aca="false">IFERROR(__xludf.dummyfunction("""COMPUTED_VALUE"""),"Metro DC Faisalabad")</f>
        <v>Metro DC Faisalabad</v>
      </c>
      <c r="B113" s="13" t="str">
        <f aca="false">IFERROR(__xludf.dummyfunction("""COMPUTED_VALUE"""),"8ba63ec6-3b42-4cf0-86f4-4da7f87c70d1")</f>
        <v>8ba63ec6-3b42-4cf0-86f4-4da7f87c70d1</v>
      </c>
      <c r="C113" s="13" t="str">
        <f aca="false">IFERROR(__xludf.dummyfunction("""COMPUTED_VALUE"""),"Head and Shoulders Silky Black Shampoo x12 bundle 4.5ml")</f>
        <v>Head and Shoulders Silky Black Shampoo x12 bundle 4.5ml</v>
      </c>
      <c r="D113" s="13" t="str">
        <f aca="false">IFERROR(__xludf.dummyfunction("""COMPUTED_VALUE"""),"Head and Shoulders")</f>
        <v>Head and Shoulders</v>
      </c>
      <c r="E113" s="13" t="str">
        <f aca="false">IFERROR(__xludf.dummyfunction("""COMPUTED_VALUE"""),"Shampoo")</f>
        <v>Shampoo</v>
      </c>
      <c r="F113" s="11" t="n">
        <f aca="false">IFERROR(__xludf.dummyfunction("""COMPUTED_VALUE"""),45018)</f>
        <v>45018</v>
      </c>
      <c r="G113" s="16" t="n">
        <f aca="false">IFERROR(__xludf.dummyfunction("""COMPUTED_VALUE"""),0.898055081017478)</f>
        <v>0.898055081</v>
      </c>
      <c r="H113" s="13" t="str">
        <f aca="false">IFERROR(__xludf.dummyfunction("""COMPUTED_VALUE"""),"damaged stock")</f>
        <v>damaged stock</v>
      </c>
      <c r="I113" s="13" t="n">
        <f aca="false">IFERROR(__xludf.dummyfunction("""COMPUTED_VALUE"""),1)</f>
        <v>1</v>
      </c>
      <c r="J113" s="13" t="n">
        <f aca="false">IFERROR(__xludf.dummyfunction("""COMPUTED_VALUE"""),52)</f>
        <v>52</v>
      </c>
      <c r="K113" s="13" t="n">
        <f aca="false">IFERROR(__xludf.dummyfunction("""COMPUTED_VALUE"""),52)</f>
        <v>52</v>
      </c>
      <c r="L113" s="13" t="str">
        <f aca="false">IFERROR(__xludf.dummyfunction("""COMPUTED_VALUE"""),"[Code: 2368AA] TA:sorting k doran sorter say damage hua....")</f>
        <v>[Code: 2368AA] TA:sorting k doran sorter say damage hua....</v>
      </c>
      <c r="M113" s="13" t="str">
        <f aca="false">IFERROR(__xludf.dummyfunction("""COMPUTED_VALUE"""),"2368AA")</f>
        <v>2368AA</v>
      </c>
      <c r="N113" s="13"/>
      <c r="O113" s="13" t="str">
        <f aca="false">IFERROR(__xludf.dummyfunction("""COMPUTED_VALUE"""),"taufeeq.akhtar@tajir-app.com")</f>
        <v>taufeeq.akhtar@tajir-app.com</v>
      </c>
      <c r="P113" s="13" t="str">
        <f aca="false">IFERROR(__xludf.dummyfunction("""COMPUTED_VALUE"""),"Taufeeq Akhtar ")</f>
        <v>Taufeeq Akhtar </v>
      </c>
      <c r="Q113" s="13" t="str">
        <f aca="false">IF(L113="","",L113)</f>
        <v>[Code: 2368AA] TA:sorting k doran sorter say damage hua....</v>
      </c>
    </row>
    <row r="114" customFormat="false" ht="15.75" hidden="false" customHeight="false" outlineLevel="0" collapsed="false">
      <c r="A114" s="13" t="str">
        <f aca="false">IFERROR(__xludf.dummyfunction("""COMPUTED_VALUE"""),"Metro DC Faisalabad")</f>
        <v>Metro DC Faisalabad</v>
      </c>
      <c r="B114" s="13" t="str">
        <f aca="false">IFERROR(__xludf.dummyfunction("""COMPUTED_VALUE"""),"1559f027-e075-4556-92c2-6f895b5668a0")</f>
        <v>1559f027-e075-4556-92c2-6f895b5668a0</v>
      </c>
      <c r="C114" s="13" t="str">
        <f aca="false">IFERROR(__xludf.dummyfunction("""COMPUTED_VALUE"""),"Pantene Smooth And Strong Shampoo x12 Bundle 4.5ml")</f>
        <v>Pantene Smooth And Strong Shampoo x12 Bundle 4.5ml</v>
      </c>
      <c r="D114" s="13" t="str">
        <f aca="false">IFERROR(__xludf.dummyfunction("""COMPUTED_VALUE"""),"Pantene")</f>
        <v>Pantene</v>
      </c>
      <c r="E114" s="13" t="str">
        <f aca="false">IFERROR(__xludf.dummyfunction("""COMPUTED_VALUE"""),"Shampoo")</f>
        <v>Shampoo</v>
      </c>
      <c r="F114" s="11" t="n">
        <f aca="false">IFERROR(__xludf.dummyfunction("""COMPUTED_VALUE"""),45018)</f>
        <v>45018</v>
      </c>
      <c r="G114" s="16" t="n">
        <f aca="false">IFERROR(__xludf.dummyfunction("""COMPUTED_VALUE"""),0.896058784721484)</f>
        <v>0.8960587847</v>
      </c>
      <c r="H114" s="13" t="str">
        <f aca="false">IFERROR(__xludf.dummyfunction("""COMPUTED_VALUE"""),"damaged stock")</f>
        <v>damaged stock</v>
      </c>
      <c r="I114" s="13" t="n">
        <f aca="false">IFERROR(__xludf.dummyfunction("""COMPUTED_VALUE"""),1)</f>
        <v>1</v>
      </c>
      <c r="J114" s="13" t="n">
        <f aca="false">IFERROR(__xludf.dummyfunction("""COMPUTED_VALUE"""),52)</f>
        <v>52</v>
      </c>
      <c r="K114" s="13" t="n">
        <f aca="false">IFERROR(__xludf.dummyfunction("""COMPUTED_VALUE"""),52)</f>
        <v>52</v>
      </c>
      <c r="L114" s="13" t="str">
        <f aca="false">IFERROR(__xludf.dummyfunction("""COMPUTED_VALUE"""),"[Code: 7899AB] TA:bos may say damage nikla.")</f>
        <v>[Code: 7899AB] TA:bos may say damage nikla.</v>
      </c>
      <c r="M114" s="13" t="str">
        <f aca="false">IFERROR(__xludf.dummyfunction("""COMPUTED_VALUE"""),"7899AB")</f>
        <v>7899AB</v>
      </c>
      <c r="N114" s="13"/>
      <c r="O114" s="13" t="str">
        <f aca="false">IFERROR(__xludf.dummyfunction("""COMPUTED_VALUE"""),"taufeeq.akhtar@tajir-app.com")</f>
        <v>taufeeq.akhtar@tajir-app.com</v>
      </c>
      <c r="P114" s="13" t="str">
        <f aca="false">IFERROR(__xludf.dummyfunction("""COMPUTED_VALUE"""),"Taufeeq Akhtar ")</f>
        <v>Taufeeq Akhtar </v>
      </c>
      <c r="Q114" s="13" t="str">
        <f aca="false">IF(L114="","",L114)</f>
        <v>[Code: 7899AB] TA:bos may say damage nikla.</v>
      </c>
    </row>
    <row r="115" customFormat="false" ht="15.75" hidden="false" customHeight="false" outlineLevel="0" collapsed="false">
      <c r="A115" s="13" t="str">
        <f aca="false">IFERROR(__xludf.dummyfunction("""COMPUTED_VALUE"""),"Metro DC Faisalabad")</f>
        <v>Metro DC Faisalabad</v>
      </c>
      <c r="B115" s="13" t="str">
        <f aca="false">IFERROR(__xludf.dummyfunction("""COMPUTED_VALUE"""),"a3fd9ae4-01a1-4cf0-82bb-221e4c8cf42d")</f>
        <v>a3fd9ae4-01a1-4cf0-82bb-221e4c8cf42d</v>
      </c>
      <c r="C115" s="13" t="str">
        <f aca="false">IFERROR(__xludf.dummyfunction("""COMPUTED_VALUE"""),"Lifebuoy Herbal Strong 9ml 16pcs Rs.10")</f>
        <v>Lifebuoy Herbal Strong 9ml 16pcs Rs.10</v>
      </c>
      <c r="D115" s="13" t="str">
        <f aca="false">IFERROR(__xludf.dummyfunction("""COMPUTED_VALUE"""),"Lifebuoy")</f>
        <v>Lifebuoy</v>
      </c>
      <c r="E115" s="13" t="str">
        <f aca="false">IFERROR(__xludf.dummyfunction("""COMPUTED_VALUE"""),"Shampoo")</f>
        <v>Shampoo</v>
      </c>
      <c r="F115" s="11" t="n">
        <f aca="false">IFERROR(__xludf.dummyfunction("""COMPUTED_VALUE"""),45018)</f>
        <v>45018</v>
      </c>
      <c r="G115" s="16" t="n">
        <f aca="false">IFERROR(__xludf.dummyfunction("""COMPUTED_VALUE"""),0.894619722220686)</f>
        <v>0.8946197222</v>
      </c>
      <c r="H115" s="13" t="str">
        <f aca="false">IFERROR(__xludf.dummyfunction("""COMPUTED_VALUE"""),"damaged stock")</f>
        <v>damaged stock</v>
      </c>
      <c r="I115" s="13" t="n">
        <f aca="false">IFERROR(__xludf.dummyfunction("""COMPUTED_VALUE"""),1)</f>
        <v>1</v>
      </c>
      <c r="J115" s="13" t="n">
        <f aca="false">IFERROR(__xludf.dummyfunction("""COMPUTED_VALUE"""),145)</f>
        <v>145</v>
      </c>
      <c r="K115" s="13" t="n">
        <f aca="false">IFERROR(__xludf.dummyfunction("""COMPUTED_VALUE"""),145)</f>
        <v>145</v>
      </c>
      <c r="L115" s="13" t="str">
        <f aca="false">IFERROR(__xludf.dummyfunction("""COMPUTED_VALUE"""),"[Code: 23358B] TA:bos may say damage nikla hay display krtay waqt mila .")</f>
        <v>[Code: 23358B] TA:bos may say damage nikla hay display krtay waqt mila .</v>
      </c>
      <c r="M115" s="13" t="str">
        <f aca="false">IFERROR(__xludf.dummyfunction("""COMPUTED_VALUE"""),"23358B")</f>
        <v>23358B</v>
      </c>
      <c r="N115" s="13"/>
      <c r="O115" s="13" t="str">
        <f aca="false">IFERROR(__xludf.dummyfunction("""COMPUTED_VALUE"""),"taufeeq.akhtar@tajir-app.com")</f>
        <v>taufeeq.akhtar@tajir-app.com</v>
      </c>
      <c r="P115" s="13" t="str">
        <f aca="false">IFERROR(__xludf.dummyfunction("""COMPUTED_VALUE"""),"Taufeeq Akhtar ")</f>
        <v>Taufeeq Akhtar </v>
      </c>
      <c r="Q115" s="13" t="str">
        <f aca="false">IF(L115="","",L115)</f>
        <v>[Code: 23358B] TA:bos may say damage nikla hay display krtay waqt mila .</v>
      </c>
    </row>
    <row r="116" customFormat="false" ht="15.75" hidden="false" customHeight="false" outlineLevel="0" collapsed="false">
      <c r="A116" s="13" t="str">
        <f aca="false">IFERROR(__xludf.dummyfunction("""COMPUTED_VALUE"""),"Metro DC Faisalabad")</f>
        <v>Metro DC Faisalabad</v>
      </c>
      <c r="B116" s="13" t="str">
        <f aca="false">IFERROR(__xludf.dummyfunction("""COMPUTED_VALUE"""),"01c9858d-02a4-4b16-92ae-43f11529215c")</f>
        <v>01c9858d-02a4-4b16-92ae-43f11529215c</v>
      </c>
      <c r="C116" s="13" t="str">
        <f aca="false">IFERROR(__xludf.dummyfunction("""COMPUTED_VALUE"""),"Al-Munawar Zahedi Dates 1kg")</f>
        <v>Al-Munawar Zahedi Dates 1kg</v>
      </c>
      <c r="D116" s="13" t="str">
        <f aca="false">IFERROR(__xludf.dummyfunction("""COMPUTED_VALUE"""),"Al-Munawar")</f>
        <v>Al-Munawar</v>
      </c>
      <c r="E116" s="13" t="str">
        <f aca="false">IFERROR(__xludf.dummyfunction("""COMPUTED_VALUE"""),"Khajoor &amp; Pakoriyan")</f>
        <v>Khajoor &amp; Pakoriyan</v>
      </c>
      <c r="F116" s="11" t="n">
        <f aca="false">IFERROR(__xludf.dummyfunction("""COMPUTED_VALUE"""),45019)</f>
        <v>45019</v>
      </c>
      <c r="G116" s="16" t="n">
        <f aca="false">IFERROR(__xludf.dummyfunction("""COMPUTED_VALUE"""),0.928815000001741)</f>
        <v>0.928815</v>
      </c>
      <c r="H116" s="13" t="str">
        <f aca="false">IFERROR(__xludf.dummyfunction("""COMPUTED_VALUE"""),"missing stock")</f>
        <v>missing stock</v>
      </c>
      <c r="I116" s="13" t="n">
        <f aca="false">IFERROR(__xludf.dummyfunction("""COMPUTED_VALUE"""),1)</f>
        <v>1</v>
      </c>
      <c r="J116" s="13" t="n">
        <f aca="false">IFERROR(__xludf.dummyfunction("""COMPUTED_VALUE"""),440)</f>
        <v>440</v>
      </c>
      <c r="K116" s="13" t="n">
        <f aca="false">IFERROR(__xludf.dummyfunction("""COMPUTED_VALUE"""),440)</f>
        <v>440</v>
      </c>
      <c r="L116" s="13" t="str">
        <f aca="false">IFERROR(__xludf.dummyfunction("""COMPUTED_VALUE"""),"TA:Not available on the floor.")</f>
        <v>TA:Not available on the floor.</v>
      </c>
      <c r="M116" s="13"/>
      <c r="N116" s="13"/>
      <c r="O116" s="13" t="str">
        <f aca="false">IFERROR(__xludf.dummyfunction("""COMPUTED_VALUE"""),"taufeeq.akhtar@tajir-app.com")</f>
        <v>taufeeq.akhtar@tajir-app.com</v>
      </c>
      <c r="P116" s="13" t="str">
        <f aca="false">IFERROR(__xludf.dummyfunction("""COMPUTED_VALUE"""),"Taufeeq Akhtar ")</f>
        <v>Taufeeq Akhtar </v>
      </c>
      <c r="Q116" s="13" t="str">
        <f aca="false">IF(L116="","",L116)</f>
        <v>TA:Not available on the floor.</v>
      </c>
    </row>
    <row r="117" customFormat="false" ht="15.75" hidden="false" customHeight="false" outlineLevel="0" collapsed="false">
      <c r="A117" s="13" t="str">
        <f aca="false">IFERROR(__xludf.dummyfunction("""COMPUTED_VALUE"""),"Metro DC Faisalabad")</f>
        <v>Metro DC Faisalabad</v>
      </c>
      <c r="B117" s="13" t="str">
        <f aca="false">IFERROR(__xludf.dummyfunction("""COMPUTED_VALUE"""),"cd68a607-af95-45cb-b9f4-2721224c85f8")</f>
        <v>cd68a607-af95-45cb-b9f4-2721224c85f8</v>
      </c>
      <c r="C117" s="13" t="str">
        <f aca="false">IFERROR(__xludf.dummyfunction("""COMPUTED_VALUE"""),"Coca Cola plastic 1.5L")</f>
        <v>Coca Cola plastic 1.5L</v>
      </c>
      <c r="D117" s="13" t="str">
        <f aca="false">IFERROR(__xludf.dummyfunction("""COMPUTED_VALUE"""),"Coca Cola")</f>
        <v>Coca Cola</v>
      </c>
      <c r="E117" s="13" t="str">
        <f aca="false">IFERROR(__xludf.dummyfunction("""COMPUTED_VALUE"""),"Beverages")</f>
        <v>Beverages</v>
      </c>
      <c r="F117" s="11" t="n">
        <f aca="false">IFERROR(__xludf.dummyfunction("""COMPUTED_VALUE"""),45019)</f>
        <v>45019</v>
      </c>
      <c r="G117" s="16" t="n">
        <f aca="false">IFERROR(__xludf.dummyfunction("""COMPUTED_VALUE"""),0.898917233798086)</f>
        <v>0.8989172338</v>
      </c>
      <c r="H117" s="13" t="str">
        <f aca="false">IFERROR(__xludf.dummyfunction("""COMPUTED_VALUE"""),"damaged stock")</f>
        <v>damaged stock</v>
      </c>
      <c r="I117" s="13" t="n">
        <f aca="false">IFERROR(__xludf.dummyfunction("""COMPUTED_VALUE"""),2)</f>
        <v>2</v>
      </c>
      <c r="J117" s="13" t="n">
        <f aca="false">IFERROR(__xludf.dummyfunction("""COMPUTED_VALUE"""),790)</f>
        <v>790</v>
      </c>
      <c r="K117" s="13" t="n">
        <f aca="false">IFERROR(__xludf.dummyfunction("""COMPUTED_VALUE"""),1580)</f>
        <v>1580</v>
      </c>
      <c r="L117" s="13" t="str">
        <f aca="false">IFERROR(__xludf.dummyfunction("""COMPUTED_VALUE"""),"[Code: 9ABBDE] TA:low quality of water and some botels are loose as weil(fungus bhi laga hay under).")</f>
        <v>[Code: 9ABBDE] TA:low quality of water and some botels are loose as weil(fungus bhi laga hay under).</v>
      </c>
      <c r="M117" s="13" t="str">
        <f aca="false">IFERROR(__xludf.dummyfunction("""COMPUTED_VALUE"""),"9ABBDE")</f>
        <v>9ABBDE</v>
      </c>
      <c r="N117" s="13"/>
      <c r="O117" s="13" t="str">
        <f aca="false">IFERROR(__xludf.dummyfunction("""COMPUTED_VALUE"""),"taufeeq.akhtar@tajir-app.com")</f>
        <v>taufeeq.akhtar@tajir-app.com</v>
      </c>
      <c r="P117" s="13" t="str">
        <f aca="false">IFERROR(__xludf.dummyfunction("""COMPUTED_VALUE"""),"Taufeeq Akhtar ")</f>
        <v>Taufeeq Akhtar </v>
      </c>
      <c r="Q117" s="13" t="str">
        <f aca="false">IF(L117="","",L117)</f>
        <v>[Code: 9ABBDE] TA:low quality of water and some botels are loose as weil(fungus bhi laga hay under).</v>
      </c>
    </row>
    <row r="118" customFormat="false" ht="15.75" hidden="false" customHeight="false" outlineLevel="0" collapsed="false">
      <c r="A118" s="13" t="str">
        <f aca="false">IFERROR(__xludf.dummyfunction("""COMPUTED_VALUE"""),"Metro DC Faisalabad")</f>
        <v>Metro DC Faisalabad</v>
      </c>
      <c r="B118" s="13" t="str">
        <f aca="false">IFERROR(__xludf.dummyfunction("""COMPUTED_VALUE"""),"24eda97a-547d-4730-a019-073bc438fe6c")</f>
        <v>24eda97a-547d-4730-a019-073bc438fe6c</v>
      </c>
      <c r="C118" s="13" t="str">
        <f aca="false">IFERROR(__xludf.dummyfunction("""COMPUTED_VALUE"""),"Al-Munawar Special Muzafati Dates Box")</f>
        <v>Al-Munawar Special Muzafati Dates Box</v>
      </c>
      <c r="D118" s="13" t="str">
        <f aca="false">IFERROR(__xludf.dummyfunction("""COMPUTED_VALUE"""),"Al-Munawar")</f>
        <v>Al-Munawar</v>
      </c>
      <c r="E118" s="13" t="str">
        <f aca="false">IFERROR(__xludf.dummyfunction("""COMPUTED_VALUE"""),"Khajoor &amp; Pakoriyan")</f>
        <v>Khajoor &amp; Pakoriyan</v>
      </c>
      <c r="F118" s="11" t="n">
        <f aca="false">IFERROR(__xludf.dummyfunction("""COMPUTED_VALUE"""),45019)</f>
        <v>45019</v>
      </c>
      <c r="G118" s="16" t="n">
        <f aca="false">IFERROR(__xludf.dummyfunction("""COMPUTED_VALUE"""),0.516837777779034)</f>
        <v>0.5168377778</v>
      </c>
      <c r="H118" s="13" t="str">
        <f aca="false">IFERROR(__xludf.dummyfunction("""COMPUTED_VALUE"""),"damaged stock")</f>
        <v>damaged stock</v>
      </c>
      <c r="I118" s="13" t="n">
        <f aca="false">IFERROR(__xludf.dummyfunction("""COMPUTED_VALUE"""),2)</f>
        <v>2</v>
      </c>
      <c r="J118" s="13" t="n">
        <f aca="false">IFERROR(__xludf.dummyfunction("""COMPUTED_VALUE"""),400)</f>
        <v>400</v>
      </c>
      <c r="K118" s="13" t="n">
        <f aca="false">IFERROR(__xludf.dummyfunction("""COMPUTED_VALUE"""),800)</f>
        <v>800</v>
      </c>
      <c r="L118" s="13" t="str">
        <f aca="false">IFERROR(__xludf.dummyfunction("""COMPUTED_VALUE"""),"[Code: 389DDE] 02 selling units found damage.(Quality Issue)")</f>
        <v>[Code: 389DDE] 02 selling units found damage.(Quality Issue)</v>
      </c>
      <c r="M118" s="13" t="str">
        <f aca="false">IFERROR(__xludf.dummyfunction("""COMPUTED_VALUE"""),"389DDE")</f>
        <v>389DDE</v>
      </c>
      <c r="N118" s="13"/>
      <c r="O118" s="13" t="str">
        <f aca="false">IFERROR(__xludf.dummyfunction("""COMPUTED_VALUE"""),"ali.raza@tajir-app.com")</f>
        <v>ali.raza@tajir-app.com</v>
      </c>
      <c r="P118" s="13" t="str">
        <f aca="false">IFERROR(__xludf.dummyfunction("""COMPUTED_VALUE"""),"Ali Raza ")</f>
        <v>Ali Raza </v>
      </c>
      <c r="Q118" s="13" t="str">
        <f aca="false">IF(L118="","",L118)</f>
        <v>[Code: 389DDE] 02 selling units found damage.(Quality Issue)</v>
      </c>
    </row>
    <row r="119" customFormat="false" ht="15.75" hidden="false" customHeight="false" outlineLevel="0" collapsed="false">
      <c r="A119" s="13" t="str">
        <f aca="false">IFERROR(__xludf.dummyfunction("""COMPUTED_VALUE"""),"Metro DC Faisalabad")</f>
        <v>Metro DC Faisalabad</v>
      </c>
      <c r="B119" s="13" t="str">
        <f aca="false">IFERROR(__xludf.dummyfunction("""COMPUTED_VALUE"""),"d864c0cd-914b-4a54-96d5-8e894ba5f3b6")</f>
        <v>d864c0cd-914b-4a54-96d5-8e894ba5f3b6</v>
      </c>
      <c r="C119" s="13" t="str">
        <f aca="false">IFERROR(__xludf.dummyfunction("""COMPUTED_VALUE"""),"Surf Excel x6 bundle 20g Rs 10")</f>
        <v>Surf Excel x6 bundle 20g Rs 10</v>
      </c>
      <c r="D119" s="13" t="str">
        <f aca="false">IFERROR(__xludf.dummyfunction("""COMPUTED_VALUE"""),"Surf Excel")</f>
        <v>Surf Excel</v>
      </c>
      <c r="E119" s="13" t="str">
        <f aca="false">IFERROR(__xludf.dummyfunction("""COMPUTED_VALUE"""),"Surf, Bleach")</f>
        <v>Surf, Bleach</v>
      </c>
      <c r="F119" s="11" t="n">
        <f aca="false">IFERROR(__xludf.dummyfunction("""COMPUTED_VALUE"""),45020)</f>
        <v>45020</v>
      </c>
      <c r="G119" s="16" t="n">
        <f aca="false">IFERROR(__xludf.dummyfunction("""COMPUTED_VALUE"""),0.949332500000237)</f>
        <v>0.9493325</v>
      </c>
      <c r="H119" s="13" t="str">
        <f aca="false">IFERROR(__xludf.dummyfunction("""COMPUTED_VALUE"""),"damaged stock")</f>
        <v>damaged stock</v>
      </c>
      <c r="I119" s="13" t="n">
        <f aca="false">IFERROR(__xludf.dummyfunction("""COMPUTED_VALUE"""),1)</f>
        <v>1</v>
      </c>
      <c r="J119" s="13" t="n">
        <f aca="false">IFERROR(__xludf.dummyfunction("""COMPUTED_VALUE"""),54.79)</f>
        <v>54.79</v>
      </c>
      <c r="K119" s="13" t="n">
        <f aca="false">IFERROR(__xludf.dummyfunction("""COMPUTED_VALUE"""),54.79)</f>
        <v>54.79</v>
      </c>
      <c r="L119" s="13" t="str">
        <f aca="false">IFERROR(__xludf.dummyfunction("""COMPUTED_VALUE"""),"[Code: 68AAAF] TA: thailay may say damage nikla ")</f>
        <v>[Code: 68AAAF] TA: thailay may say damage nikla </v>
      </c>
      <c r="M119" s="13" t="str">
        <f aca="false">IFERROR(__xludf.dummyfunction("""COMPUTED_VALUE"""),"68AAAF")</f>
        <v>68AAAF</v>
      </c>
      <c r="N119" s="13"/>
      <c r="O119" s="13" t="str">
        <f aca="false">IFERROR(__xludf.dummyfunction("""COMPUTED_VALUE"""),"taufeeq.akhtar@tajir-app.com")</f>
        <v>taufeeq.akhtar@tajir-app.com</v>
      </c>
      <c r="P119" s="13" t="str">
        <f aca="false">IFERROR(__xludf.dummyfunction("""COMPUTED_VALUE"""),"Taufeeq Akhtar ")</f>
        <v>Taufeeq Akhtar </v>
      </c>
      <c r="Q119" s="13" t="str">
        <f aca="false">IF(L119="","",L119)</f>
        <v>[Code: 68AAAF] TA: thailay may say damage nikla </v>
      </c>
    </row>
    <row r="120" customFormat="false" ht="15.75" hidden="false" customHeight="false" outlineLevel="0" collapsed="false">
      <c r="A120" s="13" t="str">
        <f aca="false">IFERROR(__xludf.dummyfunction("""COMPUTED_VALUE"""),"Metro DC Faisalabad")</f>
        <v>Metro DC Faisalabad</v>
      </c>
      <c r="B120" s="13" t="str">
        <f aca="false">IFERROR(__xludf.dummyfunction("""COMPUTED_VALUE"""),"677536ca-c438-4cd5-bda6-0f9fe40a7515")</f>
        <v>677536ca-c438-4cd5-bda6-0f9fe40a7515</v>
      </c>
      <c r="C120" s="13" t="str">
        <f aca="false">IFERROR(__xludf.dummyfunction("""COMPUTED_VALUE"""),"Closed 3")</f>
        <v>Closed 3</v>
      </c>
      <c r="D120" s="13" t="str">
        <f aca="false">IFERROR(__xludf.dummyfunction("""COMPUTED_VALUE"""),"Ariel Surf")</f>
        <v>Ariel Surf</v>
      </c>
      <c r="E120" s="13" t="str">
        <f aca="false">IFERROR(__xludf.dummyfunction("""COMPUTED_VALUE"""),"Surf, Bleach")</f>
        <v>Surf, Bleach</v>
      </c>
      <c r="F120" s="11" t="n">
        <f aca="false">IFERROR(__xludf.dummyfunction("""COMPUTED_VALUE"""),45020)</f>
        <v>45020</v>
      </c>
      <c r="G120" s="16" t="n">
        <f aca="false">IFERROR(__xludf.dummyfunction("""COMPUTED_VALUE"""),0.947785821760747)</f>
        <v>0.9477858218</v>
      </c>
      <c r="H120" s="13" t="str">
        <f aca="false">IFERROR(__xludf.dummyfunction("""COMPUTED_VALUE"""),"damaged stock")</f>
        <v>damaged stock</v>
      </c>
      <c r="I120" s="13" t="n">
        <f aca="false">IFERROR(__xludf.dummyfunction("""COMPUTED_VALUE"""),4)</f>
        <v>4</v>
      </c>
      <c r="J120" s="13" t="n">
        <f aca="false">IFERROR(__xludf.dummyfunction("""COMPUTED_VALUE"""),268.2)</f>
        <v>268.2</v>
      </c>
      <c r="K120" s="13" t="n">
        <f aca="false">IFERROR(__xludf.dummyfunction("""COMPUTED_VALUE"""),1072.8)</f>
        <v>1072.8</v>
      </c>
      <c r="L120" s="13" t="str">
        <f aca="false">IFERROR(__xludf.dummyfunction("""COMPUTED_VALUE"""),"[Code: 667BDD] TA:thailay may say damage niklay hay ")</f>
        <v>[Code: 667BDD] TA:thailay may say damage niklay hay </v>
      </c>
      <c r="M120" s="13" t="str">
        <f aca="false">IFERROR(__xludf.dummyfunction("""COMPUTED_VALUE"""),"667BDD")</f>
        <v>667BDD</v>
      </c>
      <c r="N120" s="13"/>
      <c r="O120" s="13" t="str">
        <f aca="false">IFERROR(__xludf.dummyfunction("""COMPUTED_VALUE"""),"taufeeq.akhtar@tajir-app.com")</f>
        <v>taufeeq.akhtar@tajir-app.com</v>
      </c>
      <c r="P120" s="13" t="str">
        <f aca="false">IFERROR(__xludf.dummyfunction("""COMPUTED_VALUE"""),"Taufeeq Akhtar ")</f>
        <v>Taufeeq Akhtar </v>
      </c>
      <c r="Q120" s="13" t="str">
        <f aca="false">IF(L120="","",L120)</f>
        <v>[Code: 667BDD] TA:thailay may say damage niklay hay </v>
      </c>
    </row>
    <row r="121" customFormat="false" ht="15.75" hidden="false" customHeight="false" outlineLevel="0" collapsed="false">
      <c r="A121" s="13" t="str">
        <f aca="false">IFERROR(__xludf.dummyfunction("""COMPUTED_VALUE"""),"Metro DC Faisalabad")</f>
        <v>Metro DC Faisalabad</v>
      </c>
      <c r="B121" s="13" t="str">
        <f aca="false">IFERROR(__xludf.dummyfunction("""COMPUTED_VALUE"""),"942ae6e8-b062-46ab-bcd3-a17189bf0e3e")</f>
        <v>942ae6e8-b062-46ab-bcd3-a17189bf0e3e</v>
      </c>
      <c r="C121" s="13" t="str">
        <f aca="false">IFERROR(__xludf.dummyfunction("""COMPUTED_VALUE"""),"SnackCity Kurleez Mirch Masala Rs30")</f>
        <v>SnackCity Kurleez Mirch Masala Rs30</v>
      </c>
      <c r="D121" s="13" t="str">
        <f aca="false">IFERROR(__xludf.dummyfunction("""COMPUTED_VALUE"""),"SnackCity")</f>
        <v>SnackCity</v>
      </c>
      <c r="E121" s="13" t="str">
        <f aca="false">IFERROR(__xludf.dummyfunction("""COMPUTED_VALUE"""),"Snacks")</f>
        <v>Snacks</v>
      </c>
      <c r="F121" s="11" t="n">
        <f aca="false">IFERROR(__xludf.dummyfunction("""COMPUTED_VALUE"""),45021)</f>
        <v>45021</v>
      </c>
      <c r="G121" s="16" t="n">
        <f aca="false">IFERROR(__xludf.dummyfunction("""COMPUTED_VALUE"""),0.899455127313731)</f>
        <v>0.8994551273</v>
      </c>
      <c r="H121" s="13" t="str">
        <f aca="false">IFERROR(__xludf.dummyfunction("""COMPUTED_VALUE"""),"expired stock")</f>
        <v>expired stock</v>
      </c>
      <c r="I121" s="13" t="n">
        <f aca="false">IFERROR(__xludf.dummyfunction("""COMPUTED_VALUE"""),29)</f>
        <v>29</v>
      </c>
      <c r="J121" s="13" t="n">
        <f aca="false">IFERROR(__xludf.dummyfunction("""COMPUTED_VALUE"""),557.67)</f>
        <v>557.67</v>
      </c>
      <c r="K121" s="13" t="n">
        <f aca="false">IFERROR(__xludf.dummyfunction("""COMPUTED_VALUE"""),16172.43)</f>
        <v>16172.43</v>
      </c>
      <c r="L121" s="13" t="str">
        <f aca="false">IFERROR(__xludf.dummyfunction("""COMPUTED_VALUE"""),"[Code: 669ABC] [Expiry: 28 Apr, 2023] TA:short expired stock of 28 april.")</f>
        <v>[Code: 669ABC] [Expiry: 28 Apr, 2023] TA:short expired stock of 28 april.</v>
      </c>
      <c r="M121" s="13" t="str">
        <f aca="false">IFERROR(__xludf.dummyfunction("""COMPUTED_VALUE"""),"669ABC")</f>
        <v>669ABC</v>
      </c>
      <c r="N121" s="13" t="str">
        <f aca="false">IFERROR(__xludf.dummyfunction("""COMPUTED_VALUE"""),"28 Apr, 2023")</f>
        <v>28 Apr, 2023</v>
      </c>
      <c r="O121" s="13" t="str">
        <f aca="false">IFERROR(__xludf.dummyfunction("""COMPUTED_VALUE"""),"taufeeq.akhtar@tajir-app.com")</f>
        <v>taufeeq.akhtar@tajir-app.com</v>
      </c>
      <c r="P121" s="13" t="str">
        <f aca="false">IFERROR(__xludf.dummyfunction("""COMPUTED_VALUE"""),"Taufeeq Akhtar ")</f>
        <v>Taufeeq Akhtar </v>
      </c>
      <c r="Q121" s="13" t="str">
        <f aca="false">IF(L121="","",L121)</f>
        <v>[Code: 669ABC] [Expiry: 28 Apr, 2023] TA:short expired stock of 28 april.</v>
      </c>
    </row>
    <row r="122" customFormat="false" ht="15.75" hidden="false" customHeight="false" outlineLevel="0" collapsed="false">
      <c r="A122" s="13" t="str">
        <f aca="false">IFERROR(__xludf.dummyfunction("""COMPUTED_VALUE"""),"Metro DC Faisalabad")</f>
        <v>Metro DC Faisalabad</v>
      </c>
      <c r="B122" s="13" t="str">
        <f aca="false">IFERROR(__xludf.dummyfunction("""COMPUTED_VALUE"""),"886117d5-99b1-4ea5-b746-725766108721")</f>
        <v>886117d5-99b1-4ea5-b746-725766108721</v>
      </c>
      <c r="C122" s="13" t="str">
        <f aca="false">IFERROR(__xludf.dummyfunction("""COMPUTED_VALUE"""),"Murree Brewery Pineapple Malt Glass x24 Crate 300ml")</f>
        <v>Murree Brewery Pineapple Malt Glass x24 Crate 300ml</v>
      </c>
      <c r="D122" s="13" t="str">
        <f aca="false">IFERROR(__xludf.dummyfunction("""COMPUTED_VALUE"""),"Murree Brewery")</f>
        <v>Murree Brewery</v>
      </c>
      <c r="E122" s="13" t="str">
        <f aca="false">IFERROR(__xludf.dummyfunction("""COMPUTED_VALUE"""),"Beverages")</f>
        <v>Beverages</v>
      </c>
      <c r="F122" s="11" t="n">
        <f aca="false">IFERROR(__xludf.dummyfunction("""COMPUTED_VALUE"""),45021)</f>
        <v>45021</v>
      </c>
      <c r="G122" s="16" t="n">
        <f aca="false">IFERROR(__xludf.dummyfunction("""COMPUTED_VALUE"""),0.896609918983282)</f>
        <v>0.896609919</v>
      </c>
      <c r="H122" s="13" t="str">
        <f aca="false">IFERROR(__xludf.dummyfunction("""COMPUTED_VALUE"""),"expired stock")</f>
        <v>expired stock</v>
      </c>
      <c r="I122" s="13" t="n">
        <f aca="false">IFERROR(__xludf.dummyfunction("""COMPUTED_VALUE"""),1)</f>
        <v>1</v>
      </c>
      <c r="J122" s="13" t="n">
        <f aca="false">IFERROR(__xludf.dummyfunction("""COMPUTED_VALUE"""),1021)</f>
        <v>1021</v>
      </c>
      <c r="K122" s="13" t="n">
        <f aca="false">IFERROR(__xludf.dummyfunction("""COMPUTED_VALUE"""),1021)</f>
        <v>1021</v>
      </c>
      <c r="L122" s="13" t="str">
        <f aca="false">IFERROR(__xludf.dummyfunction("""COMPUTED_VALUE"""),"[Code: 2349CE] [Expiry: 10 Apr, 2023] TA:short expired stock of 10 april.")</f>
        <v>[Code: 2349CE] [Expiry: 10 Apr, 2023] TA:short expired stock of 10 april.</v>
      </c>
      <c r="M122" s="13" t="str">
        <f aca="false">IFERROR(__xludf.dummyfunction("""COMPUTED_VALUE"""),"2349CE")</f>
        <v>2349CE</v>
      </c>
      <c r="N122" s="13" t="str">
        <f aca="false">IFERROR(__xludf.dummyfunction("""COMPUTED_VALUE"""),"10 Apr, 2023")</f>
        <v>10 Apr, 2023</v>
      </c>
      <c r="O122" s="13" t="str">
        <f aca="false">IFERROR(__xludf.dummyfunction("""COMPUTED_VALUE"""),"taufeeq.akhtar@tajir-app.com")</f>
        <v>taufeeq.akhtar@tajir-app.com</v>
      </c>
      <c r="P122" s="13" t="str">
        <f aca="false">IFERROR(__xludf.dummyfunction("""COMPUTED_VALUE"""),"Taufeeq Akhtar ")</f>
        <v>Taufeeq Akhtar </v>
      </c>
      <c r="Q122" s="13" t="str">
        <f aca="false">IF(L122="","",L122)</f>
        <v>[Code: 2349CE] [Expiry: 10 Apr, 2023] TA:short expired stock of 10 april.</v>
      </c>
    </row>
    <row r="123" customFormat="false" ht="15.75" hidden="false" customHeight="false" outlineLevel="0" collapsed="false">
      <c r="A123" s="13" t="str">
        <f aca="false">IFERROR(__xludf.dummyfunction("""COMPUTED_VALUE"""),"Metro DC Faisalabad")</f>
        <v>Metro DC Faisalabad</v>
      </c>
      <c r="B123" s="13" t="str">
        <f aca="false">IFERROR(__xludf.dummyfunction("""COMPUTED_VALUE"""),"2597743e-4d52-4816-b29b-53d4227dec5f")</f>
        <v>2597743e-4d52-4816-b29b-53d4227dec5f</v>
      </c>
      <c r="C123" s="13" t="str">
        <f aca="false">IFERROR(__xludf.dummyfunction("""COMPUTED_VALUE"""),"Murree Brewery Apple Malt Glass x24 Crate 300ml")</f>
        <v>Murree Brewery Apple Malt Glass x24 Crate 300ml</v>
      </c>
      <c r="D123" s="13" t="str">
        <f aca="false">IFERROR(__xludf.dummyfunction("""COMPUTED_VALUE"""),"Murree Brewery")</f>
        <v>Murree Brewery</v>
      </c>
      <c r="E123" s="13" t="str">
        <f aca="false">IFERROR(__xludf.dummyfunction("""COMPUTED_VALUE"""),"Beverages")</f>
        <v>Beverages</v>
      </c>
      <c r="F123" s="11" t="n">
        <f aca="false">IFERROR(__xludf.dummyfunction("""COMPUTED_VALUE"""),45021)</f>
        <v>45021</v>
      </c>
      <c r="G123" s="16" t="n">
        <f aca="false">IFERROR(__xludf.dummyfunction("""COMPUTED_VALUE"""),0.89446072916727)</f>
        <v>0.8944607292</v>
      </c>
      <c r="H123" s="13" t="str">
        <f aca="false">IFERROR(__xludf.dummyfunction("""COMPUTED_VALUE"""),"expired stock")</f>
        <v>expired stock</v>
      </c>
      <c r="I123" s="13" t="n">
        <f aca="false">IFERROR(__xludf.dummyfunction("""COMPUTED_VALUE"""),6)</f>
        <v>6</v>
      </c>
      <c r="J123" s="13" t="n">
        <f aca="false">IFERROR(__xludf.dummyfunction("""COMPUTED_VALUE"""),1130)</f>
        <v>1130</v>
      </c>
      <c r="K123" s="13" t="n">
        <f aca="false">IFERROR(__xludf.dummyfunction("""COMPUTED_VALUE"""),6780)</f>
        <v>6780</v>
      </c>
      <c r="L123" s="13" t="str">
        <f aca="false">IFERROR(__xludf.dummyfunction("""COMPUTED_VALUE"""),"[Code: 2344DD] [Expiry: 20 Apr, 2023] Near to expired stok .")</f>
        <v>[Code: 2344DD] [Expiry: 20 Apr, 2023] Near to expired stok .</v>
      </c>
      <c r="M123" s="13" t="str">
        <f aca="false">IFERROR(__xludf.dummyfunction("""COMPUTED_VALUE"""),"2344DD")</f>
        <v>2344DD</v>
      </c>
      <c r="N123" s="13" t="str">
        <f aca="false">IFERROR(__xludf.dummyfunction("""COMPUTED_VALUE"""),"20 Apr, 2023")</f>
        <v>20 Apr, 2023</v>
      </c>
      <c r="O123" s="13" t="str">
        <f aca="false">IFERROR(__xludf.dummyfunction("""COMPUTED_VALUE"""),"taufeeq.akhtar@tajir-app.com")</f>
        <v>taufeeq.akhtar@tajir-app.com</v>
      </c>
      <c r="P123" s="13" t="str">
        <f aca="false">IFERROR(__xludf.dummyfunction("""COMPUTED_VALUE"""),"Taufeeq Akhtar ")</f>
        <v>Taufeeq Akhtar </v>
      </c>
      <c r="Q123" s="13" t="str">
        <f aca="false">IF(L123="","",L123)</f>
        <v>[Code: 2344DD] [Expiry: 20 Apr, 2023] Near to expired stok .</v>
      </c>
    </row>
    <row r="124" customFormat="false" ht="15.75" hidden="false" customHeight="false" outlineLevel="0" collapsed="false">
      <c r="A124" s="13" t="str">
        <f aca="false">IFERROR(__xludf.dummyfunction("""COMPUTED_VALUE"""),"Metro DC Faisalabad")</f>
        <v>Metro DC Faisalabad</v>
      </c>
      <c r="B124" s="13" t="str">
        <f aca="false">IFERROR(__xludf.dummyfunction("""COMPUTED_VALUE"""),"81bc04a4-9adf-4338-87ab-25bd23ae0744")</f>
        <v>81bc04a4-9adf-4338-87ab-25bd23ae0744</v>
      </c>
      <c r="C124" s="13" t="str">
        <f aca="false">IFERROR(__xludf.dummyfunction("""COMPUTED_VALUE"""),"Murree Brewery Lemon Malt Glass x24 Crate 300ml")</f>
        <v>Murree Brewery Lemon Malt Glass x24 Crate 300ml</v>
      </c>
      <c r="D124" s="13" t="str">
        <f aca="false">IFERROR(__xludf.dummyfunction("""COMPUTED_VALUE"""),"Murree Brewery")</f>
        <v>Murree Brewery</v>
      </c>
      <c r="E124" s="13" t="str">
        <f aca="false">IFERROR(__xludf.dummyfunction("""COMPUTED_VALUE"""),"Beverages")</f>
        <v>Beverages</v>
      </c>
      <c r="F124" s="11" t="n">
        <f aca="false">IFERROR(__xludf.dummyfunction("""COMPUTED_VALUE"""),45021)</f>
        <v>45021</v>
      </c>
      <c r="G124" s="16" t="n">
        <f aca="false">IFERROR(__xludf.dummyfunction("""COMPUTED_VALUE"""),0.892140335646989)</f>
        <v>0.8921403356</v>
      </c>
      <c r="H124" s="13" t="str">
        <f aca="false">IFERROR(__xludf.dummyfunction("""COMPUTED_VALUE"""),"expired stock")</f>
        <v>expired stock</v>
      </c>
      <c r="I124" s="13" t="n">
        <f aca="false">IFERROR(__xludf.dummyfunction("""COMPUTED_VALUE"""),1)</f>
        <v>1</v>
      </c>
      <c r="J124" s="13" t="n">
        <f aca="false">IFERROR(__xludf.dummyfunction("""COMPUTED_VALUE"""),1453.5)</f>
        <v>1453.5</v>
      </c>
      <c r="K124" s="13" t="n">
        <f aca="false">IFERROR(__xludf.dummyfunction("""COMPUTED_VALUE"""),1453.5)</f>
        <v>1453.5</v>
      </c>
      <c r="L124" s="13" t="str">
        <f aca="false">IFERROR(__xludf.dummyfunction("""COMPUTED_VALUE"""),"[Code: 35ABCD] [Expiry: 19 Apr, 2023] expired stock of 19 april 2023")</f>
        <v>[Code: 35ABCD] [Expiry: 19 Apr, 2023] expired stock of 19 april 2023</v>
      </c>
      <c r="M124" s="13" t="str">
        <f aca="false">IFERROR(__xludf.dummyfunction("""COMPUTED_VALUE"""),"35ABCD")</f>
        <v>35ABCD</v>
      </c>
      <c r="N124" s="13" t="str">
        <f aca="false">IFERROR(__xludf.dummyfunction("""COMPUTED_VALUE"""),"19 Apr, 2023")</f>
        <v>19 Apr, 2023</v>
      </c>
      <c r="O124" s="13" t="str">
        <f aca="false">IFERROR(__xludf.dummyfunction("""COMPUTED_VALUE"""),"taufeeq.akhtar@tajir-app.com")</f>
        <v>taufeeq.akhtar@tajir-app.com</v>
      </c>
      <c r="P124" s="13" t="str">
        <f aca="false">IFERROR(__xludf.dummyfunction("""COMPUTED_VALUE"""),"Taufeeq Akhtar ")</f>
        <v>Taufeeq Akhtar </v>
      </c>
      <c r="Q124" s="13" t="str">
        <f aca="false">IF(L124="","",L124)</f>
        <v>[Code: 35ABCD] [Expiry: 19 Apr, 2023] expired stock of 19 april 2023</v>
      </c>
    </row>
    <row r="125" customFormat="false" ht="15.75" hidden="false" customHeight="false" outlineLevel="0" collapsed="false">
      <c r="A125" s="13" t="str">
        <f aca="false">IFERROR(__xludf.dummyfunction("""COMPUTED_VALUE"""),"Metro DC Faisalabad")</f>
        <v>Metro DC Faisalabad</v>
      </c>
      <c r="B125" s="13" t="str">
        <f aca="false">IFERROR(__xludf.dummyfunction("""COMPUTED_VALUE"""),"260b76ec-fddf-4758-963e-2029967a1a3f")</f>
        <v>260b76ec-fddf-4758-963e-2029967a1a3f</v>
      </c>
      <c r="C125" s="13" t="str">
        <f aca="false">IFERROR(__xludf.dummyfunction("""COMPUTED_VALUE"""),"Murree Brewery Lychee Malt Glass x24 Crate 300ml (brown liquid)")</f>
        <v>Murree Brewery Lychee Malt Glass x24 Crate 300ml (brown liquid)</v>
      </c>
      <c r="D125" s="13" t="str">
        <f aca="false">IFERROR(__xludf.dummyfunction("""COMPUTED_VALUE"""),"Murree Brewery")</f>
        <v>Murree Brewery</v>
      </c>
      <c r="E125" s="13" t="str">
        <f aca="false">IFERROR(__xludf.dummyfunction("""COMPUTED_VALUE"""),"Beverages")</f>
        <v>Beverages</v>
      </c>
      <c r="F125" s="11" t="n">
        <f aca="false">IFERROR(__xludf.dummyfunction("""COMPUTED_VALUE"""),45021)</f>
        <v>45021</v>
      </c>
      <c r="G125" s="16" t="n">
        <f aca="false">IFERROR(__xludf.dummyfunction("""COMPUTED_VALUE"""),0.841559918980377)</f>
        <v>0.841559919</v>
      </c>
      <c r="H125" s="13" t="str">
        <f aca="false">IFERROR(__xludf.dummyfunction("""COMPUTED_VALUE"""),"expired stock")</f>
        <v>expired stock</v>
      </c>
      <c r="I125" s="13" t="n">
        <f aca="false">IFERROR(__xludf.dummyfunction("""COMPUTED_VALUE"""),20)</f>
        <v>20</v>
      </c>
      <c r="J125" s="13" t="n">
        <f aca="false">IFERROR(__xludf.dummyfunction("""COMPUTED_VALUE"""),1130)</f>
        <v>1130</v>
      </c>
      <c r="K125" s="13" t="n">
        <f aca="false">IFERROR(__xludf.dummyfunction("""COMPUTED_VALUE"""),22600)</f>
        <v>22600</v>
      </c>
      <c r="L125" s="13" t="str">
        <f aca="false">IFERROR(__xludf.dummyfunction("""COMPUTED_VALUE"""),"[Code: 5678HH] [Expiry: 18 Apr, 2023] TA:short expired stock of 18 april 2023")</f>
        <v>[Code: 5678HH] [Expiry: 18 Apr, 2023] TA:short expired stock of 18 april 2023</v>
      </c>
      <c r="M125" s="13" t="str">
        <f aca="false">IFERROR(__xludf.dummyfunction("""COMPUTED_VALUE"""),"5678HH")</f>
        <v>5678HH</v>
      </c>
      <c r="N125" s="13" t="str">
        <f aca="false">IFERROR(__xludf.dummyfunction("""COMPUTED_VALUE"""),"18 Apr, 2023")</f>
        <v>18 Apr, 2023</v>
      </c>
      <c r="O125" s="13" t="str">
        <f aca="false">IFERROR(__xludf.dummyfunction("""COMPUTED_VALUE"""),"taufeeq.akhtar@tajir-app.com")</f>
        <v>taufeeq.akhtar@tajir-app.com</v>
      </c>
      <c r="P125" s="13" t="str">
        <f aca="false">IFERROR(__xludf.dummyfunction("""COMPUTED_VALUE"""),"Taufeeq Akhtar ")</f>
        <v>Taufeeq Akhtar </v>
      </c>
      <c r="Q125" s="13" t="str">
        <f aca="false">IF(L125="","",L125)</f>
        <v>[Code: 5678HH] [Expiry: 18 Apr, 2023] TA:short expired stock of 18 april 2023</v>
      </c>
    </row>
    <row r="126" customFormat="false" ht="15.75" hidden="false" customHeight="false" outlineLevel="0" collapsed="false">
      <c r="A126" s="13" t="str">
        <f aca="false">IFERROR(__xludf.dummyfunction("""COMPUTED_VALUE"""),"Metro DC Faisalabad")</f>
        <v>Metro DC Faisalabad</v>
      </c>
      <c r="B126" s="13" t="str">
        <f aca="false">IFERROR(__xludf.dummyfunction("""COMPUTED_VALUE"""),"92414078-99ec-4ada-9055-d3307ef0c86a")</f>
        <v>92414078-99ec-4ada-9055-d3307ef0c86a</v>
      </c>
      <c r="C126" s="13" t="str">
        <f aca="false">IFERROR(__xludf.dummyfunction("""COMPUTED_VALUE"""),"Bisconni Flo Chocolate Coated Vanilla Cake 10pcs Rs15 (Blue)")</f>
        <v>Bisconni Flo Chocolate Coated Vanilla Cake 10pcs Rs15 (Blue)</v>
      </c>
      <c r="D126" s="13" t="str">
        <f aca="false">IFERROR(__xludf.dummyfunction("""COMPUTED_VALUE"""),"Bisconni")</f>
        <v>Bisconni</v>
      </c>
      <c r="E126" s="13" t="str">
        <f aca="false">IFERROR(__xludf.dummyfunction("""COMPUTED_VALUE"""),"Confectionary")</f>
        <v>Confectionary</v>
      </c>
      <c r="F126" s="11" t="n">
        <f aca="false">IFERROR(__xludf.dummyfunction("""COMPUTED_VALUE"""),45021)</f>
        <v>45021</v>
      </c>
      <c r="G126" s="16" t="n">
        <f aca="false">IFERROR(__xludf.dummyfunction("""COMPUTED_VALUE"""),0.43804225694521)</f>
        <v>0.4380422569</v>
      </c>
      <c r="H126" s="13" t="str">
        <f aca="false">IFERROR(__xludf.dummyfunction("""COMPUTED_VALUE"""),"expired stock")</f>
        <v>expired stock</v>
      </c>
      <c r="I126" s="13" t="n">
        <f aca="false">IFERROR(__xludf.dummyfunction("""COMPUTED_VALUE"""),167)</f>
        <v>167</v>
      </c>
      <c r="J126" s="13" t="n">
        <f aca="false">IFERROR(__xludf.dummyfunction("""COMPUTED_VALUE"""),130)</f>
        <v>130</v>
      </c>
      <c r="K126" s="13" t="n">
        <f aca="false">IFERROR(__xludf.dummyfunction("""COMPUTED_VALUE"""),21710)</f>
        <v>21710</v>
      </c>
      <c r="L126" s="13" t="str">
        <f aca="false">IFERROR(__xludf.dummyfunction("""COMPUTED_VALUE"""),"[Code: 56DFGJ] [Expiry: 21 Mar, 2023] 167 SELLING UNIT EXPIRED")</f>
        <v>[Code: 56DFGJ] [Expiry: 21 Mar, 2023] 167 SELLING UNIT EXPIRED</v>
      </c>
      <c r="M126" s="13" t="str">
        <f aca="false">IFERROR(__xludf.dummyfunction("""COMPUTED_VALUE"""),"56DFGJ")</f>
        <v>56DFGJ</v>
      </c>
      <c r="N126" s="13" t="str">
        <f aca="false">IFERROR(__xludf.dummyfunction("""COMPUTED_VALUE"""),"21 Mar, 2023")</f>
        <v>21 Mar, 2023</v>
      </c>
      <c r="O126" s="13" t="str">
        <f aca="false">IFERROR(__xludf.dummyfunction("""COMPUTED_VALUE"""),"ali.raza@tajir-app.com")</f>
        <v>ali.raza@tajir-app.com</v>
      </c>
      <c r="P126" s="13" t="str">
        <f aca="false">IFERROR(__xludf.dummyfunction("""COMPUTED_VALUE"""),"Ali Raza ")</f>
        <v>Ali Raza </v>
      </c>
      <c r="Q126" s="13" t="str">
        <f aca="false">IF(L126="","",L126)</f>
        <v>[Code: 56DFGJ] [Expiry: 21 Mar, 2023] 167 SELLING UNIT EXPIRED</v>
      </c>
    </row>
    <row r="127" customFormat="false" ht="15.75" hidden="false" customHeight="false" outlineLevel="0" collapsed="false">
      <c r="A127" s="13" t="str">
        <f aca="false">IFERROR(__xludf.dummyfunction("""COMPUTED_VALUE"""),"Metro DC Faisalabad")</f>
        <v>Metro DC Faisalabad</v>
      </c>
      <c r="B127" s="13" t="str">
        <f aca="false">IFERROR(__xludf.dummyfunction("""COMPUTED_VALUE"""),"644f8d6f-825d-4bd4-b06f-b1f006e10b46")</f>
        <v>644f8d6f-825d-4bd4-b06f-b1f006e10b46</v>
      </c>
      <c r="C127" s="13" t="str">
        <f aca="false">IFERROR(__xludf.dummyfunction("""COMPUTED_VALUE"""),"Robin Liquid Bleach 500ml Rs405")</f>
        <v>Robin Liquid Bleach 500ml Rs405</v>
      </c>
      <c r="D127" s="13" t="str">
        <f aca="false">IFERROR(__xludf.dummyfunction("""COMPUTED_VALUE"""),"Robin")</f>
        <v>Robin</v>
      </c>
      <c r="E127" s="13" t="str">
        <f aca="false">IFERROR(__xludf.dummyfunction("""COMPUTED_VALUE"""),"Surf, Bleach")</f>
        <v>Surf, Bleach</v>
      </c>
      <c r="F127" s="11" t="n">
        <f aca="false">IFERROR(__xludf.dummyfunction("""COMPUTED_VALUE"""),45023)</f>
        <v>45023</v>
      </c>
      <c r="G127" s="16" t="n">
        <f aca="false">IFERROR(__xludf.dummyfunction("""COMPUTED_VALUE"""),0.89749380787043)</f>
        <v>0.8974938079</v>
      </c>
      <c r="H127" s="13" t="str">
        <f aca="false">IFERROR(__xludf.dummyfunction("""COMPUTED_VALUE"""),"missing stock")</f>
        <v>missing stock</v>
      </c>
      <c r="I127" s="13" t="n">
        <f aca="false">IFERROR(__xludf.dummyfunction("""COMPUTED_VALUE"""),2)</f>
        <v>2</v>
      </c>
      <c r="J127" s="13" t="n">
        <f aca="false">IFERROR(__xludf.dummyfunction("""COMPUTED_VALUE"""),319.19)</f>
        <v>319.19</v>
      </c>
      <c r="K127" s="13" t="n">
        <f aca="false">IFERROR(__xludf.dummyfunction("""COMPUTED_VALUE"""),638.38)</f>
        <v>638.38</v>
      </c>
      <c r="L127" s="13" t="str">
        <f aca="false">IFERROR(__xludf.dummyfunction("""COMPUTED_VALUE"""),"TA;Not Found")</f>
        <v>TA;Not Found</v>
      </c>
      <c r="M127" s="13"/>
      <c r="N127" s="13"/>
      <c r="O127" s="13" t="str">
        <f aca="false">IFERROR(__xludf.dummyfunction("""COMPUTED_VALUE"""),"taufeeq.akhtar@tajir-app.com")</f>
        <v>taufeeq.akhtar@tajir-app.com</v>
      </c>
      <c r="P127" s="13" t="str">
        <f aca="false">IFERROR(__xludf.dummyfunction("""COMPUTED_VALUE"""),"Taufeeq Akhtar ")</f>
        <v>Taufeeq Akhtar </v>
      </c>
      <c r="Q127" s="13" t="str">
        <f aca="false">IF(L127="","",L127)</f>
        <v>TA;Not Found</v>
      </c>
    </row>
    <row r="128" customFormat="false" ht="15.75" hidden="false" customHeight="false" outlineLevel="0" collapsed="false">
      <c r="A128" s="13" t="str">
        <f aca="false">IFERROR(__xludf.dummyfunction("""COMPUTED_VALUE"""),"Metro DC Faisalabad")</f>
        <v>Metro DC Faisalabad</v>
      </c>
      <c r="B128" s="13" t="str">
        <f aca="false">IFERROR(__xludf.dummyfunction("""COMPUTED_VALUE"""),"01c5ef82-cc7c-4e03-9b33-0f3c7b4215cf")</f>
        <v>01c5ef82-cc7c-4e03-9b33-0f3c7b4215cf</v>
      </c>
      <c r="C128" s="13" t="str">
        <f aca="false">IFERROR(__xludf.dummyfunction("""COMPUTED_VALUE"""),"Shangrila Chilli Garlic Sauce x6 Bundle 225g")</f>
        <v>Shangrila Chilli Garlic Sauce x6 Bundle 225g</v>
      </c>
      <c r="D128" s="13" t="str">
        <f aca="false">IFERROR(__xludf.dummyfunction("""COMPUTED_VALUE"""),"Shangrila")</f>
        <v>Shangrila</v>
      </c>
      <c r="E128" s="13" t="str">
        <f aca="false">IFERROR(__xludf.dummyfunction("""COMPUTED_VALUE"""),"Sauces")</f>
        <v>Sauces</v>
      </c>
      <c r="F128" s="11" t="n">
        <f aca="false">IFERROR(__xludf.dummyfunction("""COMPUTED_VALUE"""),45023)</f>
        <v>45023</v>
      </c>
      <c r="G128" s="16" t="n">
        <f aca="false">IFERROR(__xludf.dummyfunction("""COMPUTED_VALUE"""),0.842612488427284)</f>
        <v>0.8426124884</v>
      </c>
      <c r="H128" s="13" t="str">
        <f aca="false">IFERROR(__xludf.dummyfunction("""COMPUTED_VALUE"""),"damaged stock")</f>
        <v>damaged stock</v>
      </c>
      <c r="I128" s="13" t="n">
        <f aca="false">IFERROR(__xludf.dummyfunction("""COMPUTED_VALUE"""),1)</f>
        <v>1</v>
      </c>
      <c r="J128" s="13" t="n">
        <f aca="false">IFERROR(__xludf.dummyfunction("""COMPUTED_VALUE"""),517.05)</f>
        <v>517.05</v>
      </c>
      <c r="K128" s="13" t="n">
        <f aca="false">IFERROR(__xludf.dummyfunction("""COMPUTED_VALUE"""),517.05)</f>
        <v>517.05</v>
      </c>
      <c r="L128" s="13" t="str">
        <f aca="false">IFERROR(__xludf.dummyfunction("""COMPUTED_VALUE"""),"[Code: 455579] TA:box may say damage nikla jab display kr rahay thay.")</f>
        <v>[Code: 455579] TA:box may say damage nikla jab display kr rahay thay.</v>
      </c>
      <c r="M128" s="13" t="str">
        <f aca="false">IFERROR(__xludf.dummyfunction("""COMPUTED_VALUE"""),"455579")</f>
        <v>455579</v>
      </c>
      <c r="N128" s="13"/>
      <c r="O128" s="13" t="str">
        <f aca="false">IFERROR(__xludf.dummyfunction("""COMPUTED_VALUE"""),"taufeeq.akhtar@tajir-app.com")</f>
        <v>taufeeq.akhtar@tajir-app.com</v>
      </c>
      <c r="P128" s="13" t="str">
        <f aca="false">IFERROR(__xludf.dummyfunction("""COMPUTED_VALUE"""),"Taufeeq Akhtar ")</f>
        <v>Taufeeq Akhtar </v>
      </c>
      <c r="Q128" s="13" t="str">
        <f aca="false">IF(L128="","",L128)</f>
        <v>[Code: 455579] TA:box may say damage nikla jab display kr rahay thay.</v>
      </c>
    </row>
    <row r="129" customFormat="false" ht="15.75" hidden="false" customHeight="false" outlineLevel="0" collapsed="false">
      <c r="A129" s="13" t="str">
        <f aca="false">IFERROR(__xludf.dummyfunction("""COMPUTED_VALUE"""),"Metro DC Faisalabad")</f>
        <v>Metro DC Faisalabad</v>
      </c>
      <c r="B129" s="13" t="str">
        <f aca="false">IFERROR(__xludf.dummyfunction("""COMPUTED_VALUE"""),"13e1aca6-1334-4628-8642-373185a2eeb7")</f>
        <v>13e1aca6-1334-4628-8642-373185a2eeb7</v>
      </c>
      <c r="C129" s="13" t="str">
        <f aca="false">IFERROR(__xludf.dummyfunction("""COMPUTED_VALUE"""),"Shangrila Tomato Ketchup x6 Bundle 225g")</f>
        <v>Shangrila Tomato Ketchup x6 Bundle 225g</v>
      </c>
      <c r="D129" s="13" t="str">
        <f aca="false">IFERROR(__xludf.dummyfunction("""COMPUTED_VALUE"""),"Shangrila")</f>
        <v>Shangrila</v>
      </c>
      <c r="E129" s="13" t="str">
        <f aca="false">IFERROR(__xludf.dummyfunction("""COMPUTED_VALUE"""),"Sauces")</f>
        <v>Sauces</v>
      </c>
      <c r="F129" s="11" t="n">
        <f aca="false">IFERROR(__xludf.dummyfunction("""COMPUTED_VALUE"""),45023)</f>
        <v>45023</v>
      </c>
      <c r="G129" s="16" t="n">
        <f aca="false">IFERROR(__xludf.dummyfunction("""COMPUTED_VALUE"""),0.841265636574451)</f>
        <v>0.8412656366</v>
      </c>
      <c r="H129" s="13" t="str">
        <f aca="false">IFERROR(__xludf.dummyfunction("""COMPUTED_VALUE"""),"damaged stock")</f>
        <v>damaged stock</v>
      </c>
      <c r="I129" s="13" t="n">
        <f aca="false">IFERROR(__xludf.dummyfunction("""COMPUTED_VALUE"""),1)</f>
        <v>1</v>
      </c>
      <c r="J129" s="13" t="n">
        <f aca="false">IFERROR(__xludf.dummyfunction("""COMPUTED_VALUE"""),517.05)</f>
        <v>517.05</v>
      </c>
      <c r="K129" s="13" t="n">
        <f aca="false">IFERROR(__xludf.dummyfunction("""COMPUTED_VALUE"""),517.05)</f>
        <v>517.05</v>
      </c>
      <c r="L129" s="13" t="str">
        <f aca="false">IFERROR(__xludf.dummyfunction("""COMPUTED_VALUE"""),"[Code: 3469BD] TA:box may say damage nikla display krtay waqt.")</f>
        <v>[Code: 3469BD] TA:box may say damage nikla display krtay waqt.</v>
      </c>
      <c r="M129" s="13" t="str">
        <f aca="false">IFERROR(__xludf.dummyfunction("""COMPUTED_VALUE"""),"3469BD")</f>
        <v>3469BD</v>
      </c>
      <c r="N129" s="13"/>
      <c r="O129" s="13" t="str">
        <f aca="false">IFERROR(__xludf.dummyfunction("""COMPUTED_VALUE"""),"taufeeq.akhtar@tajir-app.com")</f>
        <v>taufeeq.akhtar@tajir-app.com</v>
      </c>
      <c r="P129" s="13" t="str">
        <f aca="false">IFERROR(__xludf.dummyfunction("""COMPUTED_VALUE"""),"Taufeeq Akhtar ")</f>
        <v>Taufeeq Akhtar </v>
      </c>
      <c r="Q129" s="13" t="str">
        <f aca="false">IF(L129="","",L129)</f>
        <v>[Code: 3469BD] TA:box may say damage nikla display krtay waqt.</v>
      </c>
    </row>
    <row r="130" customFormat="false" ht="15.75" hidden="false" customHeight="false" outlineLevel="0" collapsed="false">
      <c r="A130" s="13" t="str">
        <f aca="false">IFERROR(__xludf.dummyfunction("""COMPUTED_VALUE"""),"Metro DC Faisalabad")</f>
        <v>Metro DC Faisalabad</v>
      </c>
      <c r="B130" s="13" t="str">
        <f aca="false">IFERROR(__xludf.dummyfunction("""COMPUTED_VALUE"""),"63ad4255-bc6a-418c-8142-78be89c55ad1")</f>
        <v>63ad4255-bc6a-418c-8142-78be89c55ad1</v>
      </c>
      <c r="C130" s="13" t="str">
        <f aca="false">IFERROR(__xludf.dummyfunction("""COMPUTED_VALUE"""),"Regal Laser Mood Chocolate Magic Stick Box 50pcs Rs5")</f>
        <v>Regal Laser Mood Chocolate Magic Stick Box 50pcs Rs5</v>
      </c>
      <c r="D130" s="13" t="str">
        <f aca="false">IFERROR(__xludf.dummyfunction("""COMPUTED_VALUE"""),"Regal")</f>
        <v>Regal</v>
      </c>
      <c r="E130" s="13" t="str">
        <f aca="false">IFERROR(__xludf.dummyfunction("""COMPUTED_VALUE"""),"Confectionary")</f>
        <v>Confectionary</v>
      </c>
      <c r="F130" s="11" t="n">
        <f aca="false">IFERROR(__xludf.dummyfunction("""COMPUTED_VALUE"""),45023)</f>
        <v>45023</v>
      </c>
      <c r="G130" s="16" t="n">
        <f aca="false">IFERROR(__xludf.dummyfunction("""COMPUTED_VALUE"""),0.840079710646337)</f>
        <v>0.8400797106</v>
      </c>
      <c r="H130" s="13" t="str">
        <f aca="false">IFERROR(__xludf.dummyfunction("""COMPUTED_VALUE"""),"damaged stock")</f>
        <v>damaged stock</v>
      </c>
      <c r="I130" s="13" t="n">
        <f aca="false">IFERROR(__xludf.dummyfunction("""COMPUTED_VALUE"""),1)</f>
        <v>1</v>
      </c>
      <c r="J130" s="13" t="n">
        <f aca="false">IFERROR(__xludf.dummyfunction("""COMPUTED_VALUE"""),178.5)</f>
        <v>178.5</v>
      </c>
      <c r="K130" s="13" t="n">
        <f aca="false">IFERROR(__xludf.dummyfunction("""COMPUTED_VALUE"""),178.5)</f>
        <v>178.5</v>
      </c>
      <c r="L130" s="13" t="str">
        <f aca="false">IFERROR(__xludf.dummyfunction("""COMPUTED_VALUE"""),"[Code: 399BCD] TA:few pieces are missing in the box(dabay may say damage nikla display krtay waqt)")</f>
        <v>[Code: 399BCD] TA:few pieces are missing in the box(dabay may say damage nikla display krtay waqt)</v>
      </c>
      <c r="M130" s="13" t="str">
        <f aca="false">IFERROR(__xludf.dummyfunction("""COMPUTED_VALUE"""),"399BCD")</f>
        <v>399BCD</v>
      </c>
      <c r="N130" s="13"/>
      <c r="O130" s="13" t="str">
        <f aca="false">IFERROR(__xludf.dummyfunction("""COMPUTED_VALUE"""),"taufeeq.akhtar@tajir-app.com")</f>
        <v>taufeeq.akhtar@tajir-app.com</v>
      </c>
      <c r="P130" s="13" t="str">
        <f aca="false">IFERROR(__xludf.dummyfunction("""COMPUTED_VALUE"""),"Taufeeq Akhtar ")</f>
        <v>Taufeeq Akhtar </v>
      </c>
      <c r="Q130" s="13" t="str">
        <f aca="false">IF(L130="","",L130)</f>
        <v>[Code: 399BCD] TA:few pieces are missing in the box(dabay may say damage nikla display krtay waqt)</v>
      </c>
    </row>
    <row r="131" customFormat="false" ht="15.75" hidden="false" customHeight="false" outlineLevel="0" collapsed="false">
      <c r="A131" s="13" t="str">
        <f aca="false">IFERROR(__xludf.dummyfunction("""COMPUTED_VALUE"""),"Metro DC Faisalabad")</f>
        <v>Metro DC Faisalabad</v>
      </c>
      <c r="B131" s="13" t="str">
        <f aca="false">IFERROR(__xludf.dummyfunction("""COMPUTED_VALUE"""),"2464bc36-bd09-4b59-a2c1-77ffe8e9f91e")</f>
        <v>2464bc36-bd09-4b59-a2c1-77ffe8e9f91e</v>
      </c>
      <c r="C131" s="13" t="str">
        <f aca="false">IFERROR(__xludf.dummyfunction("""COMPUTED_VALUE"""),"Knorr Noodles Chatpatta x12 Bundle 31g (Red) Rs40")</f>
        <v>Knorr Noodles Chatpatta x12 Bundle 31g (Red) Rs40</v>
      </c>
      <c r="D131" s="13" t="str">
        <f aca="false">IFERROR(__xludf.dummyfunction("""COMPUTED_VALUE"""),"Knorr")</f>
        <v>Knorr</v>
      </c>
      <c r="E131" s="13" t="str">
        <f aca="false">IFERROR(__xludf.dummyfunction("""COMPUTED_VALUE"""),"Snacks")</f>
        <v>Snacks</v>
      </c>
      <c r="F131" s="11" t="n">
        <f aca="false">IFERROR(__xludf.dummyfunction("""COMPUTED_VALUE"""),45023)</f>
        <v>45023</v>
      </c>
      <c r="G131" s="16" t="n">
        <f aca="false">IFERROR(__xludf.dummyfunction("""COMPUTED_VALUE"""),0.833930335646677)</f>
        <v>0.8339303356</v>
      </c>
      <c r="H131" s="13" t="str">
        <f aca="false">IFERROR(__xludf.dummyfunction("""COMPUTED_VALUE"""),"missing stock")</f>
        <v>missing stock</v>
      </c>
      <c r="I131" s="13" t="n">
        <f aca="false">IFERROR(__xludf.dummyfunction("""COMPUTED_VALUE"""),32)</f>
        <v>32</v>
      </c>
      <c r="J131" s="13" t="n">
        <f aca="false">IFERROR(__xludf.dummyfunction("""COMPUTED_VALUE"""),456.67)</f>
        <v>456.67</v>
      </c>
      <c r="K131" s="13" t="n">
        <f aca="false">IFERROR(__xludf.dummyfunction("""COMPUTED_VALUE"""),14613.44)</f>
        <v>14613.44</v>
      </c>
      <c r="L131" s="13" t="str">
        <f aca="false">IFERROR(__xludf.dummyfunction("""COMPUTED_VALUE"""),"TA:Not available on floor because of brand exchange.")</f>
        <v>TA:Not available on floor because of brand exchange.</v>
      </c>
      <c r="M131" s="13"/>
      <c r="N131" s="13"/>
      <c r="O131" s="13" t="str">
        <f aca="false">IFERROR(__xludf.dummyfunction("""COMPUTED_VALUE"""),"taufeeq.akhtar@tajir-app.com")</f>
        <v>taufeeq.akhtar@tajir-app.com</v>
      </c>
      <c r="P131" s="13" t="str">
        <f aca="false">IFERROR(__xludf.dummyfunction("""COMPUTED_VALUE"""),"Taufeeq Akhtar ")</f>
        <v>Taufeeq Akhtar </v>
      </c>
      <c r="Q131" s="13" t="str">
        <f aca="false">IF(L131="","",L131)</f>
        <v>TA:Not available on floor because of brand exchange.</v>
      </c>
    </row>
    <row r="132" customFormat="false" ht="15.75" hidden="false" customHeight="false" outlineLevel="0" collapsed="false">
      <c r="A132" s="13" t="str">
        <f aca="false">IFERROR(__xludf.dummyfunction("""COMPUTED_VALUE"""),"Metro DC Faisalabad")</f>
        <v>Metro DC Faisalabad</v>
      </c>
      <c r="B132" s="13" t="str">
        <f aca="false">IFERROR(__xludf.dummyfunction("""COMPUTED_VALUE"""),"ec715b2d-5740-4793-9cd3-443bd75bfe8a")</f>
        <v>ec715b2d-5740-4793-9cd3-443bd75bfe8a</v>
      </c>
      <c r="C132" s="13" t="str">
        <f aca="false">IFERROR(__xludf.dummyfunction("""COMPUTED_VALUE"""),"Swadi Sabz Ilaichi Rs50")</f>
        <v>Swadi Sabz Ilaichi Rs50</v>
      </c>
      <c r="D132" s="13" t="str">
        <f aca="false">IFERROR(__xludf.dummyfunction("""COMPUTED_VALUE"""),"Swadi")</f>
        <v>Swadi</v>
      </c>
      <c r="E132" s="13" t="str">
        <f aca="false">IFERROR(__xludf.dummyfunction("""COMPUTED_VALUE"""),"Spices")</f>
        <v>Spices</v>
      </c>
      <c r="F132" s="11" t="n">
        <f aca="false">IFERROR(__xludf.dummyfunction("""COMPUTED_VALUE"""),45025)</f>
        <v>45025</v>
      </c>
      <c r="G132" s="16" t="n">
        <f aca="false">IFERROR(__xludf.dummyfunction("""COMPUTED_VALUE"""),0.832825312499795)</f>
        <v>0.8328253125</v>
      </c>
      <c r="H132" s="13" t="str">
        <f aca="false">IFERROR(__xludf.dummyfunction("""COMPUTED_VALUE"""),"expired stock")</f>
        <v>expired stock</v>
      </c>
      <c r="I132" s="13" t="n">
        <f aca="false">IFERROR(__xludf.dummyfunction("""COMPUTED_VALUE"""),29)</f>
        <v>29</v>
      </c>
      <c r="J132" s="13" t="n">
        <f aca="false">IFERROR(__xludf.dummyfunction("""COMPUTED_VALUE"""),219.3)</f>
        <v>219.3</v>
      </c>
      <c r="K132" s="13" t="n">
        <f aca="false">IFERROR(__xludf.dummyfunction("""COMPUTED_VALUE"""),6359.7)</f>
        <v>6359.7</v>
      </c>
      <c r="L132" s="13" t="str">
        <f aca="false">IFERROR(__xludf.dummyfunction("""COMPUTED_VALUE"""),"[Code: 5CDDEE] [Expiry: 5 Apr, 2023] TA; Expire Stock  4-5-2023")</f>
        <v>[Code: 5CDDEE] [Expiry: 5 Apr, 2023] TA; Expire Stock  4-5-2023</v>
      </c>
      <c r="M132" s="13" t="str">
        <f aca="false">IFERROR(__xludf.dummyfunction("""COMPUTED_VALUE"""),"5CDDEE")</f>
        <v>5CDDEE</v>
      </c>
      <c r="N132" s="13" t="str">
        <f aca="false">IFERROR(__xludf.dummyfunction("""COMPUTED_VALUE"""),"5 Apr, 2023")</f>
        <v>5 Apr, 2023</v>
      </c>
      <c r="O132" s="13" t="str">
        <f aca="false">IFERROR(__xludf.dummyfunction("""COMPUTED_VALUE"""),"taufeeq.akhtar@tajir-app.com")</f>
        <v>taufeeq.akhtar@tajir-app.com</v>
      </c>
      <c r="P132" s="13" t="str">
        <f aca="false">IFERROR(__xludf.dummyfunction("""COMPUTED_VALUE"""),"Taufeeq Akhtar ")</f>
        <v>Taufeeq Akhtar </v>
      </c>
      <c r="Q132" s="13" t="str">
        <f aca="false">IF(L132="","",L132)</f>
        <v>[Code: 5CDDEE] [Expiry: 5 Apr, 2023] TA; Expire Stock  4-5-2023</v>
      </c>
    </row>
    <row r="133" customFormat="false" ht="15.75" hidden="false" customHeight="false" outlineLevel="0" collapsed="false">
      <c r="A133" s="13" t="str">
        <f aca="false">IFERROR(__xludf.dummyfunction("""COMPUTED_VALUE"""),"Metro DC Faisalabad")</f>
        <v>Metro DC Faisalabad</v>
      </c>
      <c r="B133" s="13" t="str">
        <f aca="false">IFERROR(__xludf.dummyfunction("""COMPUTED_VALUE"""),"ac4adbad-6c84-4ac9-bbea-82023152a54a")</f>
        <v>ac4adbad-6c84-4ac9-bbea-82023152a54a</v>
      </c>
      <c r="C133" s="13" t="str">
        <f aca="false">IFERROR(__xludf.dummyfunction("""COMPUTED_VALUE"""),"Swadi Garam Masala Sabat Rs50")</f>
        <v>Swadi Garam Masala Sabat Rs50</v>
      </c>
      <c r="D133" s="13" t="str">
        <f aca="false">IFERROR(__xludf.dummyfunction("""COMPUTED_VALUE"""),"Swadi")</f>
        <v>Swadi</v>
      </c>
      <c r="E133" s="13" t="str">
        <f aca="false">IFERROR(__xludf.dummyfunction("""COMPUTED_VALUE"""),"Spices")</f>
        <v>Spices</v>
      </c>
      <c r="F133" s="11" t="n">
        <f aca="false">IFERROR(__xludf.dummyfunction("""COMPUTED_VALUE"""),45025)</f>
        <v>45025</v>
      </c>
      <c r="G133" s="16" t="n">
        <f aca="false">IFERROR(__xludf.dummyfunction("""COMPUTED_VALUE"""),0.821939293981913)</f>
        <v>0.821939294</v>
      </c>
      <c r="H133" s="13" t="str">
        <f aca="false">IFERROR(__xludf.dummyfunction("""COMPUTED_VALUE"""),"expired stock")</f>
        <v>expired stock</v>
      </c>
      <c r="I133" s="13" t="n">
        <f aca="false">IFERROR(__xludf.dummyfunction("""COMPUTED_VALUE"""),24)</f>
        <v>24</v>
      </c>
      <c r="J133" s="13" t="n">
        <f aca="false">IFERROR(__xludf.dummyfunction("""COMPUTED_VALUE"""),219.3)</f>
        <v>219.3</v>
      </c>
      <c r="K133" s="13" t="n">
        <f aca="false">IFERROR(__xludf.dummyfunction("""COMPUTED_VALUE"""),5263.2)</f>
        <v>5263.2</v>
      </c>
      <c r="L133" s="13" t="str">
        <f aca="false">IFERROR(__xludf.dummyfunction("""COMPUTED_VALUE"""),"[Code: 223357] [Expiry: 5 Apr, 2023] TA;Expire Stock   4-5-2023")</f>
        <v>[Code: 223357] [Expiry: 5 Apr, 2023] TA;Expire Stock   4-5-2023</v>
      </c>
      <c r="M133" s="13" t="str">
        <f aca="false">IFERROR(__xludf.dummyfunction("""COMPUTED_VALUE"""),"223357")</f>
        <v>223357</v>
      </c>
      <c r="N133" s="13" t="str">
        <f aca="false">IFERROR(__xludf.dummyfunction("""COMPUTED_VALUE"""),"5 Apr, 2023")</f>
        <v>5 Apr, 2023</v>
      </c>
      <c r="O133" s="13" t="str">
        <f aca="false">IFERROR(__xludf.dummyfunction("""COMPUTED_VALUE"""),"taufeeq.akhtar@tajir-app.com")</f>
        <v>taufeeq.akhtar@tajir-app.com</v>
      </c>
      <c r="P133" s="13" t="str">
        <f aca="false">IFERROR(__xludf.dummyfunction("""COMPUTED_VALUE"""),"Taufeeq Akhtar ")</f>
        <v>Taufeeq Akhtar </v>
      </c>
      <c r="Q133" s="13" t="str">
        <f aca="false">IF(L133="","",L133)</f>
        <v>[Code: 223357] [Expiry: 5 Apr, 2023] TA;Expire Stock   4-5-2023</v>
      </c>
    </row>
    <row r="134" customFormat="false" ht="15.75" hidden="false" customHeight="false" outlineLevel="0" collapsed="false">
      <c r="A134" s="13" t="str">
        <f aca="false">IFERROR(__xludf.dummyfunction("""COMPUTED_VALUE"""),"Metro DC Faisalabad")</f>
        <v>Metro DC Faisalabad</v>
      </c>
      <c r="B134" s="13" t="str">
        <f aca="false">IFERROR(__xludf.dummyfunction("""COMPUTED_VALUE"""),"05dab5fb-de04-499d-bab4-7ac665be2f95")</f>
        <v>05dab5fb-de04-499d-bab4-7ac665be2f95</v>
      </c>
      <c r="C134" s="13" t="str">
        <f aca="false">IFERROR(__xludf.dummyfunction("""COMPUTED_VALUE"""),"Safeguard Lemon Fresh Large Size Bachat Pack 125g Rs420")</f>
        <v>Safeguard Lemon Fresh Large Size Bachat Pack 125g Rs420</v>
      </c>
      <c r="D134" s="13" t="str">
        <f aca="false">IFERROR(__xludf.dummyfunction("""COMPUTED_VALUE"""),"Safeguard")</f>
        <v>Safeguard</v>
      </c>
      <c r="E134" s="13" t="str">
        <f aca="false">IFERROR(__xludf.dummyfunction("""COMPUTED_VALUE"""),"Soap")</f>
        <v>Soap</v>
      </c>
      <c r="F134" s="11" t="n">
        <f aca="false">IFERROR(__xludf.dummyfunction("""COMPUTED_VALUE"""),45025)</f>
        <v>45025</v>
      </c>
      <c r="G134" s="16" t="n">
        <f aca="false">IFERROR(__xludf.dummyfunction("""COMPUTED_VALUE"""),0.0839500462965981)</f>
        <v>0.0839500463</v>
      </c>
      <c r="H134" s="13" t="str">
        <f aca="false">IFERROR(__xludf.dummyfunction("""COMPUTED_VALUE"""),"missing stock")</f>
        <v>missing stock</v>
      </c>
      <c r="I134" s="13" t="n">
        <f aca="false">IFERROR(__xludf.dummyfunction("""COMPUTED_VALUE"""),1)</f>
        <v>1</v>
      </c>
      <c r="J134" s="13" t="n">
        <f aca="false">IFERROR(__xludf.dummyfunction("""COMPUTED_VALUE"""),376.5)</f>
        <v>376.5</v>
      </c>
      <c r="K134" s="13" t="n">
        <f aca="false">IFERROR(__xludf.dummyfunction("""COMPUTED_VALUE"""),376.5)</f>
        <v>376.5</v>
      </c>
      <c r="L134" s="13" t="str">
        <f aca="false">IFERROR(__xludf.dummyfunction("""COMPUTED_VALUE"""),"TA;Not Available on Floor")</f>
        <v>TA;Not Available on Floor</v>
      </c>
      <c r="M134" s="13"/>
      <c r="N134" s="13"/>
      <c r="O134" s="13" t="str">
        <f aca="false">IFERROR(__xludf.dummyfunction("""COMPUTED_VALUE"""),"taufeeq.akhtar@tajir-app.com")</f>
        <v>taufeeq.akhtar@tajir-app.com</v>
      </c>
      <c r="P134" s="13" t="str">
        <f aca="false">IFERROR(__xludf.dummyfunction("""COMPUTED_VALUE"""),"Taufeeq Akhtar ")</f>
        <v>Taufeeq Akhtar </v>
      </c>
      <c r="Q134" s="13" t="str">
        <f aca="false">IF(L134="","",L134)</f>
        <v>TA;Not Available on Floor</v>
      </c>
    </row>
    <row r="135" customFormat="false" ht="15.75" hidden="false" customHeight="false" outlineLevel="0" collapsed="false">
      <c r="A135" s="13" t="str">
        <f aca="false">IFERROR(__xludf.dummyfunction("""COMPUTED_VALUE"""),"Metro DC Faisalabad")</f>
        <v>Metro DC Faisalabad</v>
      </c>
      <c r="B135" s="13" t="str">
        <f aca="false">IFERROR(__xludf.dummyfunction("""COMPUTED_VALUE"""),"8078a3ae-7e73-45ad-a86c-fc72d31e0e52")</f>
        <v>8078a3ae-7e73-45ad-a86c-fc72d31e0e52</v>
      </c>
      <c r="C135" s="13" t="str">
        <f aca="false">IFERROR(__xludf.dummyfunction("""COMPUTED_VALUE"""),"Al-Munawar Coriander Whole 500g")</f>
        <v>Al-Munawar Coriander Whole 500g</v>
      </c>
      <c r="D135" s="13" t="str">
        <f aca="false">IFERROR(__xludf.dummyfunction("""COMPUTED_VALUE"""),"Al-Munawar")</f>
        <v>Al-Munawar</v>
      </c>
      <c r="E135" s="13" t="str">
        <f aca="false">IFERROR(__xludf.dummyfunction("""COMPUTED_VALUE"""),"Spices")</f>
        <v>Spices</v>
      </c>
      <c r="F135" s="11" t="n">
        <f aca="false">IFERROR(__xludf.dummyfunction("""COMPUTED_VALUE"""),45025)</f>
        <v>45025</v>
      </c>
      <c r="G135" s="16" t="n">
        <f aca="false">IFERROR(__xludf.dummyfunction("""COMPUTED_VALUE"""),0.0756371643522291)</f>
        <v>0.07563716435</v>
      </c>
      <c r="H135" s="13" t="str">
        <f aca="false">IFERROR(__xludf.dummyfunction("""COMPUTED_VALUE"""),"missing stock")</f>
        <v>missing stock</v>
      </c>
      <c r="I135" s="13" t="n">
        <f aca="false">IFERROR(__xludf.dummyfunction("""COMPUTED_VALUE"""),2)</f>
        <v>2</v>
      </c>
      <c r="J135" s="13" t="n">
        <f aca="false">IFERROR(__xludf.dummyfunction("""COMPUTED_VALUE"""),265)</f>
        <v>265</v>
      </c>
      <c r="K135" s="13" t="n">
        <f aca="false">IFERROR(__xludf.dummyfunction("""COMPUTED_VALUE"""),530)</f>
        <v>530</v>
      </c>
      <c r="L135" s="13" t="str">
        <f aca="false">IFERROR(__xludf.dummyfunction("""COMPUTED_VALUE"""),"TA:Not available on floor.")</f>
        <v>TA:Not available on floor.</v>
      </c>
      <c r="M135" s="13"/>
      <c r="N135" s="13"/>
      <c r="O135" s="13" t="str">
        <f aca="false">IFERROR(__xludf.dummyfunction("""COMPUTED_VALUE"""),"taufeeq.akhtar@tajir-app.com")</f>
        <v>taufeeq.akhtar@tajir-app.com</v>
      </c>
      <c r="P135" s="13" t="str">
        <f aca="false">IFERROR(__xludf.dummyfunction("""COMPUTED_VALUE"""),"Taufeeq Akhtar ")</f>
        <v>Taufeeq Akhtar </v>
      </c>
      <c r="Q135" s="13" t="str">
        <f aca="false">IF(L135="","",L135)</f>
        <v>TA:Not available on floor.</v>
      </c>
    </row>
    <row r="136" customFormat="false" ht="15.75" hidden="false" customHeight="false" outlineLevel="0" collapsed="false">
      <c r="A136" s="13" t="str">
        <f aca="false">IFERROR(__xludf.dummyfunction("""COMPUTED_VALUE"""),"Metro DC Faisalabad")</f>
        <v>Metro DC Faisalabad</v>
      </c>
      <c r="B136" s="13" t="str">
        <f aca="false">IFERROR(__xludf.dummyfunction("""COMPUTED_VALUE"""),"3951e68d-8cd5-48c2-ba36-322050c21998")</f>
        <v>3951e68d-8cd5-48c2-ba36-322050c21998</v>
      </c>
      <c r="C136" s="13" t="str">
        <f aca="false">IFERROR(__xludf.dummyfunction("""COMPUTED_VALUE"""),"Sherdil Dal Mash Wash 1kg")</f>
        <v>Sherdil Dal Mash Wash 1kg</v>
      </c>
      <c r="D136" s="13" t="str">
        <f aca="false">IFERROR(__xludf.dummyfunction("""COMPUTED_VALUE"""),"Sherdil")</f>
        <v>Sherdil</v>
      </c>
      <c r="E136" s="13" t="str">
        <f aca="false">IFERROR(__xludf.dummyfunction("""COMPUTED_VALUE"""),"Pulses")</f>
        <v>Pulses</v>
      </c>
      <c r="F136" s="11" t="n">
        <f aca="false">IFERROR(__xludf.dummyfunction("""COMPUTED_VALUE"""),45025)</f>
        <v>45025</v>
      </c>
      <c r="G136" s="16" t="n">
        <f aca="false">IFERROR(__xludf.dummyfunction("""COMPUTED_VALUE"""),0.0575479976840749)</f>
        <v>0.05754799768</v>
      </c>
      <c r="H136" s="13" t="str">
        <f aca="false">IFERROR(__xludf.dummyfunction("""COMPUTED_VALUE"""),"damaged stock")</f>
        <v>damaged stock</v>
      </c>
      <c r="I136" s="13" t="n">
        <f aca="false">IFERROR(__xludf.dummyfunction("""COMPUTED_VALUE"""),2)</f>
        <v>2</v>
      </c>
      <c r="J136" s="13" t="n">
        <f aca="false">IFERROR(__xludf.dummyfunction("""COMPUTED_VALUE"""),497)</f>
        <v>497</v>
      </c>
      <c r="K136" s="13" t="n">
        <f aca="false">IFERROR(__xludf.dummyfunction("""COMPUTED_VALUE"""),994)</f>
        <v>994</v>
      </c>
      <c r="L136" s="13" t="str">
        <f aca="false">IFERROR(__xludf.dummyfunction("""COMPUTED_VALUE"""),"[Code: 55788A] TA: quality sahi nahi hay smell arahi hay aur ulli lagi hay ")</f>
        <v>[Code: 55788A] TA: quality sahi nahi hay smell arahi hay aur ulli lagi hay </v>
      </c>
      <c r="M136" s="13" t="str">
        <f aca="false">IFERROR(__xludf.dummyfunction("""COMPUTED_VALUE"""),"55788A")</f>
        <v>55788A</v>
      </c>
      <c r="N136" s="13"/>
      <c r="O136" s="13" t="str">
        <f aca="false">IFERROR(__xludf.dummyfunction("""COMPUTED_VALUE"""),"taufeeq.akhtar@tajir-app.com")</f>
        <v>taufeeq.akhtar@tajir-app.com</v>
      </c>
      <c r="P136" s="13" t="str">
        <f aca="false">IFERROR(__xludf.dummyfunction("""COMPUTED_VALUE"""),"Taufeeq Akhtar ")</f>
        <v>Taufeeq Akhtar </v>
      </c>
      <c r="Q136" s="13" t="str">
        <f aca="false">IF(L136="","",L136)</f>
        <v>[Code: 55788A] TA: quality sahi nahi hay smell arahi hay aur ulli lagi hay </v>
      </c>
    </row>
    <row r="137" customFormat="false" ht="15.75" hidden="false" customHeight="false" outlineLevel="0" collapsed="false">
      <c r="A137" s="13" t="str">
        <f aca="false">IFERROR(__xludf.dummyfunction("""COMPUTED_VALUE"""),"Metro DC Faisalabad")</f>
        <v>Metro DC Faisalabad</v>
      </c>
      <c r="B137" s="13" t="str">
        <f aca="false">IFERROR(__xludf.dummyfunction("""COMPUTED_VALUE"""),"596a4a6b-0ee1-4779-99e1-70f9bc3da938")</f>
        <v>596a4a6b-0ee1-4779-99e1-70f9bc3da938</v>
      </c>
      <c r="C137" s="13" t="str">
        <f aca="false">IFERROR(__xludf.dummyfunction("""COMPUTED_VALUE"""),"Bonus tristar yellow surf 470g Rs99")</f>
        <v>Bonus tristar yellow surf 470g Rs99</v>
      </c>
      <c r="D137" s="13" t="str">
        <f aca="false">IFERROR(__xludf.dummyfunction("""COMPUTED_VALUE"""),"Bonus Surf")</f>
        <v>Bonus Surf</v>
      </c>
      <c r="E137" s="13" t="str">
        <f aca="false">IFERROR(__xludf.dummyfunction("""COMPUTED_VALUE"""),"Surf, Bleach")</f>
        <v>Surf, Bleach</v>
      </c>
      <c r="F137" s="11" t="n">
        <f aca="false">IFERROR(__xludf.dummyfunction("""COMPUTED_VALUE"""),45026)</f>
        <v>45026</v>
      </c>
      <c r="G137" s="16" t="n">
        <f aca="false">IFERROR(__xludf.dummyfunction("""COMPUTED_VALUE"""),0.876152800924568)</f>
        <v>0.8761528009</v>
      </c>
      <c r="H137" s="13" t="str">
        <f aca="false">IFERROR(__xludf.dummyfunction("""COMPUTED_VALUE"""),"damaged stock")</f>
        <v>damaged stock</v>
      </c>
      <c r="I137" s="13" t="n">
        <f aca="false">IFERROR(__xludf.dummyfunction("""COMPUTED_VALUE"""),2)</f>
        <v>2</v>
      </c>
      <c r="J137" s="13" t="n">
        <f aca="false">IFERROR(__xludf.dummyfunction("""COMPUTED_VALUE"""),90.08)</f>
        <v>90.08</v>
      </c>
      <c r="K137" s="13" t="n">
        <f aca="false">IFERROR(__xludf.dummyfunction("""COMPUTED_VALUE"""),180.16)</f>
        <v>180.16</v>
      </c>
      <c r="L137" s="13" t="str">
        <f aca="false">IFERROR(__xludf.dummyfunction("""COMPUTED_VALUE"""),"[Code: 225566] TA: bag may say damage niklay hay.")</f>
        <v>[Code: 225566] TA: bag may say damage niklay hay.</v>
      </c>
      <c r="M137" s="13" t="str">
        <f aca="false">IFERROR(__xludf.dummyfunction("""COMPUTED_VALUE"""),"225566")</f>
        <v>225566</v>
      </c>
      <c r="N137" s="13"/>
      <c r="O137" s="13" t="str">
        <f aca="false">IFERROR(__xludf.dummyfunction("""COMPUTED_VALUE"""),"taufeeq.akhtar@tajir-app.com")</f>
        <v>taufeeq.akhtar@tajir-app.com</v>
      </c>
      <c r="P137" s="13" t="str">
        <f aca="false">IFERROR(__xludf.dummyfunction("""COMPUTED_VALUE"""),"Taufeeq Akhtar ")</f>
        <v>Taufeeq Akhtar </v>
      </c>
      <c r="Q137" s="13" t="str">
        <f aca="false">IF(L137="","",L137)</f>
        <v>[Code: 225566] TA: bag may say damage niklay hay.</v>
      </c>
    </row>
    <row r="138" customFormat="false" ht="15.75" hidden="false" customHeight="false" outlineLevel="0" collapsed="false">
      <c r="A138" s="13" t="str">
        <f aca="false">IFERROR(__xludf.dummyfunction("""COMPUTED_VALUE"""),"Metro DC Faisalabad")</f>
        <v>Metro DC Faisalabad</v>
      </c>
      <c r="B138" s="13" t="str">
        <f aca="false">IFERROR(__xludf.dummyfunction("""COMPUTED_VALUE"""),"44f4762f-5274-4866-a30e-c35aa97fb23e")</f>
        <v>44f4762f-5274-4866-a30e-c35aa97fb23e</v>
      </c>
      <c r="C138" s="13" t="str">
        <f aca="false">IFERROR(__xludf.dummyfunction("""COMPUTED_VALUE"""),"Bonus tristar yellow surf 250g Rs50")</f>
        <v>Bonus tristar yellow surf 250g Rs50</v>
      </c>
      <c r="D138" s="13" t="str">
        <f aca="false">IFERROR(__xludf.dummyfunction("""COMPUTED_VALUE"""),"Bonus Surf")</f>
        <v>Bonus Surf</v>
      </c>
      <c r="E138" s="13" t="str">
        <f aca="false">IFERROR(__xludf.dummyfunction("""COMPUTED_VALUE"""),"Surf, Bleach")</f>
        <v>Surf, Bleach</v>
      </c>
      <c r="F138" s="11" t="n">
        <f aca="false">IFERROR(__xludf.dummyfunction("""COMPUTED_VALUE"""),45026)</f>
        <v>45026</v>
      </c>
      <c r="G138" s="16" t="n">
        <f aca="false">IFERROR(__xludf.dummyfunction("""COMPUTED_VALUE"""),0.874888090276188)</f>
        <v>0.8748880903</v>
      </c>
      <c r="H138" s="13" t="str">
        <f aca="false">IFERROR(__xludf.dummyfunction("""COMPUTED_VALUE"""),"damaged stock")</f>
        <v>damaged stock</v>
      </c>
      <c r="I138" s="13" t="n">
        <f aca="false">IFERROR(__xludf.dummyfunction("""COMPUTED_VALUE"""),2)</f>
        <v>2</v>
      </c>
      <c r="J138" s="13" t="n">
        <f aca="false">IFERROR(__xludf.dummyfunction("""COMPUTED_VALUE"""),45.59)</f>
        <v>45.59</v>
      </c>
      <c r="K138" s="13" t="n">
        <f aca="false">IFERROR(__xludf.dummyfunction("""COMPUTED_VALUE"""),91.18)</f>
        <v>91.18</v>
      </c>
      <c r="L138" s="13" t="str">
        <f aca="false">IFERROR(__xludf.dummyfunction("""COMPUTED_VALUE"""),"[Code: 223568] TA:bag may say damage niklay ")</f>
        <v>[Code: 223568] TA:bag may say damage niklay </v>
      </c>
      <c r="M138" s="13" t="str">
        <f aca="false">IFERROR(__xludf.dummyfunction("""COMPUTED_VALUE"""),"223568")</f>
        <v>223568</v>
      </c>
      <c r="N138" s="13"/>
      <c r="O138" s="13" t="str">
        <f aca="false">IFERROR(__xludf.dummyfunction("""COMPUTED_VALUE"""),"taufeeq.akhtar@tajir-app.com")</f>
        <v>taufeeq.akhtar@tajir-app.com</v>
      </c>
      <c r="P138" s="13" t="str">
        <f aca="false">IFERROR(__xludf.dummyfunction("""COMPUTED_VALUE"""),"Taufeeq Akhtar ")</f>
        <v>Taufeeq Akhtar </v>
      </c>
      <c r="Q138" s="13" t="str">
        <f aca="false">IF(L138="","",L138)</f>
        <v>[Code: 223568] TA:bag may say damage niklay </v>
      </c>
    </row>
    <row r="139" customFormat="false" ht="15.75" hidden="false" customHeight="false" outlineLevel="0" collapsed="false">
      <c r="A139" s="13" t="str">
        <f aca="false">IFERROR(__xludf.dummyfunction("""COMPUTED_VALUE"""),"Metro DC Faisalabad")</f>
        <v>Metro DC Faisalabad</v>
      </c>
      <c r="B139" s="13" t="str">
        <f aca="false">IFERROR(__xludf.dummyfunction("""COMPUTED_VALUE"""),"ac4adbad-6c84-4ac9-bbea-82023152a54a")</f>
        <v>ac4adbad-6c84-4ac9-bbea-82023152a54a</v>
      </c>
      <c r="C139" s="13" t="str">
        <f aca="false">IFERROR(__xludf.dummyfunction("""COMPUTED_VALUE"""),"Swadi Garam Masala Sabat Rs50")</f>
        <v>Swadi Garam Masala Sabat Rs50</v>
      </c>
      <c r="D139" s="13" t="str">
        <f aca="false">IFERROR(__xludf.dummyfunction("""COMPUTED_VALUE"""),"Swadi")</f>
        <v>Swadi</v>
      </c>
      <c r="E139" s="13" t="str">
        <f aca="false">IFERROR(__xludf.dummyfunction("""COMPUTED_VALUE"""),"Spices")</f>
        <v>Spices</v>
      </c>
      <c r="F139" s="11" t="n">
        <f aca="false">IFERROR(__xludf.dummyfunction("""COMPUTED_VALUE"""),45026)</f>
        <v>45026</v>
      </c>
      <c r="G139" s="16" t="n">
        <f aca="false">IFERROR(__xludf.dummyfunction("""COMPUTED_VALUE"""),0.446163182871427)</f>
        <v>0.4461631829</v>
      </c>
      <c r="H139" s="13" t="str">
        <f aca="false">IFERROR(__xludf.dummyfunction("""COMPUTED_VALUE"""),"expired stock")</f>
        <v>expired stock</v>
      </c>
      <c r="I139" s="13" t="n">
        <f aca="false">IFERROR(__xludf.dummyfunction("""COMPUTED_VALUE"""),22)</f>
        <v>22</v>
      </c>
      <c r="J139" s="13" t="n">
        <f aca="false">IFERROR(__xludf.dummyfunction("""COMPUTED_VALUE"""),219.3)</f>
        <v>219.3</v>
      </c>
      <c r="K139" s="13" t="n">
        <f aca="false">IFERROR(__xludf.dummyfunction("""COMPUTED_VALUE"""),4824.6)</f>
        <v>4824.6</v>
      </c>
      <c r="L139" s="13" t="str">
        <f aca="false">IFERROR(__xludf.dummyfunction("""COMPUTED_VALUE"""),"[Code: 3567GG] [Expiry: 12 Apr, 2023] 22selling unit found expired ")</f>
        <v>[Code: 3567GG] [Expiry: 12 Apr, 2023] 22selling unit found expired </v>
      </c>
      <c r="M139" s="13" t="str">
        <f aca="false">IFERROR(__xludf.dummyfunction("""COMPUTED_VALUE"""),"3567GG")</f>
        <v>3567GG</v>
      </c>
      <c r="N139" s="13" t="str">
        <f aca="false">IFERROR(__xludf.dummyfunction("""COMPUTED_VALUE"""),"12 Apr, 2023")</f>
        <v>12 Apr, 2023</v>
      </c>
      <c r="O139" s="13" t="str">
        <f aca="false">IFERROR(__xludf.dummyfunction("""COMPUTED_VALUE"""),"ali.raza@tajir-app.com")</f>
        <v>ali.raza@tajir-app.com</v>
      </c>
      <c r="P139" s="13" t="str">
        <f aca="false">IFERROR(__xludf.dummyfunction("""COMPUTED_VALUE"""),"Ali Raza ")</f>
        <v>Ali Raza </v>
      </c>
      <c r="Q139" s="13" t="str">
        <f aca="false">IF(L139="","",L139)</f>
        <v>[Code: 3567GG] [Expiry: 12 Apr, 2023] 22selling unit found expired </v>
      </c>
    </row>
    <row r="140" customFormat="false" ht="15.75" hidden="false" customHeight="false" outlineLevel="0" collapsed="false">
      <c r="A140" s="13" t="str">
        <f aca="false">IFERROR(__xludf.dummyfunction("""COMPUTED_VALUE"""),"Metro DC Faisalabad")</f>
        <v>Metro DC Faisalabad</v>
      </c>
      <c r="B140" s="13" t="str">
        <f aca="false">IFERROR(__xludf.dummyfunction("""COMPUTED_VALUE"""),"6c568402-1788-466b-8f61-43acc83fa9d1")</f>
        <v>6c568402-1788-466b-8f61-43acc83fa9d1</v>
      </c>
      <c r="C140" s="13" t="str">
        <f aca="false">IFERROR(__xludf.dummyfunction("""COMPUTED_VALUE"""),"Sherdil White Chana Mota 5kg")</f>
        <v>Sherdil White Chana Mota 5kg</v>
      </c>
      <c r="D140" s="13" t="str">
        <f aca="false">IFERROR(__xludf.dummyfunction("""COMPUTED_VALUE"""),"Sherdil")</f>
        <v>Sherdil</v>
      </c>
      <c r="E140" s="13" t="str">
        <f aca="false">IFERROR(__xludf.dummyfunction("""COMPUTED_VALUE"""),"Pulses")</f>
        <v>Pulses</v>
      </c>
      <c r="F140" s="11" t="n">
        <f aca="false">IFERROR(__xludf.dummyfunction("""COMPUTED_VALUE"""),45027)</f>
        <v>45027</v>
      </c>
      <c r="G140" s="16" t="n">
        <f aca="false">IFERROR(__xludf.dummyfunction("""COMPUTED_VALUE"""),0.653216516205181)</f>
        <v>0.6532165162</v>
      </c>
      <c r="H140" s="13" t="str">
        <f aca="false">IFERROR(__xludf.dummyfunction("""COMPUTED_VALUE"""),"damaged stock")</f>
        <v>damaged stock</v>
      </c>
      <c r="I140" s="13" t="n">
        <f aca="false">IFERROR(__xludf.dummyfunction("""COMPUTED_VALUE"""),6)</f>
        <v>6</v>
      </c>
      <c r="J140" s="13" t="n">
        <f aca="false">IFERROR(__xludf.dummyfunction("""COMPUTED_VALUE"""),1682)</f>
        <v>1682</v>
      </c>
      <c r="K140" s="13" t="n">
        <f aca="false">IFERROR(__xludf.dummyfunction("""COMPUTED_VALUE"""),10092)</f>
        <v>10092</v>
      </c>
      <c r="L140" s="13" t="str">
        <f aca="false">IFERROR(__xludf.dummyfunction("""COMPUTED_VALUE"""),"[Code: 2344AB] Damaged due to insects ")</f>
        <v>[Code: 2344AB] Damaged due to insects </v>
      </c>
      <c r="M140" s="13" t="str">
        <f aca="false">IFERROR(__xludf.dummyfunction("""COMPUTED_VALUE"""),"2344AB")</f>
        <v>2344AB</v>
      </c>
      <c r="N140" s="13"/>
      <c r="O140" s="13" t="str">
        <f aca="false">IFERROR(__xludf.dummyfunction("""COMPUTED_VALUE"""),"ali.raza@tajir-app.com")</f>
        <v>ali.raza@tajir-app.com</v>
      </c>
      <c r="P140" s="13" t="str">
        <f aca="false">IFERROR(__xludf.dummyfunction("""COMPUTED_VALUE"""),"Ali Raza ")</f>
        <v>Ali Raza </v>
      </c>
      <c r="Q140" s="13" t="str">
        <f aca="false">IF(L140="","",L140)</f>
        <v>[Code: 2344AB] Damaged due to insects </v>
      </c>
    </row>
    <row r="141" customFormat="false" ht="15.75" hidden="false" customHeight="false" outlineLevel="0" collapsed="false">
      <c r="A141" s="13" t="str">
        <f aca="false">IFERROR(__xludf.dummyfunction("""COMPUTED_VALUE"""),"Metro DC Faisalabad")</f>
        <v>Metro DC Faisalabad</v>
      </c>
      <c r="B141" s="13" t="str">
        <f aca="false">IFERROR(__xludf.dummyfunction("""COMPUTED_VALUE"""),"6c568402-1788-466b-8f61-43acc83fa9d1")</f>
        <v>6c568402-1788-466b-8f61-43acc83fa9d1</v>
      </c>
      <c r="C141" s="13" t="str">
        <f aca="false">IFERROR(__xludf.dummyfunction("""COMPUTED_VALUE"""),"Sherdil White Chana Mota 5kg")</f>
        <v>Sherdil White Chana Mota 5kg</v>
      </c>
      <c r="D141" s="13" t="str">
        <f aca="false">IFERROR(__xludf.dummyfunction("""COMPUTED_VALUE"""),"Sherdil")</f>
        <v>Sherdil</v>
      </c>
      <c r="E141" s="13" t="str">
        <f aca="false">IFERROR(__xludf.dummyfunction("""COMPUTED_VALUE"""),"Pulses")</f>
        <v>Pulses</v>
      </c>
      <c r="F141" s="11" t="n">
        <f aca="false">IFERROR(__xludf.dummyfunction("""COMPUTED_VALUE"""),45027)</f>
        <v>45027</v>
      </c>
      <c r="G141" s="16" t="n">
        <f aca="false">IFERROR(__xludf.dummyfunction("""COMPUTED_VALUE"""),0.641359594906874)</f>
        <v>0.6413595949</v>
      </c>
      <c r="H141" s="13" t="str">
        <f aca="false">IFERROR(__xludf.dummyfunction("""COMPUTED_VALUE"""),"damaged stock")</f>
        <v>damaged stock</v>
      </c>
      <c r="I141" s="13" t="n">
        <f aca="false">IFERROR(__xludf.dummyfunction("""COMPUTED_VALUE"""),1)</f>
        <v>1</v>
      </c>
      <c r="J141" s="13" t="n">
        <f aca="false">IFERROR(__xludf.dummyfunction("""COMPUTED_VALUE"""),1682)</f>
        <v>1682</v>
      </c>
      <c r="K141" s="13" t="n">
        <f aca="false">IFERROR(__xludf.dummyfunction("""COMPUTED_VALUE"""),1682)</f>
        <v>1682</v>
      </c>
      <c r="L141" s="13" t="str">
        <f aca="false">IFERROR(__xludf.dummyfunction("""COMPUTED_VALUE"""),"[Code: 5567AB] Damaged due to insects ")</f>
        <v>[Code: 5567AB] Damaged due to insects </v>
      </c>
      <c r="M141" s="13" t="str">
        <f aca="false">IFERROR(__xludf.dummyfunction("""COMPUTED_VALUE"""),"5567AB")</f>
        <v>5567AB</v>
      </c>
      <c r="N141" s="13"/>
      <c r="O141" s="13" t="str">
        <f aca="false">IFERROR(__xludf.dummyfunction("""COMPUTED_VALUE"""),"ali.raza@tajir-app.com")</f>
        <v>ali.raza@tajir-app.com</v>
      </c>
      <c r="P141" s="13" t="str">
        <f aca="false">IFERROR(__xludf.dummyfunction("""COMPUTED_VALUE"""),"Ali Raza ")</f>
        <v>Ali Raza </v>
      </c>
      <c r="Q141" s="13" t="str">
        <f aca="false">IF(L141="","",L141)</f>
        <v>[Code: 5567AB] Damaged due to insects </v>
      </c>
    </row>
    <row r="142" customFormat="false" ht="15.75" hidden="false" customHeight="false" outlineLevel="0" collapsed="false">
      <c r="A142" s="13" t="str">
        <f aca="false">IFERROR(__xludf.dummyfunction("""COMPUTED_VALUE"""),"Metro DC Faisalabad")</f>
        <v>Metro DC Faisalabad</v>
      </c>
      <c r="B142" s="13" t="str">
        <f aca="false">IFERROR(__xludf.dummyfunction("""COMPUTED_VALUE"""),"cd68a607-af95-45cb-b9f4-2721224c85f8")</f>
        <v>cd68a607-af95-45cb-b9f4-2721224c85f8</v>
      </c>
      <c r="C142" s="13" t="str">
        <f aca="false">IFERROR(__xludf.dummyfunction("""COMPUTED_VALUE"""),"Coca Cola plastic 1.5L")</f>
        <v>Coca Cola plastic 1.5L</v>
      </c>
      <c r="D142" s="13" t="str">
        <f aca="false">IFERROR(__xludf.dummyfunction("""COMPUTED_VALUE"""),"Coca Cola")</f>
        <v>Coca Cola</v>
      </c>
      <c r="E142" s="13" t="str">
        <f aca="false">IFERROR(__xludf.dummyfunction("""COMPUTED_VALUE"""),"Beverages")</f>
        <v>Beverages</v>
      </c>
      <c r="F142" s="11" t="n">
        <f aca="false">IFERROR(__xludf.dummyfunction("""COMPUTED_VALUE"""),45030)</f>
        <v>45030</v>
      </c>
      <c r="G142" s="16" t="n">
        <f aca="false">IFERROR(__xludf.dummyfunction("""COMPUTED_VALUE"""),0.650818425927597)</f>
        <v>0.6508184259</v>
      </c>
      <c r="H142" s="13" t="str">
        <f aca="false">IFERROR(__xludf.dummyfunction("""COMPUTED_VALUE"""),"damaged stock")</f>
        <v>damaged stock</v>
      </c>
      <c r="I142" s="13" t="n">
        <f aca="false">IFERROR(__xludf.dummyfunction("""COMPUTED_VALUE"""),1)</f>
        <v>1</v>
      </c>
      <c r="J142" s="13" t="n">
        <f aca="false">IFERROR(__xludf.dummyfunction("""COMPUTED_VALUE"""),744)</f>
        <v>744</v>
      </c>
      <c r="K142" s="13" t="n">
        <f aca="false">IFERROR(__xludf.dummyfunction("""COMPUTED_VALUE"""),744)</f>
        <v>744</v>
      </c>
      <c r="L142" s="13" t="str">
        <f aca="false">IFERROR(__xludf.dummyfunction("""COMPUTED_VALUE"""),"[Code: 45CDFG] TA; Sorting Ky Doran stock sy lose bottel mili hain.")</f>
        <v>[Code: 45CDFG] TA; Sorting Ky Doran stock sy lose bottel mili hain.</v>
      </c>
      <c r="M142" s="13" t="str">
        <f aca="false">IFERROR(__xludf.dummyfunction("""COMPUTED_VALUE"""),"45CDFG")</f>
        <v>45CDFG</v>
      </c>
      <c r="N142" s="13"/>
      <c r="O142" s="13" t="str">
        <f aca="false">IFERROR(__xludf.dummyfunction("""COMPUTED_VALUE"""),"taufeeq.akhtar@tajir-app.com")</f>
        <v>taufeeq.akhtar@tajir-app.com</v>
      </c>
      <c r="P142" s="13" t="str">
        <f aca="false">IFERROR(__xludf.dummyfunction("""COMPUTED_VALUE"""),"Taufeeq Akhtar ")</f>
        <v>Taufeeq Akhtar </v>
      </c>
      <c r="Q142" s="13" t="str">
        <f aca="false">IF(L142="","",L142)</f>
        <v>[Code: 45CDFG] TA; Sorting Ky Doran stock sy lose bottel mili hain.</v>
      </c>
    </row>
    <row r="143" customFormat="false" ht="15.75" hidden="false" customHeight="false" outlineLevel="0" collapsed="false">
      <c r="A143" s="13" t="str">
        <f aca="false">IFERROR(__xludf.dummyfunction("""COMPUTED_VALUE"""),"Metro DC Faisalabad")</f>
        <v>Metro DC Faisalabad</v>
      </c>
      <c r="B143" s="13" t="str">
        <f aca="false">IFERROR(__xludf.dummyfunction("""COMPUTED_VALUE"""),"a5b76747-fa5b-49a3-ac19-3d6294d61b30")</f>
        <v>a5b76747-fa5b-49a3-ac19-3d6294d61b30</v>
      </c>
      <c r="C143" s="13" t="str">
        <f aca="false">IFERROR(__xludf.dummyfunction("""COMPUTED_VALUE"""),"Murree Brewery Bigg Apple Plastic x6 Crate 1.5L")</f>
        <v>Murree Brewery Bigg Apple Plastic x6 Crate 1.5L</v>
      </c>
      <c r="D143" s="13" t="str">
        <f aca="false">IFERROR(__xludf.dummyfunction("""COMPUTED_VALUE"""),"Murree Brewery")</f>
        <v>Murree Brewery</v>
      </c>
      <c r="E143" s="13" t="str">
        <f aca="false">IFERROR(__xludf.dummyfunction("""COMPUTED_VALUE"""),"Beverages")</f>
        <v>Beverages</v>
      </c>
      <c r="F143" s="11" t="n">
        <f aca="false">IFERROR(__xludf.dummyfunction("""COMPUTED_VALUE"""),45031)</f>
        <v>45031</v>
      </c>
      <c r="G143" s="16" t="n">
        <f aca="false">IFERROR(__xludf.dummyfunction("""COMPUTED_VALUE"""),0.930616805557361)</f>
        <v>0.9306168056</v>
      </c>
      <c r="H143" s="13" t="str">
        <f aca="false">IFERROR(__xludf.dummyfunction("""COMPUTED_VALUE"""),"missing stock")</f>
        <v>missing stock</v>
      </c>
      <c r="I143" s="13" t="n">
        <f aca="false">IFERROR(__xludf.dummyfunction("""COMPUTED_VALUE"""),5)</f>
        <v>5</v>
      </c>
      <c r="J143" s="13" t="n">
        <f aca="false">IFERROR(__xludf.dummyfunction("""COMPUTED_VALUE"""),674.5)</f>
        <v>674.5</v>
      </c>
      <c r="K143" s="13" t="n">
        <f aca="false">IFERROR(__xludf.dummyfunction("""COMPUTED_VALUE"""),3372.5)</f>
        <v>3372.5</v>
      </c>
      <c r="L143" s="13" t="str">
        <f aca="false">IFERROR(__xludf.dummyfunction("""COMPUTED_VALUE"""),"TA: Not Found on floor.")</f>
        <v>TA: Not Found on floor.</v>
      </c>
      <c r="M143" s="13"/>
      <c r="N143" s="13"/>
      <c r="O143" s="13" t="str">
        <f aca="false">IFERROR(__xludf.dummyfunction("""COMPUTED_VALUE"""),"taufeeq.akhtar@tajir-app.com")</f>
        <v>taufeeq.akhtar@tajir-app.com</v>
      </c>
      <c r="P143" s="13" t="str">
        <f aca="false">IFERROR(__xludf.dummyfunction("""COMPUTED_VALUE"""),"Taufeeq Akhtar ")</f>
        <v>Taufeeq Akhtar </v>
      </c>
      <c r="Q143" s="13" t="str">
        <f aca="false">IF(L143="","",L143)</f>
        <v>TA: Not Found on floor.</v>
      </c>
    </row>
    <row r="144" customFormat="false" ht="15.75" hidden="false" customHeight="false" outlineLevel="0" collapsed="false">
      <c r="A144" s="13" t="str">
        <f aca="false">IFERROR(__xludf.dummyfunction("""COMPUTED_VALUE"""),"Metro DC Faisalabad")</f>
        <v>Metro DC Faisalabad</v>
      </c>
      <c r="B144" s="13" t="str">
        <f aca="false">IFERROR(__xludf.dummyfunction("""COMPUTED_VALUE"""),"f94d909f-e438-4b91-8f1b-4c73f30c8100")</f>
        <v>f94d909f-e438-4b91-8f1b-4c73f30c8100</v>
      </c>
      <c r="C144" s="13" t="str">
        <f aca="false">IFERROR(__xludf.dummyfunction("""COMPUTED_VALUE"""),"Shahi Daal Chana Spicy Rs100")</f>
        <v>Shahi Daal Chana Spicy Rs100</v>
      </c>
      <c r="D144" s="13" t="str">
        <f aca="false">IFERROR(__xludf.dummyfunction("""COMPUTED_VALUE"""),"Shahi")</f>
        <v>Shahi</v>
      </c>
      <c r="E144" s="13" t="str">
        <f aca="false">IFERROR(__xludf.dummyfunction("""COMPUTED_VALUE"""),"Snacks")</f>
        <v>Snacks</v>
      </c>
      <c r="F144" s="11" t="n">
        <f aca="false">IFERROR(__xludf.dummyfunction("""COMPUTED_VALUE"""),45031)</f>
        <v>45031</v>
      </c>
      <c r="G144" s="16" t="n">
        <f aca="false">IFERROR(__xludf.dummyfunction("""COMPUTED_VALUE"""),0.625385358794631)</f>
        <v>0.6253853588</v>
      </c>
      <c r="H144" s="13" t="str">
        <f aca="false">IFERROR(__xludf.dummyfunction("""COMPUTED_VALUE"""),"damaged stock")</f>
        <v>damaged stock</v>
      </c>
      <c r="I144" s="13" t="n">
        <f aca="false">IFERROR(__xludf.dummyfunction("""COMPUTED_VALUE"""),1)</f>
        <v>1</v>
      </c>
      <c r="J144" s="13" t="n">
        <f aca="false">IFERROR(__xludf.dummyfunction("""COMPUTED_VALUE"""),70.91)</f>
        <v>70.91</v>
      </c>
      <c r="K144" s="13" t="n">
        <f aca="false">IFERROR(__xludf.dummyfunction("""COMPUTED_VALUE"""),70.91)</f>
        <v>70.91</v>
      </c>
      <c r="L144" s="13" t="str">
        <f aca="false">IFERROR(__xludf.dummyfunction("""COMPUTED_VALUE"""),"[Code: 4ADGKM] 01 selling found air less quality issue")</f>
        <v>[Code: 4ADGKM] 01 selling found air less quality issue</v>
      </c>
      <c r="M144" s="13" t="str">
        <f aca="false">IFERROR(__xludf.dummyfunction("""COMPUTED_VALUE"""),"4ADGKM")</f>
        <v>4ADGKM</v>
      </c>
      <c r="N144" s="13"/>
      <c r="O144" s="13" t="str">
        <f aca="false">IFERROR(__xludf.dummyfunction("""COMPUTED_VALUE"""),"ali.raza@tajir-app.com")</f>
        <v>ali.raza@tajir-app.com</v>
      </c>
      <c r="P144" s="13" t="str">
        <f aca="false">IFERROR(__xludf.dummyfunction("""COMPUTED_VALUE"""),"Ali Raza ")</f>
        <v>Ali Raza </v>
      </c>
      <c r="Q144" s="13" t="str">
        <f aca="false">IF(L144="","",L144)</f>
        <v>[Code: 4ADGKM] 01 selling found air less quality issue</v>
      </c>
    </row>
    <row r="145" customFormat="false" ht="15.75" hidden="false" customHeight="false" outlineLevel="0" collapsed="false">
      <c r="A145" s="13" t="str">
        <f aca="false">IFERROR(__xludf.dummyfunction("""COMPUTED_VALUE"""),"Metro DC Faisalabad")</f>
        <v>Metro DC Faisalabad</v>
      </c>
      <c r="B145" s="13" t="str">
        <f aca="false">IFERROR(__xludf.dummyfunction("""COMPUTED_VALUE"""),"7ea9d613-4818-44be-acc2-e182a1b6cb8a")</f>
        <v>7ea9d613-4818-44be-acc2-e182a1b6cb8a</v>
      </c>
      <c r="C145" s="13" t="str">
        <f aca="false">IFERROR(__xludf.dummyfunction("""COMPUTED_VALUE"""),"Shahi Dal Moong Rs100")</f>
        <v>Shahi Dal Moong Rs100</v>
      </c>
      <c r="D145" s="13" t="str">
        <f aca="false">IFERROR(__xludf.dummyfunction("""COMPUTED_VALUE"""),"Shahi")</f>
        <v>Shahi</v>
      </c>
      <c r="E145" s="13" t="str">
        <f aca="false">IFERROR(__xludf.dummyfunction("""COMPUTED_VALUE"""),"Snacks")</f>
        <v>Snacks</v>
      </c>
      <c r="F145" s="11" t="n">
        <f aca="false">IFERROR(__xludf.dummyfunction("""COMPUTED_VALUE"""),45031)</f>
        <v>45031</v>
      </c>
      <c r="G145" s="16" t="n">
        <f aca="false">IFERROR(__xludf.dummyfunction("""COMPUTED_VALUE"""),0.62497708333156)</f>
        <v>0.6249770833</v>
      </c>
      <c r="H145" s="13" t="str">
        <f aca="false">IFERROR(__xludf.dummyfunction("""COMPUTED_VALUE"""),"damaged stock")</f>
        <v>damaged stock</v>
      </c>
      <c r="I145" s="13" t="n">
        <f aca="false">IFERROR(__xludf.dummyfunction("""COMPUTED_VALUE"""),1)</f>
        <v>1</v>
      </c>
      <c r="J145" s="13" t="n">
        <f aca="false">IFERROR(__xludf.dummyfunction("""COMPUTED_VALUE"""),70.91)</f>
        <v>70.91</v>
      </c>
      <c r="K145" s="13" t="n">
        <f aca="false">IFERROR(__xludf.dummyfunction("""COMPUTED_VALUE"""),70.91)</f>
        <v>70.91</v>
      </c>
      <c r="L145" s="13" t="str">
        <f aca="false">IFERROR(__xludf.dummyfunction("""COMPUTED_VALUE"""),"[Code: 56799E] 01 selling unit found air less quality issue")</f>
        <v>[Code: 56799E] 01 selling unit found air less quality issue</v>
      </c>
      <c r="M145" s="13" t="str">
        <f aca="false">IFERROR(__xludf.dummyfunction("""COMPUTED_VALUE"""),"56799E")</f>
        <v>56799E</v>
      </c>
      <c r="N145" s="13"/>
      <c r="O145" s="13" t="str">
        <f aca="false">IFERROR(__xludf.dummyfunction("""COMPUTED_VALUE"""),"ali.raza@tajir-app.com")</f>
        <v>ali.raza@tajir-app.com</v>
      </c>
      <c r="P145" s="13" t="str">
        <f aca="false">IFERROR(__xludf.dummyfunction("""COMPUTED_VALUE"""),"Ali Raza ")</f>
        <v>Ali Raza </v>
      </c>
      <c r="Q145" s="13" t="str">
        <f aca="false">IF(L145="","",L145)</f>
        <v>[Code: 56799E] 01 selling unit found air less quality issue</v>
      </c>
    </row>
    <row r="146" customFormat="false" ht="15.75" hidden="false" customHeight="false" outlineLevel="0" collapsed="false">
      <c r="A146" s="13" t="str">
        <f aca="false">IFERROR(__xludf.dummyfunction("""COMPUTED_VALUE"""),"Metro DC Faisalabad")</f>
        <v>Metro DC Faisalabad</v>
      </c>
      <c r="B146" s="13" t="str">
        <f aca="false">IFERROR(__xludf.dummyfunction("""COMPUTED_VALUE"""),"dd6c0c77-07ca-4d2d-a074-d372fbb30d0f")</f>
        <v>dd6c0c77-07ca-4d2d-a074-d372fbb30d0f</v>
      </c>
      <c r="C146" s="13" t="str">
        <f aca="false">IFERROR(__xludf.dummyfunction("""COMPUTED_VALUE"""),"Shahi Dal Moong Rs50")</f>
        <v>Shahi Dal Moong Rs50</v>
      </c>
      <c r="D146" s="13" t="str">
        <f aca="false">IFERROR(__xludf.dummyfunction("""COMPUTED_VALUE"""),"Shahi")</f>
        <v>Shahi</v>
      </c>
      <c r="E146" s="13" t="str">
        <f aca="false">IFERROR(__xludf.dummyfunction("""COMPUTED_VALUE"""),"Snacks")</f>
        <v>Snacks</v>
      </c>
      <c r="F146" s="11" t="n">
        <f aca="false">IFERROR(__xludf.dummyfunction("""COMPUTED_VALUE"""),45031)</f>
        <v>45031</v>
      </c>
      <c r="G146" s="16" t="n">
        <f aca="false">IFERROR(__xludf.dummyfunction("""COMPUTED_VALUE"""),0.624616678239701)</f>
        <v>0.6246166782</v>
      </c>
      <c r="H146" s="13" t="str">
        <f aca="false">IFERROR(__xludf.dummyfunction("""COMPUTED_VALUE"""),"damaged stock")</f>
        <v>damaged stock</v>
      </c>
      <c r="I146" s="13" t="n">
        <f aca="false">IFERROR(__xludf.dummyfunction("""COMPUTED_VALUE"""),4)</f>
        <v>4</v>
      </c>
      <c r="J146" s="13" t="n">
        <f aca="false">IFERROR(__xludf.dummyfunction("""COMPUTED_VALUE"""),36.81)</f>
        <v>36.81</v>
      </c>
      <c r="K146" s="13" t="n">
        <f aca="false">IFERROR(__xludf.dummyfunction("""COMPUTED_VALUE"""),147.24)</f>
        <v>147.24</v>
      </c>
      <c r="L146" s="13" t="str">
        <f aca="false">IFERROR(__xludf.dummyfunction("""COMPUTED_VALUE"""),"[Code: 56BCEF] 04 selling units are air less")</f>
        <v>[Code: 56BCEF] 04 selling units are air less</v>
      </c>
      <c r="M146" s="13" t="str">
        <f aca="false">IFERROR(__xludf.dummyfunction("""COMPUTED_VALUE"""),"56BCEF")</f>
        <v>56BCEF</v>
      </c>
      <c r="N146" s="13"/>
      <c r="O146" s="13" t="str">
        <f aca="false">IFERROR(__xludf.dummyfunction("""COMPUTED_VALUE"""),"ali.raza@tajir-app.com")</f>
        <v>ali.raza@tajir-app.com</v>
      </c>
      <c r="P146" s="13" t="str">
        <f aca="false">IFERROR(__xludf.dummyfunction("""COMPUTED_VALUE"""),"Ali Raza ")</f>
        <v>Ali Raza </v>
      </c>
      <c r="Q146" s="13" t="str">
        <f aca="false">IF(L146="","",L146)</f>
        <v>[Code: 56BCEF] 04 selling units are air less</v>
      </c>
    </row>
    <row r="147" customFormat="false" ht="15.75" hidden="false" customHeight="false" outlineLevel="0" collapsed="false">
      <c r="A147" s="13" t="str">
        <f aca="false">IFERROR(__xludf.dummyfunction("""COMPUTED_VALUE"""),"Metro DC Faisalabad")</f>
        <v>Metro DC Faisalabad</v>
      </c>
      <c r="B147" s="13" t="str">
        <f aca="false">IFERROR(__xludf.dummyfunction("""COMPUTED_VALUE"""),"7dc0ccc5-ac25-4572-8029-9945f3c5533c")</f>
        <v>7dc0ccc5-ac25-4572-8029-9945f3c5533c</v>
      </c>
      <c r="C147" s="13" t="str">
        <f aca="false">IFERROR(__xludf.dummyfunction("""COMPUTED_VALUE"""),"Shahi Dal Moth Rs100")</f>
        <v>Shahi Dal Moth Rs100</v>
      </c>
      <c r="D147" s="13" t="str">
        <f aca="false">IFERROR(__xludf.dummyfunction("""COMPUTED_VALUE"""),"Shahi")</f>
        <v>Shahi</v>
      </c>
      <c r="E147" s="13" t="str">
        <f aca="false">IFERROR(__xludf.dummyfunction("""COMPUTED_VALUE"""),"Snacks")</f>
        <v>Snacks</v>
      </c>
      <c r="F147" s="11" t="n">
        <f aca="false">IFERROR(__xludf.dummyfunction("""COMPUTED_VALUE"""),45031)</f>
        <v>45031</v>
      </c>
      <c r="G147" s="16" t="n">
        <f aca="false">IFERROR(__xludf.dummyfunction("""COMPUTED_VALUE"""),0.6235146990743)</f>
        <v>0.6235146991</v>
      </c>
      <c r="H147" s="13" t="str">
        <f aca="false">IFERROR(__xludf.dummyfunction("""COMPUTED_VALUE"""),"damaged stock")</f>
        <v>damaged stock</v>
      </c>
      <c r="I147" s="13" t="n">
        <f aca="false">IFERROR(__xludf.dummyfunction("""COMPUTED_VALUE"""),3)</f>
        <v>3</v>
      </c>
      <c r="J147" s="13" t="n">
        <f aca="false">IFERROR(__xludf.dummyfunction("""COMPUTED_VALUE"""),70.91)</f>
        <v>70.91</v>
      </c>
      <c r="K147" s="13" t="n">
        <f aca="false">IFERROR(__xludf.dummyfunction("""COMPUTED_VALUE"""),212.73)</f>
        <v>212.73</v>
      </c>
      <c r="L147" s="13" t="str">
        <f aca="false">IFERROR(__xludf.dummyfunction("""COMPUTED_VALUE"""),"[Code: 245579] 03 selling units are air less")</f>
        <v>[Code: 245579] 03 selling units are air less</v>
      </c>
      <c r="M147" s="13" t="str">
        <f aca="false">IFERROR(__xludf.dummyfunction("""COMPUTED_VALUE"""),"245579")</f>
        <v>245579</v>
      </c>
      <c r="N147" s="13"/>
      <c r="O147" s="13" t="str">
        <f aca="false">IFERROR(__xludf.dummyfunction("""COMPUTED_VALUE"""),"ali.raza@tajir-app.com")</f>
        <v>ali.raza@tajir-app.com</v>
      </c>
      <c r="P147" s="13" t="str">
        <f aca="false">IFERROR(__xludf.dummyfunction("""COMPUTED_VALUE"""),"Ali Raza ")</f>
        <v>Ali Raza </v>
      </c>
      <c r="Q147" s="13" t="str">
        <f aca="false">IF(L147="","",L147)</f>
        <v>[Code: 245579] 03 selling units are air less</v>
      </c>
    </row>
    <row r="148" customFormat="false" ht="15.75" hidden="false" customHeight="false" outlineLevel="0" collapsed="false">
      <c r="A148" s="13" t="str">
        <f aca="false">IFERROR(__xludf.dummyfunction("""COMPUTED_VALUE"""),"Metro DC Faisalabad")</f>
        <v>Metro DC Faisalabad</v>
      </c>
      <c r="B148" s="13" t="str">
        <f aca="false">IFERROR(__xludf.dummyfunction("""COMPUTED_VALUE"""),"3ca26ff3-6c29-479e-9638-f97023a3c91a")</f>
        <v>3ca26ff3-6c29-479e-9638-f97023a3c91a</v>
      </c>
      <c r="C148" s="13" t="str">
        <f aca="false">IFERROR(__xludf.dummyfunction("""COMPUTED_VALUE"""),"Shahi Dal Moth Rs50")</f>
        <v>Shahi Dal Moth Rs50</v>
      </c>
      <c r="D148" s="13" t="str">
        <f aca="false">IFERROR(__xludf.dummyfunction("""COMPUTED_VALUE"""),"Shahi")</f>
        <v>Shahi</v>
      </c>
      <c r="E148" s="13" t="str">
        <f aca="false">IFERROR(__xludf.dummyfunction("""COMPUTED_VALUE"""),"Snacks")</f>
        <v>Snacks</v>
      </c>
      <c r="F148" s="11" t="n">
        <f aca="false">IFERROR(__xludf.dummyfunction("""COMPUTED_VALUE"""),45031)</f>
        <v>45031</v>
      </c>
      <c r="G148" s="16" t="n">
        <f aca="false">IFERROR(__xludf.dummyfunction("""COMPUTED_VALUE"""),0.623090405093644)</f>
        <v>0.6230904051</v>
      </c>
      <c r="H148" s="13" t="str">
        <f aca="false">IFERROR(__xludf.dummyfunction("""COMPUTED_VALUE"""),"damaged stock")</f>
        <v>damaged stock</v>
      </c>
      <c r="I148" s="13" t="n">
        <f aca="false">IFERROR(__xludf.dummyfunction("""COMPUTED_VALUE"""),4)</f>
        <v>4</v>
      </c>
      <c r="J148" s="13" t="n">
        <f aca="false">IFERROR(__xludf.dummyfunction("""COMPUTED_VALUE"""),36.81)</f>
        <v>36.81</v>
      </c>
      <c r="K148" s="13" t="n">
        <f aca="false">IFERROR(__xludf.dummyfunction("""COMPUTED_VALUE"""),147.24)</f>
        <v>147.24</v>
      </c>
      <c r="L148" s="13" t="str">
        <f aca="false">IFERROR(__xludf.dummyfunction("""COMPUTED_VALUE"""),"[Code: 34558A] 4 selling units are air less")</f>
        <v>[Code: 34558A] 4 selling units are air less</v>
      </c>
      <c r="M148" s="13" t="str">
        <f aca="false">IFERROR(__xludf.dummyfunction("""COMPUTED_VALUE"""),"34558A")</f>
        <v>34558A</v>
      </c>
      <c r="N148" s="13"/>
      <c r="O148" s="13" t="str">
        <f aca="false">IFERROR(__xludf.dummyfunction("""COMPUTED_VALUE"""),"ali.raza@tajir-app.com")</f>
        <v>ali.raza@tajir-app.com</v>
      </c>
      <c r="P148" s="13" t="str">
        <f aca="false">IFERROR(__xludf.dummyfunction("""COMPUTED_VALUE"""),"Ali Raza ")</f>
        <v>Ali Raza </v>
      </c>
      <c r="Q148" s="13" t="str">
        <f aca="false">IF(L148="","",L148)</f>
        <v>[Code: 34558A] 4 selling units are air less</v>
      </c>
    </row>
    <row r="149" customFormat="false" ht="15.75" hidden="false" customHeight="false" outlineLevel="0" collapsed="false">
      <c r="A149" s="13" t="str">
        <f aca="false">IFERROR(__xludf.dummyfunction("""COMPUTED_VALUE"""),"Metro DC Faisalabad")</f>
        <v>Metro DC Faisalabad</v>
      </c>
      <c r="B149" s="13" t="str">
        <f aca="false">IFERROR(__xludf.dummyfunction("""COMPUTED_VALUE"""),"2b734f62-2a52-4be7-9677-151f1d6b8627")</f>
        <v>2b734f62-2a52-4be7-9677-151f1d6b8627</v>
      </c>
      <c r="C149" s="13" t="str">
        <f aca="false">IFERROR(__xludf.dummyfunction("""COMPUTED_VALUE"""),"Ariel Original Surf x12 bundle 40g Rs 20")</f>
        <v>Ariel Original Surf x12 bundle 40g Rs 20</v>
      </c>
      <c r="D149" s="13" t="str">
        <f aca="false">IFERROR(__xludf.dummyfunction("""COMPUTED_VALUE"""),"Ariel Surf")</f>
        <v>Ariel Surf</v>
      </c>
      <c r="E149" s="13" t="str">
        <f aca="false">IFERROR(__xludf.dummyfunction("""COMPUTED_VALUE"""),"Surf, Bleach")</f>
        <v>Surf, Bleach</v>
      </c>
      <c r="F149" s="11" t="n">
        <f aca="false">IFERROR(__xludf.dummyfunction("""COMPUTED_VALUE"""),45033)</f>
        <v>45033</v>
      </c>
      <c r="G149" s="16" t="n">
        <f aca="false">IFERROR(__xludf.dummyfunction("""COMPUTED_VALUE"""),0.81958219907554)</f>
        <v>0.8195821991</v>
      </c>
      <c r="H149" s="13" t="str">
        <f aca="false">IFERROR(__xludf.dummyfunction("""COMPUTED_VALUE"""),"damaged stock")</f>
        <v>damaged stock</v>
      </c>
      <c r="I149" s="13" t="n">
        <f aca="false">IFERROR(__xludf.dummyfunction("""COMPUTED_VALUE"""),1)</f>
        <v>1</v>
      </c>
      <c r="J149" s="13" t="n">
        <f aca="false">IFERROR(__xludf.dummyfunction("""COMPUTED_VALUE"""),211.2)</f>
        <v>211.2</v>
      </c>
      <c r="K149" s="13" t="n">
        <f aca="false">IFERROR(__xludf.dummyfunction("""COMPUTED_VALUE"""),211.2)</f>
        <v>211.2</v>
      </c>
      <c r="L149" s="13" t="str">
        <f aca="false">IFERROR(__xludf.dummyfunction("""COMPUTED_VALUE"""),"[Code: 2357FG] TA: thailay may say damage nikla")</f>
        <v>[Code: 2357FG] TA: thailay may say damage nikla</v>
      </c>
      <c r="M149" s="13" t="str">
        <f aca="false">IFERROR(__xludf.dummyfunction("""COMPUTED_VALUE"""),"2357FG")</f>
        <v>2357FG</v>
      </c>
      <c r="N149" s="13"/>
      <c r="O149" s="13" t="str">
        <f aca="false">IFERROR(__xludf.dummyfunction("""COMPUTED_VALUE"""),"taufeeq.akhtar@tajir-app.com")</f>
        <v>taufeeq.akhtar@tajir-app.com</v>
      </c>
      <c r="P149" s="13" t="str">
        <f aca="false">IFERROR(__xludf.dummyfunction("""COMPUTED_VALUE"""),"Taufeeq Akhtar ")</f>
        <v>Taufeeq Akhtar </v>
      </c>
      <c r="Q149" s="13" t="str">
        <f aca="false">IF(L149="","",L149)</f>
        <v>[Code: 2357FG] TA: thailay may say damage nikla</v>
      </c>
    </row>
    <row r="150" customFormat="false" ht="15.75" hidden="false" customHeight="false" outlineLevel="0" collapsed="false">
      <c r="A150" s="13" t="str">
        <f aca="false">IFERROR(__xludf.dummyfunction("""COMPUTED_VALUE"""),"Metro DC Faisalabad")</f>
        <v>Metro DC Faisalabad</v>
      </c>
      <c r="B150" s="13" t="str">
        <f aca="false">IFERROR(__xludf.dummyfunction("""COMPUTED_VALUE"""),"cbf926b8-97ae-4a9c-bd5b-482caa3e544c")</f>
        <v>cbf926b8-97ae-4a9c-bd5b-482caa3e544c</v>
      </c>
      <c r="C150" s="13" t="str">
        <f aca="false">IFERROR(__xludf.dummyfunction("""COMPUTED_VALUE"""),"Fair and Lovely Insta Glow Face Wash 50g Rs180")</f>
        <v>Fair and Lovely Insta Glow Face Wash 50g Rs180</v>
      </c>
      <c r="D150" s="13" t="str">
        <f aca="false">IFERROR(__xludf.dummyfunction("""COMPUTED_VALUE"""),"Fair and Lovely")</f>
        <v>Fair and Lovely</v>
      </c>
      <c r="E150" s="13" t="str">
        <f aca="false">IFERROR(__xludf.dummyfunction("""COMPUTED_VALUE"""),"Personal Care")</f>
        <v>Personal Care</v>
      </c>
      <c r="F150" s="11" t="n">
        <f aca="false">IFERROR(__xludf.dummyfunction("""COMPUTED_VALUE"""),45033)</f>
        <v>45033</v>
      </c>
      <c r="G150" s="16" t="n">
        <f aca="false">IFERROR(__xludf.dummyfunction("""COMPUTED_VALUE"""),0.81789857638731)</f>
        <v>0.8178985764</v>
      </c>
      <c r="H150" s="13" t="str">
        <f aca="false">IFERROR(__xludf.dummyfunction("""COMPUTED_VALUE"""),"damaged stock")</f>
        <v>damaged stock</v>
      </c>
      <c r="I150" s="13" t="n">
        <f aca="false">IFERROR(__xludf.dummyfunction("""COMPUTED_VALUE"""),1)</f>
        <v>1</v>
      </c>
      <c r="J150" s="13" t="n">
        <f aca="false">IFERROR(__xludf.dummyfunction("""COMPUTED_VALUE"""),157.92)</f>
        <v>157.92</v>
      </c>
      <c r="K150" s="13" t="n">
        <f aca="false">IFERROR(__xludf.dummyfunction("""COMPUTED_VALUE"""),157.92)</f>
        <v>157.92</v>
      </c>
      <c r="L150" s="13" t="str">
        <f aca="false">IFERROR(__xludf.dummyfunction("""COMPUTED_VALUE"""),"[Code: 344578] TA: box may say damage nikla")</f>
        <v>[Code: 344578] TA: box may say damage nikla</v>
      </c>
      <c r="M150" s="13" t="str">
        <f aca="false">IFERROR(__xludf.dummyfunction("""COMPUTED_VALUE"""),"344578")</f>
        <v>344578</v>
      </c>
      <c r="N150" s="13"/>
      <c r="O150" s="13" t="str">
        <f aca="false">IFERROR(__xludf.dummyfunction("""COMPUTED_VALUE"""),"taufeeq.akhtar@tajir-app.com")</f>
        <v>taufeeq.akhtar@tajir-app.com</v>
      </c>
      <c r="P150" s="13" t="str">
        <f aca="false">IFERROR(__xludf.dummyfunction("""COMPUTED_VALUE"""),"Taufeeq Akhtar ")</f>
        <v>Taufeeq Akhtar </v>
      </c>
      <c r="Q150" s="13" t="str">
        <f aca="false">IF(L150="","",L150)</f>
        <v>[Code: 344578] TA: box may say damage nikla</v>
      </c>
    </row>
    <row r="151" customFormat="false" ht="15.75" hidden="false" customHeight="false" outlineLevel="0" collapsed="false">
      <c r="A151" s="13" t="str">
        <f aca="false">IFERROR(__xludf.dummyfunction("""COMPUTED_VALUE"""),"Metro DC Faisalabad")</f>
        <v>Metro DC Faisalabad</v>
      </c>
      <c r="B151" s="13" t="str">
        <f aca="false">IFERROR(__xludf.dummyfunction("""COMPUTED_VALUE"""),"e1d071e3-d27f-47ca-bd86-13408e8d89dd")</f>
        <v>e1d071e3-d27f-47ca-bd86-13408e8d89dd</v>
      </c>
      <c r="C151" s="13" t="str">
        <f aca="false">IFERROR(__xludf.dummyfunction("""COMPUTED_VALUE"""),"Shangrila Tomato Ketchup x3 Bundle 800g")</f>
        <v>Shangrila Tomato Ketchup x3 Bundle 800g</v>
      </c>
      <c r="D151" s="13" t="str">
        <f aca="false">IFERROR(__xludf.dummyfunction("""COMPUTED_VALUE"""),"Shangrila")</f>
        <v>Shangrila</v>
      </c>
      <c r="E151" s="13" t="str">
        <f aca="false">IFERROR(__xludf.dummyfunction("""COMPUTED_VALUE"""),"Sauces")</f>
        <v>Sauces</v>
      </c>
      <c r="F151" s="11" t="n">
        <f aca="false">IFERROR(__xludf.dummyfunction("""COMPUTED_VALUE"""),45033)</f>
        <v>45033</v>
      </c>
      <c r="G151" s="16" t="n">
        <f aca="false">IFERROR(__xludf.dummyfunction("""COMPUTED_VALUE"""),0.00167947916607381)</f>
        <v>0.001679479166</v>
      </c>
      <c r="H151" s="13" t="str">
        <f aca="false">IFERROR(__xludf.dummyfunction("""COMPUTED_VALUE"""),"damaged stock")</f>
        <v>damaged stock</v>
      </c>
      <c r="I151" s="13" t="n">
        <f aca="false">IFERROR(__xludf.dummyfunction("""COMPUTED_VALUE"""),1)</f>
        <v>1</v>
      </c>
      <c r="J151" s="13" t="n">
        <f aca="false">IFERROR(__xludf.dummyfunction("""COMPUTED_VALUE"""),864.4)</f>
        <v>864.4</v>
      </c>
      <c r="K151" s="13" t="n">
        <f aca="false">IFERROR(__xludf.dummyfunction("""COMPUTED_VALUE"""),864.4)</f>
        <v>864.4</v>
      </c>
      <c r="L151" s="13" t="str">
        <f aca="false">IFERROR(__xludf.dummyfunction("""COMPUTED_VALUE"""),"[Code: 234EFG] TA:display krtay huay carton say damage nikla hay..")</f>
        <v>[Code: 234EFG] TA:display krtay huay carton say damage nikla hay..</v>
      </c>
      <c r="M151" s="13" t="str">
        <f aca="false">IFERROR(__xludf.dummyfunction("""COMPUTED_VALUE"""),"234EFG")</f>
        <v>234EFG</v>
      </c>
      <c r="N151" s="13"/>
      <c r="O151" s="13" t="str">
        <f aca="false">IFERROR(__xludf.dummyfunction("""COMPUTED_VALUE"""),"taufeeq.akhtar@tajir-app.com")</f>
        <v>taufeeq.akhtar@tajir-app.com</v>
      </c>
      <c r="P151" s="13" t="str">
        <f aca="false">IFERROR(__xludf.dummyfunction("""COMPUTED_VALUE"""),"Taufeeq Akhtar ")</f>
        <v>Taufeeq Akhtar </v>
      </c>
      <c r="Q151" s="13" t="str">
        <f aca="false">IF(L151="","",L151)</f>
        <v>[Code: 234EFG] TA:display krtay huay carton say damage nikla hay..</v>
      </c>
    </row>
    <row r="152" customFormat="false" ht="15.75" hidden="false" customHeight="false" outlineLevel="0" collapsed="false">
      <c r="A152" s="13" t="str">
        <f aca="false">IFERROR(__xludf.dummyfunction("""COMPUTED_VALUE"""),"Metro DC Faisalabad")</f>
        <v>Metro DC Faisalabad</v>
      </c>
      <c r="B152" s="13" t="str">
        <f aca="false">IFERROR(__xludf.dummyfunction("""COMPUTED_VALUE"""),"2e2e95fc-ec3f-444a-bed1-af263e608d75")</f>
        <v>2e2e95fc-ec3f-444a-bed1-af263e608d75</v>
      </c>
      <c r="C152" s="13" t="str">
        <f aca="false">IFERROR(__xludf.dummyfunction("""COMPUTED_VALUE"""),"Cookania Gale Biscuit 6pcs Rs20")</f>
        <v>Cookania Gale Biscuit 6pcs Rs20</v>
      </c>
      <c r="D152" s="13" t="str">
        <f aca="false">IFERROR(__xludf.dummyfunction("""COMPUTED_VALUE"""),"Cookania")</f>
        <v>Cookania</v>
      </c>
      <c r="E152" s="13" t="str">
        <f aca="false">IFERROR(__xludf.dummyfunction("""COMPUTED_VALUE"""),"Biscuits, Wafers")</f>
        <v>Biscuits, Wafers</v>
      </c>
      <c r="F152" s="11" t="n">
        <f aca="false">IFERROR(__xludf.dummyfunction("""COMPUTED_VALUE"""),45034)</f>
        <v>45034</v>
      </c>
      <c r="G152" s="16" t="n">
        <f aca="false">IFERROR(__xludf.dummyfunction("""COMPUTED_VALUE"""),0.0639118402777347)</f>
        <v>0.06391184028</v>
      </c>
      <c r="H152" s="13" t="str">
        <f aca="false">IFERROR(__xludf.dummyfunction("""COMPUTED_VALUE"""),"damaged stock")</f>
        <v>damaged stock</v>
      </c>
      <c r="I152" s="13" t="n">
        <f aca="false">IFERROR(__xludf.dummyfunction("""COMPUTED_VALUE"""),1)</f>
        <v>1</v>
      </c>
      <c r="J152" s="13" t="n">
        <f aca="false">IFERROR(__xludf.dummyfunction("""COMPUTED_VALUE"""),101.2)</f>
        <v>101.2</v>
      </c>
      <c r="K152" s="13" t="n">
        <f aca="false">IFERROR(__xludf.dummyfunction("""COMPUTED_VALUE"""),101.2)</f>
        <v>101.2</v>
      </c>
      <c r="L152" s="13" t="str">
        <f aca="false">IFERROR(__xludf.dummyfunction("""COMPUTED_VALUE"""),"[Code: 99ABDF] TA; unit me sy few piece missing hain. Display ky doran corton sy mila he")</f>
        <v>[Code: 99ABDF] TA; unit me sy few piece missing hain. Display ky doran corton sy mila he</v>
      </c>
      <c r="M152" s="13" t="str">
        <f aca="false">IFERROR(__xludf.dummyfunction("""COMPUTED_VALUE"""),"99ABDF")</f>
        <v>99ABDF</v>
      </c>
      <c r="N152" s="13"/>
      <c r="O152" s="13" t="str">
        <f aca="false">IFERROR(__xludf.dummyfunction("""COMPUTED_VALUE"""),"taufeeq.akhtar@tajir-app.com")</f>
        <v>taufeeq.akhtar@tajir-app.com</v>
      </c>
      <c r="P152" s="13" t="str">
        <f aca="false">IFERROR(__xludf.dummyfunction("""COMPUTED_VALUE"""),"Taufeeq Akhtar ")</f>
        <v>Taufeeq Akhtar </v>
      </c>
      <c r="Q152" s="13" t="str">
        <f aca="false">IF(L152="","",L152)</f>
        <v>[Code: 99ABDF] TA; unit me sy few piece missing hain. Display ky doran corton sy mila he</v>
      </c>
    </row>
    <row r="153" customFormat="false" ht="15.75" hidden="false" customHeight="false" outlineLevel="0" collapsed="false">
      <c r="A153" s="13" t="str">
        <f aca="false">IFERROR(__xludf.dummyfunction("""COMPUTED_VALUE"""),"Metro DC Faisalabad")</f>
        <v>Metro DC Faisalabad</v>
      </c>
      <c r="B153" s="13" t="str">
        <f aca="false">IFERROR(__xludf.dummyfunction("""COMPUTED_VALUE"""),"cd68a607-af95-45cb-b9f4-2721224c85f8")</f>
        <v>cd68a607-af95-45cb-b9f4-2721224c85f8</v>
      </c>
      <c r="C153" s="13" t="str">
        <f aca="false">IFERROR(__xludf.dummyfunction("""COMPUTED_VALUE"""),"Coca Cola plastic 1.5L")</f>
        <v>Coca Cola plastic 1.5L</v>
      </c>
      <c r="D153" s="13" t="str">
        <f aca="false">IFERROR(__xludf.dummyfunction("""COMPUTED_VALUE"""),"Coca Cola")</f>
        <v>Coca Cola</v>
      </c>
      <c r="E153" s="13" t="str">
        <f aca="false">IFERROR(__xludf.dummyfunction("""COMPUTED_VALUE"""),"Beverages")</f>
        <v>Beverages</v>
      </c>
      <c r="F153" s="11" t="n">
        <f aca="false">IFERROR(__xludf.dummyfunction("""COMPUTED_VALUE"""),45035)</f>
        <v>45035</v>
      </c>
      <c r="G153" s="16" t="n">
        <f aca="false">IFERROR(__xludf.dummyfunction("""COMPUTED_VALUE"""),0.0935325347217479)</f>
        <v>0.09353253472</v>
      </c>
      <c r="H153" s="13" t="str">
        <f aca="false">IFERROR(__xludf.dummyfunction("""COMPUTED_VALUE"""),"damaged stock")</f>
        <v>damaged stock</v>
      </c>
      <c r="I153" s="13" t="n">
        <f aca="false">IFERROR(__xludf.dummyfunction("""COMPUTED_VALUE"""),2)</f>
        <v>2</v>
      </c>
      <c r="J153" s="13" t="n">
        <f aca="false">IFERROR(__xludf.dummyfunction("""COMPUTED_VALUE"""),755)</f>
        <v>755</v>
      </c>
      <c r="K153" s="13" t="n">
        <f aca="false">IFERROR(__xludf.dummyfunction("""COMPUTED_VALUE"""),1510)</f>
        <v>1510</v>
      </c>
      <c r="L153" s="13" t="str">
        <f aca="false">IFERROR(__xludf.dummyfunction("""COMPUTED_VALUE"""),"[Code: 45589B] TA; 2 selling unit found (lowfill and Losse)")</f>
        <v>[Code: 45589B] TA; 2 selling unit found (lowfill and Losse)</v>
      </c>
      <c r="M153" s="13" t="str">
        <f aca="false">IFERROR(__xludf.dummyfunction("""COMPUTED_VALUE"""),"45589B")</f>
        <v>45589B</v>
      </c>
      <c r="N153" s="13"/>
      <c r="O153" s="13" t="str">
        <f aca="false">IFERROR(__xludf.dummyfunction("""COMPUTED_VALUE"""),"taufeeq.akhtar@tajir-app.com")</f>
        <v>taufeeq.akhtar@tajir-app.com</v>
      </c>
      <c r="P153" s="13" t="str">
        <f aca="false">IFERROR(__xludf.dummyfunction("""COMPUTED_VALUE"""),"Taufeeq Akhtar ")</f>
        <v>Taufeeq Akhtar </v>
      </c>
      <c r="Q153" s="13" t="str">
        <f aca="false">IF(L153="","",L153)</f>
        <v>[Code: 45589B] TA; 2 selling unit found (lowfill and Losse)</v>
      </c>
    </row>
    <row r="154" customFormat="false" ht="15.75" hidden="false" customHeight="false" outlineLevel="0" collapsed="false">
      <c r="A154" s="13" t="str">
        <f aca="false">IFERROR(__xludf.dummyfunction("""COMPUTED_VALUE"""),"Metro DC Faisalabad")</f>
        <v>Metro DC Faisalabad</v>
      </c>
      <c r="B154" s="13" t="str">
        <f aca="false">IFERROR(__xludf.dummyfunction("""COMPUTED_VALUE"""),"37c67563-5af0-4d7f-a91c-c6e2e4a6a68e")</f>
        <v>37c67563-5af0-4d7f-a91c-c6e2e4a6a68e</v>
      </c>
      <c r="C154" s="13" t="str">
        <f aca="false">IFERROR(__xludf.dummyfunction("""COMPUTED_VALUE"""),"Engro Olpers Badam Zafran Flavored Milk x24 180mL")</f>
        <v>Engro Olpers Badam Zafran Flavored Milk x24 180mL</v>
      </c>
      <c r="D154" s="13" t="str">
        <f aca="false">IFERROR(__xludf.dummyfunction("""COMPUTED_VALUE"""),"Olpers")</f>
        <v>Olpers</v>
      </c>
      <c r="E154" s="13" t="str">
        <f aca="false">IFERROR(__xludf.dummyfunction("""COMPUTED_VALUE"""),"Dairy")</f>
        <v>Dairy</v>
      </c>
      <c r="F154" s="11" t="n">
        <f aca="false">IFERROR(__xludf.dummyfunction("""COMPUTED_VALUE"""),45041)</f>
        <v>45041</v>
      </c>
      <c r="G154" s="16" t="n">
        <f aca="false">IFERROR(__xludf.dummyfunction("""COMPUTED_VALUE"""),0.672350219909197)</f>
        <v>0.6723502199</v>
      </c>
      <c r="H154" s="13" t="str">
        <f aca="false">IFERROR(__xludf.dummyfunction("""COMPUTED_VALUE"""),"damaged stock")</f>
        <v>damaged stock</v>
      </c>
      <c r="I154" s="13" t="n">
        <f aca="false">IFERROR(__xludf.dummyfunction("""COMPUTED_VALUE"""),1)</f>
        <v>1</v>
      </c>
      <c r="J154" s="13" t="n">
        <f aca="false">IFERROR(__xludf.dummyfunction("""COMPUTED_VALUE"""),1350)</f>
        <v>1350</v>
      </c>
      <c r="K154" s="13" t="n">
        <f aca="false">IFERROR(__xludf.dummyfunction("""COMPUTED_VALUE"""),1350)</f>
        <v>1350</v>
      </c>
      <c r="L154" s="13" t="str">
        <f aca="false">IFERROR(__xludf.dummyfunction("""COMPUTED_VALUE"""),"[Code: 36AACC] TA; 1 unit damage found during sorting ( disply sy  leak mila he )")</f>
        <v>[Code: 36AACC] TA; 1 unit damage found during sorting ( disply sy  leak mila he )</v>
      </c>
      <c r="M154" s="13" t="str">
        <f aca="false">IFERROR(__xludf.dummyfunction("""COMPUTED_VALUE"""),"36AACC")</f>
        <v>36AACC</v>
      </c>
      <c r="N154" s="13"/>
      <c r="O154" s="13" t="str">
        <f aca="false">IFERROR(__xludf.dummyfunction("""COMPUTED_VALUE"""),"taufeeq.akhtar@tajir-app.com")</f>
        <v>taufeeq.akhtar@tajir-app.com</v>
      </c>
      <c r="P154" s="13" t="str">
        <f aca="false">IFERROR(__xludf.dummyfunction("""COMPUTED_VALUE"""),"Taufeeq Akhtar ")</f>
        <v>Taufeeq Akhtar </v>
      </c>
      <c r="Q154" s="13" t="str">
        <f aca="false">IF(L154="","",L154)</f>
        <v>[Code: 36AACC] TA; 1 unit damage found during sorting ( disply sy  leak mila he )</v>
      </c>
    </row>
    <row r="155" customFormat="false" ht="15.75" hidden="false" customHeight="false" outlineLevel="0" collapsed="false">
      <c r="A155" s="13" t="str">
        <f aca="false">IFERROR(__xludf.dummyfunction("""COMPUTED_VALUE"""),"Metro DC Faisalabad")</f>
        <v>Metro DC Faisalabad</v>
      </c>
      <c r="B155" s="13" t="str">
        <f aca="false">IFERROR(__xludf.dummyfunction("""COMPUTED_VALUE"""),"52fc90df-861c-4bdc-a491-d48a5fbaceb8")</f>
        <v>52fc90df-861c-4bdc-a491-d48a5fbaceb8</v>
      </c>
      <c r="C155" s="13" t="str">
        <f aca="false">IFERROR(__xludf.dummyfunction("""COMPUTED_VALUE"""),"Habib Foods Funtime Apple Flavoured Drink 200mL")</f>
        <v>Habib Foods Funtime Apple Flavoured Drink 200mL</v>
      </c>
      <c r="D155" s="13" t="str">
        <f aca="false">IFERROR(__xludf.dummyfunction("""COMPUTED_VALUE"""),"Habib Foods")</f>
        <v>Habib Foods</v>
      </c>
      <c r="E155" s="13" t="str">
        <f aca="false">IFERROR(__xludf.dummyfunction("""COMPUTED_VALUE"""),"Juice, Syrup, Squash")</f>
        <v>Juice, Syrup, Squash</v>
      </c>
      <c r="F155" s="11" t="n">
        <f aca="false">IFERROR(__xludf.dummyfunction("""COMPUTED_VALUE"""),45042)</f>
        <v>45042</v>
      </c>
      <c r="G155" s="16" t="n">
        <f aca="false">IFERROR(__xludf.dummyfunction("""COMPUTED_VALUE"""),0.953579189814831)</f>
        <v>0.9535791898</v>
      </c>
      <c r="H155" s="13" t="str">
        <f aca="false">IFERROR(__xludf.dummyfunction("""COMPUTED_VALUE"""),"damaged stock")</f>
        <v>damaged stock</v>
      </c>
      <c r="I155" s="13" t="n">
        <f aca="false">IFERROR(__xludf.dummyfunction("""COMPUTED_VALUE"""),1)</f>
        <v>1</v>
      </c>
      <c r="J155" s="13" t="n">
        <f aca="false">IFERROR(__xludf.dummyfunction("""COMPUTED_VALUE"""),500)</f>
        <v>500</v>
      </c>
      <c r="K155" s="13" t="n">
        <f aca="false">IFERROR(__xludf.dummyfunction("""COMPUTED_VALUE"""),500)</f>
        <v>500</v>
      </c>
      <c r="L155" s="13" t="str">
        <f aca="false">IFERROR(__xludf.dummyfunction("""COMPUTED_VALUE"""),"[Code: 5568BC] TA; 1 unit damage found during sorting ( disply sy  leak mila he )")</f>
        <v>[Code: 5568BC] TA; 1 unit damage found during sorting ( disply sy  leak mila he )</v>
      </c>
      <c r="M155" s="13" t="str">
        <f aca="false">IFERROR(__xludf.dummyfunction("""COMPUTED_VALUE"""),"5568BC")</f>
        <v>5568BC</v>
      </c>
      <c r="N155" s="13"/>
      <c r="O155" s="13" t="str">
        <f aca="false">IFERROR(__xludf.dummyfunction("""COMPUTED_VALUE"""),"taufeeq.akhtar@tajir-app.com")</f>
        <v>taufeeq.akhtar@tajir-app.com</v>
      </c>
      <c r="P155" s="13" t="str">
        <f aca="false">IFERROR(__xludf.dummyfunction("""COMPUTED_VALUE"""),"Taufeeq Akhtar ")</f>
        <v>Taufeeq Akhtar </v>
      </c>
      <c r="Q155" s="13" t="str">
        <f aca="false">IF(L155="","",L155)</f>
        <v>[Code: 5568BC] TA; 1 unit damage found during sorting ( disply sy  leak mila he )</v>
      </c>
    </row>
    <row r="156" customFormat="false" ht="15.75" hidden="false" customHeight="false" outlineLevel="0" collapsed="false">
      <c r="A156" s="13" t="str">
        <f aca="false">IFERROR(__xludf.dummyfunction("""COMPUTED_VALUE"""),"Metro DC Faisalabad")</f>
        <v>Metro DC Faisalabad</v>
      </c>
      <c r="B156" s="13" t="str">
        <f aca="false">IFERROR(__xludf.dummyfunction("""COMPUTED_VALUE"""),"d35314e0-f3f4-47fe-90aa-af65dab10e9d")</f>
        <v>d35314e0-f3f4-47fe-90aa-af65dab10e9d</v>
      </c>
      <c r="C156" s="13" t="str">
        <f aca="false">IFERROR(__xludf.dummyfunction("""COMPUTED_VALUE"""),"Bonus tristar detergent x6 bundle 48g Rs10")</f>
        <v>Bonus tristar detergent x6 bundle 48g Rs10</v>
      </c>
      <c r="D156" s="13" t="str">
        <f aca="false">IFERROR(__xludf.dummyfunction("""COMPUTED_VALUE"""),"Bonus Surf")</f>
        <v>Bonus Surf</v>
      </c>
      <c r="E156" s="13" t="str">
        <f aca="false">IFERROR(__xludf.dummyfunction("""COMPUTED_VALUE"""),"Surf, Bleach")</f>
        <v>Surf, Bleach</v>
      </c>
      <c r="F156" s="11" t="n">
        <f aca="false">IFERROR(__xludf.dummyfunction("""COMPUTED_VALUE"""),45043)</f>
        <v>45043</v>
      </c>
      <c r="G156" s="16" t="n">
        <f aca="false">IFERROR(__xludf.dummyfunction("""COMPUTED_VALUE"""),0.115751111111246)</f>
        <v>0.1157511111</v>
      </c>
      <c r="H156" s="13" t="str">
        <f aca="false">IFERROR(__xludf.dummyfunction("""COMPUTED_VALUE"""),"damaged stock")</f>
        <v>damaged stock</v>
      </c>
      <c r="I156" s="13" t="n">
        <f aca="false">IFERROR(__xludf.dummyfunction("""COMPUTED_VALUE"""),4)</f>
        <v>4</v>
      </c>
      <c r="J156" s="13" t="n">
        <f aca="false">IFERROR(__xludf.dummyfunction("""COMPUTED_VALUE"""),55.38)</f>
        <v>55.38</v>
      </c>
      <c r="K156" s="13" t="n">
        <f aca="false">IFERROR(__xludf.dummyfunction("""COMPUTED_VALUE"""),221.52)</f>
        <v>221.52</v>
      </c>
      <c r="L156" s="13" t="str">
        <f aca="false">IFERROR(__xludf.dummyfunction("""COMPUTED_VALUE"""),"[Code: 223566] TA; 4 seling unit damage found  (bag my sy damege mila he display krty time)")</f>
        <v>[Code: 223566] TA; 4 seling unit damage found  (bag my sy damege mila he display krty time)</v>
      </c>
      <c r="M156" s="13" t="str">
        <f aca="false">IFERROR(__xludf.dummyfunction("""COMPUTED_VALUE"""),"223566")</f>
        <v>223566</v>
      </c>
      <c r="N156" s="13"/>
      <c r="O156" s="13" t="str">
        <f aca="false">IFERROR(__xludf.dummyfunction("""COMPUTED_VALUE"""),"taufeeq.akhtar@tajir-app.com")</f>
        <v>taufeeq.akhtar@tajir-app.com</v>
      </c>
      <c r="P156" s="13" t="str">
        <f aca="false">IFERROR(__xludf.dummyfunction("""COMPUTED_VALUE"""),"Taufeeq Akhtar ")</f>
        <v>Taufeeq Akhtar </v>
      </c>
      <c r="Q156" s="13" t="str">
        <f aca="false">IF(L156="","",L156)</f>
        <v>[Code: 223566] TA; 4 seling unit damage found  (bag my sy damege mila he display krty time)</v>
      </c>
    </row>
    <row r="157" customFormat="false" ht="15.75" hidden="false" customHeight="false" outlineLevel="0" collapsed="false">
      <c r="A157" s="13" t="str">
        <f aca="false">IFERROR(__xludf.dummyfunction("""COMPUTED_VALUE"""),"Metro DC Faisalabad")</f>
        <v>Metro DC Faisalabad</v>
      </c>
      <c r="B157" s="13" t="str">
        <f aca="false">IFERROR(__xludf.dummyfunction("""COMPUTED_VALUE"""),"cc8c99db-8172-4ea9-9083-e304f1faf175")</f>
        <v>cc8c99db-8172-4ea9-9083-e304f1faf175</v>
      </c>
      <c r="C157" s="13" t="str">
        <f aca="false">IFERROR(__xludf.dummyfunction("""COMPUTED_VALUE"""),"Colgate Extra Clean Tooth Brush Medium Rs80")</f>
        <v>Colgate Extra Clean Tooth Brush Medium Rs80</v>
      </c>
      <c r="D157" s="13" t="str">
        <f aca="false">IFERROR(__xludf.dummyfunction("""COMPUTED_VALUE"""),"Colgate")</f>
        <v>Colgate</v>
      </c>
      <c r="E157" s="13" t="str">
        <f aca="false">IFERROR(__xludf.dummyfunction("""COMPUTED_VALUE"""),"Personal Care")</f>
        <v>Personal Care</v>
      </c>
      <c r="F157" s="11" t="n">
        <f aca="false">IFERROR(__xludf.dummyfunction("""COMPUTED_VALUE"""),45044)</f>
        <v>45044</v>
      </c>
      <c r="G157" s="16" t="n">
        <f aca="false">IFERROR(__xludf.dummyfunction("""COMPUTED_VALUE"""),0.713964178241129)</f>
        <v>0.7139641782</v>
      </c>
      <c r="H157" s="13" t="str">
        <f aca="false">IFERROR(__xludf.dummyfunction("""COMPUTED_VALUE"""),"missing stock")</f>
        <v>missing stock</v>
      </c>
      <c r="I157" s="13" t="n">
        <f aca="false">IFERROR(__xludf.dummyfunction("""COMPUTED_VALUE"""),20)</f>
        <v>20</v>
      </c>
      <c r="J157" s="13" t="n">
        <f aca="false">IFERROR(__xludf.dummyfunction("""COMPUTED_VALUE"""),50.31)</f>
        <v>50.31</v>
      </c>
      <c r="K157" s="13" t="n">
        <f aca="false">IFERROR(__xludf.dummyfunction("""COMPUTED_VALUE"""),1006.2)</f>
        <v>1006.2</v>
      </c>
      <c r="L157" s="13" t="str">
        <f aca="false">IFERROR(__xludf.dummyfunction("""COMPUTED_VALUE"""),"TA; Brand Exchange Found with ( Extra clean tooth brush Soft RS80)")</f>
        <v>TA; Brand Exchange Found with ( Extra clean tooth brush Soft RS80)</v>
      </c>
      <c r="M157" s="13"/>
      <c r="N157" s="13"/>
      <c r="O157" s="13" t="str">
        <f aca="false">IFERROR(__xludf.dummyfunction("""COMPUTED_VALUE"""),"taufeeq.akhtar@tajir-app.com")</f>
        <v>taufeeq.akhtar@tajir-app.com</v>
      </c>
      <c r="P157" s="13" t="str">
        <f aca="false">IFERROR(__xludf.dummyfunction("""COMPUTED_VALUE"""),"Taufeeq Akhtar ")</f>
        <v>Taufeeq Akhtar </v>
      </c>
      <c r="Q157" s="13" t="str">
        <f aca="false">IF(L157="","",L157)</f>
        <v>TA; Brand Exchange Found with ( Extra clean tooth brush Soft RS80)</v>
      </c>
    </row>
    <row r="158" customFormat="false" ht="15.75" hidden="false" customHeight="false" outlineLevel="0" collapsed="false">
      <c r="A158" s="13" t="str">
        <f aca="false">IFERROR(__xludf.dummyfunction("""COMPUTED_VALUE"""),"Metro DC Faisalabad")</f>
        <v>Metro DC Faisalabad</v>
      </c>
      <c r="B158" s="13" t="str">
        <f aca="false">IFERROR(__xludf.dummyfunction("""COMPUTED_VALUE"""),"bce89ad4-9a48-440a-9e92-b6c4600eb026")</f>
        <v>bce89ad4-9a48-440a-9e92-b6c4600eb026</v>
      </c>
      <c r="C158" s="13" t="str">
        <f aca="false">IFERROR(__xludf.dummyfunction("""COMPUTED_VALUE"""),"Sunlight Green Clean and Fresh 330g Rs99")</f>
        <v>Sunlight Green Clean and Fresh 330g Rs99</v>
      </c>
      <c r="D158" s="13" t="str">
        <f aca="false">IFERROR(__xludf.dummyfunction("""COMPUTED_VALUE"""),"Sunlight")</f>
        <v>Sunlight</v>
      </c>
      <c r="E158" s="13" t="str">
        <f aca="false">IFERROR(__xludf.dummyfunction("""COMPUTED_VALUE"""),"Surf, Bleach")</f>
        <v>Surf, Bleach</v>
      </c>
      <c r="F158" s="11" t="n">
        <f aca="false">IFERROR(__xludf.dummyfunction("""COMPUTED_VALUE"""),45047)</f>
        <v>45047</v>
      </c>
      <c r="G158" s="16" t="n">
        <f aca="false">IFERROR(__xludf.dummyfunction("""COMPUTED_VALUE"""),0.797222256945576)</f>
        <v>0.7972222569</v>
      </c>
      <c r="H158" s="13" t="str">
        <f aca="false">IFERROR(__xludf.dummyfunction("""COMPUTED_VALUE"""),"damaged stock")</f>
        <v>damaged stock</v>
      </c>
      <c r="I158" s="13" t="n">
        <f aca="false">IFERROR(__xludf.dummyfunction("""COMPUTED_VALUE"""),1)</f>
        <v>1</v>
      </c>
      <c r="J158" s="13" t="n">
        <f aca="false">IFERROR(__xludf.dummyfunction("""COMPUTED_VALUE"""),87.92)</f>
        <v>87.92</v>
      </c>
      <c r="K158" s="13" t="n">
        <f aca="false">IFERROR(__xludf.dummyfunction("""COMPUTED_VALUE"""),87.92)</f>
        <v>87.92</v>
      </c>
      <c r="L158" s="13" t="str">
        <f aca="false">IFERROR(__xludf.dummyfunction("""COMPUTED_VALUE"""),"[Code: 4899BB] TA; sorting ky doran bag sy damage mila he.")</f>
        <v>[Code: 4899BB] TA; sorting ky doran bag sy damage mila he.</v>
      </c>
      <c r="M158" s="13" t="str">
        <f aca="false">IFERROR(__xludf.dummyfunction("""COMPUTED_VALUE"""),"4899BB")</f>
        <v>4899BB</v>
      </c>
      <c r="N158" s="13"/>
      <c r="O158" s="13" t="str">
        <f aca="false">IFERROR(__xludf.dummyfunction("""COMPUTED_VALUE"""),"taufeeq.akhtar@tajir-app.com")</f>
        <v>taufeeq.akhtar@tajir-app.com</v>
      </c>
      <c r="P158" s="13" t="str">
        <f aca="false">IFERROR(__xludf.dummyfunction("""COMPUTED_VALUE"""),"Taufeeq Akhtar ")</f>
        <v>Taufeeq Akhtar </v>
      </c>
      <c r="Q158" s="13" t="str">
        <f aca="false">IF(L158="","",L158)</f>
        <v>[Code: 4899BB] TA; sorting ky doran bag sy damage mila he.</v>
      </c>
    </row>
    <row r="159" customFormat="false" ht="15.75" hidden="false" customHeight="false" outlineLevel="0" collapsed="false">
      <c r="A159" s="13" t="str">
        <f aca="false">IFERROR(__xludf.dummyfunction("""COMPUTED_VALUE"""),"Metro DC Faisalabad")</f>
        <v>Metro DC Faisalabad</v>
      </c>
      <c r="B159" s="13" t="str">
        <f aca="false">IFERROR(__xludf.dummyfunction("""COMPUTED_VALUE"""),"2a480d17-8dfd-4b06-a889-3361da3b6dfb")</f>
        <v>2a480d17-8dfd-4b06-a889-3361da3b6dfb</v>
      </c>
      <c r="C159" s="13" t="str">
        <f aca="false">IFERROR(__xludf.dummyfunction("""COMPUTED_VALUE"""),"Sherdil Maida 1kg")</f>
        <v>Sherdil Maida 1kg</v>
      </c>
      <c r="D159" s="13" t="str">
        <f aca="false">IFERROR(__xludf.dummyfunction("""COMPUTED_VALUE"""),"Sherdil")</f>
        <v>Sherdil</v>
      </c>
      <c r="E159" s="13" t="str">
        <f aca="false">IFERROR(__xludf.dummyfunction("""COMPUTED_VALUE"""),"Flour")</f>
        <v>Flour</v>
      </c>
      <c r="F159" s="11" t="n">
        <f aca="false">IFERROR(__xludf.dummyfunction("""COMPUTED_VALUE"""),45048)</f>
        <v>45048</v>
      </c>
      <c r="G159" s="16" t="n">
        <f aca="false">IFERROR(__xludf.dummyfunction("""COMPUTED_VALUE"""),0.55869849537154)</f>
        <v>0.5586984954</v>
      </c>
      <c r="H159" s="13" t="str">
        <f aca="false">IFERROR(__xludf.dummyfunction("""COMPUTED_VALUE"""),"damaged stock")</f>
        <v>damaged stock</v>
      </c>
      <c r="I159" s="13" t="n">
        <f aca="false">IFERROR(__xludf.dummyfunction("""COMPUTED_VALUE"""),1)</f>
        <v>1</v>
      </c>
      <c r="J159" s="13" t="n">
        <f aca="false">IFERROR(__xludf.dummyfunction("""COMPUTED_VALUE"""),195)</f>
        <v>195</v>
      </c>
      <c r="K159" s="13" t="n">
        <f aca="false">IFERROR(__xludf.dummyfunction("""COMPUTED_VALUE"""),195)</f>
        <v>195</v>
      </c>
      <c r="L159" s="13" t="str">
        <f aca="false">IFERROR(__xludf.dummyfunction("""COMPUTED_VALUE"""),"[Code: 368AGH] ZA: Packing damage found during Audit")</f>
        <v>[Code: 368AGH] ZA: Packing damage found during Audit</v>
      </c>
      <c r="M159" s="13" t="str">
        <f aca="false">IFERROR(__xludf.dummyfunction("""COMPUTED_VALUE"""),"368AGH")</f>
        <v>368AGH</v>
      </c>
      <c r="N159" s="13"/>
      <c r="O159" s="13" t="str">
        <f aca="false">IFERROR(__xludf.dummyfunction("""COMPUTED_VALUE"""),"zeeshan.alimalik@tajir-app.com")</f>
        <v>zeeshan.alimalik@tajir-app.com</v>
      </c>
      <c r="P159" s="13" t="str">
        <f aca="false">IFERROR(__xludf.dummyfunction("""COMPUTED_VALUE"""),"Zeeshan Ali Malik")</f>
        <v>Zeeshan Ali Malik</v>
      </c>
      <c r="Q159" s="13" t="str">
        <f aca="false">IF(L159="","",L159)</f>
        <v>[Code: 368AGH] ZA: Packing damage found during Audit</v>
      </c>
    </row>
    <row r="160" customFormat="false" ht="15.75" hidden="false" customHeight="false" outlineLevel="0" collapsed="false">
      <c r="A160" s="13" t="str">
        <f aca="false">IFERROR(__xludf.dummyfunction("""COMPUTED_VALUE"""),"Metro DC Faisalabad")</f>
        <v>Metro DC Faisalabad</v>
      </c>
      <c r="B160" s="13" t="str">
        <f aca="false">IFERROR(__xludf.dummyfunction("""COMPUTED_VALUE"""),"13e1aca6-1334-4628-8642-373185a2eeb7")</f>
        <v>13e1aca6-1334-4628-8642-373185a2eeb7</v>
      </c>
      <c r="C160" s="13" t="str">
        <f aca="false">IFERROR(__xludf.dummyfunction("""COMPUTED_VALUE"""),"Shangrila Tomato Ketchup x6 Bundle 225g")</f>
        <v>Shangrila Tomato Ketchup x6 Bundle 225g</v>
      </c>
      <c r="D160" s="13" t="str">
        <f aca="false">IFERROR(__xludf.dummyfunction("""COMPUTED_VALUE"""),"Shangrila")</f>
        <v>Shangrila</v>
      </c>
      <c r="E160" s="13" t="str">
        <f aca="false">IFERROR(__xludf.dummyfunction("""COMPUTED_VALUE"""),"Sauces")</f>
        <v>Sauces</v>
      </c>
      <c r="F160" s="11" t="n">
        <f aca="false">IFERROR(__xludf.dummyfunction("""COMPUTED_VALUE"""),45048)</f>
        <v>45048</v>
      </c>
      <c r="G160" s="16" t="n">
        <f aca="false">IFERROR(__xludf.dummyfunction("""COMPUTED_VALUE"""),0.085620729167308)</f>
        <v>0.08562072917</v>
      </c>
      <c r="H160" s="13" t="str">
        <f aca="false">IFERROR(__xludf.dummyfunction("""COMPUTED_VALUE"""),"damaged stock")</f>
        <v>damaged stock</v>
      </c>
      <c r="I160" s="13" t="n">
        <f aca="false">IFERROR(__xludf.dummyfunction("""COMPUTED_VALUE"""),1)</f>
        <v>1</v>
      </c>
      <c r="J160" s="13" t="n">
        <f aca="false">IFERROR(__xludf.dummyfunction("""COMPUTED_VALUE"""),517.05)</f>
        <v>517.05</v>
      </c>
      <c r="K160" s="13" t="n">
        <f aca="false">IFERROR(__xludf.dummyfunction("""COMPUTED_VALUE"""),517.05)</f>
        <v>517.05</v>
      </c>
      <c r="L160" s="13" t="str">
        <f aca="false">IFERROR(__xludf.dummyfunction("""COMPUTED_VALUE"""),"[Code: 336BEJ] TA; sorting Ky doran corton sy damage mila he.")</f>
        <v>[Code: 336BEJ] TA; sorting Ky doran corton sy damage mila he.</v>
      </c>
      <c r="M160" s="13" t="str">
        <f aca="false">IFERROR(__xludf.dummyfunction("""COMPUTED_VALUE"""),"336BEJ")</f>
        <v>336BEJ</v>
      </c>
      <c r="N160" s="13"/>
      <c r="O160" s="13" t="str">
        <f aca="false">IFERROR(__xludf.dummyfunction("""COMPUTED_VALUE"""),"taufeeq.akhtar@tajir-app.com")</f>
        <v>taufeeq.akhtar@tajir-app.com</v>
      </c>
      <c r="P160" s="13" t="str">
        <f aca="false">IFERROR(__xludf.dummyfunction("""COMPUTED_VALUE"""),"Taufeeq Akhtar ")</f>
        <v>Taufeeq Akhtar </v>
      </c>
      <c r="Q160" s="13" t="str">
        <f aca="false">IF(L160="","",L160)</f>
        <v>[Code: 336BEJ] TA; sorting Ky doran corton sy damage mila he.</v>
      </c>
    </row>
    <row r="161" customFormat="false" ht="15.75" hidden="false" customHeight="false" outlineLevel="0" collapsed="false">
      <c r="A161" s="13" t="str">
        <f aca="false">IFERROR(__xludf.dummyfunction("""COMPUTED_VALUE"""),"Metro DC Faisalabad")</f>
        <v>Metro DC Faisalabad</v>
      </c>
      <c r="B161" s="13" t="str">
        <f aca="false">IFERROR(__xludf.dummyfunction("""COMPUTED_VALUE"""),"24eda97a-547d-4730-a019-073bc438fe6c")</f>
        <v>24eda97a-547d-4730-a019-073bc438fe6c</v>
      </c>
      <c r="C161" s="13" t="str">
        <f aca="false">IFERROR(__xludf.dummyfunction("""COMPUTED_VALUE"""),"Al-Munawar Special Muzafati Dates Box")</f>
        <v>Al-Munawar Special Muzafati Dates Box</v>
      </c>
      <c r="D161" s="13" t="str">
        <f aca="false">IFERROR(__xludf.dummyfunction("""COMPUTED_VALUE"""),"Al-Munawar")</f>
        <v>Al-Munawar</v>
      </c>
      <c r="E161" s="13" t="str">
        <f aca="false">IFERROR(__xludf.dummyfunction("""COMPUTED_VALUE"""),"Khajoor &amp; Pakoriyan")</f>
        <v>Khajoor &amp; Pakoriyan</v>
      </c>
      <c r="F161" s="11" t="n">
        <f aca="false">IFERROR(__xludf.dummyfunction("""COMPUTED_VALUE"""),45051)</f>
        <v>45051</v>
      </c>
      <c r="G161" s="16" t="n">
        <f aca="false">IFERROR(__xludf.dummyfunction("""COMPUTED_VALUE"""),0.810612881944563)</f>
        <v>0.8106128819</v>
      </c>
      <c r="H161" s="13" t="str">
        <f aca="false">IFERROR(__xludf.dummyfunction("""COMPUTED_VALUE"""),"damaged stock")</f>
        <v>damaged stock</v>
      </c>
      <c r="I161" s="13" t="n">
        <f aca="false">IFERROR(__xludf.dummyfunction("""COMPUTED_VALUE"""),2)</f>
        <v>2</v>
      </c>
      <c r="J161" s="13" t="n">
        <f aca="false">IFERROR(__xludf.dummyfunction("""COMPUTED_VALUE"""),400)</f>
        <v>400</v>
      </c>
      <c r="K161" s="13" t="n">
        <f aca="false">IFERROR(__xludf.dummyfunction("""COMPUTED_VALUE"""),800)</f>
        <v>800</v>
      </c>
      <c r="L161" s="13" t="str">
        <f aca="false">IFERROR(__xludf.dummyfunction("""COMPUTED_VALUE"""),"[Code: 257ABD] TA;  2 unit damage found During Sorting ")</f>
        <v>[Code: 257ABD] TA;  2 unit damage found During Sorting </v>
      </c>
      <c r="M161" s="13" t="str">
        <f aca="false">IFERROR(__xludf.dummyfunction("""COMPUTED_VALUE"""),"257ABD")</f>
        <v>257ABD</v>
      </c>
      <c r="N161" s="13"/>
      <c r="O161" s="13" t="str">
        <f aca="false">IFERROR(__xludf.dummyfunction("""COMPUTED_VALUE"""),"taufeeq.akhtar@tajir-app.com")</f>
        <v>taufeeq.akhtar@tajir-app.com</v>
      </c>
      <c r="P161" s="13" t="str">
        <f aca="false">IFERROR(__xludf.dummyfunction("""COMPUTED_VALUE"""),"Taufeeq Akhtar ")</f>
        <v>Taufeeq Akhtar </v>
      </c>
      <c r="Q161" s="13" t="str">
        <f aca="false">IF(L161="","",L161)</f>
        <v>[Code: 257ABD] TA;  2 unit damage found During Sorting </v>
      </c>
    </row>
    <row r="162" customFormat="false" ht="15.75" hidden="false" customHeight="false" outlineLevel="0" collapsed="false">
      <c r="A162" s="13" t="str">
        <f aca="false">IFERROR(__xludf.dummyfunction("""COMPUTED_VALUE"""),"Metro DC Faisalabad")</f>
        <v>Metro DC Faisalabad</v>
      </c>
      <c r="B162" s="13" t="str">
        <f aca="false">IFERROR(__xludf.dummyfunction("""COMPUTED_VALUE"""),"cd68a607-af95-45cb-b9f4-2721224c85f8")</f>
        <v>cd68a607-af95-45cb-b9f4-2721224c85f8</v>
      </c>
      <c r="C162" s="13" t="str">
        <f aca="false">IFERROR(__xludf.dummyfunction("""COMPUTED_VALUE"""),"Coca Cola plastic 1.5L")</f>
        <v>Coca Cola plastic 1.5L</v>
      </c>
      <c r="D162" s="13" t="str">
        <f aca="false">IFERROR(__xludf.dummyfunction("""COMPUTED_VALUE"""),"Coca Cola")</f>
        <v>Coca Cola</v>
      </c>
      <c r="E162" s="13" t="str">
        <f aca="false">IFERROR(__xludf.dummyfunction("""COMPUTED_VALUE"""),"Beverages")</f>
        <v>Beverages</v>
      </c>
      <c r="F162" s="11" t="n">
        <f aca="false">IFERROR(__xludf.dummyfunction("""COMPUTED_VALUE"""),45052)</f>
        <v>45052</v>
      </c>
      <c r="G162" s="16" t="n">
        <f aca="false">IFERROR(__xludf.dummyfunction("""COMPUTED_VALUE"""),0.990842685185137)</f>
        <v>0.9908426852</v>
      </c>
      <c r="H162" s="13" t="str">
        <f aca="false">IFERROR(__xludf.dummyfunction("""COMPUTED_VALUE"""),"damaged stock")</f>
        <v>damaged stock</v>
      </c>
      <c r="I162" s="13" t="n">
        <f aca="false">IFERROR(__xludf.dummyfunction("""COMPUTED_VALUE"""),1)</f>
        <v>1</v>
      </c>
      <c r="J162" s="13" t="n">
        <f aca="false">IFERROR(__xludf.dummyfunction("""COMPUTED_VALUE"""),755)</f>
        <v>755</v>
      </c>
      <c r="K162" s="13" t="n">
        <f aca="false">IFERROR(__xludf.dummyfunction("""COMPUTED_VALUE"""),755)</f>
        <v>755</v>
      </c>
      <c r="L162" s="13" t="str">
        <f aca="false">IFERROR(__xludf.dummyfunction("""COMPUTED_VALUE"""),"[Code: 344479] TA:Loading kay doran loader say damage howa.")</f>
        <v>[Code: 344479] TA:Loading kay doran loader say damage howa.</v>
      </c>
      <c r="M162" s="13" t="str">
        <f aca="false">IFERROR(__xludf.dummyfunction("""COMPUTED_VALUE"""),"344479")</f>
        <v>344479</v>
      </c>
      <c r="N162" s="13"/>
      <c r="O162" s="13" t="str">
        <f aca="false">IFERROR(__xludf.dummyfunction("""COMPUTED_VALUE"""),"taufeeq.akhtar@tajir-app.com")</f>
        <v>taufeeq.akhtar@tajir-app.com</v>
      </c>
      <c r="P162" s="13" t="str">
        <f aca="false">IFERROR(__xludf.dummyfunction("""COMPUTED_VALUE"""),"Taufeeq Akhtar ")</f>
        <v>Taufeeq Akhtar </v>
      </c>
      <c r="Q162" s="13" t="str">
        <f aca="false">IF(L162="","",L162)</f>
        <v>[Code: 344479] TA:Loading kay doran loader say damage howa.</v>
      </c>
    </row>
    <row r="163" customFormat="false" ht="15.75" hidden="false" customHeight="false" outlineLevel="0" collapsed="false">
      <c r="A163" s="13" t="str">
        <f aca="false">IFERROR(__xludf.dummyfunction("""COMPUTED_VALUE"""),"Metro DC Faisalabad")</f>
        <v>Metro DC Faisalabad</v>
      </c>
      <c r="B163" s="13" t="str">
        <f aca="false">IFERROR(__xludf.dummyfunction("""COMPUTED_VALUE"""),"b7e47528-8822-461b-8889-f508bace7dfe")</f>
        <v>b7e47528-8822-461b-8889-f508bace7dfe</v>
      </c>
      <c r="C163" s="13" t="str">
        <f aca="false">IFERROR(__xludf.dummyfunction("""COMPUTED_VALUE"""),"Sherdil Daal Chana Bareek 1kg")</f>
        <v>Sherdil Daal Chana Bareek 1kg</v>
      </c>
      <c r="D163" s="13" t="str">
        <f aca="false">IFERROR(__xludf.dummyfunction("""COMPUTED_VALUE"""),"Sherdil")</f>
        <v>Sherdil</v>
      </c>
      <c r="E163" s="13" t="str">
        <f aca="false">IFERROR(__xludf.dummyfunction("""COMPUTED_VALUE"""),"Pulses")</f>
        <v>Pulses</v>
      </c>
      <c r="F163" s="11" t="n">
        <f aca="false">IFERROR(__xludf.dummyfunction("""COMPUTED_VALUE"""),45053)</f>
        <v>45053</v>
      </c>
      <c r="G163" s="16" t="n">
        <f aca="false">IFERROR(__xludf.dummyfunction("""COMPUTED_VALUE"""),0.946446388889395)</f>
        <v>0.9464463889</v>
      </c>
      <c r="H163" s="13" t="str">
        <f aca="false">IFERROR(__xludf.dummyfunction("""COMPUTED_VALUE"""),"damaged stock")</f>
        <v>damaged stock</v>
      </c>
      <c r="I163" s="13" t="n">
        <f aca="false">IFERROR(__xludf.dummyfunction("""COMPUTED_VALUE"""),1)</f>
        <v>1</v>
      </c>
      <c r="J163" s="13" t="n">
        <f aca="false">IFERROR(__xludf.dummyfunction("""COMPUTED_VALUE"""),272)</f>
        <v>272</v>
      </c>
      <c r="K163" s="13" t="n">
        <f aca="false">IFERROR(__xludf.dummyfunction("""COMPUTED_VALUE"""),272)</f>
        <v>272</v>
      </c>
      <c r="L163" s="13" t="str">
        <f aca="false">IFERROR(__xludf.dummyfunction("""COMPUTED_VALUE"""),"[Code: 349DJK] TA; 1unit found bad condation.( daal ka color change or uli bi lgi hoi he)")</f>
        <v>[Code: 349DJK] TA; 1unit found bad condation.( daal ka color change or uli bi lgi hoi he)</v>
      </c>
      <c r="M163" s="13" t="str">
        <f aca="false">IFERROR(__xludf.dummyfunction("""COMPUTED_VALUE"""),"349DJK")</f>
        <v>349DJK</v>
      </c>
      <c r="N163" s="13"/>
      <c r="O163" s="13" t="str">
        <f aca="false">IFERROR(__xludf.dummyfunction("""COMPUTED_VALUE"""),"taufeeq.akhtar@tajir-app.com")</f>
        <v>taufeeq.akhtar@tajir-app.com</v>
      </c>
      <c r="P163" s="13" t="str">
        <f aca="false">IFERROR(__xludf.dummyfunction("""COMPUTED_VALUE"""),"Taufeeq Akhtar ")</f>
        <v>Taufeeq Akhtar </v>
      </c>
      <c r="Q163" s="13" t="str">
        <f aca="false">IF(L163="","",L163)</f>
        <v>[Code: 349DJK] TA; 1unit found bad condation.( daal ka color change or uli bi lgi hoi he)</v>
      </c>
    </row>
    <row r="164" customFormat="false" ht="15.75" hidden="false" customHeight="false" outlineLevel="0" collapsed="false">
      <c r="A164" s="13" t="str">
        <f aca="false">IFERROR(__xludf.dummyfunction("""COMPUTED_VALUE"""),"Metro DC Faisalabad")</f>
        <v>Metro DC Faisalabad</v>
      </c>
      <c r="B164" s="13" t="str">
        <f aca="false">IFERROR(__xludf.dummyfunction("""COMPUTED_VALUE"""),"e1d071e3-d27f-47ca-bd86-13408e8d89dd")</f>
        <v>e1d071e3-d27f-47ca-bd86-13408e8d89dd</v>
      </c>
      <c r="C164" s="13" t="str">
        <f aca="false">IFERROR(__xludf.dummyfunction("""COMPUTED_VALUE"""),"Shangrila Tomato Ketchup x3 Bundle 800g")</f>
        <v>Shangrila Tomato Ketchup x3 Bundle 800g</v>
      </c>
      <c r="D164" s="13" t="str">
        <f aca="false">IFERROR(__xludf.dummyfunction("""COMPUTED_VALUE"""),"Shangrila")</f>
        <v>Shangrila</v>
      </c>
      <c r="E164" s="13" t="str">
        <f aca="false">IFERROR(__xludf.dummyfunction("""COMPUTED_VALUE"""),"Sauces")</f>
        <v>Sauces</v>
      </c>
      <c r="F164" s="11" t="n">
        <f aca="false">IFERROR(__xludf.dummyfunction("""COMPUTED_VALUE"""),45055)</f>
        <v>45055</v>
      </c>
      <c r="G164" s="16" t="n">
        <f aca="false">IFERROR(__xludf.dummyfunction("""COMPUTED_VALUE"""),0.961909340276786)</f>
        <v>0.9619093403</v>
      </c>
      <c r="H164" s="13" t="str">
        <f aca="false">IFERROR(__xludf.dummyfunction("""COMPUTED_VALUE"""),"damaged stock")</f>
        <v>damaged stock</v>
      </c>
      <c r="I164" s="13" t="n">
        <f aca="false">IFERROR(__xludf.dummyfunction("""COMPUTED_VALUE"""),1)</f>
        <v>1</v>
      </c>
      <c r="J164" s="13" t="n">
        <f aca="false">IFERROR(__xludf.dummyfunction("""COMPUTED_VALUE"""),864.4)</f>
        <v>864.4</v>
      </c>
      <c r="K164" s="13" t="n">
        <f aca="false">IFERROR(__xludf.dummyfunction("""COMPUTED_VALUE"""),864.4)</f>
        <v>864.4</v>
      </c>
      <c r="L164" s="13" t="str">
        <f aca="false">IFERROR(__xludf.dummyfunction("""COMPUTED_VALUE"""),"[Code: 355578] TA: Sorting kay Doran box may say damage nikla")</f>
        <v>[Code: 355578] TA: Sorting kay Doran box may say damage nikla</v>
      </c>
      <c r="M164" s="13" t="str">
        <f aca="false">IFERROR(__xludf.dummyfunction("""COMPUTED_VALUE"""),"355578")</f>
        <v>355578</v>
      </c>
      <c r="N164" s="13"/>
      <c r="O164" s="13" t="str">
        <f aca="false">IFERROR(__xludf.dummyfunction("""COMPUTED_VALUE"""),"taufeeq.akhtar@tajir-app.com")</f>
        <v>taufeeq.akhtar@tajir-app.com</v>
      </c>
      <c r="P164" s="13" t="str">
        <f aca="false">IFERROR(__xludf.dummyfunction("""COMPUTED_VALUE"""),"Taufeeq Akhtar ")</f>
        <v>Taufeeq Akhtar </v>
      </c>
      <c r="Q164" s="13" t="str">
        <f aca="false">IF(L164="","",L164)</f>
        <v>[Code: 355578] TA: Sorting kay Doran box may say damage nikla</v>
      </c>
    </row>
    <row r="165" customFormat="false" ht="15.75" hidden="false" customHeight="false" outlineLevel="0" collapsed="false">
      <c r="A165" s="13" t="str">
        <f aca="false">IFERROR(__xludf.dummyfunction("""COMPUTED_VALUE"""),"Metro DC Faisalabad")</f>
        <v>Metro DC Faisalabad</v>
      </c>
      <c r="B165" s="13" t="str">
        <f aca="false">IFERROR(__xludf.dummyfunction("""COMPUTED_VALUE"""),"46f4851c-6e4e-4ab1-a65f-f5bb2ff0c287")</f>
        <v>46f4851c-6e4e-4ab1-a65f-f5bb2ff0c287</v>
      </c>
      <c r="C165" s="13" t="str">
        <f aca="false">IFERROR(__xludf.dummyfunction("""COMPUTED_VALUE"""),"Sherdil Suji 500g")</f>
        <v>Sherdil Suji 500g</v>
      </c>
      <c r="D165" s="13" t="str">
        <f aca="false">IFERROR(__xludf.dummyfunction("""COMPUTED_VALUE"""),"Sherdil")</f>
        <v>Sherdil</v>
      </c>
      <c r="E165" s="13" t="str">
        <f aca="false">IFERROR(__xludf.dummyfunction("""COMPUTED_VALUE"""),"Flour")</f>
        <v>Flour</v>
      </c>
      <c r="F165" s="11" t="n">
        <f aca="false">IFERROR(__xludf.dummyfunction("""COMPUTED_VALUE"""),45055)</f>
        <v>45055</v>
      </c>
      <c r="G165" s="16" t="n">
        <f aca="false">IFERROR(__xludf.dummyfunction("""COMPUTED_VALUE"""),0.935467303241134)</f>
        <v>0.9354673032</v>
      </c>
      <c r="H165" s="13" t="str">
        <f aca="false">IFERROR(__xludf.dummyfunction("""COMPUTED_VALUE"""),"damaged stock")</f>
        <v>damaged stock</v>
      </c>
      <c r="I165" s="13" t="n">
        <f aca="false">IFERROR(__xludf.dummyfunction("""COMPUTED_VALUE"""),12)</f>
        <v>12</v>
      </c>
      <c r="J165" s="13" t="n">
        <f aca="false">IFERROR(__xludf.dummyfunction("""COMPUTED_VALUE"""),110)</f>
        <v>110</v>
      </c>
      <c r="K165" s="13" t="n">
        <f aca="false">IFERROR(__xludf.dummyfunction("""COMPUTED_VALUE"""),1320)</f>
        <v>1320</v>
      </c>
      <c r="L165" s="13" t="str">
        <f aca="false">IFERROR(__xludf.dummyfunction("""COMPUTED_VALUE"""),"[Code: 2345EG] TA: quality achi nahi hay...susri lagi hay ")</f>
        <v>[Code: 2345EG] TA: quality achi nahi hay...susri lagi hay </v>
      </c>
      <c r="M165" s="13" t="str">
        <f aca="false">IFERROR(__xludf.dummyfunction("""COMPUTED_VALUE"""),"2345EG")</f>
        <v>2345EG</v>
      </c>
      <c r="N165" s="13"/>
      <c r="O165" s="13" t="str">
        <f aca="false">IFERROR(__xludf.dummyfunction("""COMPUTED_VALUE"""),"taufeeq.akhtar@tajir-app.com")</f>
        <v>taufeeq.akhtar@tajir-app.com</v>
      </c>
      <c r="P165" s="13" t="str">
        <f aca="false">IFERROR(__xludf.dummyfunction("""COMPUTED_VALUE"""),"Taufeeq Akhtar ")</f>
        <v>Taufeeq Akhtar </v>
      </c>
      <c r="Q165" s="13" t="str">
        <f aca="false">IF(L165="","",L165)</f>
        <v>[Code: 2345EG] TA: quality achi nahi hay...susri lagi hay </v>
      </c>
    </row>
    <row r="166" customFormat="false" ht="15.75" hidden="false" customHeight="false" outlineLevel="0" collapsed="false">
      <c r="A166" s="13" t="str">
        <f aca="false">IFERROR(__xludf.dummyfunction("""COMPUTED_VALUE"""),"Metro DC Faisalabad")</f>
        <v>Metro DC Faisalabad</v>
      </c>
      <c r="B166" s="13" t="str">
        <f aca="false">IFERROR(__xludf.dummyfunction("""COMPUTED_VALUE"""),"640b3d13-fe80-4e07-8c7f-6e8b80a71337")</f>
        <v>640b3d13-fe80-4e07-8c7f-6e8b80a71337</v>
      </c>
      <c r="C166" s="13" t="str">
        <f aca="false">IFERROR(__xludf.dummyfunction("""COMPUTED_VALUE"""),"Swadi Besan 5kg")</f>
        <v>Swadi Besan 5kg</v>
      </c>
      <c r="D166" s="13" t="str">
        <f aca="false">IFERROR(__xludf.dummyfunction("""COMPUTED_VALUE"""),"Swadi")</f>
        <v>Swadi</v>
      </c>
      <c r="E166" s="13" t="str">
        <f aca="false">IFERROR(__xludf.dummyfunction("""COMPUTED_VALUE"""),"Pulses")</f>
        <v>Pulses</v>
      </c>
      <c r="F166" s="11" t="n">
        <f aca="false">IFERROR(__xludf.dummyfunction("""COMPUTED_VALUE"""),45055)</f>
        <v>45055</v>
      </c>
      <c r="G166" s="16" t="n">
        <f aca="false">IFERROR(__xludf.dummyfunction("""COMPUTED_VALUE"""),0.501622662037468)</f>
        <v>0.501622662</v>
      </c>
      <c r="H166" s="13" t="str">
        <f aca="false">IFERROR(__xludf.dummyfunction("""COMPUTED_VALUE"""),"damaged stock")</f>
        <v>damaged stock</v>
      </c>
      <c r="I166" s="13" t="n">
        <f aca="false">IFERROR(__xludf.dummyfunction("""COMPUTED_VALUE"""),6)</f>
        <v>6</v>
      </c>
      <c r="J166" s="13" t="n">
        <f aca="false">IFERROR(__xludf.dummyfunction("""COMPUTED_VALUE"""),1150)</f>
        <v>1150</v>
      </c>
      <c r="K166" s="13" t="n">
        <f aca="false">IFERROR(__xludf.dummyfunction("""COMPUTED_VALUE"""),6900)</f>
        <v>6900</v>
      </c>
      <c r="L166" s="13" t="str">
        <f aca="false">IFERROR(__xludf.dummyfunction("""COMPUTED_VALUE"""),"[Code: 378999] 6 units found damaged due to insects")</f>
        <v>[Code: 378999] 6 units found damaged due to insects</v>
      </c>
      <c r="M166" s="13" t="str">
        <f aca="false">IFERROR(__xludf.dummyfunction("""COMPUTED_VALUE"""),"378999")</f>
        <v>378999</v>
      </c>
      <c r="N166" s="13"/>
      <c r="O166" s="13" t="str">
        <f aca="false">IFERROR(__xludf.dummyfunction("""COMPUTED_VALUE"""),"ali.raza@tajir-app.com")</f>
        <v>ali.raza@tajir-app.com</v>
      </c>
      <c r="P166" s="13" t="str">
        <f aca="false">IFERROR(__xludf.dummyfunction("""COMPUTED_VALUE"""),"Ali Raza ")</f>
        <v>Ali Raza </v>
      </c>
      <c r="Q166" s="13" t="str">
        <f aca="false">IF(L166="","",L166)</f>
        <v>[Code: 378999] 6 units found damaged due to insects</v>
      </c>
    </row>
    <row r="167" customFormat="false" ht="15.75" hidden="false" customHeight="false" outlineLevel="0" collapsed="false">
      <c r="A167" s="13" t="str">
        <f aca="false">IFERROR(__xludf.dummyfunction("""COMPUTED_VALUE"""),"Metro DC Faisalabad")</f>
        <v>Metro DC Faisalabad</v>
      </c>
      <c r="B167" s="13" t="str">
        <f aca="false">IFERROR(__xludf.dummyfunction("""COMPUTED_VALUE"""),"978a88b5-e0d1-4d9d-b7a1-90921ab8d4f0")</f>
        <v>978a88b5-e0d1-4d9d-b7a1-90921ab8d4f0</v>
      </c>
      <c r="C167" s="13" t="str">
        <f aca="false">IFERROR(__xludf.dummyfunction("""COMPUTED_VALUE"""),"Sherdil Daal Mash Wash 5kg")</f>
        <v>Sherdil Daal Mash Wash 5kg</v>
      </c>
      <c r="D167" s="13" t="str">
        <f aca="false">IFERROR(__xludf.dummyfunction("""COMPUTED_VALUE"""),"Sherdil")</f>
        <v>Sherdil</v>
      </c>
      <c r="E167" s="13" t="str">
        <f aca="false">IFERROR(__xludf.dummyfunction("""COMPUTED_VALUE"""),"Pulses")</f>
        <v>Pulses</v>
      </c>
      <c r="F167" s="11" t="n">
        <f aca="false">IFERROR(__xludf.dummyfunction("""COMPUTED_VALUE"""),45055)</f>
        <v>45055</v>
      </c>
      <c r="G167" s="16" t="n">
        <f aca="false">IFERROR(__xludf.dummyfunction("""COMPUTED_VALUE"""),0.500874282406599)</f>
        <v>0.5008742824</v>
      </c>
      <c r="H167" s="13" t="str">
        <f aca="false">IFERROR(__xludf.dummyfunction("""COMPUTED_VALUE"""),"damaged stock")</f>
        <v>damaged stock</v>
      </c>
      <c r="I167" s="13" t="n">
        <f aca="false">IFERROR(__xludf.dummyfunction("""COMPUTED_VALUE"""),2)</f>
        <v>2</v>
      </c>
      <c r="J167" s="13" t="n">
        <f aca="false">IFERROR(__xludf.dummyfunction("""COMPUTED_VALUE"""),2328)</f>
        <v>2328</v>
      </c>
      <c r="K167" s="13" t="n">
        <f aca="false">IFERROR(__xludf.dummyfunction("""COMPUTED_VALUE"""),4656)</f>
        <v>4656</v>
      </c>
      <c r="L167" s="13" t="str">
        <f aca="false">IFERROR(__xludf.dummyfunction("""COMPUTED_VALUE"""),"[Code: 4778AG] 2 units found damaged due to fungus.")</f>
        <v>[Code: 4778AG] 2 units found damaged due to fungus.</v>
      </c>
      <c r="M167" s="13" t="str">
        <f aca="false">IFERROR(__xludf.dummyfunction("""COMPUTED_VALUE"""),"4778AG")</f>
        <v>4778AG</v>
      </c>
      <c r="N167" s="13"/>
      <c r="O167" s="13" t="str">
        <f aca="false">IFERROR(__xludf.dummyfunction("""COMPUTED_VALUE"""),"ali.raza@tajir-app.com")</f>
        <v>ali.raza@tajir-app.com</v>
      </c>
      <c r="P167" s="13" t="str">
        <f aca="false">IFERROR(__xludf.dummyfunction("""COMPUTED_VALUE"""),"Ali Raza ")</f>
        <v>Ali Raza </v>
      </c>
      <c r="Q167" s="13" t="str">
        <f aca="false">IF(L167="","",L167)</f>
        <v>[Code: 4778AG] 2 units found damaged due to fungus.</v>
      </c>
    </row>
    <row r="168" customFormat="false" ht="15.75" hidden="false" customHeight="false" outlineLevel="0" collapsed="false">
      <c r="A168" s="13" t="str">
        <f aca="false">IFERROR(__xludf.dummyfunction("""COMPUTED_VALUE"""),"Metro DC Faisalabad")</f>
        <v>Metro DC Faisalabad</v>
      </c>
      <c r="B168" s="13" t="str">
        <f aca="false">IFERROR(__xludf.dummyfunction("""COMPUTED_VALUE"""),"6c568402-1788-466b-8f61-43acc83fa9d1")</f>
        <v>6c568402-1788-466b-8f61-43acc83fa9d1</v>
      </c>
      <c r="C168" s="13" t="str">
        <f aca="false">IFERROR(__xludf.dummyfunction("""COMPUTED_VALUE"""),"Sherdil White Chana Mota 5kg")</f>
        <v>Sherdil White Chana Mota 5kg</v>
      </c>
      <c r="D168" s="13" t="str">
        <f aca="false">IFERROR(__xludf.dummyfunction("""COMPUTED_VALUE"""),"Sherdil")</f>
        <v>Sherdil</v>
      </c>
      <c r="E168" s="13" t="str">
        <f aca="false">IFERROR(__xludf.dummyfunction("""COMPUTED_VALUE"""),"Pulses")</f>
        <v>Pulses</v>
      </c>
      <c r="F168" s="11" t="n">
        <f aca="false">IFERROR(__xludf.dummyfunction("""COMPUTED_VALUE"""),45055)</f>
        <v>45055</v>
      </c>
      <c r="G168" s="16" t="n">
        <f aca="false">IFERROR(__xludf.dummyfunction("""COMPUTED_VALUE"""),0.500350428241873)</f>
        <v>0.5003504282</v>
      </c>
      <c r="H168" s="13" t="str">
        <f aca="false">IFERROR(__xludf.dummyfunction("""COMPUTED_VALUE"""),"damaged stock")</f>
        <v>damaged stock</v>
      </c>
      <c r="I168" s="13" t="n">
        <f aca="false">IFERROR(__xludf.dummyfunction("""COMPUTED_VALUE"""),14)</f>
        <v>14</v>
      </c>
      <c r="J168" s="13" t="n">
        <f aca="false">IFERROR(__xludf.dummyfunction("""COMPUTED_VALUE"""),1682)</f>
        <v>1682</v>
      </c>
      <c r="K168" s="13" t="n">
        <f aca="false">IFERROR(__xludf.dummyfunction("""COMPUTED_VALUE"""),23548)</f>
        <v>23548</v>
      </c>
      <c r="L168" s="13" t="str">
        <f aca="false">IFERROR(__xludf.dummyfunction("""COMPUTED_VALUE"""),"[Code: 23456A] 14 units damaged due to insects ")</f>
        <v>[Code: 23456A] 14 units damaged due to insects </v>
      </c>
      <c r="M168" s="13" t="str">
        <f aca="false">IFERROR(__xludf.dummyfunction("""COMPUTED_VALUE"""),"23456A")</f>
        <v>23456A</v>
      </c>
      <c r="N168" s="13"/>
      <c r="O168" s="13" t="str">
        <f aca="false">IFERROR(__xludf.dummyfunction("""COMPUTED_VALUE"""),"ali.raza@tajir-app.com")</f>
        <v>ali.raza@tajir-app.com</v>
      </c>
      <c r="P168" s="13" t="str">
        <f aca="false">IFERROR(__xludf.dummyfunction("""COMPUTED_VALUE"""),"Ali Raza ")</f>
        <v>Ali Raza </v>
      </c>
      <c r="Q168" s="13" t="str">
        <f aca="false">IF(L168="","",L168)</f>
        <v>[Code: 23456A] 14 units damaged due to insects </v>
      </c>
    </row>
    <row r="169" customFormat="false" ht="15.75" hidden="false" customHeight="false" outlineLevel="0" collapsed="false">
      <c r="A169" s="13" t="str">
        <f aca="false">IFERROR(__xludf.dummyfunction("""COMPUTED_VALUE"""),"Metro DC Faisalabad")</f>
        <v>Metro DC Faisalabad</v>
      </c>
      <c r="B169" s="13" t="str">
        <f aca="false">IFERROR(__xludf.dummyfunction("""COMPUTED_VALUE"""),"cd68a607-af95-45cb-b9f4-2721224c85f8")</f>
        <v>cd68a607-af95-45cb-b9f4-2721224c85f8</v>
      </c>
      <c r="C169" s="13" t="str">
        <f aca="false">IFERROR(__xludf.dummyfunction("""COMPUTED_VALUE"""),"Coca Cola plastic 1.5L")</f>
        <v>Coca Cola plastic 1.5L</v>
      </c>
      <c r="D169" s="13" t="str">
        <f aca="false">IFERROR(__xludf.dummyfunction("""COMPUTED_VALUE"""),"Coca Cola")</f>
        <v>Coca Cola</v>
      </c>
      <c r="E169" s="13" t="str">
        <f aca="false">IFERROR(__xludf.dummyfunction("""COMPUTED_VALUE"""),"Beverages")</f>
        <v>Beverages</v>
      </c>
      <c r="F169" s="11" t="n">
        <f aca="false">IFERROR(__xludf.dummyfunction("""COMPUTED_VALUE"""),45056)</f>
        <v>45056</v>
      </c>
      <c r="G169" s="16" t="n">
        <f aca="false">IFERROR(__xludf.dummyfunction("""COMPUTED_VALUE"""),0.82861290509345)</f>
        <v>0.8286129051</v>
      </c>
      <c r="H169" s="13" t="str">
        <f aca="false">IFERROR(__xludf.dummyfunction("""COMPUTED_VALUE"""),"damaged stock")</f>
        <v>damaged stock</v>
      </c>
      <c r="I169" s="13" t="n">
        <f aca="false">IFERROR(__xludf.dummyfunction("""COMPUTED_VALUE"""),1)</f>
        <v>1</v>
      </c>
      <c r="J169" s="13" t="n">
        <f aca="false">IFERROR(__xludf.dummyfunction("""COMPUTED_VALUE"""),755)</f>
        <v>755</v>
      </c>
      <c r="K169" s="13" t="n">
        <f aca="false">IFERROR(__xludf.dummyfunction("""COMPUTED_VALUE"""),755)</f>
        <v>755</v>
      </c>
      <c r="L169" s="13" t="str">
        <f aca="false">IFERROR(__xludf.dummyfunction("""COMPUTED_VALUE"""),"[Code: 55667A] TA ; 1unit damage found ( sorting ky doran stock sy lose mila he)")</f>
        <v>[Code: 55667A] TA ; 1unit damage found ( sorting ky doran stock sy lose mila he)</v>
      </c>
      <c r="M169" s="13" t="str">
        <f aca="false">IFERROR(__xludf.dummyfunction("""COMPUTED_VALUE"""),"55667A")</f>
        <v>55667A</v>
      </c>
      <c r="N169" s="13"/>
      <c r="O169" s="13" t="str">
        <f aca="false">IFERROR(__xludf.dummyfunction("""COMPUTED_VALUE"""),"taufeeq.akhtar@tajir-app.com")</f>
        <v>taufeeq.akhtar@tajir-app.com</v>
      </c>
      <c r="P169" s="13" t="str">
        <f aca="false">IFERROR(__xludf.dummyfunction("""COMPUTED_VALUE"""),"Taufeeq Akhtar ")</f>
        <v>Taufeeq Akhtar </v>
      </c>
      <c r="Q169" s="13" t="str">
        <f aca="false">IF(L169="","",L169)</f>
        <v>[Code: 55667A] TA ; 1unit damage found ( sorting ky doran stock sy lose mila he)</v>
      </c>
    </row>
    <row r="170" customFormat="false" ht="15.75" hidden="false" customHeight="false" outlineLevel="0" collapsed="false">
      <c r="A170" s="13" t="str">
        <f aca="false">IFERROR(__xludf.dummyfunction("""COMPUTED_VALUE"""),"Metro DC Faisalabad")</f>
        <v>Metro DC Faisalabad</v>
      </c>
      <c r="B170" s="13" t="str">
        <f aca="false">IFERROR(__xludf.dummyfunction("""COMPUTED_VALUE"""),"cd68a607-af95-45cb-b9f4-2721224c85f8")</f>
        <v>cd68a607-af95-45cb-b9f4-2721224c85f8</v>
      </c>
      <c r="C170" s="13" t="str">
        <f aca="false">IFERROR(__xludf.dummyfunction("""COMPUTED_VALUE"""),"Coca Cola plastic 1.5L")</f>
        <v>Coca Cola plastic 1.5L</v>
      </c>
      <c r="D170" s="13" t="str">
        <f aca="false">IFERROR(__xludf.dummyfunction("""COMPUTED_VALUE"""),"Coca Cola")</f>
        <v>Coca Cola</v>
      </c>
      <c r="E170" s="13" t="str">
        <f aca="false">IFERROR(__xludf.dummyfunction("""COMPUTED_VALUE"""),"Beverages")</f>
        <v>Beverages</v>
      </c>
      <c r="F170" s="11" t="n">
        <f aca="false">IFERROR(__xludf.dummyfunction("""COMPUTED_VALUE"""),45058)</f>
        <v>45058</v>
      </c>
      <c r="G170" s="16" t="n">
        <f aca="false">IFERROR(__xludf.dummyfunction("""COMPUTED_VALUE"""),0.739659074074543)</f>
        <v>0.7396590741</v>
      </c>
      <c r="H170" s="13" t="str">
        <f aca="false">IFERROR(__xludf.dummyfunction("""COMPUTED_VALUE"""),"damaged stock")</f>
        <v>damaged stock</v>
      </c>
      <c r="I170" s="13" t="n">
        <f aca="false">IFERROR(__xludf.dummyfunction("""COMPUTED_VALUE"""),1)</f>
        <v>1</v>
      </c>
      <c r="J170" s="13" t="n">
        <f aca="false">IFERROR(__xludf.dummyfunction("""COMPUTED_VALUE"""),755)</f>
        <v>755</v>
      </c>
      <c r="K170" s="13" t="n">
        <f aca="false">IFERROR(__xludf.dummyfunction("""COMPUTED_VALUE"""),755)</f>
        <v>755</v>
      </c>
      <c r="L170" s="13" t="str">
        <f aca="false">IFERROR(__xludf.dummyfunction("""COMPUTED_VALUE"""),"[Code: 33559C] TA; 1 unit damage found  (stock my sy lose mila hain )")</f>
        <v>[Code: 33559C] TA; 1 unit damage found  (stock my sy lose mila hain )</v>
      </c>
      <c r="M170" s="13" t="str">
        <f aca="false">IFERROR(__xludf.dummyfunction("""COMPUTED_VALUE"""),"33559C")</f>
        <v>33559C</v>
      </c>
      <c r="N170" s="13"/>
      <c r="O170" s="13" t="str">
        <f aca="false">IFERROR(__xludf.dummyfunction("""COMPUTED_VALUE"""),"taufeeq.akhtar@tajir-app.com")</f>
        <v>taufeeq.akhtar@tajir-app.com</v>
      </c>
      <c r="P170" s="13" t="str">
        <f aca="false">IFERROR(__xludf.dummyfunction("""COMPUTED_VALUE"""),"Taufeeq Akhtar ")</f>
        <v>Taufeeq Akhtar </v>
      </c>
      <c r="Q170" s="13" t="str">
        <f aca="false">IF(L170="","",L170)</f>
        <v>[Code: 33559C] TA; 1 unit damage found  (stock my sy lose mila hain )</v>
      </c>
    </row>
    <row r="171" customFormat="false" ht="15.75" hidden="false" customHeight="false" outlineLevel="0" collapsed="false">
      <c r="A171" s="13" t="str">
        <f aca="false">IFERROR(__xludf.dummyfunction("""COMPUTED_VALUE"""),"Metro DC Faisalabad")</f>
        <v>Metro DC Faisalabad</v>
      </c>
      <c r="B171" s="13" t="str">
        <f aca="false">IFERROR(__xludf.dummyfunction("""COMPUTED_VALUE"""),"9c395894-35c2-4217-9eff-b0a22e04c2d1")</f>
        <v>9c395894-35c2-4217-9eff-b0a22e04c2d1</v>
      </c>
      <c r="C171" s="13" t="str">
        <f aca="false">IFERROR(__xludf.dummyfunction("""COMPUTED_VALUE"""),"Coca Cola plastic 2.25L (Jumbo)")</f>
        <v>Coca Cola plastic 2.25L (Jumbo)</v>
      </c>
      <c r="D171" s="13" t="str">
        <f aca="false">IFERROR(__xludf.dummyfunction("""COMPUTED_VALUE"""),"Coca Cola")</f>
        <v>Coca Cola</v>
      </c>
      <c r="E171" s="13" t="str">
        <f aca="false">IFERROR(__xludf.dummyfunction("""COMPUTED_VALUE"""),"Beverages")</f>
        <v>Beverages</v>
      </c>
      <c r="F171" s="11" t="n">
        <f aca="false">IFERROR(__xludf.dummyfunction("""COMPUTED_VALUE"""),45058)</f>
        <v>45058</v>
      </c>
      <c r="G171" s="16" t="n">
        <f aca="false">IFERROR(__xludf.dummyfunction("""COMPUTED_VALUE"""),0.707958043981934)</f>
        <v>0.707958044</v>
      </c>
      <c r="H171" s="13" t="str">
        <f aca="false">IFERROR(__xludf.dummyfunction("""COMPUTED_VALUE"""),"damaged stock")</f>
        <v>damaged stock</v>
      </c>
      <c r="I171" s="13" t="n">
        <f aca="false">IFERROR(__xludf.dummyfunction("""COMPUTED_VALUE"""),1)</f>
        <v>1</v>
      </c>
      <c r="J171" s="13" t="n">
        <f aca="false">IFERROR(__xludf.dummyfunction("""COMPUTED_VALUE"""),1108.62)</f>
        <v>1108.62</v>
      </c>
      <c r="K171" s="13" t="n">
        <f aca="false">IFERROR(__xludf.dummyfunction("""COMPUTED_VALUE"""),1108.62)</f>
        <v>1108.62</v>
      </c>
      <c r="L171" s="13" t="str">
        <f aca="false">IFERROR(__xludf.dummyfunction("""COMPUTED_VALUE"""),"[Code: 345578] TA; 1 unit damage found .(  sorting ky doran stock sy lose bottel mili hain)")</f>
        <v>[Code: 345578] TA; 1 unit damage found .(  sorting ky doran stock sy lose bottel mili hain)</v>
      </c>
      <c r="M171" s="13" t="str">
        <f aca="false">IFERROR(__xludf.dummyfunction("""COMPUTED_VALUE"""),"345578")</f>
        <v>345578</v>
      </c>
      <c r="N171" s="13"/>
      <c r="O171" s="13" t="str">
        <f aca="false">IFERROR(__xludf.dummyfunction("""COMPUTED_VALUE"""),"taufeeq.akhtar@tajir-app.com")</f>
        <v>taufeeq.akhtar@tajir-app.com</v>
      </c>
      <c r="P171" s="13" t="str">
        <f aca="false">IFERROR(__xludf.dummyfunction("""COMPUTED_VALUE"""),"Taufeeq Akhtar ")</f>
        <v>Taufeeq Akhtar </v>
      </c>
      <c r="Q171" s="13" t="str">
        <f aca="false">IF(L171="","",L171)</f>
        <v>[Code: 345578] TA; 1 unit damage found .(  sorting ky doran stock sy lose bottel mili hain)</v>
      </c>
    </row>
    <row r="172" customFormat="false" ht="15.75" hidden="false" customHeight="false" outlineLevel="0" collapsed="false">
      <c r="A172" s="13" t="str">
        <f aca="false">IFERROR(__xludf.dummyfunction("""COMPUTED_VALUE"""),"Metro DC Faisalabad")</f>
        <v>Metro DC Faisalabad</v>
      </c>
      <c r="B172" s="13" t="str">
        <f aca="false">IFERROR(__xludf.dummyfunction("""COMPUTED_VALUE"""),"717c11ae-c3bc-4378-a184-2154badcf63d")</f>
        <v>717c11ae-c3bc-4378-a184-2154badcf63d</v>
      </c>
      <c r="C172" s="13" t="str">
        <f aca="false">IFERROR(__xludf.dummyfunction("""COMPUTED_VALUE"""),"Quality Grains Daal Mash Wash 500g")</f>
        <v>Quality Grains Daal Mash Wash 500g</v>
      </c>
      <c r="D172" s="13" t="str">
        <f aca="false">IFERROR(__xludf.dummyfunction("""COMPUTED_VALUE"""),"Quality Grains")</f>
        <v>Quality Grains</v>
      </c>
      <c r="E172" s="13" t="str">
        <f aca="false">IFERROR(__xludf.dummyfunction("""COMPUTED_VALUE"""),"Pulses")</f>
        <v>Pulses</v>
      </c>
      <c r="F172" s="11" t="n">
        <f aca="false">IFERROR(__xludf.dummyfunction("""COMPUTED_VALUE"""),45058)</f>
        <v>45058</v>
      </c>
      <c r="G172" s="16" t="n">
        <f aca="false">IFERROR(__xludf.dummyfunction("""COMPUTED_VALUE"""),0.545684212964413)</f>
        <v>0.545684213</v>
      </c>
      <c r="H172" s="13" t="str">
        <f aca="false">IFERROR(__xludf.dummyfunction("""COMPUTED_VALUE"""),"damaged stock")</f>
        <v>damaged stock</v>
      </c>
      <c r="I172" s="13" t="n">
        <f aca="false">IFERROR(__xludf.dummyfunction("""COMPUTED_VALUE"""),7)</f>
        <v>7</v>
      </c>
      <c r="J172" s="13" t="n">
        <f aca="false">IFERROR(__xludf.dummyfunction("""COMPUTED_VALUE"""),226)</f>
        <v>226</v>
      </c>
      <c r="K172" s="13" t="n">
        <f aca="false">IFERROR(__xludf.dummyfunction("""COMPUTED_VALUE"""),1582)</f>
        <v>1582</v>
      </c>
      <c r="L172" s="13" t="str">
        <f aca="false">IFERROR(__xludf.dummyfunction("""COMPUTED_VALUE"""),"[Code: 445699] TA; 7 units found damaged due to fungus. (quality ashi nhi he)")</f>
        <v>[Code: 445699] TA; 7 units found damaged due to fungus. (quality ashi nhi he)</v>
      </c>
      <c r="M172" s="13" t="str">
        <f aca="false">IFERROR(__xludf.dummyfunction("""COMPUTED_VALUE"""),"445699")</f>
        <v>445699</v>
      </c>
      <c r="N172" s="13"/>
      <c r="O172" s="13" t="str">
        <f aca="false">IFERROR(__xludf.dummyfunction("""COMPUTED_VALUE"""),"taufeeq.akhtar@tajir-app.com")</f>
        <v>taufeeq.akhtar@tajir-app.com</v>
      </c>
      <c r="P172" s="13" t="str">
        <f aca="false">IFERROR(__xludf.dummyfunction("""COMPUTED_VALUE"""),"Taufeeq Akhtar ")</f>
        <v>Taufeeq Akhtar </v>
      </c>
      <c r="Q172" s="13" t="str">
        <f aca="false">IF(L172="","",L172)</f>
        <v>[Code: 445699] TA; 7 units found damaged due to fungus. (quality ashi nhi he)</v>
      </c>
    </row>
    <row r="173" customFormat="false" ht="15.75" hidden="false" customHeight="false" outlineLevel="0" collapsed="false">
      <c r="A173" s="13" t="str">
        <f aca="false">IFERROR(__xludf.dummyfunction("""COMPUTED_VALUE"""),"Metro DC Faisalabad")</f>
        <v>Metro DC Faisalabad</v>
      </c>
      <c r="B173" s="13" t="str">
        <f aca="false">IFERROR(__xludf.dummyfunction("""COMPUTED_VALUE"""),"d864c0cd-914b-4a54-96d5-8e894ba5f3b6")</f>
        <v>d864c0cd-914b-4a54-96d5-8e894ba5f3b6</v>
      </c>
      <c r="C173" s="13" t="str">
        <f aca="false">IFERROR(__xludf.dummyfunction("""COMPUTED_VALUE"""),"Surf Excel x6 bundle 20g Rs 10")</f>
        <v>Surf Excel x6 bundle 20g Rs 10</v>
      </c>
      <c r="D173" s="13" t="str">
        <f aca="false">IFERROR(__xludf.dummyfunction("""COMPUTED_VALUE"""),"Surf Excel")</f>
        <v>Surf Excel</v>
      </c>
      <c r="E173" s="13" t="str">
        <f aca="false">IFERROR(__xludf.dummyfunction("""COMPUTED_VALUE"""),"Surf, Bleach")</f>
        <v>Surf, Bleach</v>
      </c>
      <c r="F173" s="11" t="n">
        <f aca="false">IFERROR(__xludf.dummyfunction("""COMPUTED_VALUE"""),45058)</f>
        <v>45058</v>
      </c>
      <c r="G173" s="16" t="n">
        <f aca="false">IFERROR(__xludf.dummyfunction("""COMPUTED_VALUE"""),0.513977893517247)</f>
        <v>0.5139778935</v>
      </c>
      <c r="H173" s="13" t="str">
        <f aca="false">IFERROR(__xludf.dummyfunction("""COMPUTED_VALUE"""),"damaged stock")</f>
        <v>damaged stock</v>
      </c>
      <c r="I173" s="13" t="n">
        <f aca="false">IFERROR(__xludf.dummyfunction("""COMPUTED_VALUE"""),4)</f>
        <v>4</v>
      </c>
      <c r="J173" s="13" t="n">
        <f aca="false">IFERROR(__xludf.dummyfunction("""COMPUTED_VALUE"""),55)</f>
        <v>55</v>
      </c>
      <c r="K173" s="13" t="n">
        <f aca="false">IFERROR(__xludf.dummyfunction("""COMPUTED_VALUE"""),220)</f>
        <v>220</v>
      </c>
      <c r="L173" s="13" t="str">
        <f aca="false">IFERROR(__xludf.dummyfunction("""COMPUTED_VALUE"""),"[Code: 223557] TA;  4unit damage found (sorting krty waqt bag sy damage mily hain)")</f>
        <v>[Code: 223557] TA;  4unit damage found (sorting krty waqt bag sy damage mily hain)</v>
      </c>
      <c r="M173" s="13" t="str">
        <f aca="false">IFERROR(__xludf.dummyfunction("""COMPUTED_VALUE"""),"223557")</f>
        <v>223557</v>
      </c>
      <c r="N173" s="13"/>
      <c r="O173" s="13" t="str">
        <f aca="false">IFERROR(__xludf.dummyfunction("""COMPUTED_VALUE"""),"taufeeq.akhtar@tajir-app.com")</f>
        <v>taufeeq.akhtar@tajir-app.com</v>
      </c>
      <c r="P173" s="13" t="str">
        <f aca="false">IFERROR(__xludf.dummyfunction("""COMPUTED_VALUE"""),"Taufeeq Akhtar ")</f>
        <v>Taufeeq Akhtar </v>
      </c>
      <c r="Q173" s="13" t="str">
        <f aca="false">IF(L173="","",L173)</f>
        <v>[Code: 223557] TA;  4unit damage found (sorting krty waqt bag sy damage mily hain)</v>
      </c>
    </row>
    <row r="174" customFormat="false" ht="15.75" hidden="false" customHeight="false" outlineLevel="0" collapsed="false">
      <c r="A174" s="13" t="str">
        <f aca="false">IFERROR(__xludf.dummyfunction("""COMPUTED_VALUE"""),"Metro DC Faisalabad")</f>
        <v>Metro DC Faisalabad</v>
      </c>
      <c r="B174" s="13" t="str">
        <f aca="false">IFERROR(__xludf.dummyfunction("""COMPUTED_VALUE"""),"cd68a607-af95-45cb-b9f4-2721224c85f8")</f>
        <v>cd68a607-af95-45cb-b9f4-2721224c85f8</v>
      </c>
      <c r="C174" s="13" t="str">
        <f aca="false">IFERROR(__xludf.dummyfunction("""COMPUTED_VALUE"""),"Coca Cola plastic 1.5L")</f>
        <v>Coca Cola plastic 1.5L</v>
      </c>
      <c r="D174" s="13" t="str">
        <f aca="false">IFERROR(__xludf.dummyfunction("""COMPUTED_VALUE"""),"Coca Cola")</f>
        <v>Coca Cola</v>
      </c>
      <c r="E174" s="13" t="str">
        <f aca="false">IFERROR(__xludf.dummyfunction("""COMPUTED_VALUE"""),"Beverages")</f>
        <v>Beverages</v>
      </c>
      <c r="F174" s="11" t="n">
        <f aca="false">IFERROR(__xludf.dummyfunction("""COMPUTED_VALUE"""),45059)</f>
        <v>45059</v>
      </c>
      <c r="G174" s="16" t="n">
        <f aca="false">IFERROR(__xludf.dummyfunction("""COMPUTED_VALUE"""),0.955222430554138)</f>
        <v>0.9552224306</v>
      </c>
      <c r="H174" s="13" t="str">
        <f aca="false">IFERROR(__xludf.dummyfunction("""COMPUTED_VALUE"""),"damaged stock")</f>
        <v>damaged stock</v>
      </c>
      <c r="I174" s="13" t="n">
        <f aca="false">IFERROR(__xludf.dummyfunction("""COMPUTED_VALUE"""),3)</f>
        <v>3</v>
      </c>
      <c r="J174" s="13" t="n">
        <f aca="false">IFERROR(__xludf.dummyfunction("""COMPUTED_VALUE"""),755)</f>
        <v>755</v>
      </c>
      <c r="K174" s="13" t="n">
        <f aca="false">IFERROR(__xludf.dummyfunction("""COMPUTED_VALUE"""),2265)</f>
        <v>2265</v>
      </c>
      <c r="L174" s="13" t="str">
        <f aca="false">IFERROR(__xludf.dummyfunction("""COMPUTED_VALUE"""),"[Code: 59AAJK] TA: sorting k doran kuch botel loose or kuch botel khali milay hay.")</f>
        <v>[Code: 59AAJK] TA: sorting k doran kuch botel loose or kuch botel khali milay hay.</v>
      </c>
      <c r="M174" s="13" t="str">
        <f aca="false">IFERROR(__xludf.dummyfunction("""COMPUTED_VALUE"""),"59AAJK")</f>
        <v>59AAJK</v>
      </c>
      <c r="N174" s="13"/>
      <c r="O174" s="13" t="str">
        <f aca="false">IFERROR(__xludf.dummyfunction("""COMPUTED_VALUE"""),"taufeeq.akhtar@tajir-app.com")</f>
        <v>taufeeq.akhtar@tajir-app.com</v>
      </c>
      <c r="P174" s="13" t="str">
        <f aca="false">IFERROR(__xludf.dummyfunction("""COMPUTED_VALUE"""),"Taufeeq Akhtar ")</f>
        <v>Taufeeq Akhtar </v>
      </c>
      <c r="Q174" s="13" t="str">
        <f aca="false">IF(L174="","",L174)</f>
        <v>[Code: 59AAJK] TA: sorting k doran kuch botel loose or kuch botel khali milay hay.</v>
      </c>
    </row>
    <row r="175" customFormat="false" ht="15.75" hidden="false" customHeight="false" outlineLevel="0" collapsed="false">
      <c r="A175" s="13" t="str">
        <f aca="false">IFERROR(__xludf.dummyfunction("""COMPUTED_VALUE"""),"Metro DC Faisalabad")</f>
        <v>Metro DC Faisalabad</v>
      </c>
      <c r="B175" s="13" t="str">
        <f aca="false">IFERROR(__xludf.dummyfunction("""COMPUTED_VALUE"""),"44f4762f-5274-4866-a30e-c35aa97fb23e")</f>
        <v>44f4762f-5274-4866-a30e-c35aa97fb23e</v>
      </c>
      <c r="C175" s="13" t="str">
        <f aca="false">IFERROR(__xludf.dummyfunction("""COMPUTED_VALUE"""),"Bonus tristar yellow surf 250g Rs50")</f>
        <v>Bonus tristar yellow surf 250g Rs50</v>
      </c>
      <c r="D175" s="13" t="str">
        <f aca="false">IFERROR(__xludf.dummyfunction("""COMPUTED_VALUE"""),"Bonus Surf")</f>
        <v>Bonus Surf</v>
      </c>
      <c r="E175" s="13" t="str">
        <f aca="false">IFERROR(__xludf.dummyfunction("""COMPUTED_VALUE"""),"Surf, Bleach")</f>
        <v>Surf, Bleach</v>
      </c>
      <c r="F175" s="11" t="n">
        <f aca="false">IFERROR(__xludf.dummyfunction("""COMPUTED_VALUE"""),45060)</f>
        <v>45060</v>
      </c>
      <c r="G175" s="16" t="n">
        <f aca="false">IFERROR(__xludf.dummyfunction("""COMPUTED_VALUE"""),0.98899944444349)</f>
        <v>0.9889994444</v>
      </c>
      <c r="H175" s="13" t="str">
        <f aca="false">IFERROR(__xludf.dummyfunction("""COMPUTED_VALUE"""),"damaged stock")</f>
        <v>damaged stock</v>
      </c>
      <c r="I175" s="13" t="n">
        <f aca="false">IFERROR(__xludf.dummyfunction("""COMPUTED_VALUE"""),2)</f>
        <v>2</v>
      </c>
      <c r="J175" s="13" t="n">
        <f aca="false">IFERROR(__xludf.dummyfunction("""COMPUTED_VALUE"""),45.59)</f>
        <v>45.59</v>
      </c>
      <c r="K175" s="13" t="n">
        <f aca="false">IFERROR(__xludf.dummyfunction("""COMPUTED_VALUE"""),91.18)</f>
        <v>91.18</v>
      </c>
      <c r="L175" s="13" t="str">
        <f aca="false">IFERROR(__xludf.dummyfunction("""COMPUTED_VALUE"""),"[Code: 236999] TA; 2unit damage found (bag sy damage mily hain sorting ky doran)")</f>
        <v>[Code: 236999] TA; 2unit damage found (bag sy damage mily hain sorting ky doran)</v>
      </c>
      <c r="M175" s="13" t="str">
        <f aca="false">IFERROR(__xludf.dummyfunction("""COMPUTED_VALUE"""),"236999")</f>
        <v>236999</v>
      </c>
      <c r="N175" s="13"/>
      <c r="O175" s="13" t="str">
        <f aca="false">IFERROR(__xludf.dummyfunction("""COMPUTED_VALUE"""),"taufeeq.akhtar@tajir-app.com")</f>
        <v>taufeeq.akhtar@tajir-app.com</v>
      </c>
      <c r="P175" s="13" t="str">
        <f aca="false">IFERROR(__xludf.dummyfunction("""COMPUTED_VALUE"""),"Taufeeq Akhtar ")</f>
        <v>Taufeeq Akhtar </v>
      </c>
      <c r="Q175" s="13" t="str">
        <f aca="false">IF(L175="","",L175)</f>
        <v>[Code: 236999] TA; 2unit damage found (bag sy damage mily hain sorting ky doran)</v>
      </c>
    </row>
    <row r="176" customFormat="false" ht="15.75" hidden="false" customHeight="false" outlineLevel="0" collapsed="false">
      <c r="A176" s="13" t="str">
        <f aca="false">IFERROR(__xludf.dummyfunction("""COMPUTED_VALUE"""),"Metro DC Faisalabad")</f>
        <v>Metro DC Faisalabad</v>
      </c>
      <c r="B176" s="13" t="str">
        <f aca="false">IFERROR(__xludf.dummyfunction("""COMPUTED_VALUE"""),"73450c2c-e78c-4c7c-ada4-17c7817fcb4c")</f>
        <v>73450c2c-e78c-4c7c-ada4-17c7817fcb4c</v>
      </c>
      <c r="C176" s="13" t="str">
        <f aca="false">IFERROR(__xludf.dummyfunction("""COMPUTED_VALUE"""),"Plastic Special Phool Jharoo")</f>
        <v>Plastic Special Phool Jharoo</v>
      </c>
      <c r="D176" s="13" t="str">
        <f aca="false">IFERROR(__xludf.dummyfunction("""COMPUTED_VALUE"""),"Jharoo")</f>
        <v>Jharoo</v>
      </c>
      <c r="E176" s="13" t="str">
        <f aca="false">IFERROR(__xludf.dummyfunction("""COMPUTED_VALUE"""),"Home Care")</f>
        <v>Home Care</v>
      </c>
      <c r="F176" s="11" t="n">
        <f aca="false">IFERROR(__xludf.dummyfunction("""COMPUTED_VALUE"""),45060)</f>
        <v>45060</v>
      </c>
      <c r="G176" s="16" t="n">
        <f aca="false">IFERROR(__xludf.dummyfunction("""COMPUTED_VALUE"""),0.987756921296884)</f>
        <v>0.9877569213</v>
      </c>
      <c r="H176" s="13" t="str">
        <f aca="false">IFERROR(__xludf.dummyfunction("""COMPUTED_VALUE"""),"damaged stock")</f>
        <v>damaged stock</v>
      </c>
      <c r="I176" s="13" t="n">
        <f aca="false">IFERROR(__xludf.dummyfunction("""COMPUTED_VALUE"""),1)</f>
        <v>1</v>
      </c>
      <c r="J176" s="13" t="n">
        <f aca="false">IFERROR(__xludf.dummyfunction("""COMPUTED_VALUE"""),135)</f>
        <v>135</v>
      </c>
      <c r="K176" s="13" t="n">
        <f aca="false">IFERROR(__xludf.dummyfunction("""COMPUTED_VALUE"""),135)</f>
        <v>135</v>
      </c>
      <c r="L176" s="13" t="str">
        <f aca="false">IFERROR(__xludf.dummyfunction("""COMPUTED_VALUE"""),"[Code: 3JJMNN] TA; 1 unit damage found ( Woden Hendle tota mila he stock me sy)")</f>
        <v>[Code: 3JJMNN] TA; 1 unit damage found ( Woden Hendle tota mila he stock me sy)</v>
      </c>
      <c r="M176" s="13" t="str">
        <f aca="false">IFERROR(__xludf.dummyfunction("""COMPUTED_VALUE"""),"3JJMNN")</f>
        <v>3JJMNN</v>
      </c>
      <c r="N176" s="13"/>
      <c r="O176" s="13" t="str">
        <f aca="false">IFERROR(__xludf.dummyfunction("""COMPUTED_VALUE"""),"taufeeq.akhtar@tajir-app.com")</f>
        <v>taufeeq.akhtar@tajir-app.com</v>
      </c>
      <c r="P176" s="13" t="str">
        <f aca="false">IFERROR(__xludf.dummyfunction("""COMPUTED_VALUE"""),"Taufeeq Akhtar ")</f>
        <v>Taufeeq Akhtar </v>
      </c>
      <c r="Q176" s="13" t="str">
        <f aca="false">IF(L176="","",L176)</f>
        <v>[Code: 3JJMNN] TA; 1 unit damage found ( Woden Hendle tota mila he stock me sy)</v>
      </c>
    </row>
    <row r="177" customFormat="false" ht="15.75" hidden="false" customHeight="false" outlineLevel="0" collapsed="false">
      <c r="A177" s="13" t="str">
        <f aca="false">IFERROR(__xludf.dummyfunction("""COMPUTED_VALUE"""),"Metro DC Faisalabad")</f>
        <v>Metro DC Faisalabad</v>
      </c>
      <c r="B177" s="13" t="str">
        <f aca="false">IFERROR(__xludf.dummyfunction("""COMPUTED_VALUE"""),"8078a3ae-7e73-45ad-a86c-fc72d31e0e52")</f>
        <v>8078a3ae-7e73-45ad-a86c-fc72d31e0e52</v>
      </c>
      <c r="C177" s="13" t="str">
        <f aca="false">IFERROR(__xludf.dummyfunction("""COMPUTED_VALUE"""),"Al-Munawar Coriander Whole 500g")</f>
        <v>Al-Munawar Coriander Whole 500g</v>
      </c>
      <c r="D177" s="13" t="str">
        <f aca="false">IFERROR(__xludf.dummyfunction("""COMPUTED_VALUE"""),"Al-Munawar")</f>
        <v>Al-Munawar</v>
      </c>
      <c r="E177" s="13" t="str">
        <f aca="false">IFERROR(__xludf.dummyfunction("""COMPUTED_VALUE"""),"Spices")</f>
        <v>Spices</v>
      </c>
      <c r="F177" s="11" t="n">
        <f aca="false">IFERROR(__xludf.dummyfunction("""COMPUTED_VALUE"""),45060)</f>
        <v>45060</v>
      </c>
      <c r="G177" s="16" t="n">
        <f aca="false">IFERROR(__xludf.dummyfunction("""COMPUTED_VALUE"""),0.980266030093471)</f>
        <v>0.9802660301</v>
      </c>
      <c r="H177" s="13" t="str">
        <f aca="false">IFERROR(__xludf.dummyfunction("""COMPUTED_VALUE"""),"missing stock")</f>
        <v>missing stock</v>
      </c>
      <c r="I177" s="13" t="n">
        <f aca="false">IFERROR(__xludf.dummyfunction("""COMPUTED_VALUE"""),2)</f>
        <v>2</v>
      </c>
      <c r="J177" s="13" t="n">
        <f aca="false">IFERROR(__xludf.dummyfunction("""COMPUTED_VALUE"""),294)</f>
        <v>294</v>
      </c>
      <c r="K177" s="13" t="n">
        <f aca="false">IFERROR(__xludf.dummyfunction("""COMPUTED_VALUE"""),588)</f>
        <v>588</v>
      </c>
      <c r="L177" s="13" t="str">
        <f aca="false">IFERROR(__xludf.dummyfunction("""COMPUTED_VALUE"""),"TA; Not found on floor")</f>
        <v>TA; Not found on floor</v>
      </c>
      <c r="M177" s="13"/>
      <c r="N177" s="13"/>
      <c r="O177" s="13" t="str">
        <f aca="false">IFERROR(__xludf.dummyfunction("""COMPUTED_VALUE"""),"taufeeq.akhtar@tajir-app.com")</f>
        <v>taufeeq.akhtar@tajir-app.com</v>
      </c>
      <c r="P177" s="13" t="str">
        <f aca="false">IFERROR(__xludf.dummyfunction("""COMPUTED_VALUE"""),"Taufeeq Akhtar ")</f>
        <v>Taufeeq Akhtar </v>
      </c>
      <c r="Q177" s="13" t="str">
        <f aca="false">IF(L177="","",L177)</f>
        <v>TA; Not found on floor</v>
      </c>
    </row>
    <row r="178" customFormat="false" ht="15.75" hidden="false" customHeight="false" outlineLevel="0" collapsed="false">
      <c r="A178" s="13" t="str">
        <f aca="false">IFERROR(__xludf.dummyfunction("""COMPUTED_VALUE"""),"Metro DC Faisalabad")</f>
        <v>Metro DC Faisalabad</v>
      </c>
      <c r="B178" s="13" t="str">
        <f aca="false">IFERROR(__xludf.dummyfunction("""COMPUTED_VALUE"""),"fd4d416a-7c4c-4123-8ca6-5df3a39a991b")</f>
        <v>fd4d416a-7c4c-4123-8ca6-5df3a39a991b</v>
      </c>
      <c r="C178" s="13" t="str">
        <f aca="false">IFERROR(__xludf.dummyfunction("""COMPUTED_VALUE"""),"Sherdil Corrainder Whole 500g")</f>
        <v>Sherdil Corrainder Whole 500g</v>
      </c>
      <c r="D178" s="13" t="str">
        <f aca="false">IFERROR(__xludf.dummyfunction("""COMPUTED_VALUE"""),"Sherdil")</f>
        <v>Sherdil</v>
      </c>
      <c r="E178" s="13" t="str">
        <f aca="false">IFERROR(__xludf.dummyfunction("""COMPUTED_VALUE"""),"Spices")</f>
        <v>Spices</v>
      </c>
      <c r="F178" s="11" t="n">
        <f aca="false">IFERROR(__xludf.dummyfunction("""COMPUTED_VALUE"""),45060)</f>
        <v>45060</v>
      </c>
      <c r="G178" s="16" t="n">
        <f aca="false">IFERROR(__xludf.dummyfunction("""COMPUTED_VALUE"""),0.915396527776053)</f>
        <v>0.9153965278</v>
      </c>
      <c r="H178" s="13" t="str">
        <f aca="false">IFERROR(__xludf.dummyfunction("""COMPUTED_VALUE"""),"missing stock")</f>
        <v>missing stock</v>
      </c>
      <c r="I178" s="13" t="n">
        <f aca="false">IFERROR(__xludf.dummyfunction("""COMPUTED_VALUE"""),3)</f>
        <v>3</v>
      </c>
      <c r="J178" s="13" t="n">
        <f aca="false">IFERROR(__xludf.dummyfunction("""COMPUTED_VALUE"""),285)</f>
        <v>285</v>
      </c>
      <c r="K178" s="13" t="n">
        <f aca="false">IFERROR(__xludf.dummyfunction("""COMPUTED_VALUE"""),855)</f>
        <v>855</v>
      </c>
      <c r="L178" s="13" t="str">
        <f aca="false">IFERROR(__xludf.dummyfunction("""COMPUTED_VALUE"""),"TA: double live in audit.")</f>
        <v>TA: double live in audit.</v>
      </c>
      <c r="M178" s="13"/>
      <c r="N178" s="13"/>
      <c r="O178" s="13" t="str">
        <f aca="false">IFERROR(__xludf.dummyfunction("""COMPUTED_VALUE"""),"taufeeq.akhtar@tajir-app.com")</f>
        <v>taufeeq.akhtar@tajir-app.com</v>
      </c>
      <c r="P178" s="13" t="str">
        <f aca="false">IFERROR(__xludf.dummyfunction("""COMPUTED_VALUE"""),"Taufeeq Akhtar ")</f>
        <v>Taufeeq Akhtar </v>
      </c>
      <c r="Q178" s="13" t="str">
        <f aca="false">IF(L178="","",L178)</f>
        <v>TA: double live in audit.</v>
      </c>
    </row>
    <row r="179" customFormat="false" ht="15.75" hidden="false" customHeight="false" outlineLevel="0" collapsed="false">
      <c r="A179" s="13" t="str">
        <f aca="false">IFERROR(__xludf.dummyfunction("""COMPUTED_VALUE"""),"Metro DC Faisalabad")</f>
        <v>Metro DC Faisalabad</v>
      </c>
      <c r="B179" s="13" t="str">
        <f aca="false">IFERROR(__xludf.dummyfunction("""COMPUTED_VALUE"""),"cd68a607-af95-45cb-b9f4-2721224c85f8")</f>
        <v>cd68a607-af95-45cb-b9f4-2721224c85f8</v>
      </c>
      <c r="C179" s="13" t="str">
        <f aca="false">IFERROR(__xludf.dummyfunction("""COMPUTED_VALUE"""),"Coca Cola plastic 1.5L")</f>
        <v>Coca Cola plastic 1.5L</v>
      </c>
      <c r="D179" s="13" t="str">
        <f aca="false">IFERROR(__xludf.dummyfunction("""COMPUTED_VALUE"""),"Coca Cola")</f>
        <v>Coca Cola</v>
      </c>
      <c r="E179" s="13" t="str">
        <f aca="false">IFERROR(__xludf.dummyfunction("""COMPUTED_VALUE"""),"Beverages")</f>
        <v>Beverages</v>
      </c>
      <c r="F179" s="11" t="n">
        <f aca="false">IFERROR(__xludf.dummyfunction("""COMPUTED_VALUE"""),45060)</f>
        <v>45060</v>
      </c>
      <c r="G179" s="16" t="n">
        <f aca="false">IFERROR(__xludf.dummyfunction("""COMPUTED_VALUE"""),0.879052812501078)</f>
        <v>0.8790528125</v>
      </c>
      <c r="H179" s="13" t="str">
        <f aca="false">IFERROR(__xludf.dummyfunction("""COMPUTED_VALUE"""),"damaged stock")</f>
        <v>damaged stock</v>
      </c>
      <c r="I179" s="13" t="n">
        <f aca="false">IFERROR(__xludf.dummyfunction("""COMPUTED_VALUE"""),2)</f>
        <v>2</v>
      </c>
      <c r="J179" s="13" t="n">
        <f aca="false">IFERROR(__xludf.dummyfunction("""COMPUTED_VALUE"""),755)</f>
        <v>755</v>
      </c>
      <c r="K179" s="13" t="n">
        <f aca="false">IFERROR(__xludf.dummyfunction("""COMPUTED_VALUE"""),1510)</f>
        <v>1510</v>
      </c>
      <c r="L179" s="13" t="str">
        <f aca="false">IFERROR(__xludf.dummyfunction("""COMPUTED_VALUE"""),"[Code: 33668A]  TA: sorting k doran kuch botel loose or kuch botel khali milay hay.")</f>
        <v>[Code: 33668A]  TA: sorting k doran kuch botel loose or kuch botel khali milay hay.</v>
      </c>
      <c r="M179" s="13" t="str">
        <f aca="false">IFERROR(__xludf.dummyfunction("""COMPUTED_VALUE"""),"33668A")</f>
        <v>33668A</v>
      </c>
      <c r="N179" s="13"/>
      <c r="O179" s="13" t="str">
        <f aca="false">IFERROR(__xludf.dummyfunction("""COMPUTED_VALUE"""),"taufeeq.akhtar@tajir-app.com")</f>
        <v>taufeeq.akhtar@tajir-app.com</v>
      </c>
      <c r="P179" s="13" t="str">
        <f aca="false">IFERROR(__xludf.dummyfunction("""COMPUTED_VALUE"""),"Taufeeq Akhtar ")</f>
        <v>Taufeeq Akhtar </v>
      </c>
      <c r="Q179" s="13" t="str">
        <f aca="false">IF(L179="","",L179)</f>
        <v>[Code: 33668A]  TA: sorting k doran kuch botel loose or kuch botel khali milay hay.</v>
      </c>
    </row>
    <row r="180" customFormat="false" ht="15.75" hidden="false" customHeight="false" outlineLevel="0" collapsed="false">
      <c r="A180" s="13" t="str">
        <f aca="false">IFERROR(__xludf.dummyfunction("""COMPUTED_VALUE"""),"Metro DC Faisalabad")</f>
        <v>Metro DC Faisalabad</v>
      </c>
      <c r="B180" s="13" t="str">
        <f aca="false">IFERROR(__xludf.dummyfunction("""COMPUTED_VALUE"""),"9afc3ef0-c2d8-4326-94ec-14ad3d4ef503")</f>
        <v>9afc3ef0-c2d8-4326-94ec-14ad3d4ef503</v>
      </c>
      <c r="C180" s="13" t="str">
        <f aca="false">IFERROR(__xludf.dummyfunction("""COMPUTED_VALUE"""),"Lux Pink Soft Touch Soap x3 bundle 128g Rs130")</f>
        <v>Lux Pink Soft Touch Soap x3 bundle 128g Rs130</v>
      </c>
      <c r="D180" s="13" t="str">
        <f aca="false">IFERROR(__xludf.dummyfunction("""COMPUTED_VALUE"""),"Lux")</f>
        <v>Lux</v>
      </c>
      <c r="E180" s="13" t="str">
        <f aca="false">IFERROR(__xludf.dummyfunction("""COMPUTED_VALUE"""),"Soap")</f>
        <v>Soap</v>
      </c>
      <c r="F180" s="11" t="n">
        <f aca="false">IFERROR(__xludf.dummyfunction("""COMPUTED_VALUE"""),45061)</f>
        <v>45061</v>
      </c>
      <c r="G180" s="16" t="n">
        <f aca="false">IFERROR(__xludf.dummyfunction("""COMPUTED_VALUE"""),0.993404687500323)</f>
        <v>0.9934046875</v>
      </c>
      <c r="H180" s="13" t="str">
        <f aca="false">IFERROR(__xludf.dummyfunction("""COMPUTED_VALUE"""),"missing stock")</f>
        <v>missing stock</v>
      </c>
      <c r="I180" s="13" t="n">
        <f aca="false">IFERROR(__xludf.dummyfunction("""COMPUTED_VALUE"""),2)</f>
        <v>2</v>
      </c>
      <c r="J180" s="13" t="n">
        <f aca="false">IFERROR(__xludf.dummyfunction("""COMPUTED_VALUE"""),352.79)</f>
        <v>352.79</v>
      </c>
      <c r="K180" s="13" t="n">
        <f aca="false">IFERROR(__xludf.dummyfunction("""COMPUTED_VALUE"""),705.58)</f>
        <v>705.58</v>
      </c>
      <c r="L180" s="13" t="str">
        <f aca="false">IFERROR(__xludf.dummyfunction("""COMPUTED_VALUE"""),"TA; not found on floor (audit ky doran 2unit km a rhy thy)")</f>
        <v>TA; not found on floor (audit ky doran 2unit km a rhy thy)</v>
      </c>
      <c r="M180" s="13"/>
      <c r="N180" s="13"/>
      <c r="O180" s="13" t="str">
        <f aca="false">IFERROR(__xludf.dummyfunction("""COMPUTED_VALUE"""),"taufeeq.akhtar@tajir-app.com")</f>
        <v>taufeeq.akhtar@tajir-app.com</v>
      </c>
      <c r="P180" s="13" t="str">
        <f aca="false">IFERROR(__xludf.dummyfunction("""COMPUTED_VALUE"""),"Taufeeq Akhtar ")</f>
        <v>Taufeeq Akhtar </v>
      </c>
      <c r="Q180" s="13" t="str">
        <f aca="false">IF(L180="","",L180)</f>
        <v>TA; not found on floor (audit ky doran 2unit km a rhy thy)</v>
      </c>
    </row>
    <row r="181" customFormat="false" ht="15.75" hidden="false" customHeight="false" outlineLevel="0" collapsed="false">
      <c r="A181" s="13" t="str">
        <f aca="false">IFERROR(__xludf.dummyfunction("""COMPUTED_VALUE"""),"Metro DC Faisalabad")</f>
        <v>Metro DC Faisalabad</v>
      </c>
      <c r="B181" s="13" t="str">
        <f aca="false">IFERROR(__xludf.dummyfunction("""COMPUTED_VALUE"""),"80a44c7b-5c53-448c-a6ff-ff0f99023429")</f>
        <v>80a44c7b-5c53-448c-a6ff-ff0f99023429</v>
      </c>
      <c r="C181" s="13" t="str">
        <f aca="false">IFERROR(__xludf.dummyfunction("""COMPUTED_VALUE"""),"Sunlight Yellow Clean and Rose Fresh 330g Rs99")</f>
        <v>Sunlight Yellow Clean and Rose Fresh 330g Rs99</v>
      </c>
      <c r="D181" s="13" t="str">
        <f aca="false">IFERROR(__xludf.dummyfunction("""COMPUTED_VALUE"""),"Sunlight")</f>
        <v>Sunlight</v>
      </c>
      <c r="E181" s="13" t="str">
        <f aca="false">IFERROR(__xludf.dummyfunction("""COMPUTED_VALUE"""),"Surf, Bleach")</f>
        <v>Surf, Bleach</v>
      </c>
      <c r="F181" s="11" t="n">
        <f aca="false">IFERROR(__xludf.dummyfunction("""COMPUTED_VALUE"""),45061)</f>
        <v>45061</v>
      </c>
      <c r="G181" s="16" t="n">
        <f aca="false">IFERROR(__xludf.dummyfunction("""COMPUTED_VALUE"""),0.957107638888285)</f>
        <v>0.9571076389</v>
      </c>
      <c r="H181" s="13" t="str">
        <f aca="false">IFERROR(__xludf.dummyfunction("""COMPUTED_VALUE"""),"damaged stock")</f>
        <v>damaged stock</v>
      </c>
      <c r="I181" s="13" t="n">
        <f aca="false">IFERROR(__xludf.dummyfunction("""COMPUTED_VALUE"""),2)</f>
        <v>2</v>
      </c>
      <c r="J181" s="13" t="n">
        <f aca="false">IFERROR(__xludf.dummyfunction("""COMPUTED_VALUE"""),87.92)</f>
        <v>87.92</v>
      </c>
      <c r="K181" s="13" t="n">
        <f aca="false">IFERROR(__xludf.dummyfunction("""COMPUTED_VALUE"""),175.84)</f>
        <v>175.84</v>
      </c>
      <c r="L181" s="13" t="str">
        <f aca="false">IFERROR(__xludf.dummyfunction("""COMPUTED_VALUE"""),"[Code: 2BCEEF] TA:bag may say damage niklay.")</f>
        <v>[Code: 2BCEEF] TA:bag may say damage niklay.</v>
      </c>
      <c r="M181" s="13" t="str">
        <f aca="false">IFERROR(__xludf.dummyfunction("""COMPUTED_VALUE"""),"2BCEEF")</f>
        <v>2BCEEF</v>
      </c>
      <c r="N181" s="13"/>
      <c r="O181" s="13" t="str">
        <f aca="false">IFERROR(__xludf.dummyfunction("""COMPUTED_VALUE"""),"taufeeq.akhtar@tajir-app.com")</f>
        <v>taufeeq.akhtar@tajir-app.com</v>
      </c>
      <c r="P181" s="13" t="str">
        <f aca="false">IFERROR(__xludf.dummyfunction("""COMPUTED_VALUE"""),"Taufeeq Akhtar ")</f>
        <v>Taufeeq Akhtar </v>
      </c>
      <c r="Q181" s="13" t="str">
        <f aca="false">IF(L181="","",L181)</f>
        <v>[Code: 2BCEEF] TA:bag may say damage niklay.</v>
      </c>
    </row>
    <row r="182" customFormat="false" ht="15.75" hidden="false" customHeight="false" outlineLevel="0" collapsed="false">
      <c r="A182" s="13" t="str">
        <f aca="false">IFERROR(__xludf.dummyfunction("""COMPUTED_VALUE"""),"Metro DC Faisalabad")</f>
        <v>Metro DC Faisalabad</v>
      </c>
      <c r="B182" s="13" t="str">
        <f aca="false">IFERROR(__xludf.dummyfunction("""COMPUTED_VALUE"""),"6afa406d-5fa6-42ea-a697-9b99ff3ba267")</f>
        <v>6afa406d-5fa6-42ea-a697-9b99ff3ba267</v>
      </c>
      <c r="C182" s="13" t="str">
        <f aca="false">IFERROR(__xludf.dummyfunction("""COMPUTED_VALUE"""),"Sprite plastic 1L")</f>
        <v>Sprite plastic 1L</v>
      </c>
      <c r="D182" s="13" t="str">
        <f aca="false">IFERROR(__xludf.dummyfunction("""COMPUTED_VALUE"""),"Sprite")</f>
        <v>Sprite</v>
      </c>
      <c r="E182" s="13" t="str">
        <f aca="false">IFERROR(__xludf.dummyfunction("""COMPUTED_VALUE"""),"Beverages")</f>
        <v>Beverages</v>
      </c>
      <c r="F182" s="11" t="n">
        <f aca="false">IFERROR(__xludf.dummyfunction("""COMPUTED_VALUE"""),45061)</f>
        <v>45061</v>
      </c>
      <c r="G182" s="16" t="n">
        <f aca="false">IFERROR(__xludf.dummyfunction("""COMPUTED_VALUE"""),0.94932130787154)</f>
        <v>0.9493213079</v>
      </c>
      <c r="H182" s="13" t="str">
        <f aca="false">IFERROR(__xludf.dummyfunction("""COMPUTED_VALUE"""),"damaged stock")</f>
        <v>damaged stock</v>
      </c>
      <c r="I182" s="13" t="n">
        <f aca="false">IFERROR(__xludf.dummyfunction("""COMPUTED_VALUE"""),1)</f>
        <v>1</v>
      </c>
      <c r="J182" s="13" t="n">
        <f aca="false">IFERROR(__xludf.dummyfunction("""COMPUTED_VALUE"""),607)</f>
        <v>607</v>
      </c>
      <c r="K182" s="13" t="n">
        <f aca="false">IFERROR(__xludf.dummyfunction("""COMPUTED_VALUE"""),607)</f>
        <v>607</v>
      </c>
      <c r="L182" s="13" t="str">
        <f aca="false">IFERROR(__xludf.dummyfunction("""COMPUTED_VALUE"""),"[Code: 347ACC] TA: Bottle Loose niklay pet may say")</f>
        <v>[Code: 347ACC] TA: Bottle Loose niklay pet may say</v>
      </c>
      <c r="M182" s="13" t="str">
        <f aca="false">IFERROR(__xludf.dummyfunction("""COMPUTED_VALUE"""),"347ACC")</f>
        <v>347ACC</v>
      </c>
      <c r="N182" s="13"/>
      <c r="O182" s="13" t="str">
        <f aca="false">IFERROR(__xludf.dummyfunction("""COMPUTED_VALUE"""),"taufeeq.akhtar@tajir-app.com")</f>
        <v>taufeeq.akhtar@tajir-app.com</v>
      </c>
      <c r="P182" s="13" t="str">
        <f aca="false">IFERROR(__xludf.dummyfunction("""COMPUTED_VALUE"""),"Taufeeq Akhtar ")</f>
        <v>Taufeeq Akhtar </v>
      </c>
      <c r="Q182" s="13" t="str">
        <f aca="false">IF(L182="","",L182)</f>
        <v>[Code: 347ACC] TA: Bottle Loose niklay pet may say</v>
      </c>
    </row>
    <row r="183" customFormat="false" ht="15.75" hidden="false" customHeight="false" outlineLevel="0" collapsed="false">
      <c r="A183" s="13" t="str">
        <f aca="false">IFERROR(__xludf.dummyfunction("""COMPUTED_VALUE"""),"Metro DC Faisalabad")</f>
        <v>Metro DC Faisalabad</v>
      </c>
      <c r="B183" s="13" t="str">
        <f aca="false">IFERROR(__xludf.dummyfunction("""COMPUTED_VALUE"""),"cd68a607-af95-45cb-b9f4-2721224c85f8")</f>
        <v>cd68a607-af95-45cb-b9f4-2721224c85f8</v>
      </c>
      <c r="C183" s="13" t="str">
        <f aca="false">IFERROR(__xludf.dummyfunction("""COMPUTED_VALUE"""),"Coca Cola plastic 1.5L")</f>
        <v>Coca Cola plastic 1.5L</v>
      </c>
      <c r="D183" s="13" t="str">
        <f aca="false">IFERROR(__xludf.dummyfunction("""COMPUTED_VALUE"""),"Coca Cola")</f>
        <v>Coca Cola</v>
      </c>
      <c r="E183" s="13" t="str">
        <f aca="false">IFERROR(__xludf.dummyfunction("""COMPUTED_VALUE"""),"Beverages")</f>
        <v>Beverages</v>
      </c>
      <c r="F183" s="11" t="n">
        <f aca="false">IFERROR(__xludf.dummyfunction("""COMPUTED_VALUE"""),45061)</f>
        <v>45061</v>
      </c>
      <c r="G183" s="16" t="n">
        <f aca="false">IFERROR(__xludf.dummyfunction("""COMPUTED_VALUE"""),0.945757638889837)</f>
        <v>0.9457576389</v>
      </c>
      <c r="H183" s="13" t="str">
        <f aca="false">IFERROR(__xludf.dummyfunction("""COMPUTED_VALUE"""),"damaged stock")</f>
        <v>damaged stock</v>
      </c>
      <c r="I183" s="13" t="n">
        <f aca="false">IFERROR(__xludf.dummyfunction("""COMPUTED_VALUE"""),1)</f>
        <v>1</v>
      </c>
      <c r="J183" s="13" t="n">
        <f aca="false">IFERROR(__xludf.dummyfunction("""COMPUTED_VALUE"""),755)</f>
        <v>755</v>
      </c>
      <c r="K183" s="13" t="n">
        <f aca="false">IFERROR(__xludf.dummyfunction("""COMPUTED_VALUE"""),755)</f>
        <v>755</v>
      </c>
      <c r="L183" s="13" t="str">
        <f aca="false">IFERROR(__xludf.dummyfunction("""COMPUTED_VALUE"""),"[Code: 688ABF] TA:  Botle loose niklay pet may say.")</f>
        <v>[Code: 688ABF] TA:  Botle loose niklay pet may say.</v>
      </c>
      <c r="M183" s="13" t="str">
        <f aca="false">IFERROR(__xludf.dummyfunction("""COMPUTED_VALUE"""),"688ABF")</f>
        <v>688ABF</v>
      </c>
      <c r="N183" s="13"/>
      <c r="O183" s="13" t="str">
        <f aca="false">IFERROR(__xludf.dummyfunction("""COMPUTED_VALUE"""),"taufeeq.akhtar@tajir-app.com")</f>
        <v>taufeeq.akhtar@tajir-app.com</v>
      </c>
      <c r="P183" s="13" t="str">
        <f aca="false">IFERROR(__xludf.dummyfunction("""COMPUTED_VALUE"""),"Taufeeq Akhtar ")</f>
        <v>Taufeeq Akhtar </v>
      </c>
      <c r="Q183" s="13" t="str">
        <f aca="false">IF(L183="","",L183)</f>
        <v>[Code: 688ABF] TA:  Botle loose niklay pet may say.</v>
      </c>
    </row>
    <row r="184" customFormat="false" ht="15.75" hidden="false" customHeight="false" outlineLevel="0" collapsed="false">
      <c r="A184" s="13" t="str">
        <f aca="false">IFERROR(__xludf.dummyfunction("""COMPUTED_VALUE"""),"Metro DC Faisalabad")</f>
        <v>Metro DC Faisalabad</v>
      </c>
      <c r="B184" s="13" t="str">
        <f aca="false">IFERROR(__xludf.dummyfunction("""COMPUTED_VALUE"""),"8c6f0a86-09e6-4c8b-ab37-3f37b00556f3")</f>
        <v>8c6f0a86-09e6-4c8b-ab37-3f37b00556f3</v>
      </c>
      <c r="C184" s="13" t="str">
        <f aca="false">IFERROR(__xludf.dummyfunction("""COMPUTED_VALUE"""),"7up plastic 1L (Other city stock)")</f>
        <v>7up plastic 1L (Other city stock)</v>
      </c>
      <c r="D184" s="13" t="str">
        <f aca="false">IFERROR(__xludf.dummyfunction("""COMPUTED_VALUE"""),"7up")</f>
        <v>7up</v>
      </c>
      <c r="E184" s="13" t="str">
        <f aca="false">IFERROR(__xludf.dummyfunction("""COMPUTED_VALUE"""),"Beverages")</f>
        <v>Beverages</v>
      </c>
      <c r="F184" s="11" t="n">
        <f aca="false">IFERROR(__xludf.dummyfunction("""COMPUTED_VALUE"""),45062)</f>
        <v>45062</v>
      </c>
      <c r="G184" s="16" t="n">
        <f aca="false">IFERROR(__xludf.dummyfunction("""COMPUTED_VALUE"""),0.953443333333624)</f>
        <v>0.9534433333</v>
      </c>
      <c r="H184" s="13" t="str">
        <f aca="false">IFERROR(__xludf.dummyfunction("""COMPUTED_VALUE"""),"damaged stock")</f>
        <v>damaged stock</v>
      </c>
      <c r="I184" s="13" t="n">
        <f aca="false">IFERROR(__xludf.dummyfunction("""COMPUTED_VALUE"""),1)</f>
        <v>1</v>
      </c>
      <c r="J184" s="13" t="n">
        <f aca="false">IFERROR(__xludf.dummyfunction("""COMPUTED_VALUE"""),576)</f>
        <v>576</v>
      </c>
      <c r="K184" s="13" t="n">
        <f aca="false">IFERROR(__xludf.dummyfunction("""COMPUTED_VALUE"""),576)</f>
        <v>576</v>
      </c>
      <c r="L184" s="13" t="str">
        <f aca="false">IFERROR(__xludf.dummyfunction("""COMPUTED_VALUE"""),"[Code: 233348] TA: Found in loose condition during sorting (Company end issue)")</f>
        <v>[Code: 233348] TA: Found in loose condition during sorting (Company end issue)</v>
      </c>
      <c r="M184" s="13" t="str">
        <f aca="false">IFERROR(__xludf.dummyfunction("""COMPUTED_VALUE"""),"233348")</f>
        <v>233348</v>
      </c>
      <c r="N184" s="13"/>
      <c r="O184" s="13" t="str">
        <f aca="false">IFERROR(__xludf.dummyfunction("""COMPUTED_VALUE"""),"taufeeq.akhtar@tajir-app.com")</f>
        <v>taufeeq.akhtar@tajir-app.com</v>
      </c>
      <c r="P184" s="13" t="str">
        <f aca="false">IFERROR(__xludf.dummyfunction("""COMPUTED_VALUE"""),"Taufeeq Akhtar ")</f>
        <v>Taufeeq Akhtar </v>
      </c>
      <c r="Q184" s="13" t="str">
        <f aca="false">IF(L184="","",L184)</f>
        <v>[Code: 233348] TA: Found in loose condition during sorting (Company end issue)</v>
      </c>
    </row>
    <row r="185" customFormat="false" ht="15.75" hidden="false" customHeight="false" outlineLevel="0" collapsed="false">
      <c r="A185" s="13" t="str">
        <f aca="false">IFERROR(__xludf.dummyfunction("""COMPUTED_VALUE"""),"Metro DC Faisalabad")</f>
        <v>Metro DC Faisalabad</v>
      </c>
      <c r="B185" s="13" t="str">
        <f aca="false">IFERROR(__xludf.dummyfunction("""COMPUTED_VALUE"""),"6afa406d-5fa6-42ea-a697-9b99ff3ba267")</f>
        <v>6afa406d-5fa6-42ea-a697-9b99ff3ba267</v>
      </c>
      <c r="C185" s="13" t="str">
        <f aca="false">IFERROR(__xludf.dummyfunction("""COMPUTED_VALUE"""),"Sprite plastic 1L")</f>
        <v>Sprite plastic 1L</v>
      </c>
      <c r="D185" s="13" t="str">
        <f aca="false">IFERROR(__xludf.dummyfunction("""COMPUTED_VALUE"""),"Sprite")</f>
        <v>Sprite</v>
      </c>
      <c r="E185" s="13" t="str">
        <f aca="false">IFERROR(__xludf.dummyfunction("""COMPUTED_VALUE"""),"Beverages")</f>
        <v>Beverages</v>
      </c>
      <c r="F185" s="11" t="n">
        <f aca="false">IFERROR(__xludf.dummyfunction("""COMPUTED_VALUE"""),45062)</f>
        <v>45062</v>
      </c>
      <c r="G185" s="16" t="n">
        <f aca="false">IFERROR(__xludf.dummyfunction("""COMPUTED_VALUE"""),0.952269409722098)</f>
        <v>0.9522694097</v>
      </c>
      <c r="H185" s="13" t="str">
        <f aca="false">IFERROR(__xludf.dummyfunction("""COMPUTED_VALUE"""),"damaged stock")</f>
        <v>damaged stock</v>
      </c>
      <c r="I185" s="13" t="n">
        <f aca="false">IFERROR(__xludf.dummyfunction("""COMPUTED_VALUE"""),2)</f>
        <v>2</v>
      </c>
      <c r="J185" s="13" t="n">
        <f aca="false">IFERROR(__xludf.dummyfunction("""COMPUTED_VALUE"""),607)</f>
        <v>607</v>
      </c>
      <c r="K185" s="13" t="n">
        <f aca="false">IFERROR(__xludf.dummyfunction("""COMPUTED_VALUE"""),1214)</f>
        <v>1214</v>
      </c>
      <c r="L185" s="13" t="str">
        <f aca="false">IFERROR(__xludf.dummyfunction("""COMPUTED_VALUE"""),"[Code: 578BEG] TA:Found loose in floor(Company end issue)")</f>
        <v>[Code: 578BEG] TA:Found loose in floor(Company end issue)</v>
      </c>
      <c r="M185" s="13" t="str">
        <f aca="false">IFERROR(__xludf.dummyfunction("""COMPUTED_VALUE"""),"578BEG")</f>
        <v>578BEG</v>
      </c>
      <c r="N185" s="13"/>
      <c r="O185" s="13" t="str">
        <f aca="false">IFERROR(__xludf.dummyfunction("""COMPUTED_VALUE"""),"taufeeq.akhtar@tajir-app.com")</f>
        <v>taufeeq.akhtar@tajir-app.com</v>
      </c>
      <c r="P185" s="13" t="str">
        <f aca="false">IFERROR(__xludf.dummyfunction("""COMPUTED_VALUE"""),"Taufeeq Akhtar ")</f>
        <v>Taufeeq Akhtar </v>
      </c>
      <c r="Q185" s="13" t="str">
        <f aca="false">IF(L185="","",L185)</f>
        <v>[Code: 578BEG] TA:Found loose in floor(Company end issue)</v>
      </c>
    </row>
    <row r="186" customFormat="false" ht="15.75" hidden="false" customHeight="false" outlineLevel="0" collapsed="false">
      <c r="A186" s="13" t="str">
        <f aca="false">IFERROR(__xludf.dummyfunction("""COMPUTED_VALUE"""),"Metro DC Faisalabad")</f>
        <v>Metro DC Faisalabad</v>
      </c>
      <c r="B186" s="13" t="str">
        <f aca="false">IFERROR(__xludf.dummyfunction("""COMPUTED_VALUE"""),"cd68a607-af95-45cb-b9f4-2721224c85f8")</f>
        <v>cd68a607-af95-45cb-b9f4-2721224c85f8</v>
      </c>
      <c r="C186" s="13" t="str">
        <f aca="false">IFERROR(__xludf.dummyfunction("""COMPUTED_VALUE"""),"Coca Cola plastic 1.5L")</f>
        <v>Coca Cola plastic 1.5L</v>
      </c>
      <c r="D186" s="13" t="str">
        <f aca="false">IFERROR(__xludf.dummyfunction("""COMPUTED_VALUE"""),"Coca Cola")</f>
        <v>Coca Cola</v>
      </c>
      <c r="E186" s="13" t="str">
        <f aca="false">IFERROR(__xludf.dummyfunction("""COMPUTED_VALUE"""),"Beverages")</f>
        <v>Beverages</v>
      </c>
      <c r="F186" s="11" t="n">
        <f aca="false">IFERROR(__xludf.dummyfunction("""COMPUTED_VALUE"""),45062)</f>
        <v>45062</v>
      </c>
      <c r="G186" s="16" t="n">
        <f aca="false">IFERROR(__xludf.dummyfunction("""COMPUTED_VALUE"""),0.950423888888792)</f>
        <v>0.9504238889</v>
      </c>
      <c r="H186" s="13" t="str">
        <f aca="false">IFERROR(__xludf.dummyfunction("""COMPUTED_VALUE"""),"damaged stock")</f>
        <v>damaged stock</v>
      </c>
      <c r="I186" s="13" t="n">
        <f aca="false">IFERROR(__xludf.dummyfunction("""COMPUTED_VALUE"""),5)</f>
        <v>5</v>
      </c>
      <c r="J186" s="13" t="n">
        <f aca="false">IFERROR(__xludf.dummyfunction("""COMPUTED_VALUE"""),755)</f>
        <v>755</v>
      </c>
      <c r="K186" s="13" t="n">
        <f aca="false">IFERROR(__xludf.dummyfunction("""COMPUTED_VALUE"""),3775)</f>
        <v>3775</v>
      </c>
      <c r="L186" s="13" t="str">
        <f aca="false">IFERROR(__xludf.dummyfunction("""COMPUTED_VALUE"""),"[Code: 5678AF] TA: found in loose condition(Company end issue)")</f>
        <v>[Code: 5678AF] TA: found in loose condition(Company end issue)</v>
      </c>
      <c r="M186" s="13" t="str">
        <f aca="false">IFERROR(__xludf.dummyfunction("""COMPUTED_VALUE"""),"5678AF")</f>
        <v>5678AF</v>
      </c>
      <c r="N186" s="13"/>
      <c r="O186" s="13" t="str">
        <f aca="false">IFERROR(__xludf.dummyfunction("""COMPUTED_VALUE"""),"taufeeq.akhtar@tajir-app.com")</f>
        <v>taufeeq.akhtar@tajir-app.com</v>
      </c>
      <c r="P186" s="13" t="str">
        <f aca="false">IFERROR(__xludf.dummyfunction("""COMPUTED_VALUE"""),"Taufeeq Akhtar ")</f>
        <v>Taufeeq Akhtar </v>
      </c>
      <c r="Q186" s="13" t="str">
        <f aca="false">IF(L186="","",L186)</f>
        <v>[Code: 5678AF] TA: found in loose condition(Company end issue)</v>
      </c>
    </row>
    <row r="187" customFormat="false" ht="15.75" hidden="false" customHeight="false" outlineLevel="0" collapsed="false">
      <c r="A187" s="13" t="str">
        <f aca="false">IFERROR(__xludf.dummyfunction("""COMPUTED_VALUE"""),"Metro DC Faisalabad")</f>
        <v>Metro DC Faisalabad</v>
      </c>
      <c r="B187" s="13" t="str">
        <f aca="false">IFERROR(__xludf.dummyfunction("""COMPUTED_VALUE"""),"bb845504-19f0-4af9-9884-b7ca9dc80572")</f>
        <v>bb845504-19f0-4af9-9884-b7ca9dc80572</v>
      </c>
      <c r="C187" s="13" t="str">
        <f aca="false">IFERROR(__xludf.dummyfunction("""COMPUTED_VALUE"""),"Harpic Toilet Cleaner Original 750ml Rs625")</f>
        <v>Harpic Toilet Cleaner Original 750ml Rs625</v>
      </c>
      <c r="D187" s="13" t="str">
        <f aca="false">IFERROR(__xludf.dummyfunction("""COMPUTED_VALUE"""),"Harpic")</f>
        <v>Harpic</v>
      </c>
      <c r="E187" s="13" t="str">
        <f aca="false">IFERROR(__xludf.dummyfunction("""COMPUTED_VALUE"""),"Home Care")</f>
        <v>Home Care</v>
      </c>
      <c r="F187" s="11" t="n">
        <f aca="false">IFERROR(__xludf.dummyfunction("""COMPUTED_VALUE"""),45062)</f>
        <v>45062</v>
      </c>
      <c r="G187" s="16" t="n">
        <f aca="false">IFERROR(__xludf.dummyfunction("""COMPUTED_VALUE"""),0.949752812499412)</f>
        <v>0.9497528125</v>
      </c>
      <c r="H187" s="13" t="str">
        <f aca="false">IFERROR(__xludf.dummyfunction("""COMPUTED_VALUE"""),"missing stock")</f>
        <v>missing stock</v>
      </c>
      <c r="I187" s="13" t="n">
        <f aca="false">IFERROR(__xludf.dummyfunction("""COMPUTED_VALUE"""),6)</f>
        <v>6</v>
      </c>
      <c r="J187" s="13" t="n">
        <f aca="false">IFERROR(__xludf.dummyfunction("""COMPUTED_VALUE"""),513.54)</f>
        <v>513.54</v>
      </c>
      <c r="K187" s="13" t="n">
        <f aca="false">IFERROR(__xludf.dummyfunction("""COMPUTED_VALUE"""),3081.24)</f>
        <v>3081.24</v>
      </c>
      <c r="L187" s="13" t="str">
        <f aca="false">IFERROR(__xludf.dummyfunction("""COMPUTED_VALUE"""),"TA; Mistakenly lived in Audit.")</f>
        <v>TA; Mistakenly lived in Audit.</v>
      </c>
      <c r="M187" s="13"/>
      <c r="N187" s="13"/>
      <c r="O187" s="13" t="str">
        <f aca="false">IFERROR(__xludf.dummyfunction("""COMPUTED_VALUE"""),"taufeeq.akhtar@tajir-app.com")</f>
        <v>taufeeq.akhtar@tajir-app.com</v>
      </c>
      <c r="P187" s="13" t="str">
        <f aca="false">IFERROR(__xludf.dummyfunction("""COMPUTED_VALUE"""),"Taufeeq Akhtar ")</f>
        <v>Taufeeq Akhtar </v>
      </c>
      <c r="Q187" s="13" t="str">
        <f aca="false">IF(L187="","",L187)</f>
        <v>TA; Mistakenly lived in Audit.</v>
      </c>
    </row>
    <row r="188" customFormat="false" ht="15.75" hidden="false" customHeight="false" outlineLevel="0" collapsed="false">
      <c r="A188" s="13" t="str">
        <f aca="false">IFERROR(__xludf.dummyfunction("""COMPUTED_VALUE"""),"Metro DC Faisalabad")</f>
        <v>Metro DC Faisalabad</v>
      </c>
      <c r="B188" s="13" t="str">
        <f aca="false">IFERROR(__xludf.dummyfunction("""COMPUTED_VALUE"""),"cd68a607-af95-45cb-b9f4-2721224c85f8")</f>
        <v>cd68a607-af95-45cb-b9f4-2721224c85f8</v>
      </c>
      <c r="C188" s="13" t="str">
        <f aca="false">IFERROR(__xludf.dummyfunction("""COMPUTED_VALUE"""),"Coca Cola plastic 1.5L")</f>
        <v>Coca Cola plastic 1.5L</v>
      </c>
      <c r="D188" s="13" t="str">
        <f aca="false">IFERROR(__xludf.dummyfunction("""COMPUTED_VALUE"""),"Coca Cola")</f>
        <v>Coca Cola</v>
      </c>
      <c r="E188" s="13" t="str">
        <f aca="false">IFERROR(__xludf.dummyfunction("""COMPUTED_VALUE"""),"Beverages")</f>
        <v>Beverages</v>
      </c>
      <c r="F188" s="11" t="n">
        <f aca="false">IFERROR(__xludf.dummyfunction("""COMPUTED_VALUE"""),45063)</f>
        <v>45063</v>
      </c>
      <c r="G188" s="16" t="n">
        <f aca="false">IFERROR(__xludf.dummyfunction("""COMPUTED_VALUE"""),0.996459895834886)</f>
        <v>0.9964598958</v>
      </c>
      <c r="H188" s="13" t="str">
        <f aca="false">IFERROR(__xludf.dummyfunction("""COMPUTED_VALUE"""),"damaged stock")</f>
        <v>damaged stock</v>
      </c>
      <c r="I188" s="13" t="n">
        <f aca="false">IFERROR(__xludf.dummyfunction("""COMPUTED_VALUE"""),8)</f>
        <v>8</v>
      </c>
      <c r="J188" s="13" t="n">
        <f aca="false">IFERROR(__xludf.dummyfunction("""COMPUTED_VALUE"""),755)</f>
        <v>755</v>
      </c>
      <c r="K188" s="13" t="n">
        <f aca="false">IFERROR(__xludf.dummyfunction("""COMPUTED_VALUE"""),6040)</f>
        <v>6040</v>
      </c>
      <c r="L188" s="13" t="str">
        <f aca="false">IFERROR(__xludf.dummyfunction("""COMPUTED_VALUE"""),"[Code: 35578B] TA: found in loose conditon during sorting(company end issue)")</f>
        <v>[Code: 35578B] TA: found in loose conditon during sorting(company end issue)</v>
      </c>
      <c r="M188" s="13" t="str">
        <f aca="false">IFERROR(__xludf.dummyfunction("""COMPUTED_VALUE"""),"35578B")</f>
        <v>35578B</v>
      </c>
      <c r="N188" s="13"/>
      <c r="O188" s="13" t="str">
        <f aca="false">IFERROR(__xludf.dummyfunction("""COMPUTED_VALUE"""),"taufeeq.akhtar@tajir-app.com")</f>
        <v>taufeeq.akhtar@tajir-app.com</v>
      </c>
      <c r="P188" s="13" t="str">
        <f aca="false">IFERROR(__xludf.dummyfunction("""COMPUTED_VALUE"""),"Taufeeq Akhtar ")</f>
        <v>Taufeeq Akhtar </v>
      </c>
      <c r="Q188" s="13" t="str">
        <f aca="false">IF(L188="","",L188)</f>
        <v>[Code: 35578B] TA: found in loose conditon during sorting(company end issue)</v>
      </c>
    </row>
    <row r="189" customFormat="false" ht="15.75" hidden="false" customHeight="false" outlineLevel="0" collapsed="false">
      <c r="A189" s="13" t="str">
        <f aca="false">IFERROR(__xludf.dummyfunction("""COMPUTED_VALUE"""),"Metro DC Faisalabad")</f>
        <v>Metro DC Faisalabad</v>
      </c>
      <c r="B189" s="13" t="str">
        <f aca="false">IFERROR(__xludf.dummyfunction("""COMPUTED_VALUE"""),"4485a552-0e60-4f2e-8416-e5b7d925a5be")</f>
        <v>4485a552-0e60-4f2e-8416-e5b7d925a5be</v>
      </c>
      <c r="C189" s="13" t="str">
        <f aca="false">IFERROR(__xludf.dummyfunction("""COMPUTED_VALUE"""),"Bisconni Chocolate Chip Biscuits 25pcs Rs7")</f>
        <v>Bisconni Chocolate Chip Biscuits 25pcs Rs7</v>
      </c>
      <c r="D189" s="13" t="str">
        <f aca="false">IFERROR(__xludf.dummyfunction("""COMPUTED_VALUE"""),"Bisconni")</f>
        <v>Bisconni</v>
      </c>
      <c r="E189" s="13" t="str">
        <f aca="false">IFERROR(__xludf.dummyfunction("""COMPUTED_VALUE"""),"Biscuits, Wafers")</f>
        <v>Biscuits, Wafers</v>
      </c>
      <c r="F189" s="11" t="n">
        <f aca="false">IFERROR(__xludf.dummyfunction("""COMPUTED_VALUE"""),45063)</f>
        <v>45063</v>
      </c>
      <c r="G189" s="16" t="n">
        <f aca="false">IFERROR(__xludf.dummyfunction("""COMPUTED_VALUE"""),0.590170335649792)</f>
        <v>0.5901703356</v>
      </c>
      <c r="H189" s="13" t="str">
        <f aca="false">IFERROR(__xludf.dummyfunction("""COMPUTED_VALUE"""),"expired stock")</f>
        <v>expired stock</v>
      </c>
      <c r="I189" s="13" t="n">
        <f aca="false">IFERROR(__xludf.dummyfunction("""COMPUTED_VALUE"""),672)</f>
        <v>672</v>
      </c>
      <c r="J189" s="13" t="n">
        <f aca="false">IFERROR(__xludf.dummyfunction("""COMPUTED_VALUE"""),153)</f>
        <v>153</v>
      </c>
      <c r="K189" s="13" t="n">
        <f aca="false">IFERROR(__xludf.dummyfunction("""COMPUTED_VALUE"""),102816)</f>
        <v>102816</v>
      </c>
      <c r="L189" s="13" t="str">
        <f aca="false">IFERROR(__xludf.dummyfunction("""COMPUTED_VALUE"""),"[Code: 58DDEE] [Expiry: 19 May, 2023] Short Expiry Stock")</f>
        <v>[Code: 58DDEE] [Expiry: 19 May, 2023] Short Expiry Stock</v>
      </c>
      <c r="M189" s="13" t="str">
        <f aca="false">IFERROR(__xludf.dummyfunction("""COMPUTED_VALUE"""),"58DDEE")</f>
        <v>58DDEE</v>
      </c>
      <c r="N189" s="13" t="str">
        <f aca="false">IFERROR(__xludf.dummyfunction("""COMPUTED_VALUE"""),"19 May, 2023")</f>
        <v>19 May, 2023</v>
      </c>
      <c r="O189" s="13" t="str">
        <f aca="false">IFERROR(__xludf.dummyfunction("""COMPUTED_VALUE"""),"ali.raza@tajir-app.com")</f>
        <v>ali.raza@tajir-app.com</v>
      </c>
      <c r="P189" s="13" t="str">
        <f aca="false">IFERROR(__xludf.dummyfunction("""COMPUTED_VALUE"""),"Ali Raza ")</f>
        <v>Ali Raza </v>
      </c>
      <c r="Q189" s="13" t="str">
        <f aca="false">IF(L189="","",L189)</f>
        <v>[Code: 58DDEE] [Expiry: 19 May, 2023] Short Expiry Stock</v>
      </c>
    </row>
    <row r="190" customFormat="false" ht="15.75" hidden="false" customHeight="false" outlineLevel="0" collapsed="false">
      <c r="A190" s="13" t="str">
        <f aca="false">IFERROR(__xludf.dummyfunction("""COMPUTED_VALUE"""),"Metro DC Faisalabad")</f>
        <v>Metro DC Faisalabad</v>
      </c>
      <c r="B190" s="13" t="str">
        <f aca="false">IFERROR(__xludf.dummyfunction("""COMPUTED_VALUE"""),"20b74367-094d-4004-9a32-f4829b729e1d")</f>
        <v>20b74367-094d-4004-9a32-f4829b729e1d</v>
      </c>
      <c r="C190" s="13" t="str">
        <f aca="false">IFERROR(__xludf.dummyfunction("""COMPUTED_VALUE"""),"Bold Deodorant Body Spray Prime 150ml")</f>
        <v>Bold Deodorant Body Spray Prime 150ml</v>
      </c>
      <c r="D190" s="13" t="str">
        <f aca="false">IFERROR(__xludf.dummyfunction("""COMPUTED_VALUE"""),"Bold")</f>
        <v>Bold</v>
      </c>
      <c r="E190" s="13" t="str">
        <f aca="false">IFERROR(__xludf.dummyfunction("""COMPUTED_VALUE"""),"Personal Care")</f>
        <v>Personal Care</v>
      </c>
      <c r="F190" s="11" t="n">
        <f aca="false">IFERROR(__xludf.dummyfunction("""COMPUTED_VALUE"""),45064)</f>
        <v>45064</v>
      </c>
      <c r="G190" s="16" t="n">
        <f aca="false">IFERROR(__xludf.dummyfunction("""COMPUTED_VALUE"""),0.512479965276732)</f>
        <v>0.5124799653</v>
      </c>
      <c r="H190" s="13" t="str">
        <f aca="false">IFERROR(__xludf.dummyfunction("""COMPUTED_VALUE"""),"damaged stock")</f>
        <v>damaged stock</v>
      </c>
      <c r="I190" s="13" t="n">
        <f aca="false">IFERROR(__xludf.dummyfunction("""COMPUTED_VALUE"""),1)</f>
        <v>1</v>
      </c>
      <c r="J190" s="13" t="n">
        <f aca="false">IFERROR(__xludf.dummyfunction("""COMPUTED_VALUE"""),323)</f>
        <v>323</v>
      </c>
      <c r="K190" s="13" t="n">
        <f aca="false">IFERROR(__xludf.dummyfunction("""COMPUTED_VALUE"""),323)</f>
        <v>323</v>
      </c>
      <c r="L190" s="13" t="str">
        <f aca="false">IFERROR(__xludf.dummyfunction("""COMPUTED_VALUE"""),"[Code: 49ADGH] 01 unit found low fill liquid (Quality Issue)")</f>
        <v>[Code: 49ADGH] 01 unit found low fill liquid (Quality Issue)</v>
      </c>
      <c r="M190" s="13" t="str">
        <f aca="false">IFERROR(__xludf.dummyfunction("""COMPUTED_VALUE"""),"49ADGH")</f>
        <v>49ADGH</v>
      </c>
      <c r="N190" s="13"/>
      <c r="O190" s="13" t="str">
        <f aca="false">IFERROR(__xludf.dummyfunction("""COMPUTED_VALUE"""),"ali.raza@tajir-app.com")</f>
        <v>ali.raza@tajir-app.com</v>
      </c>
      <c r="P190" s="13" t="str">
        <f aca="false">IFERROR(__xludf.dummyfunction("""COMPUTED_VALUE"""),"Ali Raza ")</f>
        <v>Ali Raza </v>
      </c>
      <c r="Q190" s="13" t="str">
        <f aca="false">IF(L190="","",L190)</f>
        <v>[Code: 49ADGH] 01 unit found low fill liquid (Quality Issue)</v>
      </c>
    </row>
    <row r="191" customFormat="false" ht="15.75" hidden="false" customHeight="false" outlineLevel="0" collapsed="false">
      <c r="A191" s="13" t="str">
        <f aca="false">IFERROR(__xludf.dummyfunction("""COMPUTED_VALUE"""),"Metro DC Faisalabad")</f>
        <v>Metro DC Faisalabad</v>
      </c>
      <c r="B191" s="13" t="str">
        <f aca="false">IFERROR(__xludf.dummyfunction("""COMPUTED_VALUE"""),"65650175-df92-4ef5-ae18-f525df57d160")</f>
        <v>65650175-df92-4ef5-ae18-f525df57d160</v>
      </c>
      <c r="C191" s="13" t="str">
        <f aca="false">IFERROR(__xludf.dummyfunction("""COMPUTED_VALUE"""),"Coca Cola plastic 500ml (Half Liter)")</f>
        <v>Coca Cola plastic 500ml (Half Liter)</v>
      </c>
      <c r="D191" s="13" t="str">
        <f aca="false">IFERROR(__xludf.dummyfunction("""COMPUTED_VALUE"""),"Coca Cola")</f>
        <v>Coca Cola</v>
      </c>
      <c r="E191" s="13" t="str">
        <f aca="false">IFERROR(__xludf.dummyfunction("""COMPUTED_VALUE"""),"Beverages")</f>
        <v>Beverages</v>
      </c>
      <c r="F191" s="11" t="n">
        <f aca="false">IFERROR(__xludf.dummyfunction("""COMPUTED_VALUE"""),45064)</f>
        <v>45064</v>
      </c>
      <c r="G191" s="16" t="n">
        <f aca="false">IFERROR(__xludf.dummyfunction("""COMPUTED_VALUE"""),0.04390244212915)</f>
        <v>0.04390244213</v>
      </c>
      <c r="H191" s="13" t="str">
        <f aca="false">IFERROR(__xludf.dummyfunction("""COMPUTED_VALUE"""),"damaged stock")</f>
        <v>damaged stock</v>
      </c>
      <c r="I191" s="13" t="n">
        <f aca="false">IFERROR(__xludf.dummyfunction("""COMPUTED_VALUE"""),1)</f>
        <v>1</v>
      </c>
      <c r="J191" s="13" t="n">
        <f aca="false">IFERROR(__xludf.dummyfunction("""COMPUTED_VALUE"""),773)</f>
        <v>773</v>
      </c>
      <c r="K191" s="13" t="n">
        <f aca="false">IFERROR(__xludf.dummyfunction("""COMPUTED_VALUE"""),773)</f>
        <v>773</v>
      </c>
      <c r="L191" s="13" t="str">
        <f aca="false">IFERROR(__xludf.dummyfunction("""COMPUTED_VALUE"""),"[Code: 2789DE] TA; Stock sy damage mila he sorting ky doran")</f>
        <v>[Code: 2789DE] TA; Stock sy damage mila he sorting ky doran</v>
      </c>
      <c r="M191" s="13" t="str">
        <f aca="false">IFERROR(__xludf.dummyfunction("""COMPUTED_VALUE"""),"2789DE")</f>
        <v>2789DE</v>
      </c>
      <c r="N191" s="13"/>
      <c r="O191" s="13" t="str">
        <f aca="false">IFERROR(__xludf.dummyfunction("""COMPUTED_VALUE"""),"taufeeq.akhtar@tajir-app.com")</f>
        <v>taufeeq.akhtar@tajir-app.com</v>
      </c>
      <c r="P191" s="13" t="str">
        <f aca="false">IFERROR(__xludf.dummyfunction("""COMPUTED_VALUE"""),"Taufeeq Akhtar ")</f>
        <v>Taufeeq Akhtar </v>
      </c>
      <c r="Q191" s="13" t="str">
        <f aca="false">IF(L191="","",L191)</f>
        <v>[Code: 2789DE] TA; Stock sy damage mila he sorting ky doran</v>
      </c>
    </row>
    <row r="192" customFormat="false" ht="15.75" hidden="false" customHeight="false" outlineLevel="0" collapsed="false">
      <c r="A192" s="13" t="str">
        <f aca="false">IFERROR(__xludf.dummyfunction("""COMPUTED_VALUE"""),"Metro DC Faisalabad")</f>
        <v>Metro DC Faisalabad</v>
      </c>
      <c r="B192" s="13" t="str">
        <f aca="false">IFERROR(__xludf.dummyfunction("""COMPUTED_VALUE"""),"cd68a607-af95-45cb-b9f4-2721224c85f8")</f>
        <v>cd68a607-af95-45cb-b9f4-2721224c85f8</v>
      </c>
      <c r="C192" s="13" t="str">
        <f aca="false">IFERROR(__xludf.dummyfunction("""COMPUTED_VALUE"""),"Coca Cola plastic 1.5L")</f>
        <v>Coca Cola plastic 1.5L</v>
      </c>
      <c r="D192" s="13" t="str">
        <f aca="false">IFERROR(__xludf.dummyfunction("""COMPUTED_VALUE"""),"Coca Cola")</f>
        <v>Coca Cola</v>
      </c>
      <c r="E192" s="13" t="str">
        <f aca="false">IFERROR(__xludf.dummyfunction("""COMPUTED_VALUE"""),"Beverages")</f>
        <v>Beverages</v>
      </c>
      <c r="F192" s="11" t="n">
        <f aca="false">IFERROR(__xludf.dummyfunction("""COMPUTED_VALUE"""),45065)</f>
        <v>45065</v>
      </c>
      <c r="G192" s="16" t="n">
        <f aca="false">IFERROR(__xludf.dummyfunction("""COMPUTED_VALUE"""),0.805701990739657)</f>
        <v>0.8057019907</v>
      </c>
      <c r="H192" s="13" t="str">
        <f aca="false">IFERROR(__xludf.dummyfunction("""COMPUTED_VALUE"""),"damaged stock")</f>
        <v>damaged stock</v>
      </c>
      <c r="I192" s="13" t="n">
        <f aca="false">IFERROR(__xludf.dummyfunction("""COMPUTED_VALUE"""),2)</f>
        <v>2</v>
      </c>
      <c r="J192" s="13" t="n">
        <f aca="false">IFERROR(__xludf.dummyfunction("""COMPUTED_VALUE"""),755)</f>
        <v>755</v>
      </c>
      <c r="K192" s="13" t="n">
        <f aca="false">IFERROR(__xludf.dummyfunction("""COMPUTED_VALUE"""),1510)</f>
        <v>1510</v>
      </c>
      <c r="L192" s="13" t="str">
        <f aca="false">IFERROR(__xludf.dummyfunction("""COMPUTED_VALUE"""),"[Code: 8BCDDF] TA: found in loose condtions during sorting.")</f>
        <v>[Code: 8BCDDF] TA: found in loose condtions during sorting.</v>
      </c>
      <c r="M192" s="13" t="str">
        <f aca="false">IFERROR(__xludf.dummyfunction("""COMPUTED_VALUE"""),"8BCDDF")</f>
        <v>8BCDDF</v>
      </c>
      <c r="N192" s="13"/>
      <c r="O192" s="13" t="str">
        <f aca="false">IFERROR(__xludf.dummyfunction("""COMPUTED_VALUE"""),"taufeeq.akhtar@tajir-app.com")</f>
        <v>taufeeq.akhtar@tajir-app.com</v>
      </c>
      <c r="P192" s="13" t="str">
        <f aca="false">IFERROR(__xludf.dummyfunction("""COMPUTED_VALUE"""),"Taufeeq Akhtar ")</f>
        <v>Taufeeq Akhtar </v>
      </c>
      <c r="Q192" s="13" t="str">
        <f aca="false">IF(L192="","",L192)</f>
        <v>[Code: 8BCDDF] TA: found in loose condtions during sorting.</v>
      </c>
    </row>
    <row r="193" customFormat="false" ht="15.75" hidden="false" customHeight="false" outlineLevel="0" collapsed="false">
      <c r="A193" s="13" t="str">
        <f aca="false">IFERROR(__xludf.dummyfunction("""COMPUTED_VALUE"""),"Metro DC Faisalabad")</f>
        <v>Metro DC Faisalabad</v>
      </c>
      <c r="B193" s="13" t="str">
        <f aca="false">IFERROR(__xludf.dummyfunction("""COMPUTED_VALUE"""),"cd68a607-af95-45cb-b9f4-2721224c85f8")</f>
        <v>cd68a607-af95-45cb-b9f4-2721224c85f8</v>
      </c>
      <c r="C193" s="13" t="str">
        <f aca="false">IFERROR(__xludf.dummyfunction("""COMPUTED_VALUE"""),"Coca Cola plastic 1.5L")</f>
        <v>Coca Cola plastic 1.5L</v>
      </c>
      <c r="D193" s="13" t="str">
        <f aca="false">IFERROR(__xludf.dummyfunction("""COMPUTED_VALUE"""),"Coca Cola")</f>
        <v>Coca Cola</v>
      </c>
      <c r="E193" s="13" t="str">
        <f aca="false">IFERROR(__xludf.dummyfunction("""COMPUTED_VALUE"""),"Beverages")</f>
        <v>Beverages</v>
      </c>
      <c r="F193" s="11" t="n">
        <f aca="false">IFERROR(__xludf.dummyfunction("""COMPUTED_VALUE"""),45065)</f>
        <v>45065</v>
      </c>
      <c r="G193" s="16" t="n">
        <f aca="false">IFERROR(__xludf.dummyfunction("""COMPUTED_VALUE"""),0.771822094906976)</f>
        <v>0.7718220949</v>
      </c>
      <c r="H193" s="13" t="str">
        <f aca="false">IFERROR(__xludf.dummyfunction("""COMPUTED_VALUE"""),"damaged stock")</f>
        <v>damaged stock</v>
      </c>
      <c r="I193" s="13" t="n">
        <f aca="false">IFERROR(__xludf.dummyfunction("""COMPUTED_VALUE"""),3)</f>
        <v>3</v>
      </c>
      <c r="J193" s="13" t="n">
        <f aca="false">IFERROR(__xludf.dummyfunction("""COMPUTED_VALUE"""),755)</f>
        <v>755</v>
      </c>
      <c r="K193" s="13" t="n">
        <f aca="false">IFERROR(__xludf.dummyfunction("""COMPUTED_VALUE"""),2265)</f>
        <v>2265</v>
      </c>
      <c r="L193" s="13" t="str">
        <f aca="false">IFERROR(__xludf.dummyfunction("""COMPUTED_VALUE"""),"[Code: 359BCD] TA: Found in loose condition during sorting")</f>
        <v>[Code: 359BCD] TA: Found in loose condition during sorting</v>
      </c>
      <c r="M193" s="13" t="str">
        <f aca="false">IFERROR(__xludf.dummyfunction("""COMPUTED_VALUE"""),"359BCD")</f>
        <v>359BCD</v>
      </c>
      <c r="N193" s="13"/>
      <c r="O193" s="13" t="str">
        <f aca="false">IFERROR(__xludf.dummyfunction("""COMPUTED_VALUE"""),"taufeeq.akhtar@tajir-app.com")</f>
        <v>taufeeq.akhtar@tajir-app.com</v>
      </c>
      <c r="P193" s="13" t="str">
        <f aca="false">IFERROR(__xludf.dummyfunction("""COMPUTED_VALUE"""),"Taufeeq Akhtar ")</f>
        <v>Taufeeq Akhtar </v>
      </c>
      <c r="Q193" s="13" t="str">
        <f aca="false">IF(L193="","",L193)</f>
        <v>[Code: 359BCD] TA: Found in loose condition during sorting</v>
      </c>
    </row>
    <row r="194" customFormat="false" ht="15.75" hidden="false" customHeight="false" outlineLevel="0" collapsed="false">
      <c r="A194" s="13" t="str">
        <f aca="false">IFERROR(__xludf.dummyfunction("""COMPUTED_VALUE"""),"Metro DC Faisalabad")</f>
        <v>Metro DC Faisalabad</v>
      </c>
      <c r="B194" s="13" t="str">
        <f aca="false">IFERROR(__xludf.dummyfunction("""COMPUTED_VALUE"""),"091103b8-ad58-4db4-9f95-ecd8969b63d4")</f>
        <v>091103b8-ad58-4db4-9f95-ecd8969b63d4</v>
      </c>
      <c r="C194" s="13" t="str">
        <f aca="false">IFERROR(__xludf.dummyfunction("""COMPUTED_VALUE"""),"Shangrila Mango Pickle Jar 1kg (Purple Jar Large)")</f>
        <v>Shangrila Mango Pickle Jar 1kg (Purple Jar Large)</v>
      </c>
      <c r="D194" s="13" t="str">
        <f aca="false">IFERROR(__xludf.dummyfunction("""COMPUTED_VALUE"""),"Shangrila")</f>
        <v>Shangrila</v>
      </c>
      <c r="E194" s="13" t="str">
        <f aca="false">IFERROR(__xludf.dummyfunction("""COMPUTED_VALUE"""),"Sauces")</f>
        <v>Sauces</v>
      </c>
      <c r="F194" s="11" t="n">
        <f aca="false">IFERROR(__xludf.dummyfunction("""COMPUTED_VALUE"""),45066)</f>
        <v>45066</v>
      </c>
      <c r="G194" s="16" t="n">
        <f aca="false">IFERROR(__xludf.dummyfunction("""COMPUTED_VALUE"""),0.959184664351696)</f>
        <v>0.9591846644</v>
      </c>
      <c r="H194" s="13" t="str">
        <f aca="false">IFERROR(__xludf.dummyfunction("""COMPUTED_VALUE"""),"damaged stock")</f>
        <v>damaged stock</v>
      </c>
      <c r="I194" s="13" t="n">
        <f aca="false">IFERROR(__xludf.dummyfunction("""COMPUTED_VALUE"""),1)</f>
        <v>1</v>
      </c>
      <c r="J194" s="13" t="n">
        <f aca="false">IFERROR(__xludf.dummyfunction("""COMPUTED_VALUE"""),484.71)</f>
        <v>484.71</v>
      </c>
      <c r="K194" s="13" t="n">
        <f aca="false">IFERROR(__xludf.dummyfunction("""COMPUTED_VALUE"""),484.71)</f>
        <v>484.71</v>
      </c>
      <c r="L194" s="13" t="str">
        <f aca="false">IFERROR(__xludf.dummyfunction("""COMPUTED_VALUE"""),"[Code: 334489] TA: sorting kay doran damage hua;")</f>
        <v>[Code: 334489] TA: sorting kay doran damage hua;</v>
      </c>
      <c r="M194" s="13" t="str">
        <f aca="false">IFERROR(__xludf.dummyfunction("""COMPUTED_VALUE"""),"334489")</f>
        <v>334489</v>
      </c>
      <c r="N194" s="13"/>
      <c r="O194" s="13" t="str">
        <f aca="false">IFERROR(__xludf.dummyfunction("""COMPUTED_VALUE"""),"daniyal.ahmad@tajir-app.com")</f>
        <v>daniyal.ahmad@tajir-app.com</v>
      </c>
      <c r="P194" s="13" t="str">
        <f aca="false">IFERROR(__xludf.dummyfunction("""COMPUTED_VALUE"""),"Daniyal Ahmad")</f>
        <v>Daniyal Ahmad</v>
      </c>
      <c r="Q194" s="13" t="str">
        <f aca="false">IF(L194="","",L194)</f>
        <v>[Code: 334489] TA: sorting kay doran damage hua;</v>
      </c>
    </row>
    <row r="195" customFormat="false" ht="15.75" hidden="false" customHeight="false" outlineLevel="0" collapsed="false">
      <c r="A195" s="13" t="str">
        <f aca="false">IFERROR(__xludf.dummyfunction("""COMPUTED_VALUE"""),"Metro DC Faisalabad")</f>
        <v>Metro DC Faisalabad</v>
      </c>
      <c r="B195" s="13" t="str">
        <f aca="false">IFERROR(__xludf.dummyfunction("""COMPUTED_VALUE"""),"ee9f509f-e6b6-44a0-a37c-57dee8c1a7e4")</f>
        <v>ee9f509f-e6b6-44a0-a37c-57dee8c1a7e4</v>
      </c>
      <c r="C195" s="13" t="str">
        <f aca="false">IFERROR(__xludf.dummyfunction("""COMPUTED_VALUE"""),"Quality Grains Daal Chana Budget 500g")</f>
        <v>Quality Grains Daal Chana Budget 500g</v>
      </c>
      <c r="D195" s="13" t="str">
        <f aca="false">IFERROR(__xludf.dummyfunction("""COMPUTED_VALUE"""),"Quality Grains")</f>
        <v>Quality Grains</v>
      </c>
      <c r="E195" s="13" t="str">
        <f aca="false">IFERROR(__xludf.dummyfunction("""COMPUTED_VALUE"""),"Pulses")</f>
        <v>Pulses</v>
      </c>
      <c r="F195" s="11" t="n">
        <f aca="false">IFERROR(__xludf.dummyfunction("""COMPUTED_VALUE"""),45066)</f>
        <v>45066</v>
      </c>
      <c r="G195" s="16" t="n">
        <f aca="false">IFERROR(__xludf.dummyfunction("""COMPUTED_VALUE"""),0.834633275462823)</f>
        <v>0.8346332755</v>
      </c>
      <c r="H195" s="13" t="str">
        <f aca="false">IFERROR(__xludf.dummyfunction("""COMPUTED_VALUE"""),"damaged stock")</f>
        <v>damaged stock</v>
      </c>
      <c r="I195" s="13" t="n">
        <f aca="false">IFERROR(__xludf.dummyfunction("""COMPUTED_VALUE"""),53)</f>
        <v>53</v>
      </c>
      <c r="J195" s="13" t="n">
        <f aca="false">IFERROR(__xludf.dummyfunction("""COMPUTED_VALUE"""),116)</f>
        <v>116</v>
      </c>
      <c r="K195" s="13" t="n">
        <f aca="false">IFERROR(__xludf.dummyfunction("""COMPUTED_VALUE"""),6148)</f>
        <v>6148</v>
      </c>
      <c r="L195" s="13" t="str">
        <f aca="false">IFERROR(__xludf.dummyfunction("""COMPUTED_VALUE"""),"[Code: 25888A] ZA: Stock removed due to Quality Issue(Found Fungus)")</f>
        <v>[Code: 25888A] ZA: Stock removed due to Quality Issue(Found Fungus)</v>
      </c>
      <c r="M195" s="13" t="str">
        <f aca="false">IFERROR(__xludf.dummyfunction("""COMPUTED_VALUE"""),"25888A")</f>
        <v>25888A</v>
      </c>
      <c r="N195" s="13"/>
      <c r="O195" s="13" t="str">
        <f aca="false">IFERROR(__xludf.dummyfunction("""COMPUTED_VALUE"""),"zeeshan.alimalik@tajir-app.com")</f>
        <v>zeeshan.alimalik@tajir-app.com</v>
      </c>
      <c r="P195" s="13" t="str">
        <f aca="false">IFERROR(__xludf.dummyfunction("""COMPUTED_VALUE"""),"Zeeshan Ali Malik")</f>
        <v>Zeeshan Ali Malik</v>
      </c>
      <c r="Q195" s="13" t="str">
        <f aca="false">IF(L195="","",L195)</f>
        <v>[Code: 25888A] ZA: Stock removed due to Quality Issue(Found Fungus)</v>
      </c>
    </row>
    <row r="196" customFormat="false" ht="15.75" hidden="false" customHeight="false" outlineLevel="0" collapsed="false">
      <c r="A196" s="13" t="str">
        <f aca="false">IFERROR(__xludf.dummyfunction("""COMPUTED_VALUE"""),"Metro DC Faisalabad")</f>
        <v>Metro DC Faisalabad</v>
      </c>
      <c r="B196" s="13" t="str">
        <f aca="false">IFERROR(__xludf.dummyfunction("""COMPUTED_VALUE"""),"cd68a607-af95-45cb-b9f4-2721224c85f8")</f>
        <v>cd68a607-af95-45cb-b9f4-2721224c85f8</v>
      </c>
      <c r="C196" s="13" t="str">
        <f aca="false">IFERROR(__xludf.dummyfunction("""COMPUTED_VALUE"""),"Coca Cola plastic 1.5L")</f>
        <v>Coca Cola plastic 1.5L</v>
      </c>
      <c r="D196" s="13" t="str">
        <f aca="false">IFERROR(__xludf.dummyfunction("""COMPUTED_VALUE"""),"Coca Cola")</f>
        <v>Coca Cola</v>
      </c>
      <c r="E196" s="13" t="str">
        <f aca="false">IFERROR(__xludf.dummyfunction("""COMPUTED_VALUE"""),"Beverages")</f>
        <v>Beverages</v>
      </c>
      <c r="F196" s="11" t="n">
        <f aca="false">IFERROR(__xludf.dummyfunction("""COMPUTED_VALUE"""),45068)</f>
        <v>45068</v>
      </c>
      <c r="G196" s="16" t="n">
        <f aca="false">IFERROR(__xludf.dummyfunction("""COMPUTED_VALUE"""),0.898247407408706)</f>
        <v>0.8982474074</v>
      </c>
      <c r="H196" s="13" t="str">
        <f aca="false">IFERROR(__xludf.dummyfunction("""COMPUTED_VALUE"""),"damaged stock")</f>
        <v>damaged stock</v>
      </c>
      <c r="I196" s="13" t="n">
        <f aca="false">IFERROR(__xludf.dummyfunction("""COMPUTED_VALUE"""),1)</f>
        <v>1</v>
      </c>
      <c r="J196" s="13" t="n">
        <f aca="false">IFERROR(__xludf.dummyfunction("""COMPUTED_VALUE"""),755)</f>
        <v>755</v>
      </c>
      <c r="K196" s="13" t="n">
        <f aca="false">IFERROR(__xludf.dummyfunction("""COMPUTED_VALUE"""),755)</f>
        <v>755</v>
      </c>
      <c r="L196" s="13" t="str">
        <f aca="false">IFERROR(__xludf.dummyfunction("""COMPUTED_VALUE"""),"[Code: 225578] TA:Found in loose condtion during sorting.")</f>
        <v>[Code: 225578] TA:Found in loose condtion during sorting.</v>
      </c>
      <c r="M196" s="13" t="str">
        <f aca="false">IFERROR(__xludf.dummyfunction("""COMPUTED_VALUE"""),"225578")</f>
        <v>225578</v>
      </c>
      <c r="N196" s="13"/>
      <c r="O196" s="13" t="str">
        <f aca="false">IFERROR(__xludf.dummyfunction("""COMPUTED_VALUE"""),"taufeeq.akhtar@tajir-app.com")</f>
        <v>taufeeq.akhtar@tajir-app.com</v>
      </c>
      <c r="P196" s="13" t="str">
        <f aca="false">IFERROR(__xludf.dummyfunction("""COMPUTED_VALUE"""),"Taufeeq Akhtar ")</f>
        <v>Taufeeq Akhtar </v>
      </c>
      <c r="Q196" s="13" t="str">
        <f aca="false">IF(L196="","",L196)</f>
        <v>[Code: 225578] TA:Found in loose condtion during sorting.</v>
      </c>
    </row>
    <row r="197" customFormat="false" ht="15.75" hidden="false" customHeight="false" outlineLevel="0" collapsed="false">
      <c r="A197" s="13" t="str">
        <f aca="false">IFERROR(__xludf.dummyfunction("""COMPUTED_VALUE"""),"Metro DC Faisalabad")</f>
        <v>Metro DC Faisalabad</v>
      </c>
      <c r="B197" s="13" t="str">
        <f aca="false">IFERROR(__xludf.dummyfunction("""COMPUTED_VALUE"""),"cd68a607-af95-45cb-b9f4-2721224c85f8")</f>
        <v>cd68a607-af95-45cb-b9f4-2721224c85f8</v>
      </c>
      <c r="C197" s="13" t="str">
        <f aca="false">IFERROR(__xludf.dummyfunction("""COMPUTED_VALUE"""),"Coca Cola plastic 1.5L")</f>
        <v>Coca Cola plastic 1.5L</v>
      </c>
      <c r="D197" s="13" t="str">
        <f aca="false">IFERROR(__xludf.dummyfunction("""COMPUTED_VALUE"""),"Coca Cola")</f>
        <v>Coca Cola</v>
      </c>
      <c r="E197" s="13" t="str">
        <f aca="false">IFERROR(__xludf.dummyfunction("""COMPUTED_VALUE"""),"Beverages")</f>
        <v>Beverages</v>
      </c>
      <c r="F197" s="11" t="n">
        <f aca="false">IFERROR(__xludf.dummyfunction("""COMPUTED_VALUE"""),45069)</f>
        <v>45069</v>
      </c>
      <c r="G197" s="16" t="n">
        <f aca="false">IFERROR(__xludf.dummyfunction("""COMPUTED_VALUE"""),0.879882824074435)</f>
        <v>0.8798828241</v>
      </c>
      <c r="H197" s="13" t="str">
        <f aca="false">IFERROR(__xludf.dummyfunction("""COMPUTED_VALUE"""),"damaged stock")</f>
        <v>damaged stock</v>
      </c>
      <c r="I197" s="13" t="n">
        <f aca="false">IFERROR(__xludf.dummyfunction("""COMPUTED_VALUE"""),2)</f>
        <v>2</v>
      </c>
      <c r="J197" s="13" t="n">
        <f aca="false">IFERROR(__xludf.dummyfunction("""COMPUTED_VALUE"""),755)</f>
        <v>755</v>
      </c>
      <c r="K197" s="13" t="n">
        <f aca="false">IFERROR(__xludf.dummyfunction("""COMPUTED_VALUE"""),1510)</f>
        <v>1510</v>
      </c>
      <c r="L197" s="13" t="str">
        <f aca="false">IFERROR(__xludf.dummyfunction("""COMPUTED_VALUE"""),"[Code: 5699BE] TA: Found in loose conditon (company end issue)")</f>
        <v>[Code: 5699BE] TA: Found in loose conditon (company end issue)</v>
      </c>
      <c r="M197" s="13" t="str">
        <f aca="false">IFERROR(__xludf.dummyfunction("""COMPUTED_VALUE"""),"5699BE")</f>
        <v>5699BE</v>
      </c>
      <c r="N197" s="13"/>
      <c r="O197" s="13" t="str">
        <f aca="false">IFERROR(__xludf.dummyfunction("""COMPUTED_VALUE"""),"taufeeq.akhtar@tajir-app.com")</f>
        <v>taufeeq.akhtar@tajir-app.com</v>
      </c>
      <c r="P197" s="13" t="str">
        <f aca="false">IFERROR(__xludf.dummyfunction("""COMPUTED_VALUE"""),"Taufeeq Akhtar ")</f>
        <v>Taufeeq Akhtar </v>
      </c>
      <c r="Q197" s="13" t="str">
        <f aca="false">IF(L197="","",L197)</f>
        <v>[Code: 5699BE] TA: Found in loose conditon (company end issue)</v>
      </c>
    </row>
    <row r="198" customFormat="false" ht="15.75" hidden="false" customHeight="false" outlineLevel="0" collapsed="false">
      <c r="A198" s="13" t="str">
        <f aca="false">IFERROR(__xludf.dummyfunction("""COMPUTED_VALUE"""),"Metro DC Faisalabad")</f>
        <v>Metro DC Faisalabad</v>
      </c>
      <c r="B198" s="13" t="str">
        <f aca="false">IFERROR(__xludf.dummyfunction("""COMPUTED_VALUE"""),"bb395c3c-56d7-4e32-b2ae-c52852d22a73")</f>
        <v>bb395c3c-56d7-4e32-b2ae-c52852d22a73</v>
      </c>
      <c r="C198" s="13" t="str">
        <f aca="false">IFERROR(__xludf.dummyfunction("""COMPUTED_VALUE"""),"Seasly Water 1.5L")</f>
        <v>Seasly Water 1.5L</v>
      </c>
      <c r="D198" s="13" t="str">
        <f aca="false">IFERROR(__xludf.dummyfunction("""COMPUTED_VALUE"""),"Seasly Water")</f>
        <v>Seasly Water</v>
      </c>
      <c r="E198" s="13" t="str">
        <f aca="false">IFERROR(__xludf.dummyfunction("""COMPUTED_VALUE"""),"Beverages")</f>
        <v>Beverages</v>
      </c>
      <c r="F198" s="11" t="n">
        <f aca="false">IFERROR(__xludf.dummyfunction("""COMPUTED_VALUE"""),45069)</f>
        <v>45069</v>
      </c>
      <c r="G198" s="16" t="n">
        <f aca="false">IFERROR(__xludf.dummyfunction("""COMPUTED_VALUE"""),0.878743171297083)</f>
        <v>0.8787431713</v>
      </c>
      <c r="H198" s="13" t="str">
        <f aca="false">IFERROR(__xludf.dummyfunction("""COMPUTED_VALUE"""),"damaged stock")</f>
        <v>damaged stock</v>
      </c>
      <c r="I198" s="13" t="n">
        <f aca="false">IFERROR(__xludf.dummyfunction("""COMPUTED_VALUE"""),1)</f>
        <v>1</v>
      </c>
      <c r="J198" s="13" t="n">
        <f aca="false">IFERROR(__xludf.dummyfunction("""COMPUTED_VALUE"""),170)</f>
        <v>170</v>
      </c>
      <c r="K198" s="13" t="n">
        <f aca="false">IFERROR(__xludf.dummyfunction("""COMPUTED_VALUE"""),170)</f>
        <v>170</v>
      </c>
      <c r="L198" s="13" t="str">
        <f aca="false">IFERROR(__xludf.dummyfunction("""COMPUTED_VALUE"""),"[Code: 344568] TA: damaged during sorting.")</f>
        <v>[Code: 344568] TA: damaged during sorting.</v>
      </c>
      <c r="M198" s="13" t="str">
        <f aca="false">IFERROR(__xludf.dummyfunction("""COMPUTED_VALUE"""),"344568")</f>
        <v>344568</v>
      </c>
      <c r="N198" s="13"/>
      <c r="O198" s="13" t="str">
        <f aca="false">IFERROR(__xludf.dummyfunction("""COMPUTED_VALUE"""),"taufeeq.akhtar@tajir-app.com")</f>
        <v>taufeeq.akhtar@tajir-app.com</v>
      </c>
      <c r="P198" s="13" t="str">
        <f aca="false">IFERROR(__xludf.dummyfunction("""COMPUTED_VALUE"""),"Taufeeq Akhtar ")</f>
        <v>Taufeeq Akhtar </v>
      </c>
      <c r="Q198" s="13" t="str">
        <f aca="false">IF(L198="","",L198)</f>
        <v>[Code: 344568] TA: damaged during sorting.</v>
      </c>
    </row>
    <row r="199" customFormat="false" ht="15.75" hidden="false" customHeight="false" outlineLevel="0" collapsed="false">
      <c r="A199" s="13" t="str">
        <f aca="false">IFERROR(__xludf.dummyfunction("""COMPUTED_VALUE"""),"Metro DC Faisalabad")</f>
        <v>Metro DC Faisalabad</v>
      </c>
      <c r="B199" s="13" t="str">
        <f aca="false">IFERROR(__xludf.dummyfunction("""COMPUTED_VALUE"""),"44f4762f-5274-4866-a30e-c35aa97fb23e")</f>
        <v>44f4762f-5274-4866-a30e-c35aa97fb23e</v>
      </c>
      <c r="C199" s="13" t="str">
        <f aca="false">IFERROR(__xludf.dummyfunction("""COMPUTED_VALUE"""),"Bonus tristar yellow surf 250g Rs50")</f>
        <v>Bonus tristar yellow surf 250g Rs50</v>
      </c>
      <c r="D199" s="13" t="str">
        <f aca="false">IFERROR(__xludf.dummyfunction("""COMPUTED_VALUE"""),"Bonus Surf")</f>
        <v>Bonus Surf</v>
      </c>
      <c r="E199" s="13" t="str">
        <f aca="false">IFERROR(__xludf.dummyfunction("""COMPUTED_VALUE"""),"Surf, Bleach")</f>
        <v>Surf, Bleach</v>
      </c>
      <c r="F199" s="11" t="n">
        <f aca="false">IFERROR(__xludf.dummyfunction("""COMPUTED_VALUE"""),45070)</f>
        <v>45070</v>
      </c>
      <c r="G199" s="16" t="n">
        <f aca="false">IFERROR(__xludf.dummyfunction("""COMPUTED_VALUE"""),0.935947037035582)</f>
        <v>0.935947037</v>
      </c>
      <c r="H199" s="13" t="str">
        <f aca="false">IFERROR(__xludf.dummyfunction("""COMPUTED_VALUE"""),"damaged stock")</f>
        <v>damaged stock</v>
      </c>
      <c r="I199" s="13" t="n">
        <f aca="false">IFERROR(__xludf.dummyfunction("""COMPUTED_VALUE"""),2)</f>
        <v>2</v>
      </c>
      <c r="J199" s="13" t="n">
        <f aca="false">IFERROR(__xludf.dummyfunction("""COMPUTED_VALUE"""),45.59)</f>
        <v>45.59</v>
      </c>
      <c r="K199" s="13" t="n">
        <f aca="false">IFERROR(__xludf.dummyfunction("""COMPUTED_VALUE"""),91.18)</f>
        <v>91.18</v>
      </c>
      <c r="L199" s="13" t="str">
        <f aca="false">IFERROR(__xludf.dummyfunction("""COMPUTED_VALUE"""),"[Code: 2999AC] TA; Bags sy sorting ky doran damage mily hain")</f>
        <v>[Code: 2999AC] TA; Bags sy sorting ky doran damage mily hain</v>
      </c>
      <c r="M199" s="13" t="str">
        <f aca="false">IFERROR(__xludf.dummyfunction("""COMPUTED_VALUE"""),"2999AC")</f>
        <v>2999AC</v>
      </c>
      <c r="N199" s="13"/>
      <c r="O199" s="13" t="str">
        <f aca="false">IFERROR(__xludf.dummyfunction("""COMPUTED_VALUE"""),"taufeeq.akhtar@tajir-app.com")</f>
        <v>taufeeq.akhtar@tajir-app.com</v>
      </c>
      <c r="P199" s="13" t="str">
        <f aca="false">IFERROR(__xludf.dummyfunction("""COMPUTED_VALUE"""),"Taufeeq Akhtar ")</f>
        <v>Taufeeq Akhtar </v>
      </c>
      <c r="Q199" s="13" t="str">
        <f aca="false">IF(L199="","",L199)</f>
        <v>[Code: 2999AC] TA; Bags sy sorting ky doran damage mily hain</v>
      </c>
    </row>
    <row r="200" customFormat="false" ht="15.75" hidden="false" customHeight="false" outlineLevel="0" collapsed="false">
      <c r="A200" s="13" t="str">
        <f aca="false">IFERROR(__xludf.dummyfunction("""COMPUTED_VALUE"""),"Metro DC Faisalabad")</f>
        <v>Metro DC Faisalabad</v>
      </c>
      <c r="B200" s="13" t="str">
        <f aca="false">IFERROR(__xludf.dummyfunction("""COMPUTED_VALUE"""),"cd68a607-af95-45cb-b9f4-2721224c85f8")</f>
        <v>cd68a607-af95-45cb-b9f4-2721224c85f8</v>
      </c>
      <c r="C200" s="13" t="str">
        <f aca="false">IFERROR(__xludf.dummyfunction("""COMPUTED_VALUE"""),"Coca Cola plastic 1.5L")</f>
        <v>Coca Cola plastic 1.5L</v>
      </c>
      <c r="D200" s="13" t="str">
        <f aca="false">IFERROR(__xludf.dummyfunction("""COMPUTED_VALUE"""),"Coca Cola")</f>
        <v>Coca Cola</v>
      </c>
      <c r="E200" s="13" t="str">
        <f aca="false">IFERROR(__xludf.dummyfunction("""COMPUTED_VALUE"""),"Beverages")</f>
        <v>Beverages</v>
      </c>
      <c r="F200" s="11" t="n">
        <f aca="false">IFERROR(__xludf.dummyfunction("""COMPUTED_VALUE"""),45070)</f>
        <v>45070</v>
      </c>
      <c r="G200" s="16" t="n">
        <f aca="false">IFERROR(__xludf.dummyfunction("""COMPUTED_VALUE"""),0.913605023149064)</f>
        <v>0.9136050231</v>
      </c>
      <c r="H200" s="13" t="str">
        <f aca="false">IFERROR(__xludf.dummyfunction("""COMPUTED_VALUE"""),"damaged stock")</f>
        <v>damaged stock</v>
      </c>
      <c r="I200" s="13" t="n">
        <f aca="false">IFERROR(__xludf.dummyfunction("""COMPUTED_VALUE"""),1)</f>
        <v>1</v>
      </c>
      <c r="J200" s="13" t="n">
        <f aca="false">IFERROR(__xludf.dummyfunction("""COMPUTED_VALUE"""),755)</f>
        <v>755</v>
      </c>
      <c r="K200" s="13" t="n">
        <f aca="false">IFERROR(__xludf.dummyfunction("""COMPUTED_VALUE"""),755)</f>
        <v>755</v>
      </c>
      <c r="L200" s="13" t="str">
        <f aca="false">IFERROR(__xludf.dummyfunction("""COMPUTED_VALUE"""),"[Code: 224679] TA: found in loose condition and emply botels(Company end issue)")</f>
        <v>[Code: 224679] TA: found in loose condition and emply botels(Company end issue)</v>
      </c>
      <c r="M200" s="13" t="str">
        <f aca="false">IFERROR(__xludf.dummyfunction("""COMPUTED_VALUE"""),"224679")</f>
        <v>224679</v>
      </c>
      <c r="N200" s="13"/>
      <c r="O200" s="13" t="str">
        <f aca="false">IFERROR(__xludf.dummyfunction("""COMPUTED_VALUE"""),"taufeeq.akhtar@tajir-app.com")</f>
        <v>taufeeq.akhtar@tajir-app.com</v>
      </c>
      <c r="P200" s="13" t="str">
        <f aca="false">IFERROR(__xludf.dummyfunction("""COMPUTED_VALUE"""),"Taufeeq Akhtar ")</f>
        <v>Taufeeq Akhtar </v>
      </c>
      <c r="Q200" s="13" t="str">
        <f aca="false">IF(L200="","",L200)</f>
        <v>[Code: 224679] TA: found in loose condition and emply botels(Company end issue)</v>
      </c>
    </row>
    <row r="201" customFormat="false" ht="15.75" hidden="false" customHeight="false" outlineLevel="0" collapsed="false">
      <c r="A201" s="13" t="str">
        <f aca="false">IFERROR(__xludf.dummyfunction("""COMPUTED_VALUE"""),"Metro DC Faisalabad")</f>
        <v>Metro DC Faisalabad</v>
      </c>
      <c r="B201" s="13" t="str">
        <f aca="false">IFERROR(__xludf.dummyfunction("""COMPUTED_VALUE"""),"61b64cf5-8ce8-47c7-8293-6e04fbebd722")</f>
        <v>61b64cf5-8ce8-47c7-8293-6e04fbebd722</v>
      </c>
      <c r="C201" s="13" t="str">
        <f aca="false">IFERROR(__xludf.dummyfunction("""COMPUTED_VALUE"""),"Lemon Max Liquid Regular Bottle 475ml Rs260")</f>
        <v>Lemon Max Liquid Regular Bottle 475ml Rs260</v>
      </c>
      <c r="D201" s="13" t="str">
        <f aca="false">IFERROR(__xludf.dummyfunction("""COMPUTED_VALUE"""),"Lemon Max")</f>
        <v>Lemon Max</v>
      </c>
      <c r="E201" s="13" t="str">
        <f aca="false">IFERROR(__xludf.dummyfunction("""COMPUTED_VALUE"""),"Home Care")</f>
        <v>Home Care</v>
      </c>
      <c r="F201" s="11" t="n">
        <f aca="false">IFERROR(__xludf.dummyfunction("""COMPUTED_VALUE"""),45070)</f>
        <v>45070</v>
      </c>
      <c r="G201" s="16" t="n">
        <f aca="false">IFERROR(__xludf.dummyfunction("""COMPUTED_VALUE"""),0.709110555557356)</f>
        <v>0.7091105556</v>
      </c>
      <c r="H201" s="13" t="str">
        <f aca="false">IFERROR(__xludf.dummyfunction("""COMPUTED_VALUE"""),"damaged stock")</f>
        <v>damaged stock</v>
      </c>
      <c r="I201" s="13" t="n">
        <f aca="false">IFERROR(__xludf.dummyfunction("""COMPUTED_VALUE"""),1)</f>
        <v>1</v>
      </c>
      <c r="J201" s="13" t="n">
        <f aca="false">IFERROR(__xludf.dummyfunction("""COMPUTED_VALUE"""),239.66)</f>
        <v>239.66</v>
      </c>
      <c r="K201" s="13" t="n">
        <f aca="false">IFERROR(__xludf.dummyfunction("""COMPUTED_VALUE"""),239.66)</f>
        <v>239.66</v>
      </c>
      <c r="L201" s="13" t="str">
        <f aca="false">IFERROR(__xludf.dummyfunction("""COMPUTED_VALUE"""),"[Code: 368AHH] 01 unit found damaged from CTN (Cap Damaged)")</f>
        <v>[Code: 368AHH] 01 unit found damaged from CTN (Cap Damaged)</v>
      </c>
      <c r="M201" s="13" t="str">
        <f aca="false">IFERROR(__xludf.dummyfunction("""COMPUTED_VALUE"""),"368AHH")</f>
        <v>368AHH</v>
      </c>
      <c r="N201" s="13"/>
      <c r="O201" s="13" t="str">
        <f aca="false">IFERROR(__xludf.dummyfunction("""COMPUTED_VALUE"""),"ali.raza@tajir-app.com")</f>
        <v>ali.raza@tajir-app.com</v>
      </c>
      <c r="P201" s="13" t="str">
        <f aca="false">IFERROR(__xludf.dummyfunction("""COMPUTED_VALUE"""),"Ali Raza ")</f>
        <v>Ali Raza </v>
      </c>
      <c r="Q201" s="13" t="str">
        <f aca="false">IF(L201="","",L201)</f>
        <v>[Code: 368AHH] 01 unit found damaged from CTN (Cap Damaged)</v>
      </c>
    </row>
    <row r="202" customFormat="false" ht="15.75" hidden="false" customHeight="false" outlineLevel="0" collapsed="false">
      <c r="A202" s="13" t="str">
        <f aca="false">IFERROR(__xludf.dummyfunction("""COMPUTED_VALUE"""),"Metro DC Faisalabad")</f>
        <v>Metro DC Faisalabad</v>
      </c>
      <c r="B202" s="13" t="str">
        <f aca="false">IFERROR(__xludf.dummyfunction("""COMPUTED_VALUE"""),"cd68a607-af95-45cb-b9f4-2721224c85f8")</f>
        <v>cd68a607-af95-45cb-b9f4-2721224c85f8</v>
      </c>
      <c r="C202" s="13" t="str">
        <f aca="false">IFERROR(__xludf.dummyfunction("""COMPUTED_VALUE"""),"Coca Cola plastic 1.5L")</f>
        <v>Coca Cola plastic 1.5L</v>
      </c>
      <c r="D202" s="13" t="str">
        <f aca="false">IFERROR(__xludf.dummyfunction("""COMPUTED_VALUE"""),"Coca Cola")</f>
        <v>Coca Cola</v>
      </c>
      <c r="E202" s="13" t="str">
        <f aca="false">IFERROR(__xludf.dummyfunction("""COMPUTED_VALUE"""),"Beverages")</f>
        <v>Beverages</v>
      </c>
      <c r="F202" s="11" t="n">
        <f aca="false">IFERROR(__xludf.dummyfunction("""COMPUTED_VALUE"""),45072)</f>
        <v>45072</v>
      </c>
      <c r="G202" s="16" t="n">
        <f aca="false">IFERROR(__xludf.dummyfunction("""COMPUTED_VALUE"""),0.777374710647636)</f>
        <v>0.7773747106</v>
      </c>
      <c r="H202" s="13" t="str">
        <f aca="false">IFERROR(__xludf.dummyfunction("""COMPUTED_VALUE"""),"damaged stock")</f>
        <v>damaged stock</v>
      </c>
      <c r="I202" s="13" t="n">
        <f aca="false">IFERROR(__xludf.dummyfunction("""COMPUTED_VALUE"""),2)</f>
        <v>2</v>
      </c>
      <c r="J202" s="13" t="n">
        <f aca="false">IFERROR(__xludf.dummyfunction("""COMPUTED_VALUE"""),755)</f>
        <v>755</v>
      </c>
      <c r="K202" s="13" t="n">
        <f aca="false">IFERROR(__xludf.dummyfunction("""COMPUTED_VALUE"""),1510)</f>
        <v>1510</v>
      </c>
      <c r="L202" s="13" t="str">
        <f aca="false">IFERROR(__xludf.dummyfunction("""COMPUTED_VALUE"""),"[Code: 2BEGLQ] TA: found in loose condition and empty botels(Company end issue)")</f>
        <v>[Code: 2BEGLQ] TA: found in loose condition and empty botels(Company end issue)</v>
      </c>
      <c r="M202" s="13" t="str">
        <f aca="false">IFERROR(__xludf.dummyfunction("""COMPUTED_VALUE"""),"2BEGLQ")</f>
        <v>2BEGLQ</v>
      </c>
      <c r="N202" s="13"/>
      <c r="O202" s="13" t="str">
        <f aca="false">IFERROR(__xludf.dummyfunction("""COMPUTED_VALUE"""),"taufeeq.akhtar@tajir-app.com")</f>
        <v>taufeeq.akhtar@tajir-app.com</v>
      </c>
      <c r="P202" s="13" t="str">
        <f aca="false">IFERROR(__xludf.dummyfunction("""COMPUTED_VALUE"""),"Taufeeq Akhtar ")</f>
        <v>Taufeeq Akhtar </v>
      </c>
      <c r="Q202" s="13" t="str">
        <f aca="false">IF(L202="","",L202)</f>
        <v>[Code: 2BEGLQ] TA: found in loose condition and empty botels(Company end issue)</v>
      </c>
    </row>
    <row r="203" customFormat="false" ht="15.75" hidden="false" customHeight="false" outlineLevel="0" collapsed="false">
      <c r="A203" s="13" t="str">
        <f aca="false">IFERROR(__xludf.dummyfunction("""COMPUTED_VALUE"""),"Metro DC Faisalabad")</f>
        <v>Metro DC Faisalabad</v>
      </c>
      <c r="B203" s="13" t="str">
        <f aca="false">IFERROR(__xludf.dummyfunction("""COMPUTED_VALUE"""),"cd68a607-af95-45cb-b9f4-2721224c85f8")</f>
        <v>cd68a607-af95-45cb-b9f4-2721224c85f8</v>
      </c>
      <c r="C203" s="13" t="str">
        <f aca="false">IFERROR(__xludf.dummyfunction("""COMPUTED_VALUE"""),"Coca Cola plastic 1.5L")</f>
        <v>Coca Cola plastic 1.5L</v>
      </c>
      <c r="D203" s="13" t="str">
        <f aca="false">IFERROR(__xludf.dummyfunction("""COMPUTED_VALUE"""),"Coca Cola")</f>
        <v>Coca Cola</v>
      </c>
      <c r="E203" s="13" t="str">
        <f aca="false">IFERROR(__xludf.dummyfunction("""COMPUTED_VALUE"""),"Beverages")</f>
        <v>Beverages</v>
      </c>
      <c r="F203" s="11" t="n">
        <f aca="false">IFERROR(__xludf.dummyfunction("""COMPUTED_VALUE"""),45072)</f>
        <v>45072</v>
      </c>
      <c r="G203" s="16" t="n">
        <f aca="false">IFERROR(__xludf.dummyfunction("""COMPUTED_VALUE"""),0.472055509259098)</f>
        <v>0.4720555093</v>
      </c>
      <c r="H203" s="13" t="str">
        <f aca="false">IFERROR(__xludf.dummyfunction("""COMPUTED_VALUE"""),"damaged stock")</f>
        <v>damaged stock</v>
      </c>
      <c r="I203" s="13" t="n">
        <f aca="false">IFERROR(__xludf.dummyfunction("""COMPUTED_VALUE"""),3)</f>
        <v>3</v>
      </c>
      <c r="J203" s="13" t="n">
        <f aca="false">IFERROR(__xludf.dummyfunction("""COMPUTED_VALUE"""),755)</f>
        <v>755</v>
      </c>
      <c r="K203" s="13" t="n">
        <f aca="false">IFERROR(__xludf.dummyfunction("""COMPUTED_VALUE"""),2265)</f>
        <v>2265</v>
      </c>
      <c r="L203" s="13" t="str">
        <f aca="false">IFERROR(__xludf.dummyfunction("""COMPUTED_VALUE"""),"[Code: 34455F] TA: found in loose condition and emply botels(Company end issue)")</f>
        <v>[Code: 34455F] TA: found in loose condition and emply botels(Company end issue)</v>
      </c>
      <c r="M203" s="13" t="str">
        <f aca="false">IFERROR(__xludf.dummyfunction("""COMPUTED_VALUE"""),"34455F")</f>
        <v>34455F</v>
      </c>
      <c r="N203" s="13"/>
      <c r="O203" s="13" t="str">
        <f aca="false">IFERROR(__xludf.dummyfunction("""COMPUTED_VALUE"""),"taufeeq.akhtar@tajir-app.com")</f>
        <v>taufeeq.akhtar@tajir-app.com</v>
      </c>
      <c r="P203" s="13" t="str">
        <f aca="false">IFERROR(__xludf.dummyfunction("""COMPUTED_VALUE"""),"Taufeeq Akhtar ")</f>
        <v>Taufeeq Akhtar </v>
      </c>
      <c r="Q203" s="13" t="str">
        <f aca="false">IF(L203="","",L203)</f>
        <v>[Code: 34455F] TA: found in loose condition and emply botels(Company end issue)</v>
      </c>
    </row>
    <row r="204" customFormat="false" ht="15.75" hidden="false" customHeight="false" outlineLevel="0" collapsed="false">
      <c r="A204" s="13" t="str">
        <f aca="false">IFERROR(__xludf.dummyfunction("""COMPUTED_VALUE"""),"Metro DC Faisalabad")</f>
        <v>Metro DC Faisalabad</v>
      </c>
      <c r="B204" s="13" t="str">
        <f aca="false">IFERROR(__xludf.dummyfunction("""COMPUTED_VALUE"""),"0ec2fbab-4de7-42eb-baaa-9d579f1547ab")</f>
        <v>0ec2fbab-4de7-42eb-baaa-9d579f1547ab</v>
      </c>
      <c r="C204" s="13" t="str">
        <f aca="false">IFERROR(__xludf.dummyfunction("""COMPUTED_VALUE"""),"Swadi Dharra Mirch 2kg")</f>
        <v>Swadi Dharra Mirch 2kg</v>
      </c>
      <c r="D204" s="13" t="str">
        <f aca="false">IFERROR(__xludf.dummyfunction("""COMPUTED_VALUE"""),"Swadi")</f>
        <v>Swadi</v>
      </c>
      <c r="E204" s="13" t="str">
        <f aca="false">IFERROR(__xludf.dummyfunction("""COMPUTED_VALUE"""),"Spices")</f>
        <v>Spices</v>
      </c>
      <c r="F204" s="11" t="n">
        <f aca="false">IFERROR(__xludf.dummyfunction("""COMPUTED_VALUE"""),45073)</f>
        <v>45073</v>
      </c>
      <c r="G204" s="16" t="n">
        <f aca="false">IFERROR(__xludf.dummyfunction("""COMPUTED_VALUE"""),0.959635590277638)</f>
        <v>0.9596355903</v>
      </c>
      <c r="H204" s="13" t="str">
        <f aca="false">IFERROR(__xludf.dummyfunction("""COMPUTED_VALUE"""),"damaged stock")</f>
        <v>damaged stock</v>
      </c>
      <c r="I204" s="13" t="n">
        <f aca="false">IFERROR(__xludf.dummyfunction("""COMPUTED_VALUE"""),2)</f>
        <v>2</v>
      </c>
      <c r="J204" s="13" t="n">
        <f aca="false">IFERROR(__xludf.dummyfunction("""COMPUTED_VALUE"""),1200)</f>
        <v>1200</v>
      </c>
      <c r="K204" s="13" t="n">
        <f aca="false">IFERROR(__xludf.dummyfunction("""COMPUTED_VALUE"""),2400)</f>
        <v>2400</v>
      </c>
      <c r="L204" s="13" t="str">
        <f aca="false">IFERROR(__xludf.dummyfunction("""COMPUTED_VALUE"""),"[Code: 566GHH] TA: quality bari kharab hay. ulli lagi hui hay.")</f>
        <v>[Code: 566GHH] TA: quality bari kharab hay. ulli lagi hui hay.</v>
      </c>
      <c r="M204" s="13" t="str">
        <f aca="false">IFERROR(__xludf.dummyfunction("""COMPUTED_VALUE"""),"566GHH")</f>
        <v>566GHH</v>
      </c>
      <c r="N204" s="13"/>
      <c r="O204" s="13" t="str">
        <f aca="false">IFERROR(__xludf.dummyfunction("""COMPUTED_VALUE"""),"taufeeq.akhtar@tajir-app.com")</f>
        <v>taufeeq.akhtar@tajir-app.com</v>
      </c>
      <c r="P204" s="13" t="str">
        <f aca="false">IFERROR(__xludf.dummyfunction("""COMPUTED_VALUE"""),"Taufeeq Akhtar ")</f>
        <v>Taufeeq Akhtar </v>
      </c>
      <c r="Q204" s="13" t="str">
        <f aca="false">IF(L204="","",L204)</f>
        <v>[Code: 566GHH] TA: quality bari kharab hay. ulli lagi hui hay.</v>
      </c>
    </row>
    <row r="205" customFormat="false" ht="15.75" hidden="false" customHeight="false" outlineLevel="0" collapsed="false">
      <c r="A205" s="13" t="str">
        <f aca="false">IFERROR(__xludf.dummyfunction("""COMPUTED_VALUE"""),"Metro DC Faisalabad")</f>
        <v>Metro DC Faisalabad</v>
      </c>
      <c r="B205" s="13" t="str">
        <f aca="false">IFERROR(__xludf.dummyfunction("""COMPUTED_VALUE"""),"10f5c620-05d2-4bff-bf22-3c02b5a12fc2")</f>
        <v>10f5c620-05d2-4bff-bf22-3c02b5a12fc2</v>
      </c>
      <c r="C205" s="13" t="str">
        <f aca="false">IFERROR(__xludf.dummyfunction("""COMPUTED_VALUE"""),"Sherdil White Chana Bareek 5kg")</f>
        <v>Sherdil White Chana Bareek 5kg</v>
      </c>
      <c r="D205" s="13" t="str">
        <f aca="false">IFERROR(__xludf.dummyfunction("""COMPUTED_VALUE"""),"Sherdil")</f>
        <v>Sherdil</v>
      </c>
      <c r="E205" s="13" t="str">
        <f aca="false">IFERROR(__xludf.dummyfunction("""COMPUTED_VALUE"""),"Pulses")</f>
        <v>Pulses</v>
      </c>
      <c r="F205" s="11" t="n">
        <f aca="false">IFERROR(__xludf.dummyfunction("""COMPUTED_VALUE"""),45073)</f>
        <v>45073</v>
      </c>
      <c r="G205" s="16" t="n">
        <f aca="false">IFERROR(__xludf.dummyfunction("""COMPUTED_VALUE"""),0.520634722223241)</f>
        <v>0.5206347222</v>
      </c>
      <c r="H205" s="13" t="str">
        <f aca="false">IFERROR(__xludf.dummyfunction("""COMPUTED_VALUE"""),"damaged stock")</f>
        <v>damaged stock</v>
      </c>
      <c r="I205" s="13" t="n">
        <f aca="false">IFERROR(__xludf.dummyfunction("""COMPUTED_VALUE"""),2)</f>
        <v>2</v>
      </c>
      <c r="J205" s="13" t="n">
        <f aca="false">IFERROR(__xludf.dummyfunction("""COMPUTED_VALUE"""),1800)</f>
        <v>1800</v>
      </c>
      <c r="K205" s="13" t="n">
        <f aca="false">IFERROR(__xludf.dummyfunction("""COMPUTED_VALUE"""),3600)</f>
        <v>3600</v>
      </c>
      <c r="L205" s="13" t="str">
        <f aca="false">IFERROR(__xludf.dummyfunction("""COMPUTED_VALUE"""),"[Code: 223356] 02 units found damaged due to fungus")</f>
        <v>[Code: 223356] 02 units found damaged due to fungus</v>
      </c>
      <c r="M205" s="13" t="str">
        <f aca="false">IFERROR(__xludf.dummyfunction("""COMPUTED_VALUE"""),"223356")</f>
        <v>223356</v>
      </c>
      <c r="N205" s="13"/>
      <c r="O205" s="13" t="str">
        <f aca="false">IFERROR(__xludf.dummyfunction("""COMPUTED_VALUE"""),"ali.raza@tajir-app.com")</f>
        <v>ali.raza@tajir-app.com</v>
      </c>
      <c r="P205" s="13" t="str">
        <f aca="false">IFERROR(__xludf.dummyfunction("""COMPUTED_VALUE"""),"Ali Raza ")</f>
        <v>Ali Raza </v>
      </c>
      <c r="Q205" s="13" t="str">
        <f aca="false">IF(L205="","",L205)</f>
        <v>[Code: 223356] 02 units found damaged due to fungus</v>
      </c>
    </row>
    <row r="206" customFormat="false" ht="15.75" hidden="false" customHeight="false" outlineLevel="0" collapsed="false">
      <c r="A206" s="13" t="str">
        <f aca="false">IFERROR(__xludf.dummyfunction("""COMPUTED_VALUE"""),"Metro DC Faisalabad")</f>
        <v>Metro DC Faisalabad</v>
      </c>
      <c r="B206" s="13" t="str">
        <f aca="false">IFERROR(__xludf.dummyfunction("""COMPUTED_VALUE"""),"c2dbed6e-d95e-4c43-b456-e74524aeabd0")</f>
        <v>c2dbed6e-d95e-4c43-b456-e74524aeabd0</v>
      </c>
      <c r="C206" s="13" t="str">
        <f aca="false">IFERROR(__xludf.dummyfunction("""COMPUTED_VALUE"""),"Sherdil White Chana Bareek 500g")</f>
        <v>Sherdil White Chana Bareek 500g</v>
      </c>
      <c r="D206" s="13" t="str">
        <f aca="false">IFERROR(__xludf.dummyfunction("""COMPUTED_VALUE"""),"Sherdil")</f>
        <v>Sherdil</v>
      </c>
      <c r="E206" s="13" t="str">
        <f aca="false">IFERROR(__xludf.dummyfunction("""COMPUTED_VALUE"""),"Pulses")</f>
        <v>Pulses</v>
      </c>
      <c r="F206" s="11" t="n">
        <f aca="false">IFERROR(__xludf.dummyfunction("""COMPUTED_VALUE"""),45073)</f>
        <v>45073</v>
      </c>
      <c r="G206" s="16" t="n">
        <f aca="false">IFERROR(__xludf.dummyfunction("""COMPUTED_VALUE"""),0.520312118057216)</f>
        <v>0.5203121181</v>
      </c>
      <c r="H206" s="13" t="str">
        <f aca="false">IFERROR(__xludf.dummyfunction("""COMPUTED_VALUE"""),"damaged stock")</f>
        <v>damaged stock</v>
      </c>
      <c r="I206" s="13" t="n">
        <f aca="false">IFERROR(__xludf.dummyfunction("""COMPUTED_VALUE"""),1)</f>
        <v>1</v>
      </c>
      <c r="J206" s="13" t="n">
        <f aca="false">IFERROR(__xludf.dummyfunction("""COMPUTED_VALUE"""),195)</f>
        <v>195</v>
      </c>
      <c r="K206" s="13" t="n">
        <f aca="false">IFERROR(__xludf.dummyfunction("""COMPUTED_VALUE"""),195)</f>
        <v>195</v>
      </c>
      <c r="L206" s="13" t="str">
        <f aca="false">IFERROR(__xludf.dummyfunction("""COMPUTED_VALUE"""),"[Code: 44556H] 01 unit found damaged due to fungus")</f>
        <v>[Code: 44556H] 01 unit found damaged due to fungus</v>
      </c>
      <c r="M206" s="13" t="str">
        <f aca="false">IFERROR(__xludf.dummyfunction("""COMPUTED_VALUE"""),"44556H")</f>
        <v>44556H</v>
      </c>
      <c r="N206" s="13"/>
      <c r="O206" s="13" t="str">
        <f aca="false">IFERROR(__xludf.dummyfunction("""COMPUTED_VALUE"""),"ali.raza@tajir-app.com")</f>
        <v>ali.raza@tajir-app.com</v>
      </c>
      <c r="P206" s="13" t="str">
        <f aca="false">IFERROR(__xludf.dummyfunction("""COMPUTED_VALUE"""),"Ali Raza ")</f>
        <v>Ali Raza </v>
      </c>
      <c r="Q206" s="13" t="str">
        <f aca="false">IF(L206="","",L206)</f>
        <v>[Code: 44556H] 01 unit found damaged due to fungus</v>
      </c>
    </row>
    <row r="207" customFormat="false" ht="15.75" hidden="false" customHeight="false" outlineLevel="0" collapsed="false">
      <c r="A207" s="13" t="str">
        <f aca="false">IFERROR(__xludf.dummyfunction("""COMPUTED_VALUE"""),"Metro DC Faisalabad")</f>
        <v>Metro DC Faisalabad</v>
      </c>
      <c r="B207" s="13" t="str">
        <f aca="false">IFERROR(__xludf.dummyfunction("""COMPUTED_VALUE"""),"eb5c71cb-609c-4f22-a442-ffab083be8ac")</f>
        <v>eb5c71cb-609c-4f22-a442-ffab083be8ac</v>
      </c>
      <c r="C207" s="13" t="str">
        <f aca="false">IFERROR(__xludf.dummyfunction("""COMPUTED_VALUE"""),"Sherdil Masar Desi 1kg")</f>
        <v>Sherdil Masar Desi 1kg</v>
      </c>
      <c r="D207" s="13" t="str">
        <f aca="false">IFERROR(__xludf.dummyfunction("""COMPUTED_VALUE"""),"Sherdil")</f>
        <v>Sherdil</v>
      </c>
      <c r="E207" s="13" t="str">
        <f aca="false">IFERROR(__xludf.dummyfunction("""COMPUTED_VALUE"""),"Pulses")</f>
        <v>Pulses</v>
      </c>
      <c r="F207" s="11" t="n">
        <f aca="false">IFERROR(__xludf.dummyfunction("""COMPUTED_VALUE"""),45073)</f>
        <v>45073</v>
      </c>
      <c r="G207" s="16" t="n">
        <f aca="false">IFERROR(__xludf.dummyfunction("""COMPUTED_VALUE"""),0.519871759259971)</f>
        <v>0.5198717593</v>
      </c>
      <c r="H207" s="13" t="str">
        <f aca="false">IFERROR(__xludf.dummyfunction("""COMPUTED_VALUE"""),"damaged stock")</f>
        <v>damaged stock</v>
      </c>
      <c r="I207" s="13" t="n">
        <f aca="false">IFERROR(__xludf.dummyfunction("""COMPUTED_VALUE"""),1)</f>
        <v>1</v>
      </c>
      <c r="J207" s="13" t="n">
        <f aca="false">IFERROR(__xludf.dummyfunction("""COMPUTED_VALUE"""),569)</f>
        <v>569</v>
      </c>
      <c r="K207" s="13" t="n">
        <f aca="false">IFERROR(__xludf.dummyfunction("""COMPUTED_VALUE"""),569)</f>
        <v>569</v>
      </c>
      <c r="L207" s="13" t="str">
        <f aca="false">IFERROR(__xludf.dummyfunction("""COMPUTED_VALUE"""),"[Code: 3448CJ] 01 unit found damaged due to fungus ")</f>
        <v>[Code: 3448CJ] 01 unit found damaged due to fungus </v>
      </c>
      <c r="M207" s="13" t="str">
        <f aca="false">IFERROR(__xludf.dummyfunction("""COMPUTED_VALUE"""),"3448CJ")</f>
        <v>3448CJ</v>
      </c>
      <c r="N207" s="13"/>
      <c r="O207" s="13" t="str">
        <f aca="false">IFERROR(__xludf.dummyfunction("""COMPUTED_VALUE"""),"ali.raza@tajir-app.com")</f>
        <v>ali.raza@tajir-app.com</v>
      </c>
      <c r="P207" s="13" t="str">
        <f aca="false">IFERROR(__xludf.dummyfunction("""COMPUTED_VALUE"""),"Ali Raza ")</f>
        <v>Ali Raza </v>
      </c>
      <c r="Q207" s="13" t="str">
        <f aca="false">IF(L207="","",L207)</f>
        <v>[Code: 3448CJ] 01 unit found damaged due to fungus </v>
      </c>
    </row>
    <row r="208" customFormat="false" ht="15.75" hidden="false" customHeight="false" outlineLevel="0" collapsed="false">
      <c r="A208" s="13" t="str">
        <f aca="false">IFERROR(__xludf.dummyfunction("""COMPUTED_VALUE"""),"Metro DC Faisalabad")</f>
        <v>Metro DC Faisalabad</v>
      </c>
      <c r="B208" s="13" t="str">
        <f aca="false">IFERROR(__xludf.dummyfunction("""COMPUTED_VALUE"""),"978a88b5-e0d1-4d9d-b7a1-90921ab8d4f0")</f>
        <v>978a88b5-e0d1-4d9d-b7a1-90921ab8d4f0</v>
      </c>
      <c r="C208" s="13" t="str">
        <f aca="false">IFERROR(__xludf.dummyfunction("""COMPUTED_VALUE"""),"Sherdil Daal Mash Wash 5kg")</f>
        <v>Sherdil Daal Mash Wash 5kg</v>
      </c>
      <c r="D208" s="13" t="str">
        <f aca="false">IFERROR(__xludf.dummyfunction("""COMPUTED_VALUE"""),"Sherdil")</f>
        <v>Sherdil</v>
      </c>
      <c r="E208" s="13" t="str">
        <f aca="false">IFERROR(__xludf.dummyfunction("""COMPUTED_VALUE"""),"Pulses")</f>
        <v>Pulses</v>
      </c>
      <c r="F208" s="11" t="n">
        <f aca="false">IFERROR(__xludf.dummyfunction("""COMPUTED_VALUE"""),45073)</f>
        <v>45073</v>
      </c>
      <c r="G208" s="16" t="n">
        <f aca="false">IFERROR(__xludf.dummyfunction("""COMPUTED_VALUE"""),0.517900023147297)</f>
        <v>0.5179000231</v>
      </c>
      <c r="H208" s="13" t="str">
        <f aca="false">IFERROR(__xludf.dummyfunction("""COMPUTED_VALUE"""),"damaged stock")</f>
        <v>damaged stock</v>
      </c>
      <c r="I208" s="13" t="n">
        <f aca="false">IFERROR(__xludf.dummyfunction("""COMPUTED_VALUE"""),1)</f>
        <v>1</v>
      </c>
      <c r="J208" s="13" t="n">
        <f aca="false">IFERROR(__xludf.dummyfunction("""COMPUTED_VALUE"""),2500)</f>
        <v>2500</v>
      </c>
      <c r="K208" s="13" t="n">
        <f aca="false">IFERROR(__xludf.dummyfunction("""COMPUTED_VALUE"""),2500)</f>
        <v>2500</v>
      </c>
      <c r="L208" s="13" t="str">
        <f aca="false">IFERROR(__xludf.dummyfunction("""COMPUTED_VALUE"""),"[Code: 333357] 01 unit found damaged due to fungus")</f>
        <v>[Code: 333357] 01 unit found damaged due to fungus</v>
      </c>
      <c r="M208" s="13" t="str">
        <f aca="false">IFERROR(__xludf.dummyfunction("""COMPUTED_VALUE"""),"333357")</f>
        <v>333357</v>
      </c>
      <c r="N208" s="13"/>
      <c r="O208" s="13" t="str">
        <f aca="false">IFERROR(__xludf.dummyfunction("""COMPUTED_VALUE"""),"ali.raza@tajir-app.com")</f>
        <v>ali.raza@tajir-app.com</v>
      </c>
      <c r="P208" s="13" t="str">
        <f aca="false">IFERROR(__xludf.dummyfunction("""COMPUTED_VALUE"""),"Ali Raza ")</f>
        <v>Ali Raza </v>
      </c>
      <c r="Q208" s="13" t="str">
        <f aca="false">IF(L208="","",L208)</f>
        <v>[Code: 333357] 01 unit found damaged due to fungus</v>
      </c>
    </row>
    <row r="209" customFormat="false" ht="15.75" hidden="false" customHeight="false" outlineLevel="0" collapsed="false">
      <c r="A209" s="13" t="str">
        <f aca="false">IFERROR(__xludf.dummyfunction("""COMPUTED_VALUE"""),"Metro DC Faisalabad")</f>
        <v>Metro DC Faisalabad</v>
      </c>
      <c r="B209" s="13" t="str">
        <f aca="false">IFERROR(__xludf.dummyfunction("""COMPUTED_VALUE"""),"0b39f0e9-812a-42f4-a3d7-8dbb4a2038b0")</f>
        <v>0b39f0e9-812a-42f4-a3d7-8dbb4a2038b0</v>
      </c>
      <c r="C209" s="13" t="str">
        <f aca="false">IFERROR(__xludf.dummyfunction("""COMPUTED_VALUE"""),"Kashmir Cooking Oil 1L x5 Polybags")</f>
        <v>Kashmir Cooking Oil 1L x5 Polybags</v>
      </c>
      <c r="D209" s="13" t="str">
        <f aca="false">IFERROR(__xludf.dummyfunction("""COMPUTED_VALUE"""),"Kashmir")</f>
        <v>Kashmir</v>
      </c>
      <c r="E209" s="13" t="str">
        <f aca="false">IFERROR(__xludf.dummyfunction("""COMPUTED_VALUE"""),"Ghee and Oil")</f>
        <v>Ghee and Oil</v>
      </c>
      <c r="F209" s="11" t="n">
        <f aca="false">IFERROR(__xludf.dummyfunction("""COMPUTED_VALUE"""),45073)</f>
        <v>45073</v>
      </c>
      <c r="G209" s="16" t="n">
        <f aca="false">IFERROR(__xludf.dummyfunction("""COMPUTED_VALUE"""),0.477019675925942)</f>
        <v>0.4770196759</v>
      </c>
      <c r="H209" s="13" t="str">
        <f aca="false">IFERROR(__xludf.dummyfunction("""COMPUTED_VALUE"""),"damaged stock")</f>
        <v>damaged stock</v>
      </c>
      <c r="I209" s="13" t="n">
        <f aca="false">IFERROR(__xludf.dummyfunction("""COMPUTED_VALUE"""),1)</f>
        <v>1</v>
      </c>
      <c r="J209" s="13" t="n">
        <f aca="false">IFERROR(__xludf.dummyfunction("""COMPUTED_VALUE"""),3214.33)</f>
        <v>3214.33</v>
      </c>
      <c r="K209" s="13" t="n">
        <f aca="false">IFERROR(__xludf.dummyfunction("""COMPUTED_VALUE"""),3214.33)</f>
        <v>3214.33</v>
      </c>
      <c r="L209" s="13" t="str">
        <f aca="false">IFERROR(__xludf.dummyfunction("""COMPUTED_VALUE"""),"[Code: 226BDF] 01 unit found damaged (1 pouch leak in ctn)")</f>
        <v>[Code: 226BDF] 01 unit found damaged (1 pouch leak in ctn)</v>
      </c>
      <c r="M209" s="13" t="str">
        <f aca="false">IFERROR(__xludf.dummyfunction("""COMPUTED_VALUE"""),"226BDF")</f>
        <v>226BDF</v>
      </c>
      <c r="N209" s="13"/>
      <c r="O209" s="13" t="str">
        <f aca="false">IFERROR(__xludf.dummyfunction("""COMPUTED_VALUE"""),"ali.raza@tajir-app.com")</f>
        <v>ali.raza@tajir-app.com</v>
      </c>
      <c r="P209" s="13" t="str">
        <f aca="false">IFERROR(__xludf.dummyfunction("""COMPUTED_VALUE"""),"Ali Raza ")</f>
        <v>Ali Raza </v>
      </c>
      <c r="Q209" s="13" t="str">
        <f aca="false">IF(L209="","",L209)</f>
        <v>[Code: 226BDF] 01 unit found damaged (1 pouch leak in ctn)</v>
      </c>
    </row>
    <row r="210" customFormat="false" ht="15.75" hidden="false" customHeight="false" outlineLevel="0" collapsed="false">
      <c r="A210" s="13" t="str">
        <f aca="false">IFERROR(__xludf.dummyfunction("""COMPUTED_VALUE"""),"Metro DC Faisalabad")</f>
        <v>Metro DC Faisalabad</v>
      </c>
      <c r="B210" s="13" t="str">
        <f aca="false">IFERROR(__xludf.dummyfunction("""COMPUTED_VALUE"""),"d35314e0-f3f4-47fe-90aa-af65dab10e9d")</f>
        <v>d35314e0-f3f4-47fe-90aa-af65dab10e9d</v>
      </c>
      <c r="C210" s="13" t="str">
        <f aca="false">IFERROR(__xludf.dummyfunction("""COMPUTED_VALUE"""),"Bonus tristar detergent x6 bundle 48g Rs10")</f>
        <v>Bonus tristar detergent x6 bundle 48g Rs10</v>
      </c>
      <c r="D210" s="13" t="str">
        <f aca="false">IFERROR(__xludf.dummyfunction("""COMPUTED_VALUE"""),"Bonus Surf")</f>
        <v>Bonus Surf</v>
      </c>
      <c r="E210" s="13" t="str">
        <f aca="false">IFERROR(__xludf.dummyfunction("""COMPUTED_VALUE"""),"Surf, Bleach")</f>
        <v>Surf, Bleach</v>
      </c>
      <c r="F210" s="11" t="n">
        <f aca="false">IFERROR(__xludf.dummyfunction("""COMPUTED_VALUE"""),45074)</f>
        <v>45074</v>
      </c>
      <c r="G210" s="16" t="n">
        <f aca="false">IFERROR(__xludf.dummyfunction("""COMPUTED_VALUE"""),0.965238495370058)</f>
        <v>0.9652384954</v>
      </c>
      <c r="H210" s="13" t="str">
        <f aca="false">IFERROR(__xludf.dummyfunction("""COMPUTED_VALUE"""),"damaged stock")</f>
        <v>damaged stock</v>
      </c>
      <c r="I210" s="13" t="n">
        <f aca="false">IFERROR(__xludf.dummyfunction("""COMPUTED_VALUE"""),6)</f>
        <v>6</v>
      </c>
      <c r="J210" s="13" t="n">
        <f aca="false">IFERROR(__xludf.dummyfunction("""COMPUTED_VALUE"""),55.25)</f>
        <v>55.25</v>
      </c>
      <c r="K210" s="13" t="n">
        <f aca="false">IFERROR(__xludf.dummyfunction("""COMPUTED_VALUE"""),331.5)</f>
        <v>331.5</v>
      </c>
      <c r="L210" s="13" t="str">
        <f aca="false">IFERROR(__xludf.dummyfunction("""COMPUTED_VALUE"""),"[Code: 579ACG] ; 6unit Damage found   (Bags sy damage mila he sorting ky doran)")</f>
        <v>[Code: 579ACG] ; 6unit Damage found   (Bags sy damage mila he sorting ky doran)</v>
      </c>
      <c r="M210" s="13" t="str">
        <f aca="false">IFERROR(__xludf.dummyfunction("""COMPUTED_VALUE"""),"579ACG")</f>
        <v>579ACG</v>
      </c>
      <c r="N210" s="13"/>
      <c r="O210" s="13" t="str">
        <f aca="false">IFERROR(__xludf.dummyfunction("""COMPUTED_VALUE"""),"taufeeq.akhtar@tajir-app.com")</f>
        <v>taufeeq.akhtar@tajir-app.com</v>
      </c>
      <c r="P210" s="13" t="str">
        <f aca="false">IFERROR(__xludf.dummyfunction("""COMPUTED_VALUE"""),"Taufeeq Akhtar ")</f>
        <v>Taufeeq Akhtar </v>
      </c>
      <c r="Q210" s="13" t="str">
        <f aca="false">IF(L210="","",L210)</f>
        <v>[Code: 579ACG] ; 6unit Damage found   (Bags sy damage mila he sorting ky doran)</v>
      </c>
    </row>
    <row r="211" customFormat="false" ht="15.75" hidden="false" customHeight="false" outlineLevel="0" collapsed="false">
      <c r="A211" s="13" t="str">
        <f aca="false">IFERROR(__xludf.dummyfunction("""COMPUTED_VALUE"""),"Metro DC Faisalabad")</f>
        <v>Metro DC Faisalabad</v>
      </c>
      <c r="B211" s="13" t="str">
        <f aca="false">IFERROR(__xludf.dummyfunction("""COMPUTED_VALUE"""),"0d2f17bc-36e0-41fe-b498-89a7a8a34416")</f>
        <v>0d2f17bc-36e0-41fe-b498-89a7a8a34416</v>
      </c>
      <c r="C211" s="13" t="str">
        <f aca="false">IFERROR(__xludf.dummyfunction("""COMPUTED_VALUE"""),"Brite Surf x12 bundle 23g Rs 10")</f>
        <v>Brite Surf x12 bundle 23g Rs 10</v>
      </c>
      <c r="D211" s="13" t="str">
        <f aca="false">IFERROR(__xludf.dummyfunction("""COMPUTED_VALUE"""),"Brite Surf")</f>
        <v>Brite Surf</v>
      </c>
      <c r="E211" s="13" t="str">
        <f aca="false">IFERROR(__xludf.dummyfunction("""COMPUTED_VALUE"""),"Surf, Bleach")</f>
        <v>Surf, Bleach</v>
      </c>
      <c r="F211" s="11" t="n">
        <f aca="false">IFERROR(__xludf.dummyfunction("""COMPUTED_VALUE"""),45074)</f>
        <v>45074</v>
      </c>
      <c r="G211" s="16" t="n">
        <f aca="false">IFERROR(__xludf.dummyfunction("""COMPUTED_VALUE"""),0.964724259259955)</f>
        <v>0.9647242593</v>
      </c>
      <c r="H211" s="13" t="str">
        <f aca="false">IFERROR(__xludf.dummyfunction("""COMPUTED_VALUE"""),"damaged stock")</f>
        <v>damaged stock</v>
      </c>
      <c r="I211" s="13" t="n">
        <f aca="false">IFERROR(__xludf.dummyfunction("""COMPUTED_VALUE"""),4)</f>
        <v>4</v>
      </c>
      <c r="J211" s="13" t="n">
        <f aca="false">IFERROR(__xludf.dummyfunction("""COMPUTED_VALUE"""),107.91)</f>
        <v>107.91</v>
      </c>
      <c r="K211" s="13" t="n">
        <f aca="false">IFERROR(__xludf.dummyfunction("""COMPUTED_VALUE"""),431.64)</f>
        <v>431.64</v>
      </c>
      <c r="L211" s="13" t="str">
        <f aca="false">IFERROR(__xludf.dummyfunction("""COMPUTED_VALUE"""),"[Code: 79ACDD] TA; 4unit Damage found   (Bags sy damage mila he sorting ky doran)")</f>
        <v>[Code: 79ACDD] TA; 4unit Damage found   (Bags sy damage mila he sorting ky doran)</v>
      </c>
      <c r="M211" s="13" t="str">
        <f aca="false">IFERROR(__xludf.dummyfunction("""COMPUTED_VALUE"""),"79ACDD")</f>
        <v>79ACDD</v>
      </c>
      <c r="N211" s="13"/>
      <c r="O211" s="13" t="str">
        <f aca="false">IFERROR(__xludf.dummyfunction("""COMPUTED_VALUE"""),"taufeeq.akhtar@tajir-app.com")</f>
        <v>taufeeq.akhtar@tajir-app.com</v>
      </c>
      <c r="P211" s="13" t="str">
        <f aca="false">IFERROR(__xludf.dummyfunction("""COMPUTED_VALUE"""),"Taufeeq Akhtar ")</f>
        <v>Taufeeq Akhtar </v>
      </c>
      <c r="Q211" s="13" t="str">
        <f aca="false">IF(L211="","",L211)</f>
        <v>[Code: 79ACDD] TA; 4unit Damage found   (Bags sy damage mila he sorting ky doran)</v>
      </c>
    </row>
    <row r="212" customFormat="false" ht="15.75" hidden="false" customHeight="false" outlineLevel="0" collapsed="false">
      <c r="A212" s="13" t="str">
        <f aca="false">IFERROR(__xludf.dummyfunction("""COMPUTED_VALUE"""),"Metro DC Faisalabad")</f>
        <v>Metro DC Faisalabad</v>
      </c>
      <c r="B212" s="13" t="str">
        <f aca="false">IFERROR(__xludf.dummyfunction("""COMPUTED_VALUE"""),"44f4762f-5274-4866-a30e-c35aa97fb23e")</f>
        <v>44f4762f-5274-4866-a30e-c35aa97fb23e</v>
      </c>
      <c r="C212" s="13" t="str">
        <f aca="false">IFERROR(__xludf.dummyfunction("""COMPUTED_VALUE"""),"Bonus tristar yellow surf 250g Rs50")</f>
        <v>Bonus tristar yellow surf 250g Rs50</v>
      </c>
      <c r="D212" s="13" t="str">
        <f aca="false">IFERROR(__xludf.dummyfunction("""COMPUTED_VALUE"""),"Bonus Surf")</f>
        <v>Bonus Surf</v>
      </c>
      <c r="E212" s="13" t="str">
        <f aca="false">IFERROR(__xludf.dummyfunction("""COMPUTED_VALUE"""),"Surf, Bleach")</f>
        <v>Surf, Bleach</v>
      </c>
      <c r="F212" s="11" t="n">
        <f aca="false">IFERROR(__xludf.dummyfunction("""COMPUTED_VALUE"""),45074)</f>
        <v>45074</v>
      </c>
      <c r="G212" s="16" t="n">
        <f aca="false">IFERROR(__xludf.dummyfunction("""COMPUTED_VALUE"""),0.963978090277233)</f>
        <v>0.9639780903</v>
      </c>
      <c r="H212" s="13" t="str">
        <f aca="false">IFERROR(__xludf.dummyfunction("""COMPUTED_VALUE"""),"damaged stock")</f>
        <v>damaged stock</v>
      </c>
      <c r="I212" s="13" t="n">
        <f aca="false">IFERROR(__xludf.dummyfunction("""COMPUTED_VALUE"""),1)</f>
        <v>1</v>
      </c>
      <c r="J212" s="13" t="n">
        <f aca="false">IFERROR(__xludf.dummyfunction("""COMPUTED_VALUE"""),45.59)</f>
        <v>45.59</v>
      </c>
      <c r="K212" s="13" t="n">
        <f aca="false">IFERROR(__xludf.dummyfunction("""COMPUTED_VALUE"""),45.59)</f>
        <v>45.59</v>
      </c>
      <c r="L212" s="13" t="str">
        <f aca="false">IFERROR(__xludf.dummyfunction("""COMPUTED_VALUE"""),"[Code: 2444AD] TA; 1unit Damage found   (Bags sy damage mila he sorting ky doran)")</f>
        <v>[Code: 2444AD] TA; 1unit Damage found   (Bags sy damage mila he sorting ky doran)</v>
      </c>
      <c r="M212" s="13" t="str">
        <f aca="false">IFERROR(__xludf.dummyfunction("""COMPUTED_VALUE"""),"2444AD")</f>
        <v>2444AD</v>
      </c>
      <c r="N212" s="13"/>
      <c r="O212" s="13" t="str">
        <f aca="false">IFERROR(__xludf.dummyfunction("""COMPUTED_VALUE"""),"taufeeq.akhtar@tajir-app.com")</f>
        <v>taufeeq.akhtar@tajir-app.com</v>
      </c>
      <c r="P212" s="13" t="str">
        <f aca="false">IFERROR(__xludf.dummyfunction("""COMPUTED_VALUE"""),"Taufeeq Akhtar ")</f>
        <v>Taufeeq Akhtar </v>
      </c>
      <c r="Q212" s="13" t="str">
        <f aca="false">IF(L212="","",L212)</f>
        <v>[Code: 2444AD] TA; 1unit Damage found   (Bags sy damage mila he sorting ky doran)</v>
      </c>
    </row>
    <row r="213" customFormat="false" ht="15.75" hidden="false" customHeight="false" outlineLevel="0" collapsed="false">
      <c r="A213" s="13" t="str">
        <f aca="false">IFERROR(__xludf.dummyfunction("""COMPUTED_VALUE"""),"Metro DC Faisalabad")</f>
        <v>Metro DC Faisalabad</v>
      </c>
      <c r="B213" s="13" t="str">
        <f aca="false">IFERROR(__xludf.dummyfunction("""COMPUTED_VALUE"""),"52258fdc-8b0c-4343-9884-310c160a213d")</f>
        <v>52258fdc-8b0c-4343-9884-310c160a213d</v>
      </c>
      <c r="C213" s="13" t="str">
        <f aca="false">IFERROR(__xludf.dummyfunction("""COMPUTED_VALUE"""),"Sunridge Fortified Chakki Atta 5kg")</f>
        <v>Sunridge Fortified Chakki Atta 5kg</v>
      </c>
      <c r="D213" s="13" t="str">
        <f aca="false">IFERROR(__xludf.dummyfunction("""COMPUTED_VALUE"""),"Sunridge")</f>
        <v>Sunridge</v>
      </c>
      <c r="E213" s="13" t="str">
        <f aca="false">IFERROR(__xludf.dummyfunction("""COMPUTED_VALUE"""),"Flour")</f>
        <v>Flour</v>
      </c>
      <c r="F213" s="11" t="n">
        <f aca="false">IFERROR(__xludf.dummyfunction("""COMPUTED_VALUE"""),45074)</f>
        <v>45074</v>
      </c>
      <c r="G213" s="16" t="n">
        <f aca="false">IFERROR(__xludf.dummyfunction("""COMPUTED_VALUE"""),0.839860462964316)</f>
        <v>0.839860463</v>
      </c>
      <c r="H213" s="13" t="str">
        <f aca="false">IFERROR(__xludf.dummyfunction("""COMPUTED_VALUE"""),"damaged stock")</f>
        <v>damaged stock</v>
      </c>
      <c r="I213" s="13" t="n">
        <f aca="false">IFERROR(__xludf.dummyfunction("""COMPUTED_VALUE"""),1)</f>
        <v>1</v>
      </c>
      <c r="J213" s="13" t="n">
        <f aca="false">IFERROR(__xludf.dummyfunction("""COMPUTED_VALUE"""),790.5)</f>
        <v>790.5</v>
      </c>
      <c r="K213" s="13" t="n">
        <f aca="false">IFERROR(__xludf.dummyfunction("""COMPUTED_VALUE"""),790.5)</f>
        <v>790.5</v>
      </c>
      <c r="L213" s="13" t="str">
        <f aca="false">IFERROR(__xludf.dummyfunction("""COMPUTED_VALUE"""),"[Code: 34567B] TA; 1unit damage during sorting (rack sy lgny ki wja sy damage howa he)")</f>
        <v>[Code: 34567B] TA; 1unit damage during sorting (rack sy lgny ki wja sy damage howa he)</v>
      </c>
      <c r="M213" s="13" t="str">
        <f aca="false">IFERROR(__xludf.dummyfunction("""COMPUTED_VALUE"""),"34567B")</f>
        <v>34567B</v>
      </c>
      <c r="N213" s="13"/>
      <c r="O213" s="13" t="str">
        <f aca="false">IFERROR(__xludf.dummyfunction("""COMPUTED_VALUE"""),"taufeeq.akhtar@tajir-app.com")</f>
        <v>taufeeq.akhtar@tajir-app.com</v>
      </c>
      <c r="P213" s="13" t="str">
        <f aca="false">IFERROR(__xludf.dummyfunction("""COMPUTED_VALUE"""),"Taufeeq Akhtar ")</f>
        <v>Taufeeq Akhtar </v>
      </c>
      <c r="Q213" s="13" t="str">
        <f aca="false">IF(L213="","",L213)</f>
        <v>[Code: 34567B] TA; 1unit damage during sorting (rack sy lgny ki wja sy damage howa he)</v>
      </c>
    </row>
    <row r="214" customFormat="false" ht="15.75" hidden="false" customHeight="false" outlineLevel="0" collapsed="false">
      <c r="A214" s="13" t="str">
        <f aca="false">IFERROR(__xludf.dummyfunction("""COMPUTED_VALUE"""),"Metro DC Faisalabad")</f>
        <v>Metro DC Faisalabad</v>
      </c>
      <c r="B214" s="13" t="str">
        <f aca="false">IFERROR(__xludf.dummyfunction("""COMPUTED_VALUE"""),"9c395894-35c2-4217-9eff-b0a22e04c2d1")</f>
        <v>9c395894-35c2-4217-9eff-b0a22e04c2d1</v>
      </c>
      <c r="C214" s="13" t="str">
        <f aca="false">IFERROR(__xludf.dummyfunction("""COMPUTED_VALUE"""),"Coca Cola plastic 2.25L (Jumbo)")</f>
        <v>Coca Cola plastic 2.25L (Jumbo)</v>
      </c>
      <c r="D214" s="13" t="str">
        <f aca="false">IFERROR(__xludf.dummyfunction("""COMPUTED_VALUE"""),"Coca Cola")</f>
        <v>Coca Cola</v>
      </c>
      <c r="E214" s="13" t="str">
        <f aca="false">IFERROR(__xludf.dummyfunction("""COMPUTED_VALUE"""),"Beverages")</f>
        <v>Beverages</v>
      </c>
      <c r="F214" s="11" t="n">
        <f aca="false">IFERROR(__xludf.dummyfunction("""COMPUTED_VALUE"""),45074)</f>
        <v>45074</v>
      </c>
      <c r="G214" s="16" t="n">
        <f aca="false">IFERROR(__xludf.dummyfunction("""COMPUTED_VALUE"""),0.830230046294879)</f>
        <v>0.8302300463</v>
      </c>
      <c r="H214" s="13" t="str">
        <f aca="false">IFERROR(__xludf.dummyfunction("""COMPUTED_VALUE"""),"damaged stock")</f>
        <v>damaged stock</v>
      </c>
      <c r="I214" s="13" t="n">
        <f aca="false">IFERROR(__xludf.dummyfunction("""COMPUTED_VALUE"""),1)</f>
        <v>1</v>
      </c>
      <c r="J214" s="13" t="n">
        <f aca="false">IFERROR(__xludf.dummyfunction("""COMPUTED_VALUE"""),1155)</f>
        <v>1155</v>
      </c>
      <c r="K214" s="13" t="n">
        <f aca="false">IFERROR(__xludf.dummyfunction("""COMPUTED_VALUE"""),1155)</f>
        <v>1155</v>
      </c>
      <c r="L214" s="13" t="str">
        <f aca="false">IFERROR(__xludf.dummyfunction("""COMPUTED_VALUE"""),"[Code: ABDEHH] TA; 1unit Damage found During loading")</f>
        <v>[Code: ABDEHH] TA; 1unit Damage found During loading</v>
      </c>
      <c r="M214" s="13" t="str">
        <f aca="false">IFERROR(__xludf.dummyfunction("""COMPUTED_VALUE"""),"ABDEHH")</f>
        <v>ABDEHH</v>
      </c>
      <c r="N214" s="13"/>
      <c r="O214" s="13" t="str">
        <f aca="false">IFERROR(__xludf.dummyfunction("""COMPUTED_VALUE"""),"taufeeq.akhtar@tajir-app.com")</f>
        <v>taufeeq.akhtar@tajir-app.com</v>
      </c>
      <c r="P214" s="13" t="str">
        <f aca="false">IFERROR(__xludf.dummyfunction("""COMPUTED_VALUE"""),"Taufeeq Akhtar ")</f>
        <v>Taufeeq Akhtar </v>
      </c>
      <c r="Q214" s="13" t="str">
        <f aca="false">IF(L214="","",L214)</f>
        <v>[Code: ABDEHH] TA; 1unit Damage found During loading</v>
      </c>
    </row>
    <row r="215" customFormat="false" ht="15.75" hidden="false" customHeight="false" outlineLevel="0" collapsed="false">
      <c r="A215" s="13" t="str">
        <f aca="false">IFERROR(__xludf.dummyfunction("""COMPUTED_VALUE"""),"Metro DC Faisalabad")</f>
        <v>Metro DC Faisalabad</v>
      </c>
      <c r="B215" s="13" t="str">
        <f aca="false">IFERROR(__xludf.dummyfunction("""COMPUTED_VALUE"""),"539d3f2b-5d2f-484d-8e3e-659966482eb3")</f>
        <v>539d3f2b-5d2f-484d-8e3e-659966482eb3</v>
      </c>
      <c r="C215" s="13" t="str">
        <f aca="false">IFERROR(__xludf.dummyfunction("""COMPUTED_VALUE"""),"Mortein 2in1 All Insect Killer Spray 550ml")</f>
        <v>Mortein 2in1 All Insect Killer Spray 550ml</v>
      </c>
      <c r="D215" s="13" t="str">
        <f aca="false">IFERROR(__xludf.dummyfunction("""COMPUTED_VALUE"""),"Mortein")</f>
        <v>Mortein</v>
      </c>
      <c r="E215" s="13" t="str">
        <f aca="false">IFERROR(__xludf.dummyfunction("""COMPUTED_VALUE"""),"Home Care")</f>
        <v>Home Care</v>
      </c>
      <c r="F215" s="11" t="n">
        <f aca="false">IFERROR(__xludf.dummyfunction("""COMPUTED_VALUE"""),45075)</f>
        <v>45075</v>
      </c>
      <c r="G215" s="16" t="n">
        <f aca="false">IFERROR(__xludf.dummyfunction("""COMPUTED_VALUE"""),0.919885509259561)</f>
        <v>0.9198855093</v>
      </c>
      <c r="H215" s="13" t="str">
        <f aca="false">IFERROR(__xludf.dummyfunction("""COMPUTED_VALUE"""),"missing stock")</f>
        <v>missing stock</v>
      </c>
      <c r="I215" s="13" t="n">
        <f aca="false">IFERROR(__xludf.dummyfunction("""COMPUTED_VALUE"""),6)</f>
        <v>6</v>
      </c>
      <c r="J215" s="13" t="n">
        <f aca="false">IFERROR(__xludf.dummyfunction("""COMPUTED_VALUE"""),864.58)</f>
        <v>864.58</v>
      </c>
      <c r="K215" s="13" t="n">
        <f aca="false">IFERROR(__xludf.dummyfunction("""COMPUTED_VALUE"""),5187.48)</f>
        <v>5187.48</v>
      </c>
      <c r="L215" s="13" t="str">
        <f aca="false">IFERROR(__xludf.dummyfunction("""COMPUTED_VALUE"""),"TA: Mistakenly Lived.")</f>
        <v>TA: Mistakenly Lived.</v>
      </c>
      <c r="M215" s="13"/>
      <c r="N215" s="13"/>
      <c r="O215" s="13" t="str">
        <f aca="false">IFERROR(__xludf.dummyfunction("""COMPUTED_VALUE"""),"taufeeq.akhtar@tajir-app.com")</f>
        <v>taufeeq.akhtar@tajir-app.com</v>
      </c>
      <c r="P215" s="13" t="str">
        <f aca="false">IFERROR(__xludf.dummyfunction("""COMPUTED_VALUE"""),"Taufeeq Akhtar ")</f>
        <v>Taufeeq Akhtar </v>
      </c>
      <c r="Q215" s="13" t="str">
        <f aca="false">IF(L215="","",L215)</f>
        <v>TA: Mistakenly Lived.</v>
      </c>
    </row>
    <row r="216" customFormat="false" ht="15.75" hidden="false" customHeight="false" outlineLevel="0" collapsed="false">
      <c r="A216" s="13" t="str">
        <f aca="false">IFERROR(__xludf.dummyfunction("""COMPUTED_VALUE"""),"Metro DC Faisalabad")</f>
        <v>Metro DC Faisalabad</v>
      </c>
      <c r="B216" s="13" t="str">
        <f aca="false">IFERROR(__xludf.dummyfunction("""COMPUTED_VALUE"""),"3eb53e13-e76b-44dd-a61d-b094d3a33925")</f>
        <v>3eb53e13-e76b-44dd-a61d-b094d3a33925</v>
      </c>
      <c r="C216" s="13" t="str">
        <f aca="false">IFERROR(__xludf.dummyfunction("""COMPUTED_VALUE"""),"Peek Freans Sooper Biscuits Half Roll Rs40")</f>
        <v>Peek Freans Sooper Biscuits Half Roll Rs40</v>
      </c>
      <c r="D216" s="13" t="str">
        <f aca="false">IFERROR(__xludf.dummyfunction("""COMPUTED_VALUE"""),"Peek Freans")</f>
        <v>Peek Freans</v>
      </c>
      <c r="E216" s="13" t="str">
        <f aca="false">IFERROR(__xludf.dummyfunction("""COMPUTED_VALUE"""),"Biscuits, Wafers")</f>
        <v>Biscuits, Wafers</v>
      </c>
      <c r="F216" s="11" t="n">
        <f aca="false">IFERROR(__xludf.dummyfunction("""COMPUTED_VALUE"""),45076)</f>
        <v>45076</v>
      </c>
      <c r="G216" s="16" t="n">
        <f aca="false">IFERROR(__xludf.dummyfunction("""COMPUTED_VALUE"""),0.951699305554758)</f>
        <v>0.9516993056</v>
      </c>
      <c r="H216" s="13" t="str">
        <f aca="false">IFERROR(__xludf.dummyfunction("""COMPUTED_VALUE"""),"missing stock")</f>
        <v>missing stock</v>
      </c>
      <c r="I216" s="13" t="n">
        <f aca="false">IFERROR(__xludf.dummyfunction("""COMPUTED_VALUE"""),3)</f>
        <v>3</v>
      </c>
      <c r="J216" s="13" t="n">
        <f aca="false">IFERROR(__xludf.dummyfunction("""COMPUTED_VALUE"""),216)</f>
        <v>216</v>
      </c>
      <c r="K216" s="13" t="n">
        <f aca="false">IFERROR(__xludf.dummyfunction("""COMPUTED_VALUE"""),648)</f>
        <v>648</v>
      </c>
      <c r="L216" s="13" t="str">
        <f aca="false">IFERROR(__xludf.dummyfunction("""COMPUTED_VALUE"""),"TA; The requried sku not found.")</f>
        <v>TA; The requried sku not found.</v>
      </c>
      <c r="M216" s="13"/>
      <c r="N216" s="13"/>
      <c r="O216" s="13" t="str">
        <f aca="false">IFERROR(__xludf.dummyfunction("""COMPUTED_VALUE"""),"taufeeq.akhtar@tajir-app.com")</f>
        <v>taufeeq.akhtar@tajir-app.com</v>
      </c>
      <c r="P216" s="13" t="str">
        <f aca="false">IFERROR(__xludf.dummyfunction("""COMPUTED_VALUE"""),"Taufeeq Akhtar ")</f>
        <v>Taufeeq Akhtar </v>
      </c>
      <c r="Q216" s="13" t="str">
        <f aca="false">IF(L216="","",L216)</f>
        <v>TA; The requried sku not found.</v>
      </c>
    </row>
    <row r="217" customFormat="false" ht="15.75" hidden="false" customHeight="false" outlineLevel="0" collapsed="false">
      <c r="A217" s="13" t="str">
        <f aca="false">IFERROR(__xludf.dummyfunction("""COMPUTED_VALUE"""),"Metro DC Faisalabad")</f>
        <v>Metro DC Faisalabad</v>
      </c>
      <c r="B217" s="13" t="str">
        <f aca="false">IFERROR(__xludf.dummyfunction("""COMPUTED_VALUE"""),"938c9d77-dc4e-45d6-a00d-c76ba055f9d1")</f>
        <v>938c9d77-dc4e-45d6-a00d-c76ba055f9d1</v>
      </c>
      <c r="C217" s="13" t="str">
        <f aca="false">IFERROR(__xludf.dummyfunction("""COMPUTED_VALUE"""),"Sultan Canola Cooking Oil Bottle 3L Rs 1746")</f>
        <v>Sultan Canola Cooking Oil Bottle 3L Rs 1746</v>
      </c>
      <c r="D217" s="13" t="str">
        <f aca="false">IFERROR(__xludf.dummyfunction("""COMPUTED_VALUE"""),"Sultan")</f>
        <v>Sultan</v>
      </c>
      <c r="E217" s="13" t="str">
        <f aca="false">IFERROR(__xludf.dummyfunction("""COMPUTED_VALUE"""),"Ghee and Oil")</f>
        <v>Ghee and Oil</v>
      </c>
      <c r="F217" s="11" t="n">
        <f aca="false">IFERROR(__xludf.dummyfunction("""COMPUTED_VALUE"""),45076)</f>
        <v>45076</v>
      </c>
      <c r="G217" s="16" t="n">
        <f aca="false">IFERROR(__xludf.dummyfunction("""COMPUTED_VALUE"""),0.814601064813397)</f>
        <v>0.8146010648</v>
      </c>
      <c r="H217" s="13" t="str">
        <f aca="false">IFERROR(__xludf.dummyfunction("""COMPUTED_VALUE"""),"missing stock")</f>
        <v>missing stock</v>
      </c>
      <c r="I217" s="13" t="n">
        <f aca="false">IFERROR(__xludf.dummyfunction("""COMPUTED_VALUE"""),16)</f>
        <v>16</v>
      </c>
      <c r="J217" s="13" t="n">
        <f aca="false">IFERROR(__xludf.dummyfunction("""COMPUTED_VALUE"""),1536.23)</f>
        <v>1536.23</v>
      </c>
      <c r="K217" s="13" t="n">
        <f aca="false">IFERROR(__xludf.dummyfunction("""COMPUTED_VALUE"""),24579.68)</f>
        <v>24579.68</v>
      </c>
      <c r="L217" s="13" t="str">
        <f aca="false">IFERROR(__xludf.dummyfunction("""COMPUTED_VALUE"""),"TA: Mistakenly lived in different MRP()")</f>
        <v>TA: Mistakenly lived in different MRP()</v>
      </c>
      <c r="M217" s="13"/>
      <c r="N217" s="13"/>
      <c r="O217" s="13" t="str">
        <f aca="false">IFERROR(__xludf.dummyfunction("""COMPUTED_VALUE"""),"taufeeq.akhtar@tajir-app.com")</f>
        <v>taufeeq.akhtar@tajir-app.com</v>
      </c>
      <c r="P217" s="13" t="str">
        <f aca="false">IFERROR(__xludf.dummyfunction("""COMPUTED_VALUE"""),"Taufeeq Akhtar ")</f>
        <v>Taufeeq Akhtar </v>
      </c>
      <c r="Q217" s="13" t="str">
        <f aca="false">IF(L217="","",L217)</f>
        <v>TA: Mistakenly lived in different MRP()</v>
      </c>
    </row>
    <row r="218" customFormat="false" ht="15.75" hidden="false" customHeight="false" outlineLevel="0" collapsed="false">
      <c r="A218" s="13" t="str">
        <f aca="false">IFERROR(__xludf.dummyfunction("""COMPUTED_VALUE"""),"Metro DC Faisalabad")</f>
        <v>Metro DC Faisalabad</v>
      </c>
      <c r="B218" s="13" t="str">
        <f aca="false">IFERROR(__xludf.dummyfunction("""COMPUTED_VALUE"""),"078a3f2f-ce1c-4f45-a2ab-80e3ebbdc2f7")</f>
        <v>078a3f2f-ce1c-4f45-a2ab-80e3ebbdc2f7</v>
      </c>
      <c r="C218" s="13" t="str">
        <f aca="false">IFERROR(__xludf.dummyfunction("""COMPUTED_VALUE"""),"Mountain Dew plastic 1L")</f>
        <v>Mountain Dew plastic 1L</v>
      </c>
      <c r="D218" s="13" t="str">
        <f aca="false">IFERROR(__xludf.dummyfunction("""COMPUTED_VALUE"""),"Mountain Dew")</f>
        <v>Mountain Dew</v>
      </c>
      <c r="E218" s="13" t="str">
        <f aca="false">IFERROR(__xludf.dummyfunction("""COMPUTED_VALUE"""),"Beverages")</f>
        <v>Beverages</v>
      </c>
      <c r="F218" s="11" t="n">
        <f aca="false">IFERROR(__xludf.dummyfunction("""COMPUTED_VALUE"""),45077)</f>
        <v>45077</v>
      </c>
      <c r="G218" s="16" t="n">
        <f aca="false">IFERROR(__xludf.dummyfunction("""COMPUTED_VALUE"""),0.812271192130088)</f>
        <v>0.8122711921</v>
      </c>
      <c r="H218" s="13" t="str">
        <f aca="false">IFERROR(__xludf.dummyfunction("""COMPUTED_VALUE"""),"damaged stock")</f>
        <v>damaged stock</v>
      </c>
      <c r="I218" s="13" t="n">
        <f aca="false">IFERROR(__xludf.dummyfunction("""COMPUTED_VALUE"""),1)</f>
        <v>1</v>
      </c>
      <c r="J218" s="13" t="n">
        <f aca="false">IFERROR(__xludf.dummyfunction("""COMPUTED_VALUE"""),576)</f>
        <v>576</v>
      </c>
      <c r="K218" s="13" t="n">
        <f aca="false">IFERROR(__xludf.dummyfunction("""COMPUTED_VALUE"""),576)</f>
        <v>576</v>
      </c>
      <c r="L218" s="13" t="str">
        <f aca="false">IFERROR(__xludf.dummyfunction("""COMPUTED_VALUE"""),"[Code: 3789AA] TA: Found loose during sorting(quality issue)")</f>
        <v>[Code: 3789AA] TA: Found loose during sorting(quality issue)</v>
      </c>
      <c r="M218" s="13" t="str">
        <f aca="false">IFERROR(__xludf.dummyfunction("""COMPUTED_VALUE"""),"3789AA")</f>
        <v>3789AA</v>
      </c>
      <c r="N218" s="13"/>
      <c r="O218" s="13" t="str">
        <f aca="false">IFERROR(__xludf.dummyfunction("""COMPUTED_VALUE"""),"taufeeq.akhtar@tajir-app.com")</f>
        <v>taufeeq.akhtar@tajir-app.com</v>
      </c>
      <c r="P218" s="13" t="str">
        <f aca="false">IFERROR(__xludf.dummyfunction("""COMPUTED_VALUE"""),"Taufeeq Akhtar ")</f>
        <v>Taufeeq Akhtar </v>
      </c>
      <c r="Q218" s="13" t="str">
        <f aca="false">IF(L218="","",L218)</f>
        <v>[Code: 3789AA] TA: Found loose during sorting(quality issue)</v>
      </c>
    </row>
    <row r="219" customFormat="false" ht="15.75" hidden="false" customHeight="false" outlineLevel="0" collapsed="false">
      <c r="A219" s="13" t="str">
        <f aca="false">IFERROR(__xludf.dummyfunction("""COMPUTED_VALUE"""),"Metro DC Faisalabad")</f>
        <v>Metro DC Faisalabad</v>
      </c>
      <c r="B219" s="13" t="str">
        <f aca="false">IFERROR(__xludf.dummyfunction("""COMPUTED_VALUE"""),"f04787dc-21e3-4dae-bcbe-e7290c125b85")</f>
        <v>f04787dc-21e3-4dae-bcbe-e7290c125b85</v>
      </c>
      <c r="C219" s="13" t="str">
        <f aca="false">IFERROR(__xludf.dummyfunction("""COMPUTED_VALUE"""),"7up plastic 1.5L (Other city stock)")</f>
        <v>7up plastic 1.5L (Other city stock)</v>
      </c>
      <c r="D219" s="13" t="str">
        <f aca="false">IFERROR(__xludf.dummyfunction("""COMPUTED_VALUE"""),"7up")</f>
        <v>7up</v>
      </c>
      <c r="E219" s="13" t="str">
        <f aca="false">IFERROR(__xludf.dummyfunction("""COMPUTED_VALUE"""),"Beverages")</f>
        <v>Beverages</v>
      </c>
      <c r="F219" s="11" t="n">
        <f aca="false">IFERROR(__xludf.dummyfunction("""COMPUTED_VALUE"""),45077)</f>
        <v>45077</v>
      </c>
      <c r="G219" s="16" t="n">
        <f aca="false">IFERROR(__xludf.dummyfunction("""COMPUTED_VALUE"""),0.81115545138884)</f>
        <v>0.8111554514</v>
      </c>
      <c r="H219" s="13" t="str">
        <f aca="false">IFERROR(__xludf.dummyfunction("""COMPUTED_VALUE"""),"damaged stock")</f>
        <v>damaged stock</v>
      </c>
      <c r="I219" s="13" t="n">
        <f aca="false">IFERROR(__xludf.dummyfunction("""COMPUTED_VALUE"""),1)</f>
        <v>1</v>
      </c>
      <c r="J219" s="13" t="n">
        <f aca="false">IFERROR(__xludf.dummyfunction("""COMPUTED_VALUE"""),726)</f>
        <v>726</v>
      </c>
      <c r="K219" s="13" t="n">
        <f aca="false">IFERROR(__xludf.dummyfunction("""COMPUTED_VALUE"""),726)</f>
        <v>726</v>
      </c>
      <c r="L219" s="13" t="str">
        <f aca="false">IFERROR(__xludf.dummyfunction("""COMPUTED_VALUE"""),"[Code: 346668] TA: Found Loose during sorting;")</f>
        <v>[Code: 346668] TA: Found Loose during sorting;</v>
      </c>
      <c r="M219" s="13" t="str">
        <f aca="false">IFERROR(__xludf.dummyfunction("""COMPUTED_VALUE"""),"346668")</f>
        <v>346668</v>
      </c>
      <c r="N219" s="13"/>
      <c r="O219" s="13" t="str">
        <f aca="false">IFERROR(__xludf.dummyfunction("""COMPUTED_VALUE"""),"taufeeq.akhtar@tajir-app.com")</f>
        <v>taufeeq.akhtar@tajir-app.com</v>
      </c>
      <c r="P219" s="13" t="str">
        <f aca="false">IFERROR(__xludf.dummyfunction("""COMPUTED_VALUE"""),"Taufeeq Akhtar ")</f>
        <v>Taufeeq Akhtar </v>
      </c>
      <c r="Q219" s="13" t="str">
        <f aca="false">IF(L219="","",L219)</f>
        <v>[Code: 346668] TA: Found Loose during sorting;</v>
      </c>
    </row>
    <row r="220" customFormat="false" ht="15.75" hidden="false" customHeight="false" outlineLevel="0" collapsed="false">
      <c r="A220" s="13" t="str">
        <f aca="false">IFERROR(__xludf.dummyfunction("""COMPUTED_VALUE"""),"Metro DC Faisalabad")</f>
        <v>Metro DC Faisalabad</v>
      </c>
      <c r="B220" s="13" t="str">
        <f aca="false">IFERROR(__xludf.dummyfunction("""COMPUTED_VALUE"""),"aedc6661-7714-4dbb-a1ca-818b0f964c8e")</f>
        <v>aedc6661-7714-4dbb-a1ca-818b0f964c8e</v>
      </c>
      <c r="C220" s="13" t="str">
        <f aca="false">IFERROR(__xludf.dummyfunction("""COMPUTED_VALUE"""),"Sunridge Super Fortified Atta 15kg")</f>
        <v>Sunridge Super Fortified Atta 15kg</v>
      </c>
      <c r="D220" s="13" t="str">
        <f aca="false">IFERROR(__xludf.dummyfunction("""COMPUTED_VALUE"""),"Sunridge")</f>
        <v>Sunridge</v>
      </c>
      <c r="E220" s="13" t="str">
        <f aca="false">IFERROR(__xludf.dummyfunction("""COMPUTED_VALUE"""),"Flour")</f>
        <v>Flour</v>
      </c>
      <c r="F220" s="11" t="n">
        <f aca="false">IFERROR(__xludf.dummyfunction("""COMPUTED_VALUE"""),45078)</f>
        <v>45078</v>
      </c>
      <c r="G220" s="16" t="n">
        <f aca="false">IFERROR(__xludf.dummyfunction("""COMPUTED_VALUE"""),0.535605821757923)</f>
        <v>0.5356058218</v>
      </c>
      <c r="H220" s="13" t="str">
        <f aca="false">IFERROR(__xludf.dummyfunction("""COMPUTED_VALUE"""),"expired stock")</f>
        <v>expired stock</v>
      </c>
      <c r="I220" s="13" t="n">
        <f aca="false">IFERROR(__xludf.dummyfunction("""COMPUTED_VALUE"""),278)</f>
        <v>278</v>
      </c>
      <c r="J220" s="13" t="n">
        <f aca="false">IFERROR(__xludf.dummyfunction("""COMPUTED_VALUE"""),2200)</f>
        <v>2200</v>
      </c>
      <c r="K220" s="13" t="n">
        <f aca="false">IFERROR(__xludf.dummyfunction("""COMPUTED_VALUE"""),611600)</f>
        <v>611600</v>
      </c>
      <c r="L220" s="13" t="str">
        <f aca="false">IFERROR(__xludf.dummyfunction("""COMPUTED_VALUE"""),"[Code: 38899A] [Expiry: 4 Jun, 2023] AR: Stock Removed due to near to expiry ")</f>
        <v>[Code: 38899A] [Expiry: 4 Jun, 2023] AR: Stock Removed due to near to expiry </v>
      </c>
      <c r="M220" s="13" t="str">
        <f aca="false">IFERROR(__xludf.dummyfunction("""COMPUTED_VALUE"""),"38899A")</f>
        <v>38899A</v>
      </c>
      <c r="N220" s="13" t="str">
        <f aca="false">IFERROR(__xludf.dummyfunction("""COMPUTED_VALUE"""),"4 Jun, 2023")</f>
        <v>4 Jun, 2023</v>
      </c>
      <c r="O220" s="13" t="str">
        <f aca="false">IFERROR(__xludf.dummyfunction("""COMPUTED_VALUE"""),"ali.raza@tajir-app.com")</f>
        <v>ali.raza@tajir-app.com</v>
      </c>
      <c r="P220" s="13" t="str">
        <f aca="false">IFERROR(__xludf.dummyfunction("""COMPUTED_VALUE"""),"Ali Raza ")</f>
        <v>Ali Raza </v>
      </c>
      <c r="Q220" s="13" t="str">
        <f aca="false">IF(L220="","",L220)</f>
        <v>[Code: 38899A] [Expiry: 4 Jun, 2023] AR: Stock Removed due to near to expiry </v>
      </c>
    </row>
    <row r="221" customFormat="false" ht="15.75" hidden="false" customHeight="false" outlineLevel="0" collapsed="false">
      <c r="A221" s="13" t="str">
        <f aca="false">IFERROR(__xludf.dummyfunction("""COMPUTED_VALUE"""),"Metro DC Faisalabad")</f>
        <v>Metro DC Faisalabad</v>
      </c>
      <c r="B221" s="13" t="str">
        <f aca="false">IFERROR(__xludf.dummyfunction("""COMPUTED_VALUE"""),"dfd6b040-ad74-42ea-ab82-4d22c45a2040")</f>
        <v>dfd6b040-ad74-42ea-ab82-4d22c45a2040</v>
      </c>
      <c r="C221" s="13" t="str">
        <f aca="false">IFERROR(__xludf.dummyfunction("""COMPUTED_VALUE"""),"Sting Berry Blast plastic 500ml (Other city stock)")</f>
        <v>Sting Berry Blast plastic 500ml (Other city stock)</v>
      </c>
      <c r="D221" s="13" t="str">
        <f aca="false">IFERROR(__xludf.dummyfunction("""COMPUTED_VALUE"""),"Sting")</f>
        <v>Sting</v>
      </c>
      <c r="E221" s="13" t="str">
        <f aca="false">IFERROR(__xludf.dummyfunction("""COMPUTED_VALUE"""),"Beverages")</f>
        <v>Beverages</v>
      </c>
      <c r="F221" s="11" t="n">
        <f aca="false">IFERROR(__xludf.dummyfunction("""COMPUTED_VALUE"""),45080)</f>
        <v>45080</v>
      </c>
      <c r="G221" s="16" t="n">
        <f aca="false">IFERROR(__xludf.dummyfunction("""COMPUTED_VALUE"""),0.993037349538093)</f>
        <v>0.9930373495</v>
      </c>
      <c r="H221" s="13" t="str">
        <f aca="false">IFERROR(__xludf.dummyfunction("""COMPUTED_VALUE"""),"missing stock")</f>
        <v>missing stock</v>
      </c>
      <c r="I221" s="13" t="n">
        <f aca="false">IFERROR(__xludf.dummyfunction("""COMPUTED_VALUE"""),1)</f>
        <v>1</v>
      </c>
      <c r="J221" s="13" t="n">
        <f aca="false">IFERROR(__xludf.dummyfunction("""COMPUTED_VALUE"""),960)</f>
        <v>960</v>
      </c>
      <c r="K221" s="13" t="n">
        <f aca="false">IFERROR(__xludf.dummyfunction("""COMPUTED_VALUE"""),960)</f>
        <v>960</v>
      </c>
      <c r="L221" s="13" t="str">
        <f aca="false">IFERROR(__xludf.dummyfunction("""COMPUTED_VALUE"""),"TA; The required sku not Found.")</f>
        <v>TA; The required sku not Found.</v>
      </c>
      <c r="M221" s="13"/>
      <c r="N221" s="13"/>
      <c r="O221" s="13" t="str">
        <f aca="false">IFERROR(__xludf.dummyfunction("""COMPUTED_VALUE"""),"taufeeq.akhtar@tajir-app.com")</f>
        <v>taufeeq.akhtar@tajir-app.com</v>
      </c>
      <c r="P221" s="13" t="str">
        <f aca="false">IFERROR(__xludf.dummyfunction("""COMPUTED_VALUE"""),"Taufeeq Akhtar ")</f>
        <v>Taufeeq Akhtar </v>
      </c>
      <c r="Q221" s="13" t="str">
        <f aca="false">IF(L221="","",L221)</f>
        <v>TA; The required sku not Found.</v>
      </c>
    </row>
    <row r="222" customFormat="false" ht="15.75" hidden="false" customHeight="false" outlineLevel="0" collapsed="false">
      <c r="A222" s="13" t="str">
        <f aca="false">IFERROR(__xludf.dummyfunction("""COMPUTED_VALUE"""),"Metro DC Faisalabad")</f>
        <v>Metro DC Faisalabad</v>
      </c>
      <c r="B222" s="13" t="str">
        <f aca="false">IFERROR(__xludf.dummyfunction("""COMPUTED_VALUE"""),"9bde6c18-7711-4860-b5bc-8dc06af21b12")</f>
        <v>9bde6c18-7711-4860-b5bc-8dc06af21b12</v>
      </c>
      <c r="C222" s="13" t="str">
        <f aca="false">IFERROR(__xludf.dummyfunction("""COMPUTED_VALUE"""),"Cola Next Plastic 500ml")</f>
        <v>Cola Next Plastic 500ml</v>
      </c>
      <c r="D222" s="13" t="str">
        <f aca="false">IFERROR(__xludf.dummyfunction("""COMPUTED_VALUE"""),"Cola Next")</f>
        <v>Cola Next</v>
      </c>
      <c r="E222" s="13" t="str">
        <f aca="false">IFERROR(__xludf.dummyfunction("""COMPUTED_VALUE"""),"Beverages")</f>
        <v>Beverages</v>
      </c>
      <c r="F222" s="11" t="n">
        <f aca="false">IFERROR(__xludf.dummyfunction("""COMPUTED_VALUE"""),45080)</f>
        <v>45080</v>
      </c>
      <c r="G222" s="16" t="n">
        <f aca="false">IFERROR(__xludf.dummyfunction("""COMPUTED_VALUE"""),0.787124456018729)</f>
        <v>0.787124456</v>
      </c>
      <c r="H222" s="13" t="str">
        <f aca="false">IFERROR(__xludf.dummyfunction("""COMPUTED_VALUE"""),"damaged stock")</f>
        <v>damaged stock</v>
      </c>
      <c r="I222" s="13" t="n">
        <f aca="false">IFERROR(__xludf.dummyfunction("""COMPUTED_VALUE"""),1)</f>
        <v>1</v>
      </c>
      <c r="J222" s="13" t="n">
        <f aca="false">IFERROR(__xludf.dummyfunction("""COMPUTED_VALUE"""),511)</f>
        <v>511</v>
      </c>
      <c r="K222" s="13" t="n">
        <f aca="false">IFERROR(__xludf.dummyfunction("""COMPUTED_VALUE"""),511)</f>
        <v>511</v>
      </c>
      <c r="L222" s="13" t="str">
        <f aca="false">IFERROR(__xludf.dummyfunction("""COMPUTED_VALUE"""),"[Code: 2367BC] TA: Found in loose condition during sorting(company end issue);")</f>
        <v>[Code: 2367BC] TA: Found in loose condition during sorting(company end issue);</v>
      </c>
      <c r="M222" s="13" t="str">
        <f aca="false">IFERROR(__xludf.dummyfunction("""COMPUTED_VALUE"""),"2367BC")</f>
        <v>2367BC</v>
      </c>
      <c r="N222" s="13"/>
      <c r="O222" s="13" t="str">
        <f aca="false">IFERROR(__xludf.dummyfunction("""COMPUTED_VALUE"""),"taufeeq.akhtar@tajir-app.com")</f>
        <v>taufeeq.akhtar@tajir-app.com</v>
      </c>
      <c r="P222" s="13" t="str">
        <f aca="false">IFERROR(__xludf.dummyfunction("""COMPUTED_VALUE"""),"Taufeeq Akhtar ")</f>
        <v>Taufeeq Akhtar </v>
      </c>
      <c r="Q222" s="13" t="str">
        <f aca="false">IF(L222="","",L222)</f>
        <v>[Code: 2367BC] TA: Found in loose condition during sorting(company end issue);</v>
      </c>
    </row>
    <row r="223" customFormat="false" ht="15.75" hidden="false" customHeight="false" outlineLevel="0" collapsed="false">
      <c r="A223" s="13" t="str">
        <f aca="false">IFERROR(__xludf.dummyfunction("""COMPUTED_VALUE"""),"Metro DC Faisalabad")</f>
        <v>Metro DC Faisalabad</v>
      </c>
      <c r="B223" s="13" t="str">
        <f aca="false">IFERROR(__xludf.dummyfunction("""COMPUTED_VALUE"""),"6c568402-1788-466b-8f61-43acc83fa9d1")</f>
        <v>6c568402-1788-466b-8f61-43acc83fa9d1</v>
      </c>
      <c r="C223" s="13" t="str">
        <f aca="false">IFERROR(__xludf.dummyfunction("""COMPUTED_VALUE"""),"Sherdil White Chana Mota 5kg")</f>
        <v>Sherdil White Chana Mota 5kg</v>
      </c>
      <c r="D223" s="13" t="str">
        <f aca="false">IFERROR(__xludf.dummyfunction("""COMPUTED_VALUE"""),"Sherdil")</f>
        <v>Sherdil</v>
      </c>
      <c r="E223" s="13" t="str">
        <f aca="false">IFERROR(__xludf.dummyfunction("""COMPUTED_VALUE"""),"Pulses")</f>
        <v>Pulses</v>
      </c>
      <c r="F223" s="11" t="n">
        <f aca="false">IFERROR(__xludf.dummyfunction("""COMPUTED_VALUE"""),45081)</f>
        <v>45081</v>
      </c>
      <c r="G223" s="16" t="n">
        <f aca="false">IFERROR(__xludf.dummyfunction("""COMPUTED_VALUE"""),0.428590104167933)</f>
        <v>0.4285901042</v>
      </c>
      <c r="H223" s="13" t="str">
        <f aca="false">IFERROR(__xludf.dummyfunction("""COMPUTED_VALUE"""),"damaged stock")</f>
        <v>damaged stock</v>
      </c>
      <c r="I223" s="13" t="n">
        <f aca="false">IFERROR(__xludf.dummyfunction("""COMPUTED_VALUE"""),3)</f>
        <v>3</v>
      </c>
      <c r="J223" s="13" t="n">
        <f aca="false">IFERROR(__xludf.dummyfunction("""COMPUTED_VALUE"""),2180)</f>
        <v>2180</v>
      </c>
      <c r="K223" s="13" t="n">
        <f aca="false">IFERROR(__xludf.dummyfunction("""COMPUTED_VALUE"""),6540)</f>
        <v>6540</v>
      </c>
      <c r="L223" s="13" t="str">
        <f aca="false">IFERROR(__xludf.dummyfunction("""COMPUTED_VALUE"""),"[Code: 699BDE] 03 units found damaged due to insects (Quality Issue)")</f>
        <v>[Code: 699BDE] 03 units found damaged due to insects (Quality Issue)</v>
      </c>
      <c r="M223" s="13" t="str">
        <f aca="false">IFERROR(__xludf.dummyfunction("""COMPUTED_VALUE"""),"699BDE")</f>
        <v>699BDE</v>
      </c>
      <c r="N223" s="13"/>
      <c r="O223" s="13" t="str">
        <f aca="false">IFERROR(__xludf.dummyfunction("""COMPUTED_VALUE"""),"ali.raza@tajir-app.com")</f>
        <v>ali.raza@tajir-app.com</v>
      </c>
      <c r="P223" s="13" t="str">
        <f aca="false">IFERROR(__xludf.dummyfunction("""COMPUTED_VALUE"""),"Ali Raza ")</f>
        <v>Ali Raza </v>
      </c>
      <c r="Q223" s="13" t="str">
        <f aca="false">IF(L223="","",L223)</f>
        <v>[Code: 699BDE] 03 units found damaged due to insects (Quality Issue)</v>
      </c>
    </row>
    <row r="224" customFormat="false" ht="15.75" hidden="false" customHeight="false" outlineLevel="0" collapsed="false">
      <c r="A224" s="13" t="str">
        <f aca="false">IFERROR(__xludf.dummyfunction("""COMPUTED_VALUE"""),"Metro DC Faisalabad")</f>
        <v>Metro DC Faisalabad</v>
      </c>
      <c r="B224" s="13" t="str">
        <f aca="false">IFERROR(__xludf.dummyfunction("""COMPUTED_VALUE"""),"10f5c620-05d2-4bff-bf22-3c02b5a12fc2")</f>
        <v>10f5c620-05d2-4bff-bf22-3c02b5a12fc2</v>
      </c>
      <c r="C224" s="13" t="str">
        <f aca="false">IFERROR(__xludf.dummyfunction("""COMPUTED_VALUE"""),"Sherdil White Chana Bareek 5kg")</f>
        <v>Sherdil White Chana Bareek 5kg</v>
      </c>
      <c r="D224" s="13" t="str">
        <f aca="false">IFERROR(__xludf.dummyfunction("""COMPUTED_VALUE"""),"Sherdil")</f>
        <v>Sherdil</v>
      </c>
      <c r="E224" s="13" t="str">
        <f aca="false">IFERROR(__xludf.dummyfunction("""COMPUTED_VALUE"""),"Pulses")</f>
        <v>Pulses</v>
      </c>
      <c r="F224" s="11" t="n">
        <f aca="false">IFERROR(__xludf.dummyfunction("""COMPUTED_VALUE"""),45081)</f>
        <v>45081</v>
      </c>
      <c r="G224" s="16" t="n">
        <f aca="false">IFERROR(__xludf.dummyfunction("""COMPUTED_VALUE"""),0.426500497684231)</f>
        <v>0.4265004977</v>
      </c>
      <c r="H224" s="13" t="str">
        <f aca="false">IFERROR(__xludf.dummyfunction("""COMPUTED_VALUE"""),"damaged stock")</f>
        <v>damaged stock</v>
      </c>
      <c r="I224" s="13" t="n">
        <f aca="false">IFERROR(__xludf.dummyfunction("""COMPUTED_VALUE"""),4)</f>
        <v>4</v>
      </c>
      <c r="J224" s="13" t="n">
        <f aca="false">IFERROR(__xludf.dummyfunction("""COMPUTED_VALUE"""),1800)</f>
        <v>1800</v>
      </c>
      <c r="K224" s="13" t="n">
        <f aca="false">IFERROR(__xludf.dummyfunction("""COMPUTED_VALUE"""),7200)</f>
        <v>7200</v>
      </c>
      <c r="L224" s="13" t="str">
        <f aca="false">IFERROR(__xludf.dummyfunction("""COMPUTED_VALUE"""),"[Code: 345668] 04 units found damaged due to insects (Quality Issue)")</f>
        <v>[Code: 345668] 04 units found damaged due to insects (Quality Issue)</v>
      </c>
      <c r="M224" s="13" t="str">
        <f aca="false">IFERROR(__xludf.dummyfunction("""COMPUTED_VALUE"""),"345668")</f>
        <v>345668</v>
      </c>
      <c r="N224" s="13"/>
      <c r="O224" s="13" t="str">
        <f aca="false">IFERROR(__xludf.dummyfunction("""COMPUTED_VALUE"""),"ali.raza@tajir-app.com")</f>
        <v>ali.raza@tajir-app.com</v>
      </c>
      <c r="P224" s="13" t="str">
        <f aca="false">IFERROR(__xludf.dummyfunction("""COMPUTED_VALUE"""),"Ali Raza ")</f>
        <v>Ali Raza </v>
      </c>
      <c r="Q224" s="13" t="str">
        <f aca="false">IF(L224="","",L224)</f>
        <v>[Code: 345668] 04 units found damaged due to insects (Quality Issue)</v>
      </c>
    </row>
    <row r="225" customFormat="false" ht="15.75" hidden="false" customHeight="false" outlineLevel="0" collapsed="false">
      <c r="A225" s="13" t="str">
        <f aca="false">IFERROR(__xludf.dummyfunction("""COMPUTED_VALUE"""),"Metro DC Faisalabad")</f>
        <v>Metro DC Faisalabad</v>
      </c>
      <c r="B225" s="13" t="str">
        <f aca="false">IFERROR(__xludf.dummyfunction("""COMPUTED_VALUE"""),"a7507847-81de-49fd-b5e8-be87be357b08")</f>
        <v>a7507847-81de-49fd-b5e8-be87be357b08</v>
      </c>
      <c r="C225" s="13" t="str">
        <f aca="false">IFERROR(__xludf.dummyfunction("""COMPUTED_VALUE"""),"Ajinomoto Masako Chicken Flavour Masala 10g Rs20")</f>
        <v>Ajinomoto Masako Chicken Flavour Masala 10g Rs20</v>
      </c>
      <c r="D225" s="13" t="str">
        <f aca="false">IFERROR(__xludf.dummyfunction("""COMPUTED_VALUE"""),"Ajinomoto")</f>
        <v>Ajinomoto</v>
      </c>
      <c r="E225" s="13" t="str">
        <f aca="false">IFERROR(__xludf.dummyfunction("""COMPUTED_VALUE"""),"Grocery")</f>
        <v>Grocery</v>
      </c>
      <c r="F225" s="11" t="n">
        <f aca="false">IFERROR(__xludf.dummyfunction("""COMPUTED_VALUE"""),45081)</f>
        <v>45081</v>
      </c>
      <c r="G225" s="16" t="n">
        <f aca="false">IFERROR(__xludf.dummyfunction("""COMPUTED_VALUE"""),0.425783101850499)</f>
        <v>0.4257831019</v>
      </c>
      <c r="H225" s="13" t="str">
        <f aca="false">IFERROR(__xludf.dummyfunction("""COMPUTED_VALUE"""),"damaged stock")</f>
        <v>damaged stock</v>
      </c>
      <c r="I225" s="13" t="n">
        <f aca="false">IFERROR(__xludf.dummyfunction("""COMPUTED_VALUE"""),1)</f>
        <v>1</v>
      </c>
      <c r="J225" s="13" t="n">
        <f aca="false">IFERROR(__xludf.dummyfunction("""COMPUTED_VALUE"""),17.41)</f>
        <v>17.41</v>
      </c>
      <c r="K225" s="13" t="n">
        <f aca="false">IFERROR(__xludf.dummyfunction("""COMPUTED_VALUE"""),17.41)</f>
        <v>17.41</v>
      </c>
      <c r="L225" s="13" t="str">
        <f aca="false">IFERROR(__xludf.dummyfunction("""COMPUTED_VALUE"""),"[Code: 3778CK] 01 UNIT found damaged seal open (Quality issue)")</f>
        <v>[Code: 3778CK] 01 UNIT found damaged seal open (Quality issue)</v>
      </c>
      <c r="M225" s="13" t="str">
        <f aca="false">IFERROR(__xludf.dummyfunction("""COMPUTED_VALUE"""),"3778CK")</f>
        <v>3778CK</v>
      </c>
      <c r="N225" s="13"/>
      <c r="O225" s="13" t="str">
        <f aca="false">IFERROR(__xludf.dummyfunction("""COMPUTED_VALUE"""),"ali.raza@tajir-app.com")</f>
        <v>ali.raza@tajir-app.com</v>
      </c>
      <c r="P225" s="13" t="str">
        <f aca="false">IFERROR(__xludf.dummyfunction("""COMPUTED_VALUE"""),"Ali Raza ")</f>
        <v>Ali Raza </v>
      </c>
      <c r="Q225" s="13" t="str">
        <f aca="false">IF(L225="","",L225)</f>
        <v>[Code: 3778CK] 01 UNIT found damaged seal open (Quality issue)</v>
      </c>
    </row>
    <row r="226" customFormat="false" ht="15.75" hidden="false" customHeight="false" outlineLevel="0" collapsed="false">
      <c r="A226" s="13" t="str">
        <f aca="false">IFERROR(__xludf.dummyfunction("""COMPUTED_VALUE"""),"Metro DC Faisalabad")</f>
        <v>Metro DC Faisalabad</v>
      </c>
      <c r="B226" s="13" t="str">
        <f aca="false">IFERROR(__xludf.dummyfunction("""COMPUTED_VALUE"""),"b93fbdaa-e3d2-4c97-a148-e775d72799e6")</f>
        <v>b93fbdaa-e3d2-4c97-a148-e775d72799e6</v>
      </c>
      <c r="C226" s="13" t="str">
        <f aca="false">IFERROR(__xludf.dummyfunction("""COMPUTED_VALUE"""),"Peek Freans Pista Pik Munch Pack 12pcs Rs25")</f>
        <v>Peek Freans Pista Pik Munch Pack 12pcs Rs25</v>
      </c>
      <c r="D226" s="13" t="str">
        <f aca="false">IFERROR(__xludf.dummyfunction("""COMPUTED_VALUE"""),"Peek Freans")</f>
        <v>Peek Freans</v>
      </c>
      <c r="E226" s="13" t="str">
        <f aca="false">IFERROR(__xludf.dummyfunction("""COMPUTED_VALUE"""),"Biscuits, Wafers")</f>
        <v>Biscuits, Wafers</v>
      </c>
      <c r="F226" s="11" t="n">
        <f aca="false">IFERROR(__xludf.dummyfunction("""COMPUTED_VALUE"""),45082)</f>
        <v>45082</v>
      </c>
      <c r="G226" s="16" t="n">
        <f aca="false">IFERROR(__xludf.dummyfunction("""COMPUTED_VALUE"""),0.904552476850671)</f>
        <v>0.9045524769</v>
      </c>
      <c r="H226" s="13" t="str">
        <f aca="false">IFERROR(__xludf.dummyfunction("""COMPUTED_VALUE"""),"missing stock")</f>
        <v>missing stock</v>
      </c>
      <c r="I226" s="13" t="n">
        <f aca="false">IFERROR(__xludf.dummyfunction("""COMPUTED_VALUE"""),14)</f>
        <v>14</v>
      </c>
      <c r="J226" s="13" t="n">
        <f aca="false">IFERROR(__xludf.dummyfunction("""COMPUTED_VALUE"""),269.97)</f>
        <v>269.97</v>
      </c>
      <c r="K226" s="13" t="n">
        <f aca="false">IFERROR(__xludf.dummyfunction("""COMPUTED_VALUE"""),3779.58)</f>
        <v>3779.58</v>
      </c>
      <c r="L226" s="13" t="str">
        <f aca="false">IFERROR(__xludf.dummyfunction("""COMPUTED_VALUE"""),"TA; mistakenly lived by Audit ")</f>
        <v>TA; mistakenly lived by Audit </v>
      </c>
      <c r="M226" s="13"/>
      <c r="N226" s="13"/>
      <c r="O226" s="13" t="str">
        <f aca="false">IFERROR(__xludf.dummyfunction("""COMPUTED_VALUE"""),"taufeeq.akhtar@tajir-app.com")</f>
        <v>taufeeq.akhtar@tajir-app.com</v>
      </c>
      <c r="P226" s="13" t="str">
        <f aca="false">IFERROR(__xludf.dummyfunction("""COMPUTED_VALUE"""),"Taufeeq Akhtar ")</f>
        <v>Taufeeq Akhtar </v>
      </c>
      <c r="Q226" s="13" t="str">
        <f aca="false">IF(L226="","",L226)</f>
        <v>TA; mistakenly lived by Audit </v>
      </c>
    </row>
    <row r="227" customFormat="false" ht="15.75" hidden="false" customHeight="false" outlineLevel="0" collapsed="false">
      <c r="A227" s="13" t="str">
        <f aca="false">IFERROR(__xludf.dummyfunction("""COMPUTED_VALUE"""),"Metro DC Faisalabad")</f>
        <v>Metro DC Faisalabad</v>
      </c>
      <c r="B227" s="13" t="str">
        <f aca="false">IFERROR(__xludf.dummyfunction("""COMPUTED_VALUE"""),"b7e47528-8822-461b-8889-f508bace7dfe")</f>
        <v>b7e47528-8822-461b-8889-f508bace7dfe</v>
      </c>
      <c r="C227" s="13" t="str">
        <f aca="false">IFERROR(__xludf.dummyfunction("""COMPUTED_VALUE"""),"Sherdil Daal Chana Bareek 1kg")</f>
        <v>Sherdil Daal Chana Bareek 1kg</v>
      </c>
      <c r="D227" s="13" t="str">
        <f aca="false">IFERROR(__xludf.dummyfunction("""COMPUTED_VALUE"""),"Sherdil")</f>
        <v>Sherdil</v>
      </c>
      <c r="E227" s="13" t="str">
        <f aca="false">IFERROR(__xludf.dummyfunction("""COMPUTED_VALUE"""),"Pulses")</f>
        <v>Pulses</v>
      </c>
      <c r="F227" s="11" t="n">
        <f aca="false">IFERROR(__xludf.dummyfunction("""COMPUTED_VALUE"""),45082)</f>
        <v>45082</v>
      </c>
      <c r="G227" s="16" t="n">
        <f aca="false">IFERROR(__xludf.dummyfunction("""COMPUTED_VALUE"""),0.870015173612798)</f>
        <v>0.8700151736</v>
      </c>
      <c r="H227" s="13" t="str">
        <f aca="false">IFERROR(__xludf.dummyfunction("""COMPUTED_VALUE"""),"damaged stock")</f>
        <v>damaged stock</v>
      </c>
      <c r="I227" s="13" t="n">
        <f aca="false">IFERROR(__xludf.dummyfunction("""COMPUTED_VALUE"""),1)</f>
        <v>1</v>
      </c>
      <c r="J227" s="13" t="n">
        <f aca="false">IFERROR(__xludf.dummyfunction("""COMPUTED_VALUE"""),272)</f>
        <v>272</v>
      </c>
      <c r="K227" s="13" t="n">
        <f aca="false">IFERROR(__xludf.dummyfunction("""COMPUTED_VALUE"""),272)</f>
        <v>272</v>
      </c>
      <c r="L227" s="13" t="str">
        <f aca="false">IFERROR(__xludf.dummyfunction("""COMPUTED_VALUE"""),"[Code: 34455E] TA:  daal ki quality sahi nahi hay(ulli lagi hay)")</f>
        <v>[Code: 34455E] TA:  daal ki quality sahi nahi hay(ulli lagi hay)</v>
      </c>
      <c r="M227" s="13" t="str">
        <f aca="false">IFERROR(__xludf.dummyfunction("""COMPUTED_VALUE"""),"34455E")</f>
        <v>34455E</v>
      </c>
      <c r="N227" s="13"/>
      <c r="O227" s="13" t="str">
        <f aca="false">IFERROR(__xludf.dummyfunction("""COMPUTED_VALUE"""),"taufeeq.akhtar@tajir-app.com")</f>
        <v>taufeeq.akhtar@tajir-app.com</v>
      </c>
      <c r="P227" s="13" t="str">
        <f aca="false">IFERROR(__xludf.dummyfunction("""COMPUTED_VALUE"""),"Taufeeq Akhtar ")</f>
        <v>Taufeeq Akhtar </v>
      </c>
      <c r="Q227" s="13" t="str">
        <f aca="false">IF(L227="","",L227)</f>
        <v>[Code: 34455E] TA:  daal ki quality sahi nahi hay(ulli lagi hay)</v>
      </c>
    </row>
    <row r="228" customFormat="false" ht="15.75" hidden="false" customHeight="false" outlineLevel="0" collapsed="false">
      <c r="A228" s="13" t="str">
        <f aca="false">IFERROR(__xludf.dummyfunction("""COMPUTED_VALUE"""),"Metro DC Faisalabad")</f>
        <v>Metro DC Faisalabad</v>
      </c>
      <c r="B228" s="13" t="str">
        <f aca="false">IFERROR(__xludf.dummyfunction("""COMPUTED_VALUE"""),"8ba63ec6-3b42-4cf0-86f4-4da7f87c70d1")</f>
        <v>8ba63ec6-3b42-4cf0-86f4-4da7f87c70d1</v>
      </c>
      <c r="C228" s="13" t="str">
        <f aca="false">IFERROR(__xludf.dummyfunction("""COMPUTED_VALUE"""),"Head and Shoulders Silky Black Shampoo x12 bundle 4.5ml")</f>
        <v>Head and Shoulders Silky Black Shampoo x12 bundle 4.5ml</v>
      </c>
      <c r="D228" s="13" t="str">
        <f aca="false">IFERROR(__xludf.dummyfunction("""COMPUTED_VALUE"""),"Head and Shoulders")</f>
        <v>Head and Shoulders</v>
      </c>
      <c r="E228" s="13" t="str">
        <f aca="false">IFERROR(__xludf.dummyfunction("""COMPUTED_VALUE"""),"Shampoo")</f>
        <v>Shampoo</v>
      </c>
      <c r="F228" s="11" t="n">
        <f aca="false">IFERROR(__xludf.dummyfunction("""COMPUTED_VALUE"""),45082)</f>
        <v>45082</v>
      </c>
      <c r="G228" s="16" t="n">
        <f aca="false">IFERROR(__xludf.dummyfunction("""COMPUTED_VALUE"""),0.784257962961578)</f>
        <v>0.784257963</v>
      </c>
      <c r="H228" s="13" t="str">
        <f aca="false">IFERROR(__xludf.dummyfunction("""COMPUTED_VALUE"""),"damaged stock")</f>
        <v>damaged stock</v>
      </c>
      <c r="I228" s="13" t="n">
        <f aca="false">IFERROR(__xludf.dummyfunction("""COMPUTED_VALUE"""),11)</f>
        <v>11</v>
      </c>
      <c r="J228" s="13" t="n">
        <f aca="false">IFERROR(__xludf.dummyfunction("""COMPUTED_VALUE"""),52.7)</f>
        <v>52.7</v>
      </c>
      <c r="K228" s="13" t="n">
        <f aca="false">IFERROR(__xludf.dummyfunction("""COMPUTED_VALUE"""),579.7)</f>
        <v>579.7</v>
      </c>
      <c r="L228" s="13" t="str">
        <f aca="false">IFERROR(__xludf.dummyfunction("""COMPUTED_VALUE"""),"[Code: 224499] TA:Found Damaged in Floor during sorting (Company end issue )")</f>
        <v>[Code: 224499] TA:Found Damaged in Floor during sorting (Company end issue )</v>
      </c>
      <c r="M228" s="13" t="str">
        <f aca="false">IFERROR(__xludf.dummyfunction("""COMPUTED_VALUE"""),"224499")</f>
        <v>224499</v>
      </c>
      <c r="N228" s="13"/>
      <c r="O228" s="13" t="str">
        <f aca="false">IFERROR(__xludf.dummyfunction("""COMPUTED_VALUE"""),"taufeeq.akhtar@tajir-app.com")</f>
        <v>taufeeq.akhtar@tajir-app.com</v>
      </c>
      <c r="P228" s="13" t="str">
        <f aca="false">IFERROR(__xludf.dummyfunction("""COMPUTED_VALUE"""),"Taufeeq Akhtar ")</f>
        <v>Taufeeq Akhtar </v>
      </c>
      <c r="Q228" s="13" t="str">
        <f aca="false">IF(L228="","",L228)</f>
        <v>[Code: 224499] TA:Found Damaged in Floor during sorting (Company end issue )</v>
      </c>
    </row>
    <row r="229" customFormat="false" ht="15.75" hidden="false" customHeight="false" outlineLevel="0" collapsed="false">
      <c r="A229" s="13" t="str">
        <f aca="false">IFERROR(__xludf.dummyfunction("""COMPUTED_VALUE"""),"Metro DC Faisalabad")</f>
        <v>Metro DC Faisalabad</v>
      </c>
      <c r="B229" s="13" t="str">
        <f aca="false">IFERROR(__xludf.dummyfunction("""COMPUTED_VALUE"""),"398986cd-2e1e-4946-a57d-f258ff679bb9")</f>
        <v>398986cd-2e1e-4946-a57d-f258ff679bb9</v>
      </c>
      <c r="C229" s="13" t="str">
        <f aca="false">IFERROR(__xludf.dummyfunction("""COMPUTED_VALUE"""),"Head and Shoulders Classic Clean Shampoo x12 bundle 4.5ml")</f>
        <v>Head and Shoulders Classic Clean Shampoo x12 bundle 4.5ml</v>
      </c>
      <c r="D229" s="13" t="str">
        <f aca="false">IFERROR(__xludf.dummyfunction("""COMPUTED_VALUE"""),"Head and Shoulders")</f>
        <v>Head and Shoulders</v>
      </c>
      <c r="E229" s="13" t="str">
        <f aca="false">IFERROR(__xludf.dummyfunction("""COMPUTED_VALUE"""),"Shampoo")</f>
        <v>Shampoo</v>
      </c>
      <c r="F229" s="11" t="n">
        <f aca="false">IFERROR(__xludf.dummyfunction("""COMPUTED_VALUE"""),45082)</f>
        <v>45082</v>
      </c>
      <c r="G229" s="16" t="n">
        <f aca="false">IFERROR(__xludf.dummyfunction("""COMPUTED_VALUE"""),0.783231666667297)</f>
        <v>0.7832316667</v>
      </c>
      <c r="H229" s="13" t="str">
        <f aca="false">IFERROR(__xludf.dummyfunction("""COMPUTED_VALUE"""),"damaged stock")</f>
        <v>damaged stock</v>
      </c>
      <c r="I229" s="13" t="n">
        <f aca="false">IFERROR(__xludf.dummyfunction("""COMPUTED_VALUE"""),3)</f>
        <v>3</v>
      </c>
      <c r="J229" s="13" t="n">
        <f aca="false">IFERROR(__xludf.dummyfunction("""COMPUTED_VALUE"""),52.7)</f>
        <v>52.7</v>
      </c>
      <c r="K229" s="13" t="n">
        <f aca="false">IFERROR(__xludf.dummyfunction("""COMPUTED_VALUE"""),158.1)</f>
        <v>158.1</v>
      </c>
      <c r="L229" s="13" t="str">
        <f aca="false">IFERROR(__xludf.dummyfunction("""COMPUTED_VALUE"""),"[Code: 568DGG] TA: Found Damaged in Floor;")</f>
        <v>[Code: 568DGG] TA: Found Damaged in Floor;</v>
      </c>
      <c r="M229" s="13" t="str">
        <f aca="false">IFERROR(__xludf.dummyfunction("""COMPUTED_VALUE"""),"568DGG")</f>
        <v>568DGG</v>
      </c>
      <c r="N229" s="13"/>
      <c r="O229" s="13" t="str">
        <f aca="false">IFERROR(__xludf.dummyfunction("""COMPUTED_VALUE"""),"taufeeq.akhtar@tajir-app.com")</f>
        <v>taufeeq.akhtar@tajir-app.com</v>
      </c>
      <c r="P229" s="13" t="str">
        <f aca="false">IFERROR(__xludf.dummyfunction("""COMPUTED_VALUE"""),"Taufeeq Akhtar ")</f>
        <v>Taufeeq Akhtar </v>
      </c>
      <c r="Q229" s="13" t="str">
        <f aca="false">IF(L229="","",L229)</f>
        <v>[Code: 568DGG] TA: Found Damaged in Floor;</v>
      </c>
    </row>
    <row r="230" customFormat="false" ht="15.75" hidden="false" customHeight="false" outlineLevel="0" collapsed="false">
      <c r="A230" s="13" t="str">
        <f aca="false">IFERROR(__xludf.dummyfunction("""COMPUTED_VALUE"""),"Metro DC Faisalabad")</f>
        <v>Metro DC Faisalabad</v>
      </c>
      <c r="B230" s="13" t="str">
        <f aca="false">IFERROR(__xludf.dummyfunction("""COMPUTED_VALUE"""),"019873e6-cb23-4dc9-84b1-2ca68483b5d3")</f>
        <v>019873e6-cb23-4dc9-84b1-2ca68483b5d3</v>
      </c>
      <c r="C230" s="13" t="str">
        <f aca="false">IFERROR(__xludf.dummyfunction("""COMPUTED_VALUE"""),"Gibs Makhan Badami Toffee Rs5")</f>
        <v>Gibs Makhan Badami Toffee Rs5</v>
      </c>
      <c r="D230" s="13" t="str">
        <f aca="false">IFERROR(__xludf.dummyfunction("""COMPUTED_VALUE"""),"Gibs")</f>
        <v>Gibs</v>
      </c>
      <c r="E230" s="13" t="str">
        <f aca="false">IFERROR(__xludf.dummyfunction("""COMPUTED_VALUE"""),"Confectionary")</f>
        <v>Confectionary</v>
      </c>
      <c r="F230" s="11" t="n">
        <f aca="false">IFERROR(__xludf.dummyfunction("""COMPUTED_VALUE"""),45083)</f>
        <v>45083</v>
      </c>
      <c r="G230" s="16" t="n">
        <f aca="false">IFERROR(__xludf.dummyfunction("""COMPUTED_VALUE"""),0.861500590278133)</f>
        <v>0.8615005903</v>
      </c>
      <c r="H230" s="13" t="str">
        <f aca="false">IFERROR(__xludf.dummyfunction("""COMPUTED_VALUE"""),"damaged stock")</f>
        <v>damaged stock</v>
      </c>
      <c r="I230" s="13" t="n">
        <f aca="false">IFERROR(__xludf.dummyfunction("""COMPUTED_VALUE"""),1)</f>
        <v>1</v>
      </c>
      <c r="J230" s="13" t="n">
        <f aca="false">IFERROR(__xludf.dummyfunction("""COMPUTED_VALUE"""),129.6)</f>
        <v>129.6</v>
      </c>
      <c r="K230" s="13" t="n">
        <f aca="false">IFERROR(__xludf.dummyfunction("""COMPUTED_VALUE"""),129.6)</f>
        <v>129.6</v>
      </c>
      <c r="L230" s="13" t="str">
        <f aca="false">IFERROR(__xludf.dummyfunction("""COMPUTED_VALUE"""),"[Code: 456668] TA: Found damaged and few pieces missing from the box during display.")</f>
        <v>[Code: 456668] TA: Found damaged and few pieces missing from the box during display.</v>
      </c>
      <c r="M230" s="13" t="str">
        <f aca="false">IFERROR(__xludf.dummyfunction("""COMPUTED_VALUE"""),"456668")</f>
        <v>456668</v>
      </c>
      <c r="N230" s="13"/>
      <c r="O230" s="13" t="str">
        <f aca="false">IFERROR(__xludf.dummyfunction("""COMPUTED_VALUE"""),"taufeeq.akhtar@tajir-app.com")</f>
        <v>taufeeq.akhtar@tajir-app.com</v>
      </c>
      <c r="P230" s="13" t="str">
        <f aca="false">IFERROR(__xludf.dummyfunction("""COMPUTED_VALUE"""),"Taufeeq Akhtar ")</f>
        <v>Taufeeq Akhtar </v>
      </c>
      <c r="Q230" s="13" t="str">
        <f aca="false">IF(L230="","",L230)</f>
        <v>[Code: 456668] TA: Found damaged and few pieces missing from the box during display.</v>
      </c>
    </row>
    <row r="231" customFormat="false" ht="15.75" hidden="false" customHeight="false" outlineLevel="0" collapsed="false">
      <c r="A231" s="13" t="str">
        <f aca="false">IFERROR(__xludf.dummyfunction("""COMPUTED_VALUE"""),"Metro DC Faisalabad")</f>
        <v>Metro DC Faisalabad</v>
      </c>
      <c r="B231" s="13" t="str">
        <f aca="false">IFERROR(__xludf.dummyfunction("""COMPUTED_VALUE"""),"7aa66a56-9483-4d1f-a55d-afced12899de")</f>
        <v>7aa66a56-9483-4d1f-a55d-afced12899de</v>
      </c>
      <c r="C231" s="13" t="str">
        <f aca="false">IFERROR(__xludf.dummyfunction("""COMPUTED_VALUE"""),"Juice Time Mango 1L")</f>
        <v>Juice Time Mango 1L</v>
      </c>
      <c r="D231" s="13" t="str">
        <f aca="false">IFERROR(__xludf.dummyfunction("""COMPUTED_VALUE"""),"Juice Time")</f>
        <v>Juice Time</v>
      </c>
      <c r="E231" s="13" t="str">
        <f aca="false">IFERROR(__xludf.dummyfunction("""COMPUTED_VALUE"""),"Juice, Syrup, Squash")</f>
        <v>Juice, Syrup, Squash</v>
      </c>
      <c r="F231" s="11" t="n">
        <f aca="false">IFERROR(__xludf.dummyfunction("""COMPUTED_VALUE"""),45083)</f>
        <v>45083</v>
      </c>
      <c r="G231" s="16" t="n">
        <f aca="false">IFERROR(__xludf.dummyfunction("""COMPUTED_VALUE"""),0.859882511573999)</f>
        <v>0.8598825116</v>
      </c>
      <c r="H231" s="13" t="str">
        <f aca="false">IFERROR(__xludf.dummyfunction("""COMPUTED_VALUE"""),"damaged stock")</f>
        <v>damaged stock</v>
      </c>
      <c r="I231" s="13" t="n">
        <f aca="false">IFERROR(__xludf.dummyfunction("""COMPUTED_VALUE"""),2)</f>
        <v>2</v>
      </c>
      <c r="J231" s="13" t="n">
        <f aca="false">IFERROR(__xludf.dummyfunction("""COMPUTED_VALUE"""),126.67)</f>
        <v>126.67</v>
      </c>
      <c r="K231" s="13" t="n">
        <f aca="false">IFERROR(__xludf.dummyfunction("""COMPUTED_VALUE"""),253.34)</f>
        <v>253.34</v>
      </c>
      <c r="L231" s="13" t="str">
        <f aca="false">IFERROR(__xludf.dummyfunction("""COMPUTED_VALUE"""),"[Code: 2333BC] TA:")</f>
        <v>[Code: 2333BC] TA:</v>
      </c>
      <c r="M231" s="13" t="str">
        <f aca="false">IFERROR(__xludf.dummyfunction("""COMPUTED_VALUE"""),"2333BC")</f>
        <v>2333BC</v>
      </c>
      <c r="N231" s="13"/>
      <c r="O231" s="13" t="str">
        <f aca="false">IFERROR(__xludf.dummyfunction("""COMPUTED_VALUE"""),"taufeeq.akhtar@tajir-app.com")</f>
        <v>taufeeq.akhtar@tajir-app.com</v>
      </c>
      <c r="P231" s="13" t="str">
        <f aca="false">IFERROR(__xludf.dummyfunction("""COMPUTED_VALUE"""),"Taufeeq Akhtar ")</f>
        <v>Taufeeq Akhtar </v>
      </c>
      <c r="Q231" s="13" t="str">
        <f aca="false">IF(L231="","",L231)</f>
        <v>[Code: 2333BC] TA:</v>
      </c>
    </row>
    <row r="232" customFormat="false" ht="15.75" hidden="false" customHeight="false" outlineLevel="0" collapsed="false">
      <c r="A232" s="13" t="str">
        <f aca="false">IFERROR(__xludf.dummyfunction("""COMPUTED_VALUE"""),"Metro DC Faisalabad")</f>
        <v>Metro DC Faisalabad</v>
      </c>
      <c r="B232" s="13" t="str">
        <f aca="false">IFERROR(__xludf.dummyfunction("""COMPUTED_VALUE"""),"827ffe30-f763-442e-b6dc-a1da20601720")</f>
        <v>827ffe30-f763-442e-b6dc-a1da20601720</v>
      </c>
      <c r="C232" s="13" t="str">
        <f aca="false">IFERROR(__xludf.dummyfunction("""COMPUTED_VALUE"""),"Kolson Jam Hearts Strawberry and Vanilla Biscuits Bar Pack 12pcs Rs15")</f>
        <v>Kolson Jam Hearts Strawberry and Vanilla Biscuits Bar Pack 12pcs Rs15</v>
      </c>
      <c r="D232" s="13" t="str">
        <f aca="false">IFERROR(__xludf.dummyfunction("""COMPUTED_VALUE"""),"Kolson")</f>
        <v>Kolson</v>
      </c>
      <c r="E232" s="13" t="str">
        <f aca="false">IFERROR(__xludf.dummyfunction("""COMPUTED_VALUE"""),"Biscuits, Wafers")</f>
        <v>Biscuits, Wafers</v>
      </c>
      <c r="F232" s="11" t="n">
        <f aca="false">IFERROR(__xludf.dummyfunction("""COMPUTED_VALUE"""),45083)</f>
        <v>45083</v>
      </c>
      <c r="G232" s="16" t="n">
        <f aca="false">IFERROR(__xludf.dummyfunction("""COMPUTED_VALUE"""),0.516256990741323)</f>
        <v>0.5162569907</v>
      </c>
      <c r="H232" s="13" t="str">
        <f aca="false">IFERROR(__xludf.dummyfunction("""COMPUTED_VALUE"""),"expired stock")</f>
        <v>expired stock</v>
      </c>
      <c r="I232" s="13" t="n">
        <f aca="false">IFERROR(__xludf.dummyfunction("""COMPUTED_VALUE"""),80)</f>
        <v>80</v>
      </c>
      <c r="J232" s="13" t="n">
        <f aca="false">IFERROR(__xludf.dummyfunction("""COMPUTED_VALUE"""),159.8)</f>
        <v>159.8</v>
      </c>
      <c r="K232" s="13" t="n">
        <f aca="false">IFERROR(__xludf.dummyfunction("""COMPUTED_VALUE"""),12784)</f>
        <v>12784</v>
      </c>
      <c r="L232" s="13" t="str">
        <f aca="false">IFERROR(__xludf.dummyfunction("""COMPUTED_VALUE"""),"[Code: 44599A] [Expiry: 27 Jun, 2023] 80 units found short expiry")</f>
        <v>[Code: 44599A] [Expiry: 27 Jun, 2023] 80 units found short expiry</v>
      </c>
      <c r="M232" s="13" t="str">
        <f aca="false">IFERROR(__xludf.dummyfunction("""COMPUTED_VALUE"""),"44599A")</f>
        <v>44599A</v>
      </c>
      <c r="N232" s="13" t="str">
        <f aca="false">IFERROR(__xludf.dummyfunction("""COMPUTED_VALUE"""),"27 Jun, 2023")</f>
        <v>27 Jun, 2023</v>
      </c>
      <c r="O232" s="13" t="str">
        <f aca="false">IFERROR(__xludf.dummyfunction("""COMPUTED_VALUE"""),"ali.raza@tajir-app.com")</f>
        <v>ali.raza@tajir-app.com</v>
      </c>
      <c r="P232" s="13" t="str">
        <f aca="false">IFERROR(__xludf.dummyfunction("""COMPUTED_VALUE"""),"Ali Raza ")</f>
        <v>Ali Raza </v>
      </c>
      <c r="Q232" s="13" t="str">
        <f aca="false">IF(L232="","",L232)</f>
        <v>[Code: 44599A] [Expiry: 27 Jun, 2023] 80 units found short expiry</v>
      </c>
    </row>
    <row r="233" customFormat="false" ht="15.75" hidden="false" customHeight="false" outlineLevel="0" collapsed="false">
      <c r="A233" s="13" t="str">
        <f aca="false">IFERROR(__xludf.dummyfunction("""COMPUTED_VALUE"""),"Metro DC Faisalabad")</f>
        <v>Metro DC Faisalabad</v>
      </c>
      <c r="B233" s="13" t="str">
        <f aca="false">IFERROR(__xludf.dummyfunction("""COMPUTED_VALUE"""),"6bf8e4d8-b1ee-4416-8677-04c83525e4ce")</f>
        <v>6bf8e4d8-b1ee-4416-8677-04c83525e4ce</v>
      </c>
      <c r="C233" s="13" t="str">
        <f aca="false">IFERROR(__xludf.dummyfunction("""COMPUTED_VALUE"""),"Dummer Super Fine Atta 15kg")</f>
        <v>Dummer Super Fine Atta 15kg</v>
      </c>
      <c r="D233" s="13" t="str">
        <f aca="false">IFERROR(__xludf.dummyfunction("""COMPUTED_VALUE"""),"Dummer Atta")</f>
        <v>Dummer Atta</v>
      </c>
      <c r="E233" s="13" t="str">
        <f aca="false">IFERROR(__xludf.dummyfunction("""COMPUTED_VALUE"""),"Flour")</f>
        <v>Flour</v>
      </c>
      <c r="F233" s="11" t="n">
        <f aca="false">IFERROR(__xludf.dummyfunction("""COMPUTED_VALUE"""),45084)</f>
        <v>45084</v>
      </c>
      <c r="G233" s="16" t="n">
        <f aca="false">IFERROR(__xludf.dummyfunction("""COMPUTED_VALUE"""),0.912403136573735)</f>
        <v>0.9124031366</v>
      </c>
      <c r="H233" s="13" t="str">
        <f aca="false">IFERROR(__xludf.dummyfunction("""COMPUTED_VALUE"""),"damaged stock")</f>
        <v>damaged stock</v>
      </c>
      <c r="I233" s="13" t="n">
        <f aca="false">IFERROR(__xludf.dummyfunction("""COMPUTED_VALUE"""),21)</f>
        <v>21</v>
      </c>
      <c r="J233" s="13" t="n">
        <f aca="false">IFERROR(__xludf.dummyfunction("""COMPUTED_VALUE"""),1680)</f>
        <v>1680</v>
      </c>
      <c r="K233" s="13" t="n">
        <f aca="false">IFERROR(__xludf.dummyfunction("""COMPUTED_VALUE"""),35280)</f>
        <v>35280</v>
      </c>
      <c r="L233" s="13" t="str">
        <f aca="false">IFERROR(__xludf.dummyfunction("""COMPUTED_VALUE"""),"[Code: 55678B] TA;21 units found damaged due to fungus (Quality issu )")</f>
        <v>[Code: 55678B] TA;21 units found damaged due to fungus (Quality issu )</v>
      </c>
      <c r="M233" s="13" t="str">
        <f aca="false">IFERROR(__xludf.dummyfunction("""COMPUTED_VALUE"""),"55678B")</f>
        <v>55678B</v>
      </c>
      <c r="N233" s="13"/>
      <c r="O233" s="13" t="str">
        <f aca="false">IFERROR(__xludf.dummyfunction("""COMPUTED_VALUE"""),"taufeeq.akhtar@tajir-app.com")</f>
        <v>taufeeq.akhtar@tajir-app.com</v>
      </c>
      <c r="P233" s="13" t="str">
        <f aca="false">IFERROR(__xludf.dummyfunction("""COMPUTED_VALUE"""),"Taufeeq Akhtar ")</f>
        <v>Taufeeq Akhtar </v>
      </c>
      <c r="Q233" s="13" t="str">
        <f aca="false">IF(L233="","",L233)</f>
        <v>[Code: 55678B] TA;21 units found damaged due to fungus (Quality issu )</v>
      </c>
    </row>
    <row r="234" customFormat="false" ht="15.75" hidden="false" customHeight="false" outlineLevel="0" collapsed="false">
      <c r="A234" s="13" t="str">
        <f aca="false">IFERROR(__xludf.dummyfunction("""COMPUTED_VALUE"""),"Metro DC Faisalabad")</f>
        <v>Metro DC Faisalabad</v>
      </c>
      <c r="B234" s="13" t="str">
        <f aca="false">IFERROR(__xludf.dummyfunction("""COMPUTED_VALUE"""),"fe7f6e44-8ea8-4eee-a9ea-e5fce8ce8067")</f>
        <v>fe7f6e44-8ea8-4eee-a9ea-e5fce8ce8067</v>
      </c>
      <c r="C234" s="13" t="str">
        <f aca="false">IFERROR(__xludf.dummyfunction("""COMPUTED_VALUE"""),"Quality Grains Daal Chana Budget 1kg")</f>
        <v>Quality Grains Daal Chana Budget 1kg</v>
      </c>
      <c r="D234" s="13" t="str">
        <f aca="false">IFERROR(__xludf.dummyfunction("""COMPUTED_VALUE"""),"Quality Grains")</f>
        <v>Quality Grains</v>
      </c>
      <c r="E234" s="13" t="str">
        <f aca="false">IFERROR(__xludf.dummyfunction("""COMPUTED_VALUE"""),"Pulses")</f>
        <v>Pulses</v>
      </c>
      <c r="F234" s="11" t="n">
        <f aca="false">IFERROR(__xludf.dummyfunction("""COMPUTED_VALUE"""),45084)</f>
        <v>45084</v>
      </c>
      <c r="G234" s="16" t="n">
        <f aca="false">IFERROR(__xludf.dummyfunction("""COMPUTED_VALUE"""),0.540494189816545)</f>
        <v>0.5404941898</v>
      </c>
      <c r="H234" s="13" t="str">
        <f aca="false">IFERROR(__xludf.dummyfunction("""COMPUTED_VALUE"""),"damaged stock")</f>
        <v>damaged stock</v>
      </c>
      <c r="I234" s="13" t="n">
        <f aca="false">IFERROR(__xludf.dummyfunction("""COMPUTED_VALUE"""),2)</f>
        <v>2</v>
      </c>
      <c r="J234" s="13" t="n">
        <f aca="false">IFERROR(__xludf.dummyfunction("""COMPUTED_VALUE"""),234)</f>
        <v>234</v>
      </c>
      <c r="K234" s="13" t="n">
        <f aca="false">IFERROR(__xludf.dummyfunction("""COMPUTED_VALUE"""),468)</f>
        <v>468</v>
      </c>
      <c r="L234" s="13" t="str">
        <f aca="false">IFERROR(__xludf.dummyfunction("""COMPUTED_VALUE"""),"[Code: 5567BG] 02 units found damaged due to fungus (quality issue)")</f>
        <v>[Code: 5567BG] 02 units found damaged due to fungus (quality issue)</v>
      </c>
      <c r="M234" s="13" t="str">
        <f aca="false">IFERROR(__xludf.dummyfunction("""COMPUTED_VALUE"""),"5567BG")</f>
        <v>5567BG</v>
      </c>
      <c r="N234" s="13"/>
      <c r="O234" s="13" t="str">
        <f aca="false">IFERROR(__xludf.dummyfunction("""COMPUTED_VALUE"""),"ali.raza@tajir-app.com")</f>
        <v>ali.raza@tajir-app.com</v>
      </c>
      <c r="P234" s="13" t="str">
        <f aca="false">IFERROR(__xludf.dummyfunction("""COMPUTED_VALUE"""),"Ali Raza ")</f>
        <v>Ali Raza </v>
      </c>
      <c r="Q234" s="13" t="str">
        <f aca="false">IF(L234="","",L234)</f>
        <v>[Code: 5567BG] 02 units found damaged due to fungus (quality issue)</v>
      </c>
    </row>
    <row r="235" customFormat="false" ht="15.75" hidden="false" customHeight="false" outlineLevel="0" collapsed="false">
      <c r="A235" s="13" t="str">
        <f aca="false">IFERROR(__xludf.dummyfunction("""COMPUTED_VALUE"""),"Metro DC Faisalabad")</f>
        <v>Metro DC Faisalabad</v>
      </c>
      <c r="B235" s="13" t="str">
        <f aca="false">IFERROR(__xludf.dummyfunction("""COMPUTED_VALUE"""),"61d83a40-577c-4f96-9f01-3b2d39501f02")</f>
        <v>61d83a40-577c-4f96-9f01-3b2d39501f02</v>
      </c>
      <c r="C235" s="13" t="str">
        <f aca="false">IFERROR(__xludf.dummyfunction("""COMPUTED_VALUE"""),"Sherdil Daal Chana Bareek 5kg")</f>
        <v>Sherdil Daal Chana Bareek 5kg</v>
      </c>
      <c r="D235" s="13" t="str">
        <f aca="false">IFERROR(__xludf.dummyfunction("""COMPUTED_VALUE"""),"Sherdil")</f>
        <v>Sherdil</v>
      </c>
      <c r="E235" s="13" t="str">
        <f aca="false">IFERROR(__xludf.dummyfunction("""COMPUTED_VALUE"""),"Pulses")</f>
        <v>Pulses</v>
      </c>
      <c r="F235" s="11" t="n">
        <f aca="false">IFERROR(__xludf.dummyfunction("""COMPUTED_VALUE"""),45084)</f>
        <v>45084</v>
      </c>
      <c r="G235" s="16" t="n">
        <f aca="false">IFERROR(__xludf.dummyfunction("""COMPUTED_VALUE"""),0.539576377313807)</f>
        <v>0.5395763773</v>
      </c>
      <c r="H235" s="13" t="str">
        <f aca="false">IFERROR(__xludf.dummyfunction("""COMPUTED_VALUE"""),"damaged stock")</f>
        <v>damaged stock</v>
      </c>
      <c r="I235" s="13" t="n">
        <f aca="false">IFERROR(__xludf.dummyfunction("""COMPUTED_VALUE"""),8)</f>
        <v>8</v>
      </c>
      <c r="J235" s="13" t="n">
        <f aca="false">IFERROR(__xludf.dummyfunction("""COMPUTED_VALUE"""),1190)</f>
        <v>1190</v>
      </c>
      <c r="K235" s="13" t="n">
        <f aca="false">IFERROR(__xludf.dummyfunction("""COMPUTED_VALUE"""),9520)</f>
        <v>9520</v>
      </c>
      <c r="L235" s="13" t="str">
        <f aca="false">IFERROR(__xludf.dummyfunction("""COMPUTED_VALUE"""),"[Code: 377GGK] 08 units found damaged due to fungus (Quality Issue)")</f>
        <v>[Code: 377GGK] 08 units found damaged due to fungus (Quality Issue)</v>
      </c>
      <c r="M235" s="13" t="str">
        <f aca="false">IFERROR(__xludf.dummyfunction("""COMPUTED_VALUE"""),"377GGK")</f>
        <v>377GGK</v>
      </c>
      <c r="N235" s="13"/>
      <c r="O235" s="13" t="str">
        <f aca="false">IFERROR(__xludf.dummyfunction("""COMPUTED_VALUE"""),"ali.raza@tajir-app.com")</f>
        <v>ali.raza@tajir-app.com</v>
      </c>
      <c r="P235" s="13" t="str">
        <f aca="false">IFERROR(__xludf.dummyfunction("""COMPUTED_VALUE"""),"Ali Raza ")</f>
        <v>Ali Raza </v>
      </c>
      <c r="Q235" s="13" t="str">
        <f aca="false">IF(L235="","",L235)</f>
        <v>[Code: 377GGK] 08 units found damaged due to fungus (Quality Issue)</v>
      </c>
    </row>
    <row r="236" customFormat="false" ht="15.75" hidden="false" customHeight="false" outlineLevel="0" collapsed="false">
      <c r="A236" s="13" t="str">
        <f aca="false">IFERROR(__xludf.dummyfunction("""COMPUTED_VALUE"""),"Metro DC Faisalabad")</f>
        <v>Metro DC Faisalabad</v>
      </c>
      <c r="B236" s="13" t="str">
        <f aca="false">IFERROR(__xludf.dummyfunction("""COMPUTED_VALUE"""),"e6bf5f33-817a-4aa8-b7f2-68b529324ca2")</f>
        <v>e6bf5f33-817a-4aa8-b7f2-68b529324ca2</v>
      </c>
      <c r="C236" s="13" t="str">
        <f aca="false">IFERROR(__xludf.dummyfunction("""COMPUTED_VALUE"""),"Top Breading Flour 11kg")</f>
        <v>Top Breading Flour 11kg</v>
      </c>
      <c r="D236" s="13" t="str">
        <f aca="false">IFERROR(__xludf.dummyfunction("""COMPUTED_VALUE"""),"Yadgar Atta")</f>
        <v>Yadgar Atta</v>
      </c>
      <c r="E236" s="13" t="str">
        <f aca="false">IFERROR(__xludf.dummyfunction("""COMPUTED_VALUE"""),"Flour")</f>
        <v>Flour</v>
      </c>
      <c r="F236" s="11" t="n">
        <f aca="false">IFERROR(__xludf.dummyfunction("""COMPUTED_VALUE"""),45085)</f>
        <v>45085</v>
      </c>
      <c r="G236" s="16" t="n">
        <f aca="false">IFERROR(__xludf.dummyfunction("""COMPUTED_VALUE"""),0.420089386573077)</f>
        <v>0.4200893866</v>
      </c>
      <c r="H236" s="13" t="str">
        <f aca="false">IFERROR(__xludf.dummyfunction("""COMPUTED_VALUE"""),"expired stock")</f>
        <v>expired stock</v>
      </c>
      <c r="I236" s="13" t="n">
        <f aca="false">IFERROR(__xludf.dummyfunction("""COMPUTED_VALUE"""),3)</f>
        <v>3</v>
      </c>
      <c r="J236" s="13" t="n">
        <f aca="false">IFERROR(__xludf.dummyfunction("""COMPUTED_VALUE"""),1825)</f>
        <v>1825</v>
      </c>
      <c r="K236" s="13" t="n">
        <f aca="false">IFERROR(__xludf.dummyfunction("""COMPUTED_VALUE"""),5475)</f>
        <v>5475</v>
      </c>
      <c r="L236" s="13" t="str">
        <f aca="false">IFERROR(__xludf.dummyfunction("""COMPUTED_VALUE"""),"[Code: 378AAA] [Expiry: 8 Jun, 2023] 3 units expire on 08-Jun-2023")</f>
        <v>[Code: 378AAA] [Expiry: 8 Jun, 2023] 3 units expire on 08-Jun-2023</v>
      </c>
      <c r="M236" s="13" t="str">
        <f aca="false">IFERROR(__xludf.dummyfunction("""COMPUTED_VALUE"""),"378AAA")</f>
        <v>378AAA</v>
      </c>
      <c r="N236" s="13" t="str">
        <f aca="false">IFERROR(__xludf.dummyfunction("""COMPUTED_VALUE"""),"8 Jun, 2023")</f>
        <v>8 Jun, 2023</v>
      </c>
      <c r="O236" s="13" t="str">
        <f aca="false">IFERROR(__xludf.dummyfunction("""COMPUTED_VALUE"""),"ali.raza@tajir-app.com")</f>
        <v>ali.raza@tajir-app.com</v>
      </c>
      <c r="P236" s="13" t="str">
        <f aca="false">IFERROR(__xludf.dummyfunction("""COMPUTED_VALUE"""),"Ali Raza ")</f>
        <v>Ali Raza </v>
      </c>
      <c r="Q236" s="13" t="str">
        <f aca="false">IF(L236="","",L236)</f>
        <v>[Code: 378AAA] [Expiry: 8 Jun, 2023] 3 units expire on 08-Jun-2023</v>
      </c>
    </row>
    <row r="237" customFormat="false" ht="15.75" hidden="false" customHeight="false" outlineLevel="0" collapsed="false">
      <c r="A237" s="13" t="str">
        <f aca="false">IFERROR(__xludf.dummyfunction("""COMPUTED_VALUE"""),"Metro DC Faisalabad")</f>
        <v>Metro DC Faisalabad</v>
      </c>
      <c r="B237" s="13" t="str">
        <f aca="false">IFERROR(__xludf.dummyfunction("""COMPUTED_VALUE"""),"36f65055-820f-48bd-917c-ec2013ee64ec")</f>
        <v>36f65055-820f-48bd-917c-ec2013ee64ec</v>
      </c>
      <c r="C237" s="13" t="str">
        <f aca="false">IFERROR(__xludf.dummyfunction("""COMPUTED_VALUE"""),"Shangrila Chilli Garlic Sauce x3 Bundle 800g")</f>
        <v>Shangrila Chilli Garlic Sauce x3 Bundle 800g</v>
      </c>
      <c r="D237" s="13" t="str">
        <f aca="false">IFERROR(__xludf.dummyfunction("""COMPUTED_VALUE"""),"Shangrila")</f>
        <v>Shangrila</v>
      </c>
      <c r="E237" s="13" t="str">
        <f aca="false">IFERROR(__xludf.dummyfunction("""COMPUTED_VALUE"""),"Sauces")</f>
        <v>Sauces</v>
      </c>
      <c r="F237" s="11" t="n">
        <f aca="false">IFERROR(__xludf.dummyfunction("""COMPUTED_VALUE"""),45086)</f>
        <v>45086</v>
      </c>
      <c r="G237" s="16" t="n">
        <f aca="false">IFERROR(__xludf.dummyfunction("""COMPUTED_VALUE"""),0.718477025463513)</f>
        <v>0.7184770255</v>
      </c>
      <c r="H237" s="13" t="str">
        <f aca="false">IFERROR(__xludf.dummyfunction("""COMPUTED_VALUE"""),"damaged stock")</f>
        <v>damaged stock</v>
      </c>
      <c r="I237" s="13" t="n">
        <f aca="false">IFERROR(__xludf.dummyfunction("""COMPUTED_VALUE"""),1)</f>
        <v>1</v>
      </c>
      <c r="J237" s="13" t="n">
        <f aca="false">IFERROR(__xludf.dummyfunction("""COMPUTED_VALUE"""),987.91)</f>
        <v>987.91</v>
      </c>
      <c r="K237" s="13" t="n">
        <f aca="false">IFERROR(__xludf.dummyfunction("""COMPUTED_VALUE"""),987.91)</f>
        <v>987.91</v>
      </c>
      <c r="L237" s="13" t="str">
        <f aca="false">IFERROR(__xludf.dummyfunction("""COMPUTED_VALUE"""),"[Code: 578EFF] TA: Display karty waqt box may say damaged nikla aik piece.")</f>
        <v>[Code: 578EFF] TA: Display karty waqt box may say damaged nikla aik piece.</v>
      </c>
      <c r="M237" s="13" t="str">
        <f aca="false">IFERROR(__xludf.dummyfunction("""COMPUTED_VALUE"""),"578EFF")</f>
        <v>578EFF</v>
      </c>
      <c r="N237" s="13"/>
      <c r="O237" s="13" t="str">
        <f aca="false">IFERROR(__xludf.dummyfunction("""COMPUTED_VALUE"""),"taufeeq.akhtar@tajir-app.com")</f>
        <v>taufeeq.akhtar@tajir-app.com</v>
      </c>
      <c r="P237" s="13" t="str">
        <f aca="false">IFERROR(__xludf.dummyfunction("""COMPUTED_VALUE"""),"Taufeeq Akhtar ")</f>
        <v>Taufeeq Akhtar </v>
      </c>
      <c r="Q237" s="13" t="str">
        <f aca="false">IF(L237="","",L237)</f>
        <v>[Code: 578EFF] TA: Display karty waqt box may say damaged nikla aik piece.</v>
      </c>
    </row>
    <row r="238" customFormat="false" ht="15.75" hidden="false" customHeight="false" outlineLevel="0" collapsed="false">
      <c r="A238" s="13" t="str">
        <f aca="false">IFERROR(__xludf.dummyfunction("""COMPUTED_VALUE"""),"Metro DC Faisalabad")</f>
        <v>Metro DC Faisalabad</v>
      </c>
      <c r="B238" s="13" t="str">
        <f aca="false">IFERROR(__xludf.dummyfunction("""COMPUTED_VALUE"""),"b7e47528-8822-461b-8889-f508bace7dfe")</f>
        <v>b7e47528-8822-461b-8889-f508bace7dfe</v>
      </c>
      <c r="C238" s="13" t="str">
        <f aca="false">IFERROR(__xludf.dummyfunction("""COMPUTED_VALUE"""),"Sherdil Daal Chana Bareek 1kg")</f>
        <v>Sherdil Daal Chana Bareek 1kg</v>
      </c>
      <c r="D238" s="13" t="str">
        <f aca="false">IFERROR(__xludf.dummyfunction("""COMPUTED_VALUE"""),"Sherdil")</f>
        <v>Sherdil</v>
      </c>
      <c r="E238" s="13" t="str">
        <f aca="false">IFERROR(__xludf.dummyfunction("""COMPUTED_VALUE"""),"Pulses")</f>
        <v>Pulses</v>
      </c>
      <c r="F238" s="11" t="n">
        <f aca="false">IFERROR(__xludf.dummyfunction("""COMPUTED_VALUE"""),45086)</f>
        <v>45086</v>
      </c>
      <c r="G238" s="16" t="n">
        <f aca="false">IFERROR(__xludf.dummyfunction("""COMPUTED_VALUE"""),0.717020937501617)</f>
        <v>0.7170209375</v>
      </c>
      <c r="H238" s="13" t="str">
        <f aca="false">IFERROR(__xludf.dummyfunction("""COMPUTED_VALUE"""),"damaged stock")</f>
        <v>damaged stock</v>
      </c>
      <c r="I238" s="13" t="n">
        <f aca="false">IFERROR(__xludf.dummyfunction("""COMPUTED_VALUE"""),1)</f>
        <v>1</v>
      </c>
      <c r="J238" s="13" t="n">
        <f aca="false">IFERROR(__xludf.dummyfunction("""COMPUTED_VALUE"""),272)</f>
        <v>272</v>
      </c>
      <c r="K238" s="13" t="n">
        <f aca="false">IFERROR(__xludf.dummyfunction("""COMPUTED_VALUE"""),272)</f>
        <v>272</v>
      </c>
      <c r="L238" s="13" t="str">
        <f aca="false">IFERROR(__xludf.dummyfunction("""COMPUTED_VALUE"""),"[Code: 469BBD] TA: (Quality issue,company end): daal ki qaulity sahi nahi hay ulli lagi hui hain.")</f>
        <v>[Code: 469BBD] TA: (Quality issue,company end): daal ki qaulity sahi nahi hay ulli lagi hui hain.</v>
      </c>
      <c r="M238" s="13" t="str">
        <f aca="false">IFERROR(__xludf.dummyfunction("""COMPUTED_VALUE"""),"469BBD")</f>
        <v>469BBD</v>
      </c>
      <c r="N238" s="13"/>
      <c r="O238" s="13" t="str">
        <f aca="false">IFERROR(__xludf.dummyfunction("""COMPUTED_VALUE"""),"taufeeq.akhtar@tajir-app.com")</f>
        <v>taufeeq.akhtar@tajir-app.com</v>
      </c>
      <c r="P238" s="13" t="str">
        <f aca="false">IFERROR(__xludf.dummyfunction("""COMPUTED_VALUE"""),"Taufeeq Akhtar ")</f>
        <v>Taufeeq Akhtar </v>
      </c>
      <c r="Q238" s="13" t="str">
        <f aca="false">IF(L238="","",L238)</f>
        <v>[Code: 469BBD] TA: (Quality issue,company end): daal ki qaulity sahi nahi hay ulli lagi hui hain.</v>
      </c>
    </row>
    <row r="239" customFormat="false" ht="15.75" hidden="false" customHeight="false" outlineLevel="0" collapsed="false">
      <c r="A239" s="13" t="str">
        <f aca="false">IFERROR(__xludf.dummyfunction("""COMPUTED_VALUE"""),"Metro DC Faisalabad")</f>
        <v>Metro DC Faisalabad</v>
      </c>
      <c r="B239" s="13" t="str">
        <f aca="false">IFERROR(__xludf.dummyfunction("""COMPUTED_VALUE"""),"d833817f-cf3e-4c58-89b9-79905c414df1")</f>
        <v>d833817f-cf3e-4c58-89b9-79905c414df1</v>
      </c>
      <c r="C239" s="13" t="str">
        <f aca="false">IFERROR(__xludf.dummyfunction("""COMPUTED_VALUE"""),"Booster NR 250ml")</f>
        <v>Booster NR 250ml</v>
      </c>
      <c r="D239" s="13" t="str">
        <f aca="false">IFERROR(__xludf.dummyfunction("""COMPUTED_VALUE"""),"Booster")</f>
        <v>Booster</v>
      </c>
      <c r="E239" s="13" t="str">
        <f aca="false">IFERROR(__xludf.dummyfunction("""COMPUTED_VALUE"""),"Beverages")</f>
        <v>Beverages</v>
      </c>
      <c r="F239" s="11" t="n">
        <f aca="false">IFERROR(__xludf.dummyfunction("""COMPUTED_VALUE"""),45086)</f>
        <v>45086</v>
      </c>
      <c r="G239" s="16" t="n">
        <f aca="false">IFERROR(__xludf.dummyfunction("""COMPUTED_VALUE"""),0.674516759257675)</f>
        <v>0.6745167593</v>
      </c>
      <c r="H239" s="13" t="str">
        <f aca="false">IFERROR(__xludf.dummyfunction("""COMPUTED_VALUE"""),"damaged stock")</f>
        <v>damaged stock</v>
      </c>
      <c r="I239" s="13" t="n">
        <f aca="false">IFERROR(__xludf.dummyfunction("""COMPUTED_VALUE"""),1)</f>
        <v>1</v>
      </c>
      <c r="J239" s="13" t="n">
        <f aca="false">IFERROR(__xludf.dummyfunction("""COMPUTED_VALUE"""),669.6)</f>
        <v>669.6</v>
      </c>
      <c r="K239" s="13" t="n">
        <f aca="false">IFERROR(__xludf.dummyfunction("""COMPUTED_VALUE"""),669.6)</f>
        <v>669.6</v>
      </c>
      <c r="L239" s="13" t="str">
        <f aca="false">IFERROR(__xludf.dummyfunction("""COMPUTED_VALUE"""),"[Code: 34BEFK] TA: Four empty botel found in pet During sorting.(Company end issue)")</f>
        <v>[Code: 34BEFK] TA: Four empty botel found in pet During sorting.(Company end issue)</v>
      </c>
      <c r="M239" s="13" t="str">
        <f aca="false">IFERROR(__xludf.dummyfunction("""COMPUTED_VALUE"""),"34BEFK")</f>
        <v>34BEFK</v>
      </c>
      <c r="N239" s="13"/>
      <c r="O239" s="13" t="str">
        <f aca="false">IFERROR(__xludf.dummyfunction("""COMPUTED_VALUE"""),"taufeeq.akhtar@tajir-app.com")</f>
        <v>taufeeq.akhtar@tajir-app.com</v>
      </c>
      <c r="P239" s="13" t="str">
        <f aca="false">IFERROR(__xludf.dummyfunction("""COMPUTED_VALUE"""),"Taufeeq Akhtar ")</f>
        <v>Taufeeq Akhtar </v>
      </c>
      <c r="Q239" s="13" t="str">
        <f aca="false">IF(L239="","",L239)</f>
        <v>[Code: 34BEFK] TA: Four empty botel found in pet During sorting.(Company end issue)</v>
      </c>
    </row>
    <row r="240" customFormat="false" ht="15.75" hidden="false" customHeight="false" outlineLevel="0" collapsed="false">
      <c r="A240" s="13" t="str">
        <f aca="false">IFERROR(__xludf.dummyfunction("""COMPUTED_VALUE"""),"Metro DC Faisalabad")</f>
        <v>Metro DC Faisalabad</v>
      </c>
      <c r="B240" s="13" t="str">
        <f aca="false">IFERROR(__xludf.dummyfunction("""COMPUTED_VALUE"""),"a883a43a-bb52-446d-a615-93f044869b44")</f>
        <v>a883a43a-bb52-446d-a615-93f044869b44</v>
      </c>
      <c r="C240" s="13" t="str">
        <f aca="false">IFERROR(__xludf.dummyfunction("""COMPUTED_VALUE"""),"Gibs Crispee Wafers Banana 15pcs Rs10")</f>
        <v>Gibs Crispee Wafers Banana 15pcs Rs10</v>
      </c>
      <c r="D240" s="13" t="str">
        <f aca="false">IFERROR(__xludf.dummyfunction("""COMPUTED_VALUE"""),"Gibs")</f>
        <v>Gibs</v>
      </c>
      <c r="E240" s="13" t="str">
        <f aca="false">IFERROR(__xludf.dummyfunction("""COMPUTED_VALUE"""),"Biscuits, Wafers")</f>
        <v>Biscuits, Wafers</v>
      </c>
      <c r="F240" s="11" t="n">
        <f aca="false">IFERROR(__xludf.dummyfunction("""COMPUTED_VALUE"""),45087)</f>
        <v>45087</v>
      </c>
      <c r="G240" s="16" t="n">
        <f aca="false">IFERROR(__xludf.dummyfunction("""COMPUTED_VALUE"""),0.925562615742552)</f>
        <v>0.9255626157</v>
      </c>
      <c r="H240" s="13" t="str">
        <f aca="false">IFERROR(__xludf.dummyfunction("""COMPUTED_VALUE"""),"missing stock")</f>
        <v>missing stock</v>
      </c>
      <c r="I240" s="13" t="n">
        <f aca="false">IFERROR(__xludf.dummyfunction("""COMPUTED_VALUE"""),34)</f>
        <v>34</v>
      </c>
      <c r="J240" s="13" t="n">
        <f aca="false">IFERROR(__xludf.dummyfunction("""COMPUTED_VALUE"""),129.6)</f>
        <v>129.6</v>
      </c>
      <c r="K240" s="13" t="n">
        <f aca="false">IFERROR(__xludf.dummyfunction("""COMPUTED_VALUE"""),4406.4)</f>
        <v>4406.4</v>
      </c>
      <c r="L240" s="13" t="str">
        <f aca="false">IFERROR(__xludf.dummyfunction("""COMPUTED_VALUE"""),"TA: NOT available on floor. instead(Banana wafers 12pc Rs10) availabel on floor of same quantity.")</f>
        <v>TA: NOT available on floor. instead(Banana wafers 12pc Rs10) availabel on floor of same quantity.</v>
      </c>
      <c r="M240" s="13"/>
      <c r="N240" s="13"/>
      <c r="O240" s="13" t="str">
        <f aca="false">IFERROR(__xludf.dummyfunction("""COMPUTED_VALUE"""),"taufeeq.akhtar@tajir-app.com")</f>
        <v>taufeeq.akhtar@tajir-app.com</v>
      </c>
      <c r="P240" s="13" t="str">
        <f aca="false">IFERROR(__xludf.dummyfunction("""COMPUTED_VALUE"""),"Taufeeq Akhtar ")</f>
        <v>Taufeeq Akhtar </v>
      </c>
      <c r="Q240" s="13" t="str">
        <f aca="false">IF(L240="","",L240)</f>
        <v>TA: NOT available on floor. instead(Banana wafers 12pc Rs10) availabel on floor of same quantity.</v>
      </c>
    </row>
    <row r="241" customFormat="false" ht="15.75" hidden="false" customHeight="false" outlineLevel="0" collapsed="false">
      <c r="A241" s="13" t="str">
        <f aca="false">IFERROR(__xludf.dummyfunction("""COMPUTED_VALUE"""),"Metro DC Faisalabad")</f>
        <v>Metro DC Faisalabad</v>
      </c>
      <c r="B241" s="13" t="str">
        <f aca="false">IFERROR(__xludf.dummyfunction("""COMPUTED_VALUE"""),"4cff4418-6388-49da-a75e-625503b3b330")</f>
        <v>4cff4418-6388-49da-a75e-625503b3b330</v>
      </c>
      <c r="C241" s="13" t="str">
        <f aca="false">IFERROR(__xludf.dummyfunction("""COMPUTED_VALUE"""),"Hilal Premium Mini Cake Rusk Rs30")</f>
        <v>Hilal Premium Mini Cake Rusk Rs30</v>
      </c>
      <c r="D241" s="13" t="str">
        <f aca="false">IFERROR(__xludf.dummyfunction("""COMPUTED_VALUE"""),"Hilal")</f>
        <v>Hilal</v>
      </c>
      <c r="E241" s="13" t="str">
        <f aca="false">IFERROR(__xludf.dummyfunction("""COMPUTED_VALUE"""),"Confectionary")</f>
        <v>Confectionary</v>
      </c>
      <c r="F241" s="11" t="n">
        <f aca="false">IFERROR(__xludf.dummyfunction("""COMPUTED_VALUE"""),45089)</f>
        <v>45089</v>
      </c>
      <c r="G241" s="16" t="n">
        <f aca="false">IFERROR(__xludf.dummyfunction("""COMPUTED_VALUE"""),0.933877754630433)</f>
        <v>0.9338777546</v>
      </c>
      <c r="H241" s="13" t="str">
        <f aca="false">IFERROR(__xludf.dummyfunction("""COMPUTED_VALUE"""),"missing stock")</f>
        <v>missing stock</v>
      </c>
      <c r="I241" s="13" t="n">
        <f aca="false">IFERROR(__xludf.dummyfunction("""COMPUTED_VALUE"""),5)</f>
        <v>5</v>
      </c>
      <c r="J241" s="13" t="n">
        <f aca="false">IFERROR(__xludf.dummyfunction("""COMPUTED_VALUE"""),152.86)</f>
        <v>152.86</v>
      </c>
      <c r="K241" s="13" t="n">
        <f aca="false">IFERROR(__xludf.dummyfunction("""COMPUTED_VALUE"""),764.3)</f>
        <v>764.3</v>
      </c>
      <c r="L241" s="13" t="str">
        <f aca="false">IFERROR(__xludf.dummyfunction("""COMPUTED_VALUE"""),"TA:Not available on floor(Night audit)")</f>
        <v>TA:Not available on floor(Night audit)</v>
      </c>
      <c r="M241" s="13"/>
      <c r="N241" s="13"/>
      <c r="O241" s="13" t="str">
        <f aca="false">IFERROR(__xludf.dummyfunction("""COMPUTED_VALUE"""),"taufeeq.akhtar@tajir-app.com")</f>
        <v>taufeeq.akhtar@tajir-app.com</v>
      </c>
      <c r="P241" s="13" t="str">
        <f aca="false">IFERROR(__xludf.dummyfunction("""COMPUTED_VALUE"""),"Taufeeq Akhtar ")</f>
        <v>Taufeeq Akhtar </v>
      </c>
      <c r="Q241" s="13" t="str">
        <f aca="false">IF(L241="","",L241)</f>
        <v>TA:Not available on floor(Night audit)</v>
      </c>
    </row>
    <row r="242" customFormat="false" ht="15.75" hidden="false" customHeight="false" outlineLevel="0" collapsed="false">
      <c r="A242" s="13" t="str">
        <f aca="false">IFERROR(__xludf.dummyfunction("""COMPUTED_VALUE"""),"Metro DC Faisalabad")</f>
        <v>Metro DC Faisalabad</v>
      </c>
      <c r="B242" s="13" t="str">
        <f aca="false">IFERROR(__xludf.dummyfunction("""COMPUTED_VALUE"""),"e9afd721-6631-4c9e-82b8-a67357d6c119")</f>
        <v>e9afd721-6631-4c9e-82b8-a67357d6c119</v>
      </c>
      <c r="C242" s="13" t="str">
        <f aca="false">IFERROR(__xludf.dummyfunction("""COMPUTED_VALUE"""),"National Hyderabadi Pickle 1kg")</f>
        <v>National Hyderabadi Pickle 1kg</v>
      </c>
      <c r="D242" s="13" t="str">
        <f aca="false">IFERROR(__xludf.dummyfunction("""COMPUTED_VALUE"""),"National")</f>
        <v>National</v>
      </c>
      <c r="E242" s="13" t="str">
        <f aca="false">IFERROR(__xludf.dummyfunction("""COMPUTED_VALUE"""),"Sauces")</f>
        <v>Sauces</v>
      </c>
      <c r="F242" s="11" t="n">
        <f aca="false">IFERROR(__xludf.dummyfunction("""COMPUTED_VALUE"""),45089)</f>
        <v>45089</v>
      </c>
      <c r="G242" s="16" t="n">
        <f aca="false">IFERROR(__xludf.dummyfunction("""COMPUTED_VALUE"""),0.814050208333015)</f>
        <v>0.8140502083</v>
      </c>
      <c r="H242" s="13" t="str">
        <f aca="false">IFERROR(__xludf.dummyfunction("""COMPUTED_VALUE"""),"damaged stock")</f>
        <v>damaged stock</v>
      </c>
      <c r="I242" s="13" t="n">
        <f aca="false">IFERROR(__xludf.dummyfunction("""COMPUTED_VALUE"""),1)</f>
        <v>1</v>
      </c>
      <c r="J242" s="13" t="n">
        <f aca="false">IFERROR(__xludf.dummyfunction("""COMPUTED_VALUE"""),571.67)</f>
        <v>571.67</v>
      </c>
      <c r="K242" s="13" t="n">
        <f aca="false">IFERROR(__xludf.dummyfunction("""COMPUTED_VALUE"""),571.67)</f>
        <v>571.67</v>
      </c>
      <c r="L242" s="13" t="str">
        <f aca="false">IFERROR(__xludf.dummyfunction("""COMPUTED_VALUE"""),"[Code: 34889B] TA: company end issue : found in loose condtion during sorting ;")</f>
        <v>[Code: 34889B] TA: company end issue : found in loose condtion during sorting ;</v>
      </c>
      <c r="M242" s="13" t="str">
        <f aca="false">IFERROR(__xludf.dummyfunction("""COMPUTED_VALUE"""),"34889B")</f>
        <v>34889B</v>
      </c>
      <c r="N242" s="13"/>
      <c r="O242" s="13" t="str">
        <f aca="false">IFERROR(__xludf.dummyfunction("""COMPUTED_VALUE"""),"taufeeq.akhtar@tajir-app.com")</f>
        <v>taufeeq.akhtar@tajir-app.com</v>
      </c>
      <c r="P242" s="13" t="str">
        <f aca="false">IFERROR(__xludf.dummyfunction("""COMPUTED_VALUE"""),"Taufeeq Akhtar ")</f>
        <v>Taufeeq Akhtar </v>
      </c>
      <c r="Q242" s="13" t="str">
        <f aca="false">IF(L242="","",L242)</f>
        <v>[Code: 34889B] TA: company end issue : found in loose condtion during sorting ;</v>
      </c>
    </row>
    <row r="243" customFormat="false" ht="15.75" hidden="false" customHeight="false" outlineLevel="0" collapsed="false">
      <c r="A243" s="13" t="str">
        <f aca="false">IFERROR(__xludf.dummyfunction("""COMPUTED_VALUE"""),"Metro DC Faisalabad")</f>
        <v>Metro DC Faisalabad</v>
      </c>
      <c r="B243" s="13" t="str">
        <f aca="false">IFERROR(__xludf.dummyfunction("""COMPUTED_VALUE"""),"65650175-df92-4ef5-ae18-f525df57d160")</f>
        <v>65650175-df92-4ef5-ae18-f525df57d160</v>
      </c>
      <c r="C243" s="13" t="str">
        <f aca="false">IFERROR(__xludf.dummyfunction("""COMPUTED_VALUE"""),"Coca Cola plastic 500ml (Half Liter)")</f>
        <v>Coca Cola plastic 500ml (Half Liter)</v>
      </c>
      <c r="D243" s="13" t="str">
        <f aca="false">IFERROR(__xludf.dummyfunction("""COMPUTED_VALUE"""),"Coca Cola")</f>
        <v>Coca Cola</v>
      </c>
      <c r="E243" s="13" t="str">
        <f aca="false">IFERROR(__xludf.dummyfunction("""COMPUTED_VALUE"""),"Beverages")</f>
        <v>Beverages</v>
      </c>
      <c r="F243" s="11" t="n">
        <f aca="false">IFERROR(__xludf.dummyfunction("""COMPUTED_VALUE"""),45089)</f>
        <v>45089</v>
      </c>
      <c r="G243" s="16" t="n">
        <f aca="false">IFERROR(__xludf.dummyfunction("""COMPUTED_VALUE"""),0.812744548609721)</f>
        <v>0.8127445486</v>
      </c>
      <c r="H243" s="13" t="str">
        <f aca="false">IFERROR(__xludf.dummyfunction("""COMPUTED_VALUE"""),"damaged stock")</f>
        <v>damaged stock</v>
      </c>
      <c r="I243" s="13" t="n">
        <f aca="false">IFERROR(__xludf.dummyfunction("""COMPUTED_VALUE"""),2)</f>
        <v>2</v>
      </c>
      <c r="J243" s="13" t="n">
        <f aca="false">IFERROR(__xludf.dummyfunction("""COMPUTED_VALUE"""),839)</f>
        <v>839</v>
      </c>
      <c r="K243" s="13" t="n">
        <f aca="false">IFERROR(__xludf.dummyfunction("""COMPUTED_VALUE"""),1678)</f>
        <v>1678</v>
      </c>
      <c r="L243" s="13" t="str">
        <f aca="false">IFERROR(__xludf.dummyfunction("""COMPUTED_VALUE"""),"[Code: 24466E] TA:(company end issuue ) Found in loose condition during sorting:")</f>
        <v>[Code: 24466E] TA:(company end issuue ) Found in loose condition during sorting:</v>
      </c>
      <c r="M243" s="13" t="str">
        <f aca="false">IFERROR(__xludf.dummyfunction("""COMPUTED_VALUE"""),"24466E")</f>
        <v>24466E</v>
      </c>
      <c r="N243" s="13"/>
      <c r="O243" s="13" t="str">
        <f aca="false">IFERROR(__xludf.dummyfunction("""COMPUTED_VALUE"""),"taufeeq.akhtar@tajir-app.com")</f>
        <v>taufeeq.akhtar@tajir-app.com</v>
      </c>
      <c r="P243" s="13" t="str">
        <f aca="false">IFERROR(__xludf.dummyfunction("""COMPUTED_VALUE"""),"Taufeeq Akhtar ")</f>
        <v>Taufeeq Akhtar </v>
      </c>
      <c r="Q243" s="13" t="str">
        <f aca="false">IF(L243="","",L243)</f>
        <v>[Code: 24466E] TA:(company end issuue ) Found in loose condition during sorting:</v>
      </c>
    </row>
    <row r="244" customFormat="false" ht="15.75" hidden="false" customHeight="false" outlineLevel="0" collapsed="false">
      <c r="A244" s="13" t="str">
        <f aca="false">IFERROR(__xludf.dummyfunction("""COMPUTED_VALUE"""),"Metro DC Faisalabad")</f>
        <v>Metro DC Faisalabad</v>
      </c>
      <c r="B244" s="13" t="str">
        <f aca="false">IFERROR(__xludf.dummyfunction("""COMPUTED_VALUE"""),"23cd5453-e4e2-4f7a-bdb0-4ba6f0aff353")</f>
        <v>23cd5453-e4e2-4f7a-bdb0-4ba6f0aff353</v>
      </c>
      <c r="C244" s="13" t="str">
        <f aca="false">IFERROR(__xludf.dummyfunction("""COMPUTED_VALUE"""),"Sunlight Green Clean and Fresh 700g Rs199")</f>
        <v>Sunlight Green Clean and Fresh 700g Rs199</v>
      </c>
      <c r="D244" s="13" t="str">
        <f aca="false">IFERROR(__xludf.dummyfunction("""COMPUTED_VALUE"""),"Sunlight")</f>
        <v>Sunlight</v>
      </c>
      <c r="E244" s="13" t="str">
        <f aca="false">IFERROR(__xludf.dummyfunction("""COMPUTED_VALUE"""),"Surf, Bleach")</f>
        <v>Surf, Bleach</v>
      </c>
      <c r="F244" s="11" t="n">
        <f aca="false">IFERROR(__xludf.dummyfunction("""COMPUTED_VALUE"""),45090)</f>
        <v>45090</v>
      </c>
      <c r="G244" s="16" t="n">
        <f aca="false">IFERROR(__xludf.dummyfunction("""COMPUTED_VALUE"""),0.952468321757836)</f>
        <v>0.9524683218</v>
      </c>
      <c r="H244" s="13" t="str">
        <f aca="false">IFERROR(__xludf.dummyfunction("""COMPUTED_VALUE"""),"damaged stock")</f>
        <v>damaged stock</v>
      </c>
      <c r="I244" s="13" t="n">
        <f aca="false">IFERROR(__xludf.dummyfunction("""COMPUTED_VALUE"""),3)</f>
        <v>3</v>
      </c>
      <c r="J244" s="13" t="n">
        <f aca="false">IFERROR(__xludf.dummyfunction("""COMPUTED_VALUE"""),184.17)</f>
        <v>184.17</v>
      </c>
      <c r="K244" s="13" t="n">
        <f aca="false">IFERROR(__xludf.dummyfunction("""COMPUTED_VALUE"""),552.51)</f>
        <v>552.51</v>
      </c>
      <c r="L244" s="13" t="str">
        <f aca="false">IFERROR(__xludf.dummyfunction("""COMPUTED_VALUE"""),"[Code: 345888] TA: Thailay may say damaged niklay ....")</f>
        <v>[Code: 345888] TA: Thailay may say damaged niklay ....</v>
      </c>
      <c r="M244" s="13" t="str">
        <f aca="false">IFERROR(__xludf.dummyfunction("""COMPUTED_VALUE"""),"345888")</f>
        <v>345888</v>
      </c>
      <c r="N244" s="13"/>
      <c r="O244" s="13" t="str">
        <f aca="false">IFERROR(__xludf.dummyfunction("""COMPUTED_VALUE"""),"taufeeq.akhtar@tajir-app.com")</f>
        <v>taufeeq.akhtar@tajir-app.com</v>
      </c>
      <c r="P244" s="13" t="str">
        <f aca="false">IFERROR(__xludf.dummyfunction("""COMPUTED_VALUE"""),"Taufeeq Akhtar ")</f>
        <v>Taufeeq Akhtar </v>
      </c>
      <c r="Q244" s="13" t="str">
        <f aca="false">IF(L244="","",L244)</f>
        <v>[Code: 345888] TA: Thailay may say damaged niklay ....</v>
      </c>
    </row>
    <row r="245" customFormat="false" ht="15.75" hidden="false" customHeight="false" outlineLevel="0" collapsed="false">
      <c r="A245" s="13" t="str">
        <f aca="false">IFERROR(__xludf.dummyfunction("""COMPUTED_VALUE"""),"Metro DC Faisalabad")</f>
        <v>Metro DC Faisalabad</v>
      </c>
      <c r="B245" s="13" t="str">
        <f aca="false">IFERROR(__xludf.dummyfunction("""COMPUTED_VALUE"""),"0ee035a6-b655-42e7-9383-db7e445284d9")</f>
        <v>0ee035a6-b655-42e7-9383-db7e445284d9</v>
      </c>
      <c r="C245" s="13" t="str">
        <f aca="false">IFERROR(__xludf.dummyfunction("""COMPUTED_VALUE"""),"Sunlight Yellow Clean and Rose Fresh 760g Rs199")</f>
        <v>Sunlight Yellow Clean and Rose Fresh 760g Rs199</v>
      </c>
      <c r="D245" s="13" t="str">
        <f aca="false">IFERROR(__xludf.dummyfunction("""COMPUTED_VALUE"""),"Sunlight")</f>
        <v>Sunlight</v>
      </c>
      <c r="E245" s="13" t="str">
        <f aca="false">IFERROR(__xludf.dummyfunction("""COMPUTED_VALUE"""),"Surf, Bleach")</f>
        <v>Surf, Bleach</v>
      </c>
      <c r="F245" s="11" t="n">
        <f aca="false">IFERROR(__xludf.dummyfunction("""COMPUTED_VALUE"""),45090)</f>
        <v>45090</v>
      </c>
      <c r="G245" s="16" t="n">
        <f aca="false">IFERROR(__xludf.dummyfunction("""COMPUTED_VALUE"""),0.951193298610389)</f>
        <v>0.9511932986</v>
      </c>
      <c r="H245" s="13" t="str">
        <f aca="false">IFERROR(__xludf.dummyfunction("""COMPUTED_VALUE"""),"damaged stock")</f>
        <v>damaged stock</v>
      </c>
      <c r="I245" s="13" t="n">
        <f aca="false">IFERROR(__xludf.dummyfunction("""COMPUTED_VALUE"""),1)</f>
        <v>1</v>
      </c>
      <c r="J245" s="13" t="n">
        <f aca="false">IFERROR(__xludf.dummyfunction("""COMPUTED_VALUE"""),184.17)</f>
        <v>184.17</v>
      </c>
      <c r="K245" s="13" t="n">
        <f aca="false">IFERROR(__xludf.dummyfunction("""COMPUTED_VALUE"""),184.17)</f>
        <v>184.17</v>
      </c>
      <c r="L245" s="13" t="str">
        <f aca="false">IFERROR(__xludf.dummyfunction("""COMPUTED_VALUE"""),"[Code: 34CCEG] TA: thailay may say damaged nikla(Company end issue )")</f>
        <v>[Code: 34CCEG] TA: thailay may say damaged nikla(Company end issue )</v>
      </c>
      <c r="M245" s="13" t="str">
        <f aca="false">IFERROR(__xludf.dummyfunction("""COMPUTED_VALUE"""),"34CCEG")</f>
        <v>34CCEG</v>
      </c>
      <c r="N245" s="13"/>
      <c r="O245" s="13" t="str">
        <f aca="false">IFERROR(__xludf.dummyfunction("""COMPUTED_VALUE"""),"taufeeq.akhtar@tajir-app.com")</f>
        <v>taufeeq.akhtar@tajir-app.com</v>
      </c>
      <c r="P245" s="13" t="str">
        <f aca="false">IFERROR(__xludf.dummyfunction("""COMPUTED_VALUE"""),"Taufeeq Akhtar ")</f>
        <v>Taufeeq Akhtar </v>
      </c>
      <c r="Q245" s="13" t="str">
        <f aca="false">IF(L245="","",L245)</f>
        <v>[Code: 34CCEG] TA: thailay may say damaged nikla(Company end issue )</v>
      </c>
    </row>
    <row r="246" customFormat="false" ht="15.75" hidden="false" customHeight="false" outlineLevel="0" collapsed="false">
      <c r="A246" s="13" t="str">
        <f aca="false">IFERROR(__xludf.dummyfunction("""COMPUTED_VALUE"""),"Metro DC Faisalabad")</f>
        <v>Metro DC Faisalabad</v>
      </c>
      <c r="B246" s="13" t="str">
        <f aca="false">IFERROR(__xludf.dummyfunction("""COMPUTED_VALUE"""),"2078dcd4-3c88-45e1-bc7b-363dde84c6e8")</f>
        <v>2078dcd4-3c88-45e1-bc7b-363dde84c6e8</v>
      </c>
      <c r="C246" s="13" t="str">
        <f aca="false">IFERROR(__xludf.dummyfunction("""COMPUTED_VALUE"""),"Special Wooden Phool Jharoo")</f>
        <v>Special Wooden Phool Jharoo</v>
      </c>
      <c r="D246" s="13" t="str">
        <f aca="false">IFERROR(__xludf.dummyfunction("""COMPUTED_VALUE"""),"Jharoo")</f>
        <v>Jharoo</v>
      </c>
      <c r="E246" s="13" t="str">
        <f aca="false">IFERROR(__xludf.dummyfunction("""COMPUTED_VALUE"""),"Home Care")</f>
        <v>Home Care</v>
      </c>
      <c r="F246" s="11" t="n">
        <f aca="false">IFERROR(__xludf.dummyfunction("""COMPUTED_VALUE"""),45090)</f>
        <v>45090</v>
      </c>
      <c r="G246" s="16" t="n">
        <f aca="false">IFERROR(__xludf.dummyfunction("""COMPUTED_VALUE"""),0.950039386575642)</f>
        <v>0.9500393866</v>
      </c>
      <c r="H246" s="13" t="str">
        <f aca="false">IFERROR(__xludf.dummyfunction("""COMPUTED_VALUE"""),"damaged stock")</f>
        <v>damaged stock</v>
      </c>
      <c r="I246" s="13" t="n">
        <f aca="false">IFERROR(__xludf.dummyfunction("""COMPUTED_VALUE"""),2)</f>
        <v>2</v>
      </c>
      <c r="J246" s="13" t="n">
        <f aca="false">IFERROR(__xludf.dummyfunction("""COMPUTED_VALUE"""),135)</f>
        <v>135</v>
      </c>
      <c r="K246" s="13" t="n">
        <f aca="false">IFERROR(__xludf.dummyfunction("""COMPUTED_VALUE"""),270)</f>
        <v>270</v>
      </c>
      <c r="L246" s="13" t="str">
        <f aca="false">IFERROR(__xludf.dummyfunction("""COMPUTED_VALUE"""),"[Code: 247ACD] TA: bundle may say damaged niklay sorting k doran.")</f>
        <v>[Code: 247ACD] TA: bundle may say damaged niklay sorting k doran.</v>
      </c>
      <c r="M246" s="13" t="str">
        <f aca="false">IFERROR(__xludf.dummyfunction("""COMPUTED_VALUE"""),"247ACD")</f>
        <v>247ACD</v>
      </c>
      <c r="N246" s="13"/>
      <c r="O246" s="13" t="str">
        <f aca="false">IFERROR(__xludf.dummyfunction("""COMPUTED_VALUE"""),"taufeeq.akhtar@tajir-app.com")</f>
        <v>taufeeq.akhtar@tajir-app.com</v>
      </c>
      <c r="P246" s="13" t="str">
        <f aca="false">IFERROR(__xludf.dummyfunction("""COMPUTED_VALUE"""),"Taufeeq Akhtar ")</f>
        <v>Taufeeq Akhtar </v>
      </c>
      <c r="Q246" s="13" t="str">
        <f aca="false">IF(L246="","",L246)</f>
        <v>[Code: 247ACD] TA: bundle may say damaged niklay sorting k doran.</v>
      </c>
    </row>
    <row r="247" customFormat="false" ht="15.75" hidden="false" customHeight="false" outlineLevel="0" collapsed="false">
      <c r="A247" s="13" t="str">
        <f aca="false">IFERROR(__xludf.dummyfunction("""COMPUTED_VALUE"""),"Metro DC Faisalabad")</f>
        <v>Metro DC Faisalabad</v>
      </c>
      <c r="B247" s="13" t="str">
        <f aca="false">IFERROR(__xludf.dummyfunction("""COMPUTED_VALUE"""),"73450c2c-e78c-4c7c-ada4-17c7817fcb4c")</f>
        <v>73450c2c-e78c-4c7c-ada4-17c7817fcb4c</v>
      </c>
      <c r="C247" s="13" t="str">
        <f aca="false">IFERROR(__xludf.dummyfunction("""COMPUTED_VALUE"""),"Plastic Special Phool Jharoo")</f>
        <v>Plastic Special Phool Jharoo</v>
      </c>
      <c r="D247" s="13" t="str">
        <f aca="false">IFERROR(__xludf.dummyfunction("""COMPUTED_VALUE"""),"Jharoo")</f>
        <v>Jharoo</v>
      </c>
      <c r="E247" s="13" t="str">
        <f aca="false">IFERROR(__xludf.dummyfunction("""COMPUTED_VALUE"""),"Home Care")</f>
        <v>Home Care</v>
      </c>
      <c r="F247" s="11" t="n">
        <f aca="false">IFERROR(__xludf.dummyfunction("""COMPUTED_VALUE"""),45090)</f>
        <v>45090</v>
      </c>
      <c r="G247" s="16" t="n">
        <f aca="false">IFERROR(__xludf.dummyfunction("""COMPUTED_VALUE"""),0.94817033564797)</f>
        <v>0.9481703356</v>
      </c>
      <c r="H247" s="13" t="str">
        <f aca="false">IFERROR(__xludf.dummyfunction("""COMPUTED_VALUE"""),"damaged stock")</f>
        <v>damaged stock</v>
      </c>
      <c r="I247" s="13" t="n">
        <f aca="false">IFERROR(__xludf.dummyfunction("""COMPUTED_VALUE"""),1)</f>
        <v>1</v>
      </c>
      <c r="J247" s="13" t="n">
        <f aca="false">IFERROR(__xludf.dummyfunction("""COMPUTED_VALUE"""),135)</f>
        <v>135</v>
      </c>
      <c r="K247" s="13" t="n">
        <f aca="false">IFERROR(__xludf.dummyfunction("""COMPUTED_VALUE"""),135)</f>
        <v>135</v>
      </c>
      <c r="L247" s="13" t="str">
        <f aca="false">IFERROR(__xludf.dummyfunction("""COMPUTED_VALUE"""),"[Code: 235579] TA: company end issue(bundle may say toota hua nikla)")</f>
        <v>[Code: 235579] TA: company end issue(bundle may say toota hua nikla)</v>
      </c>
      <c r="M247" s="13" t="str">
        <f aca="false">IFERROR(__xludf.dummyfunction("""COMPUTED_VALUE"""),"235579")</f>
        <v>235579</v>
      </c>
      <c r="N247" s="13"/>
      <c r="O247" s="13" t="str">
        <f aca="false">IFERROR(__xludf.dummyfunction("""COMPUTED_VALUE"""),"taufeeq.akhtar@tajir-app.com")</f>
        <v>taufeeq.akhtar@tajir-app.com</v>
      </c>
      <c r="P247" s="13" t="str">
        <f aca="false">IFERROR(__xludf.dummyfunction("""COMPUTED_VALUE"""),"Taufeeq Akhtar ")</f>
        <v>Taufeeq Akhtar </v>
      </c>
      <c r="Q247" s="13" t="str">
        <f aca="false">IF(L247="","",L247)</f>
        <v>[Code: 235579] TA: company end issue(bundle may say toota hua nikla)</v>
      </c>
    </row>
    <row r="248" customFormat="false" ht="15.75" hidden="false" customHeight="false" outlineLevel="0" collapsed="false">
      <c r="A248" s="13" t="str">
        <f aca="false">IFERROR(__xludf.dummyfunction("""COMPUTED_VALUE"""),"Metro DC Faisalabad")</f>
        <v>Metro DC Faisalabad</v>
      </c>
      <c r="B248" s="13" t="str">
        <f aca="false">IFERROR(__xludf.dummyfunction("""COMPUTED_VALUE"""),"75d54c08-307e-4a4f-90f3-1310ae913c1b")</f>
        <v>75d54c08-307e-4a4f-90f3-1310ae913c1b</v>
      </c>
      <c r="C248" s="13" t="str">
        <f aca="false">IFERROR(__xludf.dummyfunction("""COMPUTED_VALUE"""),"Kolson Slanty Jalapeno 60Pcs Rs10 5g")</f>
        <v>Kolson Slanty Jalapeno 60Pcs Rs10 5g</v>
      </c>
      <c r="D248" s="13" t="str">
        <f aca="false">IFERROR(__xludf.dummyfunction("""COMPUTED_VALUE"""),"Kolson")</f>
        <v>Kolson</v>
      </c>
      <c r="E248" s="13" t="str">
        <f aca="false">IFERROR(__xludf.dummyfunction("""COMPUTED_VALUE"""),"Snacks")</f>
        <v>Snacks</v>
      </c>
      <c r="F248" s="11" t="n">
        <f aca="false">IFERROR(__xludf.dummyfunction("""COMPUTED_VALUE"""),45090)</f>
        <v>45090</v>
      </c>
      <c r="G248" s="16" t="n">
        <f aca="false">IFERROR(__xludf.dummyfunction("""COMPUTED_VALUE"""),0.638944652779303)</f>
        <v>0.6389446528</v>
      </c>
      <c r="H248" s="13" t="str">
        <f aca="false">IFERROR(__xludf.dummyfunction("""COMPUTED_VALUE"""),"damaged stock")</f>
        <v>damaged stock</v>
      </c>
      <c r="I248" s="13" t="n">
        <f aca="false">IFERROR(__xludf.dummyfunction("""COMPUTED_VALUE"""),6)</f>
        <v>6</v>
      </c>
      <c r="J248" s="13" t="n">
        <f aca="false">IFERROR(__xludf.dummyfunction("""COMPUTED_VALUE"""),519.82)</f>
        <v>519.82</v>
      </c>
      <c r="K248" s="13" t="n">
        <f aca="false">IFERROR(__xludf.dummyfunction("""COMPUTED_VALUE"""),3118.92)</f>
        <v>3118.92</v>
      </c>
      <c r="L248" s="13" t="str">
        <f aca="false">IFERROR(__xludf.dummyfunction("""COMPUTED_VALUE"""),"[Code: 3668AB] expriy not mentioned on 6 units ")</f>
        <v>[Code: 3668AB] expriy not mentioned on 6 units </v>
      </c>
      <c r="M248" s="13" t="str">
        <f aca="false">IFERROR(__xludf.dummyfunction("""COMPUTED_VALUE"""),"3668AB")</f>
        <v>3668AB</v>
      </c>
      <c r="N248" s="13"/>
      <c r="O248" s="13" t="str">
        <f aca="false">IFERROR(__xludf.dummyfunction("""COMPUTED_VALUE"""),"ali.raza@tajir-app.com")</f>
        <v>ali.raza@tajir-app.com</v>
      </c>
      <c r="P248" s="13" t="str">
        <f aca="false">IFERROR(__xludf.dummyfunction("""COMPUTED_VALUE"""),"Ali Raza ")</f>
        <v>Ali Raza </v>
      </c>
      <c r="Q248" s="13" t="str">
        <f aca="false">IF(L248="","",L248)</f>
        <v>[Code: 3668AB] expriy not mentioned on 6 units </v>
      </c>
    </row>
    <row r="249" customFormat="false" ht="15.75" hidden="false" customHeight="false" outlineLevel="0" collapsed="false">
      <c r="A249" s="13" t="str">
        <f aca="false">IFERROR(__xludf.dummyfunction("""COMPUTED_VALUE"""),"Metro DC Faisalabad")</f>
        <v>Metro DC Faisalabad</v>
      </c>
      <c r="B249" s="13" t="str">
        <f aca="false">IFERROR(__xludf.dummyfunction("""COMPUTED_VALUE"""),"75d54c08-307e-4a4f-90f3-1310ae913c1b")</f>
        <v>75d54c08-307e-4a4f-90f3-1310ae913c1b</v>
      </c>
      <c r="C249" s="13" t="str">
        <f aca="false">IFERROR(__xludf.dummyfunction("""COMPUTED_VALUE"""),"Kolson Slanty Jalapeno 60Pcs Rs10 5g")</f>
        <v>Kolson Slanty Jalapeno 60Pcs Rs10 5g</v>
      </c>
      <c r="D249" s="13" t="str">
        <f aca="false">IFERROR(__xludf.dummyfunction("""COMPUTED_VALUE"""),"Kolson")</f>
        <v>Kolson</v>
      </c>
      <c r="E249" s="13" t="str">
        <f aca="false">IFERROR(__xludf.dummyfunction("""COMPUTED_VALUE"""),"Snacks")</f>
        <v>Snacks</v>
      </c>
      <c r="F249" s="11" t="n">
        <f aca="false">IFERROR(__xludf.dummyfunction("""COMPUTED_VALUE"""),45090)</f>
        <v>45090</v>
      </c>
      <c r="G249" s="16" t="n">
        <f aca="false">IFERROR(__xludf.dummyfunction("""COMPUTED_VALUE"""),0.637900995372138)</f>
        <v>0.6379009954</v>
      </c>
      <c r="H249" s="13" t="str">
        <f aca="false">IFERROR(__xludf.dummyfunction("""COMPUTED_VALUE"""),"expired stock")</f>
        <v>expired stock</v>
      </c>
      <c r="I249" s="13" t="n">
        <f aca="false">IFERROR(__xludf.dummyfunction("""COMPUTED_VALUE"""),3)</f>
        <v>3</v>
      </c>
      <c r="J249" s="13" t="n">
        <f aca="false">IFERROR(__xludf.dummyfunction("""COMPUTED_VALUE"""),519.82)</f>
        <v>519.82</v>
      </c>
      <c r="K249" s="13" t="n">
        <f aca="false">IFERROR(__xludf.dummyfunction("""COMPUTED_VALUE"""),1559.46)</f>
        <v>1559.46</v>
      </c>
      <c r="L249" s="13" t="str">
        <f aca="false">IFERROR(__xludf.dummyfunction("""COMPUTED_VALUE"""),"[Code: 457DFG] [Expiry: 30 Jul, 2023] 3 units expire on 30-07-2023")</f>
        <v>[Code: 457DFG] [Expiry: 30 Jul, 2023] 3 units expire on 30-07-2023</v>
      </c>
      <c r="M249" s="13" t="str">
        <f aca="false">IFERROR(__xludf.dummyfunction("""COMPUTED_VALUE"""),"457DFG")</f>
        <v>457DFG</v>
      </c>
      <c r="N249" s="13" t="str">
        <f aca="false">IFERROR(__xludf.dummyfunction("""COMPUTED_VALUE"""),"30 Jul, 2023")</f>
        <v>30 Jul, 2023</v>
      </c>
      <c r="O249" s="13" t="str">
        <f aca="false">IFERROR(__xludf.dummyfunction("""COMPUTED_VALUE"""),"ali.raza@tajir-app.com")</f>
        <v>ali.raza@tajir-app.com</v>
      </c>
      <c r="P249" s="13" t="str">
        <f aca="false">IFERROR(__xludf.dummyfunction("""COMPUTED_VALUE"""),"Ali Raza ")</f>
        <v>Ali Raza </v>
      </c>
      <c r="Q249" s="13" t="str">
        <f aca="false">IF(L249="","",L249)</f>
        <v>[Code: 457DFG] [Expiry: 30 Jul, 2023] 3 units expire on 30-07-2023</v>
      </c>
    </row>
    <row r="250" customFormat="false" ht="15.75" hidden="false" customHeight="false" outlineLevel="0" collapsed="false">
      <c r="A250" s="13" t="str">
        <f aca="false">IFERROR(__xludf.dummyfunction("""COMPUTED_VALUE"""),"Metro DC Faisalabad")</f>
        <v>Metro DC Faisalabad</v>
      </c>
      <c r="B250" s="13" t="str">
        <f aca="false">IFERROR(__xludf.dummyfunction("""COMPUTED_VALUE"""),"75d54c08-307e-4a4f-90f3-1310ae913c1b")</f>
        <v>75d54c08-307e-4a4f-90f3-1310ae913c1b</v>
      </c>
      <c r="C250" s="13" t="str">
        <f aca="false">IFERROR(__xludf.dummyfunction("""COMPUTED_VALUE"""),"Kolson Slanty Jalapeno 60Pcs Rs10 5g")</f>
        <v>Kolson Slanty Jalapeno 60Pcs Rs10 5g</v>
      </c>
      <c r="D250" s="13" t="str">
        <f aca="false">IFERROR(__xludf.dummyfunction("""COMPUTED_VALUE"""),"Kolson")</f>
        <v>Kolson</v>
      </c>
      <c r="E250" s="13" t="str">
        <f aca="false">IFERROR(__xludf.dummyfunction("""COMPUTED_VALUE"""),"Snacks")</f>
        <v>Snacks</v>
      </c>
      <c r="F250" s="11" t="n">
        <f aca="false">IFERROR(__xludf.dummyfunction("""COMPUTED_VALUE"""),45090)</f>
        <v>45090</v>
      </c>
      <c r="G250" s="16" t="n">
        <f aca="false">IFERROR(__xludf.dummyfunction("""COMPUTED_VALUE"""),0.637308148146537)</f>
        <v>0.6373081481</v>
      </c>
      <c r="H250" s="13" t="str">
        <f aca="false">IFERROR(__xludf.dummyfunction("""COMPUTED_VALUE"""),"expired stock")</f>
        <v>expired stock</v>
      </c>
      <c r="I250" s="13" t="n">
        <f aca="false">IFERROR(__xludf.dummyfunction("""COMPUTED_VALUE"""),5)</f>
        <v>5</v>
      </c>
      <c r="J250" s="13" t="n">
        <f aca="false">IFERROR(__xludf.dummyfunction("""COMPUTED_VALUE"""),519.82)</f>
        <v>519.82</v>
      </c>
      <c r="K250" s="13" t="n">
        <f aca="false">IFERROR(__xludf.dummyfunction("""COMPUTED_VALUE"""),2599.1)</f>
        <v>2599.1</v>
      </c>
      <c r="L250" s="13" t="str">
        <f aca="false">IFERROR(__xludf.dummyfunction("""COMPUTED_VALUE"""),"[Code: 26ABDG] [Expiry: 15 May, 2023] 5 units found expire from (Vendor End)")</f>
        <v>[Code: 26ABDG] [Expiry: 15 May, 2023] 5 units found expire from (Vendor End)</v>
      </c>
      <c r="M250" s="13" t="str">
        <f aca="false">IFERROR(__xludf.dummyfunction("""COMPUTED_VALUE"""),"26ABDG")</f>
        <v>26ABDG</v>
      </c>
      <c r="N250" s="13" t="str">
        <f aca="false">IFERROR(__xludf.dummyfunction("""COMPUTED_VALUE"""),"15 May, 2023")</f>
        <v>15 May, 2023</v>
      </c>
      <c r="O250" s="13" t="str">
        <f aca="false">IFERROR(__xludf.dummyfunction("""COMPUTED_VALUE"""),"ali.raza@tajir-app.com")</f>
        <v>ali.raza@tajir-app.com</v>
      </c>
      <c r="P250" s="13" t="str">
        <f aca="false">IFERROR(__xludf.dummyfunction("""COMPUTED_VALUE"""),"Ali Raza ")</f>
        <v>Ali Raza </v>
      </c>
      <c r="Q250" s="13" t="str">
        <f aca="false">IF(L250="","",L250)</f>
        <v>[Code: 26ABDG] [Expiry: 15 May, 2023] 5 units found expire from (Vendor End)</v>
      </c>
    </row>
    <row r="251" customFormat="false" ht="15.75" hidden="false" customHeight="false" outlineLevel="0" collapsed="false">
      <c r="A251" s="13" t="str">
        <f aca="false">IFERROR(__xludf.dummyfunction("""COMPUTED_VALUE"""),"Metro DC Faisalabad")</f>
        <v>Metro DC Faisalabad</v>
      </c>
      <c r="B251" s="13" t="str">
        <f aca="false">IFERROR(__xludf.dummyfunction("""COMPUTED_VALUE"""),"59e4c477-de73-4b1a-951d-f12eb0f05512")</f>
        <v>59e4c477-de73-4b1a-951d-f12eb0f05512</v>
      </c>
      <c r="C251" s="13" t="str">
        <f aca="false">IFERROR(__xludf.dummyfunction("""COMPUTED_VALUE"""),"Shangrila Tomato Ketchup x3 Bundle 400g")</f>
        <v>Shangrila Tomato Ketchup x3 Bundle 400g</v>
      </c>
      <c r="D251" s="13" t="str">
        <f aca="false">IFERROR(__xludf.dummyfunction("""COMPUTED_VALUE"""),"Shangrila")</f>
        <v>Shangrila</v>
      </c>
      <c r="E251" s="13" t="str">
        <f aca="false">IFERROR(__xludf.dummyfunction("""COMPUTED_VALUE"""),"Sauces")</f>
        <v>Sauces</v>
      </c>
      <c r="F251" s="11" t="n">
        <f aca="false">IFERROR(__xludf.dummyfunction("""COMPUTED_VALUE"""),45091)</f>
        <v>45091</v>
      </c>
      <c r="G251" s="16" t="n">
        <f aca="false">IFERROR(__xludf.dummyfunction("""COMPUTED_VALUE"""),0.907469398148471)</f>
        <v>0.9074693981</v>
      </c>
      <c r="H251" s="13" t="str">
        <f aca="false">IFERROR(__xludf.dummyfunction("""COMPUTED_VALUE"""),"damaged stock")</f>
        <v>damaged stock</v>
      </c>
      <c r="I251" s="13" t="n">
        <f aca="false">IFERROR(__xludf.dummyfunction("""COMPUTED_VALUE"""),1)</f>
        <v>1</v>
      </c>
      <c r="J251" s="13" t="n">
        <f aca="false">IFERROR(__xludf.dummyfunction("""COMPUTED_VALUE"""),540.66)</f>
        <v>540.66</v>
      </c>
      <c r="K251" s="13" t="n">
        <f aca="false">IFERROR(__xludf.dummyfunction("""COMPUTED_VALUE"""),540.66)</f>
        <v>540.66</v>
      </c>
      <c r="L251" s="13" t="str">
        <f aca="false">IFERROR(__xludf.dummyfunction("""COMPUTED_VALUE"""),"[Code: 33AACD] TA: Display krtay waqt box may say damaged nikla.")</f>
        <v>[Code: 33AACD] TA: Display krtay waqt box may say damaged nikla.</v>
      </c>
      <c r="M251" s="13" t="str">
        <f aca="false">IFERROR(__xludf.dummyfunction("""COMPUTED_VALUE"""),"33AACD")</f>
        <v>33AACD</v>
      </c>
      <c r="N251" s="13"/>
      <c r="O251" s="13" t="str">
        <f aca="false">IFERROR(__xludf.dummyfunction("""COMPUTED_VALUE"""),"taufeeq.akhtar@tajir-app.com")</f>
        <v>taufeeq.akhtar@tajir-app.com</v>
      </c>
      <c r="P251" s="13" t="str">
        <f aca="false">IFERROR(__xludf.dummyfunction("""COMPUTED_VALUE"""),"Taufeeq Akhtar ")</f>
        <v>Taufeeq Akhtar </v>
      </c>
      <c r="Q251" s="13" t="str">
        <f aca="false">IF(L251="","",L251)</f>
        <v>[Code: 33AACD] TA: Display krtay waqt box may say damaged nikla.</v>
      </c>
    </row>
    <row r="252" customFormat="false" ht="15.75" hidden="false" customHeight="false" outlineLevel="0" collapsed="false">
      <c r="A252" s="13" t="str">
        <f aca="false">IFERROR(__xludf.dummyfunction("""COMPUTED_VALUE"""),"Metro DC Faisalabad")</f>
        <v>Metro DC Faisalabad</v>
      </c>
      <c r="B252" s="13" t="str">
        <f aca="false">IFERROR(__xludf.dummyfunction("""COMPUTED_VALUE"""),"a3fd9ae4-01a1-4cf0-82bb-221e4c8cf42d")</f>
        <v>a3fd9ae4-01a1-4cf0-82bb-221e4c8cf42d</v>
      </c>
      <c r="C252" s="13" t="str">
        <f aca="false">IFERROR(__xludf.dummyfunction("""COMPUTED_VALUE"""),"Lifebuoy Herbal Strong 9ml 16pcs Rs.10")</f>
        <v>Lifebuoy Herbal Strong 9ml 16pcs Rs.10</v>
      </c>
      <c r="D252" s="13" t="str">
        <f aca="false">IFERROR(__xludf.dummyfunction("""COMPUTED_VALUE"""),"Lifebuoy")</f>
        <v>Lifebuoy</v>
      </c>
      <c r="E252" s="13" t="str">
        <f aca="false">IFERROR(__xludf.dummyfunction("""COMPUTED_VALUE"""),"Shampoo")</f>
        <v>Shampoo</v>
      </c>
      <c r="F252" s="11" t="n">
        <f aca="false">IFERROR(__xludf.dummyfunction("""COMPUTED_VALUE"""),45093)</f>
        <v>45093</v>
      </c>
      <c r="G252" s="16" t="n">
        <f aca="false">IFERROR(__xludf.dummyfunction("""COMPUTED_VALUE"""),0.755747280092145)</f>
        <v>0.7557472801</v>
      </c>
      <c r="H252" s="13" t="str">
        <f aca="false">IFERROR(__xludf.dummyfunction("""COMPUTED_VALUE"""),"damaged stock")</f>
        <v>damaged stock</v>
      </c>
      <c r="I252" s="13" t="n">
        <f aca="false">IFERROR(__xludf.dummyfunction("""COMPUTED_VALUE"""),4)</f>
        <v>4</v>
      </c>
      <c r="J252" s="13" t="n">
        <f aca="false">IFERROR(__xludf.dummyfunction("""COMPUTED_VALUE"""),143.67)</f>
        <v>143.67</v>
      </c>
      <c r="K252" s="13" t="n">
        <f aca="false">IFERROR(__xludf.dummyfunction("""COMPUTED_VALUE"""),574.68)</f>
        <v>574.68</v>
      </c>
      <c r="L252" s="13" t="str">
        <f aca="false">IFERROR(__xludf.dummyfunction("""COMPUTED_VALUE"""),"[Code: 244AAC] TA: Found Damaged from Box During sorting:")</f>
        <v>[Code: 244AAC] TA: Found Damaged from Box During sorting:</v>
      </c>
      <c r="M252" s="13" t="str">
        <f aca="false">IFERROR(__xludf.dummyfunction("""COMPUTED_VALUE"""),"244AAC")</f>
        <v>244AAC</v>
      </c>
      <c r="N252" s="13"/>
      <c r="O252" s="13" t="str">
        <f aca="false">IFERROR(__xludf.dummyfunction("""COMPUTED_VALUE"""),"taufeeq.akhtar@tajir-app.com")</f>
        <v>taufeeq.akhtar@tajir-app.com</v>
      </c>
      <c r="P252" s="13" t="str">
        <f aca="false">IFERROR(__xludf.dummyfunction("""COMPUTED_VALUE"""),"Taufeeq Akhtar ")</f>
        <v>Taufeeq Akhtar </v>
      </c>
      <c r="Q252" s="13" t="str">
        <f aca="false">IF(L252="","",L252)</f>
        <v>[Code: 244AAC] TA: Found Damaged from Box During sorting:</v>
      </c>
    </row>
    <row r="253" customFormat="false" ht="15.75" hidden="false" customHeight="false" outlineLevel="0" collapsed="false">
      <c r="A253" s="13" t="str">
        <f aca="false">IFERROR(__xludf.dummyfunction("""COMPUTED_VALUE"""),"Metro DC Faisalabad")</f>
        <v>Metro DC Faisalabad</v>
      </c>
      <c r="B253" s="13" t="str">
        <f aca="false">IFERROR(__xludf.dummyfunction("""COMPUTED_VALUE"""),"fe7f6e44-8ea8-4eee-a9ea-e5fce8ce8067")</f>
        <v>fe7f6e44-8ea8-4eee-a9ea-e5fce8ce8067</v>
      </c>
      <c r="C253" s="13" t="str">
        <f aca="false">IFERROR(__xludf.dummyfunction("""COMPUTED_VALUE"""),"Quality Grains Daal Chana Budget 1kg")</f>
        <v>Quality Grains Daal Chana Budget 1kg</v>
      </c>
      <c r="D253" s="13" t="str">
        <f aca="false">IFERROR(__xludf.dummyfunction("""COMPUTED_VALUE"""),"Quality Grains")</f>
        <v>Quality Grains</v>
      </c>
      <c r="E253" s="13" t="str">
        <f aca="false">IFERROR(__xludf.dummyfunction("""COMPUTED_VALUE"""),"Pulses")</f>
        <v>Pulses</v>
      </c>
      <c r="F253" s="11" t="n">
        <f aca="false">IFERROR(__xludf.dummyfunction("""COMPUTED_VALUE"""),45093)</f>
        <v>45093</v>
      </c>
      <c r="G253" s="16" t="n">
        <f aca="false">IFERROR(__xludf.dummyfunction("""COMPUTED_VALUE"""),0.751482060185891)</f>
        <v>0.7514820602</v>
      </c>
      <c r="H253" s="13" t="str">
        <f aca="false">IFERROR(__xludf.dummyfunction("""COMPUTED_VALUE"""),"damaged stock")</f>
        <v>damaged stock</v>
      </c>
      <c r="I253" s="13" t="n">
        <f aca="false">IFERROR(__xludf.dummyfunction("""COMPUTED_VALUE"""),3)</f>
        <v>3</v>
      </c>
      <c r="J253" s="13" t="n">
        <f aca="false">IFERROR(__xludf.dummyfunction("""COMPUTED_VALUE"""),234)</f>
        <v>234</v>
      </c>
      <c r="K253" s="13" t="n">
        <f aca="false">IFERROR(__xludf.dummyfunction("""COMPUTED_VALUE"""),702)</f>
        <v>702</v>
      </c>
      <c r="L253" s="13" t="str">
        <f aca="false">IFERROR(__xludf.dummyfunction("""COMPUTED_VALUE"""),"[Code: 3556DM] TA:Quality sahi nahi hay(Fungus laga hay)")</f>
        <v>[Code: 3556DM] TA:Quality sahi nahi hay(Fungus laga hay)</v>
      </c>
      <c r="M253" s="13" t="str">
        <f aca="false">IFERROR(__xludf.dummyfunction("""COMPUTED_VALUE"""),"3556DM")</f>
        <v>3556DM</v>
      </c>
      <c r="N253" s="13"/>
      <c r="O253" s="13" t="str">
        <f aca="false">IFERROR(__xludf.dummyfunction("""COMPUTED_VALUE"""),"taufeeq.akhtar@tajir-app.com")</f>
        <v>taufeeq.akhtar@tajir-app.com</v>
      </c>
      <c r="P253" s="13" t="str">
        <f aca="false">IFERROR(__xludf.dummyfunction("""COMPUTED_VALUE"""),"Taufeeq Akhtar ")</f>
        <v>Taufeeq Akhtar </v>
      </c>
      <c r="Q253" s="13" t="str">
        <f aca="false">IF(L253="","",L253)</f>
        <v>[Code: 3556DM] TA:Quality sahi nahi hay(Fungus laga hay)</v>
      </c>
    </row>
    <row r="254" customFormat="false" ht="15.75" hidden="false" customHeight="false" outlineLevel="0" collapsed="false">
      <c r="A254" s="13" t="str">
        <f aca="false">IFERROR(__xludf.dummyfunction("""COMPUTED_VALUE"""),"Metro DC Faisalabad")</f>
        <v>Metro DC Faisalabad</v>
      </c>
      <c r="B254" s="13" t="str">
        <f aca="false">IFERROR(__xludf.dummyfunction("""COMPUTED_VALUE"""),"8c6f0a86-09e6-4c8b-ab37-3f37b00556f3")</f>
        <v>8c6f0a86-09e6-4c8b-ab37-3f37b00556f3</v>
      </c>
      <c r="C254" s="13" t="str">
        <f aca="false">IFERROR(__xludf.dummyfunction("""COMPUTED_VALUE"""),"7up plastic 1L (Other city stock)")</f>
        <v>7up plastic 1L (Other city stock)</v>
      </c>
      <c r="D254" s="13" t="str">
        <f aca="false">IFERROR(__xludf.dummyfunction("""COMPUTED_VALUE"""),"7up")</f>
        <v>7up</v>
      </c>
      <c r="E254" s="13" t="str">
        <f aca="false">IFERROR(__xludf.dummyfunction("""COMPUTED_VALUE"""),"Beverages")</f>
        <v>Beverages</v>
      </c>
      <c r="F254" s="11" t="n">
        <f aca="false">IFERROR(__xludf.dummyfunction("""COMPUTED_VALUE"""),45094)</f>
        <v>45094</v>
      </c>
      <c r="G254" s="16" t="n">
        <f aca="false">IFERROR(__xludf.dummyfunction("""COMPUTED_VALUE"""),0.884680810184226)</f>
        <v>0.8846808102</v>
      </c>
      <c r="H254" s="13" t="str">
        <f aca="false">IFERROR(__xludf.dummyfunction("""COMPUTED_VALUE"""),"damaged stock")</f>
        <v>damaged stock</v>
      </c>
      <c r="I254" s="13" t="n">
        <f aca="false">IFERROR(__xludf.dummyfunction("""COMPUTED_VALUE"""),1)</f>
        <v>1</v>
      </c>
      <c r="J254" s="13" t="n">
        <f aca="false">IFERROR(__xludf.dummyfunction("""COMPUTED_VALUE"""),576)</f>
        <v>576</v>
      </c>
      <c r="K254" s="13" t="n">
        <f aca="false">IFERROR(__xludf.dummyfunction("""COMPUTED_VALUE"""),576)</f>
        <v>576</v>
      </c>
      <c r="L254" s="13" t="str">
        <f aca="false">IFERROR(__xludf.dummyfunction("""COMPUTED_VALUE"""),"[Code: 244679] TA: sorting k doran 4 botel khali milay thay pet k ander say:")</f>
        <v>[Code: 244679] TA: sorting k doran 4 botel khali milay thay pet k ander say:</v>
      </c>
      <c r="M254" s="13" t="str">
        <f aca="false">IFERROR(__xludf.dummyfunction("""COMPUTED_VALUE"""),"244679")</f>
        <v>244679</v>
      </c>
      <c r="N254" s="13"/>
      <c r="O254" s="13" t="str">
        <f aca="false">IFERROR(__xludf.dummyfunction("""COMPUTED_VALUE"""),"taufeeq.akhtar@tajir-app.com")</f>
        <v>taufeeq.akhtar@tajir-app.com</v>
      </c>
      <c r="P254" s="13" t="str">
        <f aca="false">IFERROR(__xludf.dummyfunction("""COMPUTED_VALUE"""),"Taufeeq Akhtar ")</f>
        <v>Taufeeq Akhtar </v>
      </c>
      <c r="Q254" s="13" t="str">
        <f aca="false">IF(L254="","",L254)</f>
        <v>[Code: 244679] TA: sorting k doran 4 botel khali milay thay pet k ander say:</v>
      </c>
    </row>
    <row r="255" customFormat="false" ht="15.75" hidden="false" customHeight="false" outlineLevel="0" collapsed="false">
      <c r="A255" s="13" t="str">
        <f aca="false">IFERROR(__xludf.dummyfunction("""COMPUTED_VALUE"""),"Metro DC Faisalabad")</f>
        <v>Metro DC Faisalabad</v>
      </c>
      <c r="B255" s="13" t="str">
        <f aca="false">IFERROR(__xludf.dummyfunction("""COMPUTED_VALUE"""),"221bbcfe-f877-40f8-9931-83b998b79598")</f>
        <v>221bbcfe-f877-40f8-9931-83b998b79598</v>
      </c>
      <c r="C255" s="13" t="str">
        <f aca="false">IFERROR(__xludf.dummyfunction("""COMPUTED_VALUE"""),"Candyland Yums Fruity Rs10 (Yellow)")</f>
        <v>Candyland Yums Fruity Rs10 (Yellow)</v>
      </c>
      <c r="D255" s="13" t="str">
        <f aca="false">IFERROR(__xludf.dummyfunction("""COMPUTED_VALUE"""),"Candyland")</f>
        <v>Candyland</v>
      </c>
      <c r="E255" s="13" t="str">
        <f aca="false">IFERROR(__xludf.dummyfunction("""COMPUTED_VALUE"""),"Confectionary")</f>
        <v>Confectionary</v>
      </c>
      <c r="F255" s="11" t="n">
        <f aca="false">IFERROR(__xludf.dummyfunction("""COMPUTED_VALUE"""),45095)</f>
        <v>45095</v>
      </c>
      <c r="G255" s="16" t="n">
        <f aca="false">IFERROR(__xludf.dummyfunction("""COMPUTED_VALUE"""),0.941125937499197)</f>
        <v>0.9411259375</v>
      </c>
      <c r="H255" s="13" t="str">
        <f aca="false">IFERROR(__xludf.dummyfunction("""COMPUTED_VALUE"""),"missing stock")</f>
        <v>missing stock</v>
      </c>
      <c r="I255" s="13" t="n">
        <f aca="false">IFERROR(__xludf.dummyfunction("""COMPUTED_VALUE"""),4)</f>
        <v>4</v>
      </c>
      <c r="J255" s="13" t="n">
        <f aca="false">IFERROR(__xludf.dummyfunction("""COMPUTED_VALUE"""),148.56)</f>
        <v>148.56</v>
      </c>
      <c r="K255" s="13" t="n">
        <f aca="false">IFERROR(__xludf.dummyfunction("""COMPUTED_VALUE"""),594.24)</f>
        <v>594.24</v>
      </c>
      <c r="L255" s="13" t="str">
        <f aca="false">IFERROR(__xludf.dummyfunction("""COMPUTED_VALUE"""),"TA: 4 units less recieved from two Box.")</f>
        <v>TA: 4 units less recieved from two Box.</v>
      </c>
      <c r="M255" s="13"/>
      <c r="N255" s="13"/>
      <c r="O255" s="13" t="str">
        <f aca="false">IFERROR(__xludf.dummyfunction("""COMPUTED_VALUE"""),"taufeeq.akhtar@tajir-app.com")</f>
        <v>taufeeq.akhtar@tajir-app.com</v>
      </c>
      <c r="P255" s="13" t="str">
        <f aca="false">IFERROR(__xludf.dummyfunction("""COMPUTED_VALUE"""),"Taufeeq Akhtar ")</f>
        <v>Taufeeq Akhtar </v>
      </c>
      <c r="Q255" s="13" t="str">
        <f aca="false">IF(L255="","",L255)</f>
        <v>TA: 4 units less recieved from two Box.</v>
      </c>
    </row>
    <row r="256" customFormat="false" ht="15.75" hidden="false" customHeight="false" outlineLevel="0" collapsed="false">
      <c r="A256" s="13" t="str">
        <f aca="false">IFERROR(__xludf.dummyfunction("""COMPUTED_VALUE"""),"Metro DC Faisalabad")</f>
        <v>Metro DC Faisalabad</v>
      </c>
      <c r="B256" s="13" t="str">
        <f aca="false">IFERROR(__xludf.dummyfunction("""COMPUTED_VALUE"""),"43f4f41f-1e01-4a55-af90-dda61b167f55")</f>
        <v>43f4f41f-1e01-4a55-af90-dda61b167f55</v>
      </c>
      <c r="C256" s="13" t="str">
        <f aca="false">IFERROR(__xludf.dummyfunction("""COMPUTED_VALUE"""),"National Mixed Fruit Jam 440g")</f>
        <v>National Mixed Fruit Jam 440g</v>
      </c>
      <c r="D256" s="13" t="str">
        <f aca="false">IFERROR(__xludf.dummyfunction("""COMPUTED_VALUE"""),"National")</f>
        <v>National</v>
      </c>
      <c r="E256" s="13" t="str">
        <f aca="false">IFERROR(__xludf.dummyfunction("""COMPUTED_VALUE"""),"Grocery")</f>
        <v>Grocery</v>
      </c>
      <c r="F256" s="11" t="n">
        <f aca="false">IFERROR(__xludf.dummyfunction("""COMPUTED_VALUE"""),45095)</f>
        <v>45095</v>
      </c>
      <c r="G256" s="16" t="n">
        <f aca="false">IFERROR(__xludf.dummyfunction("""COMPUTED_VALUE"""),0.939147245368937)</f>
        <v>0.9391472454</v>
      </c>
      <c r="H256" s="13" t="str">
        <f aca="false">IFERROR(__xludf.dummyfunction("""COMPUTED_VALUE"""),"damaged stock")</f>
        <v>damaged stock</v>
      </c>
      <c r="I256" s="13" t="n">
        <f aca="false">IFERROR(__xludf.dummyfunction("""COMPUTED_VALUE"""),1)</f>
        <v>1</v>
      </c>
      <c r="J256" s="13" t="n">
        <f aca="false">IFERROR(__xludf.dummyfunction("""COMPUTED_VALUE"""),242.5)</f>
        <v>242.5</v>
      </c>
      <c r="K256" s="13" t="n">
        <f aca="false">IFERROR(__xludf.dummyfunction("""COMPUTED_VALUE"""),242.5)</f>
        <v>242.5</v>
      </c>
      <c r="L256" s="13" t="str">
        <f aca="false">IFERROR(__xludf.dummyfunction("""COMPUTED_VALUE"""),"[Code: 556777] TA: Found damaged on rack during sorting.")</f>
        <v>[Code: 556777] TA: Found damaged on rack during sorting.</v>
      </c>
      <c r="M256" s="13" t="str">
        <f aca="false">IFERROR(__xludf.dummyfunction("""COMPUTED_VALUE"""),"556777")</f>
        <v>556777</v>
      </c>
      <c r="N256" s="13"/>
      <c r="O256" s="13" t="str">
        <f aca="false">IFERROR(__xludf.dummyfunction("""COMPUTED_VALUE"""),"taufeeq.akhtar@tajir-app.com")</f>
        <v>taufeeq.akhtar@tajir-app.com</v>
      </c>
      <c r="P256" s="13" t="str">
        <f aca="false">IFERROR(__xludf.dummyfunction("""COMPUTED_VALUE"""),"Taufeeq Akhtar ")</f>
        <v>Taufeeq Akhtar </v>
      </c>
      <c r="Q256" s="13" t="str">
        <f aca="false">IF(L256="","",L256)</f>
        <v>[Code: 556777] TA: Found damaged on rack during sorting.</v>
      </c>
    </row>
    <row r="257" customFormat="false" ht="15.75" hidden="false" customHeight="false" outlineLevel="0" collapsed="false">
      <c r="A257" s="13" t="str">
        <f aca="false">IFERROR(__xludf.dummyfunction("""COMPUTED_VALUE"""),"Metro DC Faisalabad")</f>
        <v>Metro DC Faisalabad</v>
      </c>
      <c r="B257" s="13" t="str">
        <f aca="false">IFERROR(__xludf.dummyfunction("""COMPUTED_VALUE"""),"4c1e5dbf-0389-4d05-bfff-fb95c463f197")</f>
        <v>4c1e5dbf-0389-4d05-bfff-fb95c463f197</v>
      </c>
      <c r="C257" s="13" t="str">
        <f aca="false">IFERROR(__xludf.dummyfunction("""COMPUTED_VALUE"""),"Swadi Garam Masala Pissa Hoa Rs10")</f>
        <v>Swadi Garam Masala Pissa Hoa Rs10</v>
      </c>
      <c r="D257" s="13" t="str">
        <f aca="false">IFERROR(__xludf.dummyfunction("""COMPUTED_VALUE"""),"Swadi")</f>
        <v>Swadi</v>
      </c>
      <c r="E257" s="13" t="str">
        <f aca="false">IFERROR(__xludf.dummyfunction("""COMPUTED_VALUE"""),"Spices")</f>
        <v>Spices</v>
      </c>
      <c r="F257" s="11" t="n">
        <f aca="false">IFERROR(__xludf.dummyfunction("""COMPUTED_VALUE"""),45095)</f>
        <v>45095</v>
      </c>
      <c r="G257" s="16" t="n">
        <f aca="false">IFERROR(__xludf.dummyfunction("""COMPUTED_VALUE"""),0.937896585649188)</f>
        <v>0.9378965856</v>
      </c>
      <c r="H257" s="13" t="str">
        <f aca="false">IFERROR(__xludf.dummyfunction("""COMPUTED_VALUE"""),"missing stock")</f>
        <v>missing stock</v>
      </c>
      <c r="I257" s="13" t="n">
        <f aca="false">IFERROR(__xludf.dummyfunction("""COMPUTED_VALUE"""),8)</f>
        <v>8</v>
      </c>
      <c r="J257" s="13" t="n">
        <f aca="false">IFERROR(__xludf.dummyfunction("""COMPUTED_VALUE"""),85)</f>
        <v>85</v>
      </c>
      <c r="K257" s="13" t="n">
        <f aca="false">IFERROR(__xludf.dummyfunction("""COMPUTED_VALUE"""),680)</f>
        <v>680</v>
      </c>
      <c r="L257" s="13" t="str">
        <f aca="false">IFERROR(__xludf.dummyfunction("""COMPUTED_VALUE"""),"TA:Not available on the floor.(Night Audit)")</f>
        <v>TA:Not available on the floor.(Night Audit)</v>
      </c>
      <c r="M257" s="13"/>
      <c r="N257" s="13"/>
      <c r="O257" s="13" t="str">
        <f aca="false">IFERROR(__xludf.dummyfunction("""COMPUTED_VALUE"""),"taufeeq.akhtar@tajir-app.com")</f>
        <v>taufeeq.akhtar@tajir-app.com</v>
      </c>
      <c r="P257" s="13" t="str">
        <f aca="false">IFERROR(__xludf.dummyfunction("""COMPUTED_VALUE"""),"Taufeeq Akhtar ")</f>
        <v>Taufeeq Akhtar </v>
      </c>
      <c r="Q257" s="13" t="str">
        <f aca="false">IF(L257="","",L257)</f>
        <v>TA:Not available on the floor.(Night Audit)</v>
      </c>
    </row>
    <row r="258" customFormat="false" ht="15.75" hidden="false" customHeight="false" outlineLevel="0" collapsed="false">
      <c r="A258" s="13" t="str">
        <f aca="false">IFERROR(__xludf.dummyfunction("""COMPUTED_VALUE"""),"Metro DC Faisalabad")</f>
        <v>Metro DC Faisalabad</v>
      </c>
      <c r="B258" s="13" t="str">
        <f aca="false">IFERROR(__xludf.dummyfunction("""COMPUTED_VALUE"""),"9c395894-35c2-4217-9eff-b0a22e04c2d1")</f>
        <v>9c395894-35c2-4217-9eff-b0a22e04c2d1</v>
      </c>
      <c r="C258" s="13" t="str">
        <f aca="false">IFERROR(__xludf.dummyfunction("""COMPUTED_VALUE"""),"Coca Cola plastic 2.25L (Jumbo)")</f>
        <v>Coca Cola plastic 2.25L (Jumbo)</v>
      </c>
      <c r="D258" s="13" t="str">
        <f aca="false">IFERROR(__xludf.dummyfunction("""COMPUTED_VALUE"""),"Coca Cola")</f>
        <v>Coca Cola</v>
      </c>
      <c r="E258" s="13" t="str">
        <f aca="false">IFERROR(__xludf.dummyfunction("""COMPUTED_VALUE"""),"Beverages")</f>
        <v>Beverages</v>
      </c>
      <c r="F258" s="11" t="n">
        <f aca="false">IFERROR(__xludf.dummyfunction("""COMPUTED_VALUE"""),45096)</f>
        <v>45096</v>
      </c>
      <c r="G258" s="16" t="n">
        <f aca="false">IFERROR(__xludf.dummyfunction("""COMPUTED_VALUE"""),0.838093194445641)</f>
        <v>0.8380931944</v>
      </c>
      <c r="H258" s="13" t="str">
        <f aca="false">IFERROR(__xludf.dummyfunction("""COMPUTED_VALUE"""),"damaged stock")</f>
        <v>damaged stock</v>
      </c>
      <c r="I258" s="13" t="n">
        <f aca="false">IFERROR(__xludf.dummyfunction("""COMPUTED_VALUE"""),1)</f>
        <v>1</v>
      </c>
      <c r="J258" s="13" t="n">
        <f aca="false">IFERROR(__xludf.dummyfunction("""COMPUTED_VALUE"""),1176)</f>
        <v>1176</v>
      </c>
      <c r="K258" s="13" t="n">
        <f aca="false">IFERROR(__xludf.dummyfunction("""COMPUTED_VALUE"""),1176)</f>
        <v>1176</v>
      </c>
      <c r="L258" s="13" t="str">
        <f aca="false">IFERROR(__xludf.dummyfunction("""COMPUTED_VALUE"""),"[Code: 234459] TA; 1 unit Damage found during Sorting.")</f>
        <v>[Code: 234459] TA; 1 unit Damage found during Sorting.</v>
      </c>
      <c r="M258" s="13" t="str">
        <f aca="false">IFERROR(__xludf.dummyfunction("""COMPUTED_VALUE"""),"234459")</f>
        <v>234459</v>
      </c>
      <c r="N258" s="13"/>
      <c r="O258" s="13" t="str">
        <f aca="false">IFERROR(__xludf.dummyfunction("""COMPUTED_VALUE"""),"taufeeq.akhtar@tajir-app.com")</f>
        <v>taufeeq.akhtar@tajir-app.com</v>
      </c>
      <c r="P258" s="13" t="str">
        <f aca="false">IFERROR(__xludf.dummyfunction("""COMPUTED_VALUE"""),"Taufeeq Akhtar ")</f>
        <v>Taufeeq Akhtar </v>
      </c>
      <c r="Q258" s="13" t="str">
        <f aca="false">IF(L258="","",L258)</f>
        <v>[Code: 234459] TA; 1 unit Damage found during Sorting.</v>
      </c>
    </row>
    <row r="259" customFormat="false" ht="15.75" hidden="false" customHeight="false" outlineLevel="0" collapsed="false">
      <c r="A259" s="13" t="str">
        <f aca="false">IFERROR(__xludf.dummyfunction("""COMPUTED_VALUE"""),"Metro DC Faisalabad")</f>
        <v>Metro DC Faisalabad</v>
      </c>
      <c r="B259" s="13" t="str">
        <f aca="false">IFERROR(__xludf.dummyfunction("""COMPUTED_VALUE"""),"0d2f17bc-36e0-41fe-b498-89a7a8a34416")</f>
        <v>0d2f17bc-36e0-41fe-b498-89a7a8a34416</v>
      </c>
      <c r="C259" s="13" t="str">
        <f aca="false">IFERROR(__xludf.dummyfunction("""COMPUTED_VALUE"""),"Brite Surf x12 bundle 23g Rs 10")</f>
        <v>Brite Surf x12 bundle 23g Rs 10</v>
      </c>
      <c r="D259" s="13" t="str">
        <f aca="false">IFERROR(__xludf.dummyfunction("""COMPUTED_VALUE"""),"Brite Surf")</f>
        <v>Brite Surf</v>
      </c>
      <c r="E259" s="13" t="str">
        <f aca="false">IFERROR(__xludf.dummyfunction("""COMPUTED_VALUE"""),"Surf, Bleach")</f>
        <v>Surf, Bleach</v>
      </c>
      <c r="F259" s="11" t="n">
        <f aca="false">IFERROR(__xludf.dummyfunction("""COMPUTED_VALUE"""),45097)</f>
        <v>45097</v>
      </c>
      <c r="G259" s="16" t="n">
        <f aca="false">IFERROR(__xludf.dummyfunction("""COMPUTED_VALUE"""),0.883016261572775)</f>
        <v>0.8830162616</v>
      </c>
      <c r="H259" s="13" t="str">
        <f aca="false">IFERROR(__xludf.dummyfunction("""COMPUTED_VALUE"""),"damaged stock")</f>
        <v>damaged stock</v>
      </c>
      <c r="I259" s="13" t="n">
        <f aca="false">IFERROR(__xludf.dummyfunction("""COMPUTED_VALUE"""),2)</f>
        <v>2</v>
      </c>
      <c r="J259" s="13" t="n">
        <f aca="false">IFERROR(__xludf.dummyfunction("""COMPUTED_VALUE"""),107.91)</f>
        <v>107.91</v>
      </c>
      <c r="K259" s="13" t="n">
        <f aca="false">IFERROR(__xludf.dummyfunction("""COMPUTED_VALUE"""),215.82)</f>
        <v>215.82</v>
      </c>
      <c r="L259" s="13" t="str">
        <f aca="false">IFERROR(__xludf.dummyfunction("""COMPUTED_VALUE"""),"[Code: 2677CE] TA: bag may damaged niklay ")</f>
        <v>[Code: 2677CE] TA: bag may damaged niklay </v>
      </c>
      <c r="M259" s="13" t="str">
        <f aca="false">IFERROR(__xludf.dummyfunction("""COMPUTED_VALUE"""),"2677CE")</f>
        <v>2677CE</v>
      </c>
      <c r="N259" s="13"/>
      <c r="O259" s="13" t="str">
        <f aca="false">IFERROR(__xludf.dummyfunction("""COMPUTED_VALUE"""),"taufeeq.akhtar@tajir-app.com")</f>
        <v>taufeeq.akhtar@tajir-app.com</v>
      </c>
      <c r="P259" s="13" t="str">
        <f aca="false">IFERROR(__xludf.dummyfunction("""COMPUTED_VALUE"""),"Taufeeq Akhtar ")</f>
        <v>Taufeeq Akhtar </v>
      </c>
      <c r="Q259" s="13" t="str">
        <f aca="false">IF(L259="","",L259)</f>
        <v>[Code: 2677CE] TA: bag may damaged niklay </v>
      </c>
    </row>
    <row r="260" customFormat="false" ht="15.75" hidden="false" customHeight="false" outlineLevel="0" collapsed="false">
      <c r="A260" s="13" t="str">
        <f aca="false">IFERROR(__xludf.dummyfunction("""COMPUTED_VALUE"""),"Metro DC Faisalabad")</f>
        <v>Metro DC Faisalabad</v>
      </c>
      <c r="B260" s="13" t="str">
        <f aca="false">IFERROR(__xludf.dummyfunction("""COMPUTED_VALUE"""),"738b3bdb-3b9e-4c0a-a6fa-18a670c5bcba")</f>
        <v>738b3bdb-3b9e-4c0a-a6fa-18a670c5bcba</v>
      </c>
      <c r="C260" s="13" t="str">
        <f aca="false">IFERROR(__xludf.dummyfunction("""COMPUTED_VALUE"""),"Bonus tristar yellow surf 240g Rs50")</f>
        <v>Bonus tristar yellow surf 240g Rs50</v>
      </c>
      <c r="D260" s="13" t="str">
        <f aca="false">IFERROR(__xludf.dummyfunction("""COMPUTED_VALUE"""),"Bonus Surf")</f>
        <v>Bonus Surf</v>
      </c>
      <c r="E260" s="13" t="str">
        <f aca="false">IFERROR(__xludf.dummyfunction("""COMPUTED_VALUE"""),"Surf, Bleach")</f>
        <v>Surf, Bleach</v>
      </c>
      <c r="F260" s="11" t="n">
        <f aca="false">IFERROR(__xludf.dummyfunction("""COMPUTED_VALUE"""),45097)</f>
        <v>45097</v>
      </c>
      <c r="G260" s="16" t="n">
        <f aca="false">IFERROR(__xludf.dummyfunction("""COMPUTED_VALUE"""),0.875764340278085)</f>
        <v>0.8757643403</v>
      </c>
      <c r="H260" s="13" t="str">
        <f aca="false">IFERROR(__xludf.dummyfunction("""COMPUTED_VALUE"""),"damaged stock")</f>
        <v>damaged stock</v>
      </c>
      <c r="I260" s="13" t="n">
        <f aca="false">IFERROR(__xludf.dummyfunction("""COMPUTED_VALUE"""),1)</f>
        <v>1</v>
      </c>
      <c r="J260" s="13" t="n">
        <f aca="false">IFERROR(__xludf.dummyfunction("""COMPUTED_VALUE"""),45.71)</f>
        <v>45.71</v>
      </c>
      <c r="K260" s="13" t="n">
        <f aca="false">IFERROR(__xludf.dummyfunction("""COMPUTED_VALUE"""),45.71)</f>
        <v>45.71</v>
      </c>
      <c r="L260" s="13" t="str">
        <f aca="false">IFERROR(__xludf.dummyfunction("""COMPUTED_VALUE"""),"[Code: 235568] TA: bag may say damaged nikla .")</f>
        <v>[Code: 235568] TA: bag may say damaged nikla .</v>
      </c>
      <c r="M260" s="13" t="str">
        <f aca="false">IFERROR(__xludf.dummyfunction("""COMPUTED_VALUE"""),"235568")</f>
        <v>235568</v>
      </c>
      <c r="N260" s="13"/>
      <c r="O260" s="13" t="str">
        <f aca="false">IFERROR(__xludf.dummyfunction("""COMPUTED_VALUE"""),"taufeeq.akhtar@tajir-app.com")</f>
        <v>taufeeq.akhtar@tajir-app.com</v>
      </c>
      <c r="P260" s="13" t="str">
        <f aca="false">IFERROR(__xludf.dummyfunction("""COMPUTED_VALUE"""),"Taufeeq Akhtar ")</f>
        <v>Taufeeq Akhtar </v>
      </c>
      <c r="Q260" s="13" t="str">
        <f aca="false">IF(L260="","",L260)</f>
        <v>[Code: 235568] TA: bag may say damaged nikla .</v>
      </c>
    </row>
    <row r="261" customFormat="false" ht="15.75" hidden="false" customHeight="false" outlineLevel="0" collapsed="false">
      <c r="A261" s="13" t="str">
        <f aca="false">IFERROR(__xludf.dummyfunction("""COMPUTED_VALUE"""),"Metro DC Faisalabad")</f>
        <v>Metro DC Faisalabad</v>
      </c>
      <c r="B261" s="13" t="str">
        <f aca="false">IFERROR(__xludf.dummyfunction("""COMPUTED_VALUE"""),"d35314e0-f3f4-47fe-90aa-af65dab10e9d")</f>
        <v>d35314e0-f3f4-47fe-90aa-af65dab10e9d</v>
      </c>
      <c r="C261" s="13" t="str">
        <f aca="false">IFERROR(__xludf.dummyfunction("""COMPUTED_VALUE"""),"Bonus tristar detergent x6 bundle 48g Rs10")</f>
        <v>Bonus tristar detergent x6 bundle 48g Rs10</v>
      </c>
      <c r="D261" s="13" t="str">
        <f aca="false">IFERROR(__xludf.dummyfunction("""COMPUTED_VALUE"""),"Bonus Surf")</f>
        <v>Bonus Surf</v>
      </c>
      <c r="E261" s="13" t="str">
        <f aca="false">IFERROR(__xludf.dummyfunction("""COMPUTED_VALUE"""),"Surf, Bleach")</f>
        <v>Surf, Bleach</v>
      </c>
      <c r="F261" s="11" t="n">
        <f aca="false">IFERROR(__xludf.dummyfunction("""COMPUTED_VALUE"""),45097)</f>
        <v>45097</v>
      </c>
      <c r="G261" s="16" t="n">
        <f aca="false">IFERROR(__xludf.dummyfunction("""COMPUTED_VALUE"""),0.874719664353334)</f>
        <v>0.8747196644</v>
      </c>
      <c r="H261" s="13" t="str">
        <f aca="false">IFERROR(__xludf.dummyfunction("""COMPUTED_VALUE"""),"damaged stock")</f>
        <v>damaged stock</v>
      </c>
      <c r="I261" s="13" t="n">
        <f aca="false">IFERROR(__xludf.dummyfunction("""COMPUTED_VALUE"""),1)</f>
        <v>1</v>
      </c>
      <c r="J261" s="13" t="n">
        <f aca="false">IFERROR(__xludf.dummyfunction("""COMPUTED_VALUE"""),54.99)</f>
        <v>54.99</v>
      </c>
      <c r="K261" s="13" t="n">
        <f aca="false">IFERROR(__xludf.dummyfunction("""COMPUTED_VALUE"""),54.99)</f>
        <v>54.99</v>
      </c>
      <c r="L261" s="13" t="str">
        <f aca="false">IFERROR(__xludf.dummyfunction("""COMPUTED_VALUE"""),"[Code: 67999C] TA: bag may say damaged nikla sorting k doran.")</f>
        <v>[Code: 67999C] TA: bag may say damaged nikla sorting k doran.</v>
      </c>
      <c r="M261" s="13" t="str">
        <f aca="false">IFERROR(__xludf.dummyfunction("""COMPUTED_VALUE"""),"67999C")</f>
        <v>67999C</v>
      </c>
      <c r="N261" s="13"/>
      <c r="O261" s="13" t="str">
        <f aca="false">IFERROR(__xludf.dummyfunction("""COMPUTED_VALUE"""),"taufeeq.akhtar@tajir-app.com")</f>
        <v>taufeeq.akhtar@tajir-app.com</v>
      </c>
      <c r="P261" s="13" t="str">
        <f aca="false">IFERROR(__xludf.dummyfunction("""COMPUTED_VALUE"""),"Taufeeq Akhtar ")</f>
        <v>Taufeeq Akhtar </v>
      </c>
      <c r="Q261" s="13" t="str">
        <f aca="false">IF(L261="","",L261)</f>
        <v>[Code: 67999C] TA: bag may say damaged nikla sorting k doran.</v>
      </c>
    </row>
    <row r="262" customFormat="false" ht="15.75" hidden="false" customHeight="false" outlineLevel="0" collapsed="false">
      <c r="A262" s="13" t="str">
        <f aca="false">IFERROR(__xludf.dummyfunction("""COMPUTED_VALUE"""),"Metro DC Faisalabad")</f>
        <v>Metro DC Faisalabad</v>
      </c>
      <c r="B262" s="13" t="str">
        <f aca="false">IFERROR(__xludf.dummyfunction("""COMPUTED_VALUE"""),"67c33ff3-e486-487d-844a-b17c396936ee")</f>
        <v>67c33ff3-e486-487d-844a-b17c396936ee</v>
      </c>
      <c r="C262" s="13" t="str">
        <f aca="false">IFERROR(__xludf.dummyfunction("""COMPUTED_VALUE"""),"Coca Cola plastic 1L")</f>
        <v>Coca Cola plastic 1L</v>
      </c>
      <c r="D262" s="13" t="str">
        <f aca="false">IFERROR(__xludf.dummyfunction("""COMPUTED_VALUE"""),"Coca Cola")</f>
        <v>Coca Cola</v>
      </c>
      <c r="E262" s="13" t="str">
        <f aca="false">IFERROR(__xludf.dummyfunction("""COMPUTED_VALUE"""),"Beverages")</f>
        <v>Beverages</v>
      </c>
      <c r="F262" s="11" t="n">
        <f aca="false">IFERROR(__xludf.dummyfunction("""COMPUTED_VALUE"""),45098)</f>
        <v>45098</v>
      </c>
      <c r="G262" s="16" t="n">
        <f aca="false">IFERROR(__xludf.dummyfunction("""COMPUTED_VALUE"""),0.947511608797401)</f>
        <v>0.9475116088</v>
      </c>
      <c r="H262" s="13" t="str">
        <f aca="false">IFERROR(__xludf.dummyfunction("""COMPUTED_VALUE"""),"damaged stock")</f>
        <v>damaged stock</v>
      </c>
      <c r="I262" s="13" t="n">
        <f aca="false">IFERROR(__xludf.dummyfunction("""COMPUTED_VALUE"""),1)</f>
        <v>1</v>
      </c>
      <c r="J262" s="13" t="n">
        <f aca="false">IFERROR(__xludf.dummyfunction("""COMPUTED_VALUE"""),672)</f>
        <v>672</v>
      </c>
      <c r="K262" s="13" t="n">
        <f aca="false">IFERROR(__xludf.dummyfunction("""COMPUTED_VALUE"""),672)</f>
        <v>672</v>
      </c>
      <c r="L262" s="13" t="str">
        <f aca="false">IFERROR(__xludf.dummyfunction("""COMPUTED_VALUE"""),"[Code: 27HHJK] TA: loose  bottles found during Sorting(Company end issue)")</f>
        <v>[Code: 27HHJK] TA: loose  bottles found during Sorting(Company end issue)</v>
      </c>
      <c r="M262" s="13" t="str">
        <f aca="false">IFERROR(__xludf.dummyfunction("""COMPUTED_VALUE"""),"27HHJK")</f>
        <v>27HHJK</v>
      </c>
      <c r="N262" s="13"/>
      <c r="O262" s="13" t="str">
        <f aca="false">IFERROR(__xludf.dummyfunction("""COMPUTED_VALUE"""),"taufeeq.akhtar@tajir-app.com")</f>
        <v>taufeeq.akhtar@tajir-app.com</v>
      </c>
      <c r="P262" s="13" t="str">
        <f aca="false">IFERROR(__xludf.dummyfunction("""COMPUTED_VALUE"""),"Taufeeq Akhtar ")</f>
        <v>Taufeeq Akhtar </v>
      </c>
      <c r="Q262" s="13" t="str">
        <f aca="false">IF(L262="","",L262)</f>
        <v>[Code: 27HHJK] TA: loose  bottles found during Sorting(Company end issue)</v>
      </c>
    </row>
    <row r="263" customFormat="false" ht="15.75" hidden="false" customHeight="false" outlineLevel="0" collapsed="false">
      <c r="A263" s="13" t="str">
        <f aca="false">IFERROR(__xludf.dummyfunction("""COMPUTED_VALUE"""),"Metro DC Faisalabad")</f>
        <v>Metro DC Faisalabad</v>
      </c>
      <c r="B263" s="13" t="str">
        <f aca="false">IFERROR(__xludf.dummyfunction("""COMPUTED_VALUE"""),"406c6b3c-ad2b-44f5-90ab-3864dcb92a83")</f>
        <v>406c6b3c-ad2b-44f5-90ab-3864dcb92a83</v>
      </c>
      <c r="C263" s="13" t="str">
        <f aca="false">IFERROR(__xludf.dummyfunction("""COMPUTED_VALUE"""),"LU Tuc Biscuits Ticky Rs7")</f>
        <v>LU Tuc Biscuits Ticky Rs7</v>
      </c>
      <c r="D263" s="13" t="str">
        <f aca="false">IFERROR(__xludf.dummyfunction("""COMPUTED_VALUE"""),"LU")</f>
        <v>LU</v>
      </c>
      <c r="E263" s="13" t="str">
        <f aca="false">IFERROR(__xludf.dummyfunction("""COMPUTED_VALUE"""),"Biscuits, Wafers")</f>
        <v>Biscuits, Wafers</v>
      </c>
      <c r="F263" s="11" t="n">
        <f aca="false">IFERROR(__xludf.dummyfunction("""COMPUTED_VALUE"""),45098)</f>
        <v>45098</v>
      </c>
      <c r="G263" s="16" t="n">
        <f aca="false">IFERROR(__xludf.dummyfunction("""COMPUTED_VALUE"""),0.946062314813349)</f>
        <v>0.9460623148</v>
      </c>
      <c r="H263" s="13" t="str">
        <f aca="false">IFERROR(__xludf.dummyfunction("""COMPUTED_VALUE"""),"expired stock")</f>
        <v>expired stock</v>
      </c>
      <c r="I263" s="13" t="n">
        <f aca="false">IFERROR(__xludf.dummyfunction("""COMPUTED_VALUE"""),11)</f>
        <v>11</v>
      </c>
      <c r="J263" s="13" t="n">
        <f aca="false">IFERROR(__xludf.dummyfunction("""COMPUTED_VALUE"""),148.14)</f>
        <v>148.14</v>
      </c>
      <c r="K263" s="13" t="n">
        <f aca="false">IFERROR(__xludf.dummyfunction("""COMPUTED_VALUE"""),1629.54)</f>
        <v>1629.54</v>
      </c>
      <c r="L263" s="13" t="str">
        <f aca="false">IFERROR(__xludf.dummyfunction("""COMPUTED_VALUE"""),"[Code: 8AFFGJ] [Expiry: 30 Jun, 2023] TA: Short Expired Stock only 11 units where in floor.")</f>
        <v>[Code: 8AFFGJ] [Expiry: 30 Jun, 2023] TA: Short Expired Stock only 11 units where in floor.</v>
      </c>
      <c r="M263" s="13" t="str">
        <f aca="false">IFERROR(__xludf.dummyfunction("""COMPUTED_VALUE"""),"8AFFGJ")</f>
        <v>8AFFGJ</v>
      </c>
      <c r="N263" s="13" t="str">
        <f aca="false">IFERROR(__xludf.dummyfunction("""COMPUTED_VALUE"""),"30 Jun, 2023")</f>
        <v>30 Jun, 2023</v>
      </c>
      <c r="O263" s="13" t="str">
        <f aca="false">IFERROR(__xludf.dummyfunction("""COMPUTED_VALUE"""),"taufeeq.akhtar@tajir-app.com")</f>
        <v>taufeeq.akhtar@tajir-app.com</v>
      </c>
      <c r="P263" s="13" t="str">
        <f aca="false">IFERROR(__xludf.dummyfunction("""COMPUTED_VALUE"""),"Taufeeq Akhtar ")</f>
        <v>Taufeeq Akhtar </v>
      </c>
      <c r="Q263" s="13" t="str">
        <f aca="false">IF(L263="","",L263)</f>
        <v>[Code: 8AFFGJ] [Expiry: 30 Jun, 2023] TA: Short Expired Stock only 11 units where in floor.</v>
      </c>
    </row>
    <row r="264" customFormat="false" ht="15.75" hidden="false" customHeight="false" outlineLevel="0" collapsed="false">
      <c r="A264" s="13" t="str">
        <f aca="false">IFERROR(__xludf.dummyfunction("""COMPUTED_VALUE"""),"Metro DC Faisalabad")</f>
        <v>Metro DC Faisalabad</v>
      </c>
      <c r="B264" s="13" t="str">
        <f aca="false">IFERROR(__xludf.dummyfunction("""COMPUTED_VALUE"""),"89d464f6-022a-41b2-8847-e5d6f1123566")</f>
        <v>89d464f6-022a-41b2-8847-e5d6f1123566</v>
      </c>
      <c r="C264" s="13" t="str">
        <f aca="false">IFERROR(__xludf.dummyfunction("""COMPUTED_VALUE"""),"Guard Long Grain Rice 1kg Rs225")</f>
        <v>Guard Long Grain Rice 1kg Rs225</v>
      </c>
      <c r="D264" s="13" t="str">
        <f aca="false">IFERROR(__xludf.dummyfunction("""COMPUTED_VALUE"""),"Guard Agri")</f>
        <v>Guard Agri</v>
      </c>
      <c r="E264" s="13" t="str">
        <f aca="false">IFERROR(__xludf.dummyfunction("""COMPUTED_VALUE"""),"Rice")</f>
        <v>Rice</v>
      </c>
      <c r="F264" s="11" t="n">
        <f aca="false">IFERROR(__xludf.dummyfunction("""COMPUTED_VALUE"""),45099)</f>
        <v>45099</v>
      </c>
      <c r="G264" s="16" t="n">
        <f aca="false">IFERROR(__xludf.dummyfunction("""COMPUTED_VALUE"""),0.741545335649431)</f>
        <v>0.7415453356</v>
      </c>
      <c r="H264" s="13" t="str">
        <f aca="false">IFERROR(__xludf.dummyfunction("""COMPUTED_VALUE"""),"damaged stock")</f>
        <v>damaged stock</v>
      </c>
      <c r="I264" s="13" t="n">
        <f aca="false">IFERROR(__xludf.dummyfunction("""COMPUTED_VALUE"""),555)</f>
        <v>555</v>
      </c>
      <c r="J264" s="13" t="n">
        <f aca="false">IFERROR(__xludf.dummyfunction("""COMPUTED_VALUE"""),191.67)</f>
        <v>191.67</v>
      </c>
      <c r="K264" s="13" t="n">
        <f aca="false">IFERROR(__xludf.dummyfunction("""COMPUTED_VALUE"""),106376.85)</f>
        <v>106376.85</v>
      </c>
      <c r="L264" s="13" t="str">
        <f aca="false">IFERROR(__xludf.dummyfunction("""COMPUTED_VALUE"""),"[Code: 57889B] Content Spoiled (found susri in pouch)")</f>
        <v>[Code: 57889B] Content Spoiled (found susri in pouch)</v>
      </c>
      <c r="M264" s="13" t="str">
        <f aca="false">IFERROR(__xludf.dummyfunction("""COMPUTED_VALUE"""),"57889B")</f>
        <v>57889B</v>
      </c>
      <c r="N264" s="13"/>
      <c r="O264" s="13" t="str">
        <f aca="false">IFERROR(__xludf.dummyfunction("""COMPUTED_VALUE"""),"ali.raza@tajir-app.com")</f>
        <v>ali.raza@tajir-app.com</v>
      </c>
      <c r="P264" s="13" t="str">
        <f aca="false">IFERROR(__xludf.dummyfunction("""COMPUTED_VALUE"""),"Ali Raza ")</f>
        <v>Ali Raza </v>
      </c>
      <c r="Q264" s="13" t="str">
        <f aca="false">IF(L264="","",L264)</f>
        <v>[Code: 57889B] Content Spoiled (found susri in pouch)</v>
      </c>
    </row>
    <row r="265" customFormat="false" ht="15.75" hidden="false" customHeight="false" outlineLevel="0" collapsed="false">
      <c r="A265" s="13" t="str">
        <f aca="false">IFERROR(__xludf.dummyfunction("""COMPUTED_VALUE"""),"Metro DC Faisalabad")</f>
        <v>Metro DC Faisalabad</v>
      </c>
      <c r="B265" s="13" t="str">
        <f aca="false">IFERROR(__xludf.dummyfunction("""COMPUTED_VALUE"""),"cd68a607-af95-45cb-b9f4-2721224c85f8")</f>
        <v>cd68a607-af95-45cb-b9f4-2721224c85f8</v>
      </c>
      <c r="C265" s="13" t="str">
        <f aca="false">IFERROR(__xludf.dummyfunction("""COMPUTED_VALUE"""),"Coca Cola plastic 1.5L")</f>
        <v>Coca Cola plastic 1.5L</v>
      </c>
      <c r="D265" s="13" t="str">
        <f aca="false">IFERROR(__xludf.dummyfunction("""COMPUTED_VALUE"""),"Coca Cola")</f>
        <v>Coca Cola</v>
      </c>
      <c r="E265" s="13" t="str">
        <f aca="false">IFERROR(__xludf.dummyfunction("""COMPUTED_VALUE"""),"Beverages")</f>
        <v>Beverages</v>
      </c>
      <c r="F265" s="11" t="n">
        <f aca="false">IFERROR(__xludf.dummyfunction("""COMPUTED_VALUE"""),45100)</f>
        <v>45100</v>
      </c>
      <c r="G265" s="16" t="n">
        <f aca="false">IFERROR(__xludf.dummyfunction("""COMPUTED_VALUE"""),0.741748240739792)</f>
        <v>0.7417482407</v>
      </c>
      <c r="H265" s="13" t="str">
        <f aca="false">IFERROR(__xludf.dummyfunction("""COMPUTED_VALUE"""),"damaged stock")</f>
        <v>damaged stock</v>
      </c>
      <c r="I265" s="13" t="n">
        <f aca="false">IFERROR(__xludf.dummyfunction("""COMPUTED_VALUE"""),2)</f>
        <v>2</v>
      </c>
      <c r="J265" s="13" t="n">
        <f aca="false">IFERROR(__xludf.dummyfunction("""COMPUTED_VALUE"""),847)</f>
        <v>847</v>
      </c>
      <c r="K265" s="13" t="n">
        <f aca="false">IFERROR(__xludf.dummyfunction("""COMPUTED_VALUE"""),1694)</f>
        <v>1694</v>
      </c>
      <c r="L265" s="13" t="str">
        <f aca="false">IFERROR(__xludf.dummyfunction("""COMPUTED_VALUE"""),"[Code: 799GJL] TA: Found in Loose condition during sorting.")</f>
        <v>[Code: 799GJL] TA: Found in Loose condition during sorting.</v>
      </c>
      <c r="M265" s="13" t="str">
        <f aca="false">IFERROR(__xludf.dummyfunction("""COMPUTED_VALUE"""),"799GJL")</f>
        <v>799GJL</v>
      </c>
      <c r="N265" s="13"/>
      <c r="O265" s="13" t="str">
        <f aca="false">IFERROR(__xludf.dummyfunction("""COMPUTED_VALUE"""),"taufeeq.akhtar@tajir-app.com")</f>
        <v>taufeeq.akhtar@tajir-app.com</v>
      </c>
      <c r="P265" s="13" t="str">
        <f aca="false">IFERROR(__xludf.dummyfunction("""COMPUTED_VALUE"""),"Taufeeq Akhtar ")</f>
        <v>Taufeeq Akhtar </v>
      </c>
      <c r="Q265" s="13" t="str">
        <f aca="false">IF(L265="","",L265)</f>
        <v>[Code: 799GJL] TA: Found in Loose condition during sorting.</v>
      </c>
    </row>
    <row r="266" customFormat="false" ht="15.75" hidden="false" customHeight="false" outlineLevel="0" collapsed="false">
      <c r="A266" s="13" t="str">
        <f aca="false">IFERROR(__xludf.dummyfunction("""COMPUTED_VALUE"""),"Metro DC Faisalabad")</f>
        <v>Metro DC Faisalabad</v>
      </c>
      <c r="B266" s="13" t="str">
        <f aca="false">IFERROR(__xludf.dummyfunction("""COMPUTED_VALUE"""),"c1f7eed2-b097-47f5-ae2f-17507b692319")</f>
        <v>c1f7eed2-b097-47f5-ae2f-17507b692319</v>
      </c>
      <c r="C266" s="13" t="str">
        <f aca="false">IFERROR(__xludf.dummyfunction("""COMPUTED_VALUE"""),"Yadgar Super Special Atta 15kg")</f>
        <v>Yadgar Super Special Atta 15kg</v>
      </c>
      <c r="D266" s="13" t="str">
        <f aca="false">IFERROR(__xludf.dummyfunction("""COMPUTED_VALUE"""),"Yadgar Atta")</f>
        <v>Yadgar Atta</v>
      </c>
      <c r="E266" s="13" t="str">
        <f aca="false">IFERROR(__xludf.dummyfunction("""COMPUTED_VALUE"""),"Flour")</f>
        <v>Flour</v>
      </c>
      <c r="F266" s="11" t="n">
        <f aca="false">IFERROR(__xludf.dummyfunction("""COMPUTED_VALUE"""),45101)</f>
        <v>45101</v>
      </c>
      <c r="G266" s="16" t="n">
        <f aca="false">IFERROR(__xludf.dummyfunction("""COMPUTED_VALUE"""),0.426222048610707)</f>
        <v>0.4262220486</v>
      </c>
      <c r="H266" s="13" t="str">
        <f aca="false">IFERROR(__xludf.dummyfunction("""COMPUTED_VALUE"""),"damaged stock")</f>
        <v>damaged stock</v>
      </c>
      <c r="I266" s="13" t="n">
        <f aca="false">IFERROR(__xludf.dummyfunction("""COMPUTED_VALUE"""),370)</f>
        <v>370</v>
      </c>
      <c r="J266" s="13" t="n">
        <f aca="false">IFERROR(__xludf.dummyfunction("""COMPUTED_VALUE"""),2100)</f>
        <v>2100</v>
      </c>
      <c r="K266" s="13" t="n">
        <f aca="false">IFERROR(__xludf.dummyfunction("""COMPUTED_VALUE"""),777000)</f>
        <v>777000</v>
      </c>
      <c r="L266" s="13" t="str">
        <f aca="false">IFERROR(__xludf.dummyfunction("""COMPUTED_VALUE"""),"[Code: 3468BE]  370 units damaged due to insects ")</f>
        <v>[Code: 3468BE]  370 units damaged due to insects </v>
      </c>
      <c r="M266" s="13" t="str">
        <f aca="false">IFERROR(__xludf.dummyfunction("""COMPUTED_VALUE"""),"3468BE")</f>
        <v>3468BE</v>
      </c>
      <c r="N266" s="13"/>
      <c r="O266" s="13" t="str">
        <f aca="false">IFERROR(__xludf.dummyfunction("""COMPUTED_VALUE"""),"ali.raza@tajir-app.com")</f>
        <v>ali.raza@tajir-app.com</v>
      </c>
      <c r="P266" s="13" t="str">
        <f aca="false">IFERROR(__xludf.dummyfunction("""COMPUTED_VALUE"""),"Ali Raza ")</f>
        <v>Ali Raza </v>
      </c>
      <c r="Q266" s="13" t="str">
        <f aca="false">IF(L266="","",L266)</f>
        <v>[Code: 3468BE]  370 units damaged due to insects </v>
      </c>
    </row>
    <row r="267" customFormat="false" ht="15.75" hidden="false" customHeight="false" outlineLevel="0" collapsed="false">
      <c r="A267" s="13" t="str">
        <f aca="false">IFERROR(__xludf.dummyfunction("""COMPUTED_VALUE"""),"Metro DC Faisalabad")</f>
        <v>Metro DC Faisalabad</v>
      </c>
      <c r="B267" s="13" t="str">
        <f aca="false">IFERROR(__xludf.dummyfunction("""COMPUTED_VALUE"""),"89d464f6-022a-41b2-8847-e5d6f1123566")</f>
        <v>89d464f6-022a-41b2-8847-e5d6f1123566</v>
      </c>
      <c r="C267" s="13" t="str">
        <f aca="false">IFERROR(__xludf.dummyfunction("""COMPUTED_VALUE"""),"Guard Long Grain Rice 1kg Rs225")</f>
        <v>Guard Long Grain Rice 1kg Rs225</v>
      </c>
      <c r="D267" s="13" t="str">
        <f aca="false">IFERROR(__xludf.dummyfunction("""COMPUTED_VALUE"""),"Guard Agri")</f>
        <v>Guard Agri</v>
      </c>
      <c r="E267" s="13" t="str">
        <f aca="false">IFERROR(__xludf.dummyfunction("""COMPUTED_VALUE"""),"Rice")</f>
        <v>Rice</v>
      </c>
      <c r="F267" s="11" t="n">
        <f aca="false">IFERROR(__xludf.dummyfunction("""COMPUTED_VALUE"""),45101)</f>
        <v>45101</v>
      </c>
      <c r="G267" s="16" t="n">
        <f aca="false">IFERROR(__xludf.dummyfunction("""COMPUTED_VALUE"""),0.422748113425117)</f>
        <v>0.4227481134</v>
      </c>
      <c r="H267" s="13" t="str">
        <f aca="false">IFERROR(__xludf.dummyfunction("""COMPUTED_VALUE"""),"damaged stock")</f>
        <v>damaged stock</v>
      </c>
      <c r="I267" s="13" t="n">
        <f aca="false">IFERROR(__xludf.dummyfunction("""COMPUTED_VALUE"""),555)</f>
        <v>555</v>
      </c>
      <c r="J267" s="13" t="n">
        <f aca="false">IFERROR(__xludf.dummyfunction("""COMPUTED_VALUE"""),191.67)</f>
        <v>191.67</v>
      </c>
      <c r="K267" s="13" t="n">
        <f aca="false">IFERROR(__xludf.dummyfunction("""COMPUTED_VALUE"""),106376.85)</f>
        <v>106376.85</v>
      </c>
      <c r="L267" s="13" t="str">
        <f aca="false">IFERROR(__xludf.dummyfunction("""COMPUTED_VALUE"""),"[Code: 3FGJKM] 555 units damaged due to insects ")</f>
        <v>[Code: 3FGJKM] 555 units damaged due to insects </v>
      </c>
      <c r="M267" s="13" t="str">
        <f aca="false">IFERROR(__xludf.dummyfunction("""COMPUTED_VALUE"""),"3FGJKM")</f>
        <v>3FGJKM</v>
      </c>
      <c r="N267" s="13"/>
      <c r="O267" s="13" t="str">
        <f aca="false">IFERROR(__xludf.dummyfunction("""COMPUTED_VALUE"""),"ali.raza@tajir-app.com")</f>
        <v>ali.raza@tajir-app.com</v>
      </c>
      <c r="P267" s="13" t="str">
        <f aca="false">IFERROR(__xludf.dummyfunction("""COMPUTED_VALUE"""),"Ali Raza ")</f>
        <v>Ali Raza </v>
      </c>
      <c r="Q267" s="13" t="str">
        <f aca="false">IF(L267="","",L267)</f>
        <v>[Code: 3FGJKM] 555 units damaged due to insects </v>
      </c>
    </row>
    <row r="268" customFormat="false" ht="15.75" hidden="false" customHeight="false" outlineLevel="0" collapsed="false">
      <c r="A268" s="13" t="str">
        <f aca="false">IFERROR(__xludf.dummyfunction("""COMPUTED_VALUE"""),"Metro DC Faisalabad")</f>
        <v>Metro DC Faisalabad</v>
      </c>
      <c r="B268" s="13" t="str">
        <f aca="false">IFERROR(__xludf.dummyfunction("""COMPUTED_VALUE"""),"a65c5908-c94a-43ce-adb9-5364039a176b")</f>
        <v>a65c5908-c94a-43ce-adb9-5364039a176b</v>
      </c>
      <c r="C268" s="13" t="str">
        <f aca="false">IFERROR(__xludf.dummyfunction("""COMPUTED_VALUE"""),"Palmolive Healthy &amp; Smooth Shampoo 180ml Rs330")</f>
        <v>Palmolive Healthy &amp; Smooth Shampoo 180ml Rs330</v>
      </c>
      <c r="D268" s="13" t="str">
        <f aca="false">IFERROR(__xludf.dummyfunction("""COMPUTED_VALUE"""),"Palmolive")</f>
        <v>Palmolive</v>
      </c>
      <c r="E268" s="13" t="str">
        <f aca="false">IFERROR(__xludf.dummyfunction("""COMPUTED_VALUE"""),"Shampoo")</f>
        <v>Shampoo</v>
      </c>
      <c r="F268" s="11" t="n">
        <f aca="false">IFERROR(__xludf.dummyfunction("""COMPUTED_VALUE"""),45102)</f>
        <v>45102</v>
      </c>
      <c r="G268" s="16" t="n">
        <f aca="false">IFERROR(__xludf.dummyfunction("""COMPUTED_VALUE"""),0.0425655902763172)</f>
        <v>0.04256559028</v>
      </c>
      <c r="H268" s="13" t="str">
        <f aca="false">IFERROR(__xludf.dummyfunction("""COMPUTED_VALUE"""),"missing stock")</f>
        <v>missing stock</v>
      </c>
      <c r="I268" s="13" t="n">
        <f aca="false">IFERROR(__xludf.dummyfunction("""COMPUTED_VALUE"""),1)</f>
        <v>1</v>
      </c>
      <c r="J268" s="13" t="n">
        <f aca="false">IFERROR(__xludf.dummyfunction("""COMPUTED_VALUE"""),278.15)</f>
        <v>278.15</v>
      </c>
      <c r="K268" s="13" t="n">
        <f aca="false">IFERROR(__xludf.dummyfunction("""COMPUTED_VALUE"""),278.15)</f>
        <v>278.15</v>
      </c>
      <c r="L268" s="13" t="str">
        <f aca="false">IFERROR(__xludf.dummyfunction("""COMPUTED_VALUE"""),"TA: Not available on floor.")</f>
        <v>TA: Not available on floor.</v>
      </c>
      <c r="M268" s="13"/>
      <c r="N268" s="13"/>
      <c r="O268" s="13" t="str">
        <f aca="false">IFERROR(__xludf.dummyfunction("""COMPUTED_VALUE"""),"taufeeq.akhtar@tajir-app.com")</f>
        <v>taufeeq.akhtar@tajir-app.com</v>
      </c>
      <c r="P268" s="13" t="str">
        <f aca="false">IFERROR(__xludf.dummyfunction("""COMPUTED_VALUE"""),"Taufeeq Akhtar ")</f>
        <v>Taufeeq Akhtar </v>
      </c>
      <c r="Q268" s="13" t="str">
        <f aca="false">IF(L268="","",L268)</f>
        <v>TA: Not available on floor.</v>
      </c>
    </row>
    <row r="269" customFormat="false" ht="15.75" hidden="false" customHeight="false" outlineLevel="0" collapsed="false">
      <c r="A269" s="13" t="str">
        <f aca="false">IFERROR(__xludf.dummyfunction("""COMPUTED_VALUE"""),"Metro DC Faisalabad")</f>
        <v>Metro DC Faisalabad</v>
      </c>
      <c r="B269" s="13" t="str">
        <f aca="false">IFERROR(__xludf.dummyfunction("""COMPUTED_VALUE"""),"6afa406d-5fa6-42ea-a697-9b99ff3ba267")</f>
        <v>6afa406d-5fa6-42ea-a697-9b99ff3ba267</v>
      </c>
      <c r="C269" s="13" t="str">
        <f aca="false">IFERROR(__xludf.dummyfunction("""COMPUTED_VALUE"""),"Sprite plastic 1L")</f>
        <v>Sprite plastic 1L</v>
      </c>
      <c r="D269" s="13" t="str">
        <f aca="false">IFERROR(__xludf.dummyfunction("""COMPUTED_VALUE"""),"Sprite")</f>
        <v>Sprite</v>
      </c>
      <c r="E269" s="13" t="str">
        <f aca="false">IFERROR(__xludf.dummyfunction("""COMPUTED_VALUE"""),"Beverages")</f>
        <v>Beverages</v>
      </c>
      <c r="F269" s="11" t="n">
        <f aca="false">IFERROR(__xludf.dummyfunction("""COMPUTED_VALUE"""),45102)</f>
        <v>45102</v>
      </c>
      <c r="G269" s="16" t="n">
        <f aca="false">IFERROR(__xludf.dummyfunction("""COMPUTED_VALUE"""),0.0254548958348047)</f>
        <v>0.02545489583</v>
      </c>
      <c r="H269" s="13" t="str">
        <f aca="false">IFERROR(__xludf.dummyfunction("""COMPUTED_VALUE"""),"damaged stock")</f>
        <v>damaged stock</v>
      </c>
      <c r="I269" s="13" t="n">
        <f aca="false">IFERROR(__xludf.dummyfunction("""COMPUTED_VALUE"""),1)</f>
        <v>1</v>
      </c>
      <c r="J269" s="13" t="n">
        <f aca="false">IFERROR(__xludf.dummyfunction("""COMPUTED_VALUE"""),672)</f>
        <v>672</v>
      </c>
      <c r="K269" s="13" t="n">
        <f aca="false">IFERROR(__xludf.dummyfunction("""COMPUTED_VALUE"""),672)</f>
        <v>672</v>
      </c>
      <c r="L269" s="13" t="str">
        <f aca="false">IFERROR(__xludf.dummyfunction("""COMPUTED_VALUE"""),"[Code: BDFFGM] TA: Found loose condition during sorting.")</f>
        <v>[Code: BDFFGM] TA: Found loose condition during sorting.</v>
      </c>
      <c r="M269" s="13" t="str">
        <f aca="false">IFERROR(__xludf.dummyfunction("""COMPUTED_VALUE"""),"BDFFGM")</f>
        <v>BDFFGM</v>
      </c>
      <c r="N269" s="13"/>
      <c r="O269" s="13" t="str">
        <f aca="false">IFERROR(__xludf.dummyfunction("""COMPUTED_VALUE"""),"taufeeq.akhtar@tajir-app.com")</f>
        <v>taufeeq.akhtar@tajir-app.com</v>
      </c>
      <c r="P269" s="13" t="str">
        <f aca="false">IFERROR(__xludf.dummyfunction("""COMPUTED_VALUE"""),"Taufeeq Akhtar ")</f>
        <v>Taufeeq Akhtar </v>
      </c>
      <c r="Q269" s="13" t="str">
        <f aca="false">IF(L269="","",L269)</f>
        <v>[Code: BDFFGM] TA: Found loose condition during sorting.</v>
      </c>
    </row>
    <row r="270" customFormat="false" ht="15.75" hidden="false" customHeight="false" outlineLevel="0" collapsed="false">
      <c r="A270" s="13" t="str">
        <f aca="false">IFERROR(__xludf.dummyfunction("""COMPUTED_VALUE"""),"Metro DC Faisalabad")</f>
        <v>Metro DC Faisalabad</v>
      </c>
      <c r="B270" s="13" t="str">
        <f aca="false">IFERROR(__xludf.dummyfunction("""COMPUTED_VALUE"""),"d108dc59-da93-451f-9024-d773dad3e97a")</f>
        <v>d108dc59-da93-451f-9024-d773dad3e97a</v>
      </c>
      <c r="C270" s="13" t="str">
        <f aca="false">IFERROR(__xludf.dummyfunction("""COMPUTED_VALUE"""),"Sprite plastic 1.5L")</f>
        <v>Sprite plastic 1.5L</v>
      </c>
      <c r="D270" s="13" t="str">
        <f aca="false">IFERROR(__xludf.dummyfunction("""COMPUTED_VALUE"""),"Sprite")</f>
        <v>Sprite</v>
      </c>
      <c r="E270" s="13" t="str">
        <f aca="false">IFERROR(__xludf.dummyfunction("""COMPUTED_VALUE"""),"Beverages")</f>
        <v>Beverages</v>
      </c>
      <c r="F270" s="11" t="n">
        <f aca="false">IFERROR(__xludf.dummyfunction("""COMPUTED_VALUE"""),45102)</f>
        <v>45102</v>
      </c>
      <c r="G270" s="16" t="n">
        <f aca="false">IFERROR(__xludf.dummyfunction("""COMPUTED_VALUE"""),0.0231460185172951)</f>
        <v>0.02314601852</v>
      </c>
      <c r="H270" s="13" t="str">
        <f aca="false">IFERROR(__xludf.dummyfunction("""COMPUTED_VALUE"""),"damaged stock")</f>
        <v>damaged stock</v>
      </c>
      <c r="I270" s="13" t="n">
        <f aca="false">IFERROR(__xludf.dummyfunction("""COMPUTED_VALUE"""),1)</f>
        <v>1</v>
      </c>
      <c r="J270" s="13" t="n">
        <f aca="false">IFERROR(__xludf.dummyfunction("""COMPUTED_VALUE"""),813)</f>
        <v>813</v>
      </c>
      <c r="K270" s="13" t="n">
        <f aca="false">IFERROR(__xludf.dummyfunction("""COMPUTED_VALUE"""),813)</f>
        <v>813</v>
      </c>
      <c r="L270" s="13" t="str">
        <f aca="false">IFERROR(__xludf.dummyfunction("""COMPUTED_VALUE"""),"[Code: 245678] TA: Found in Loose condition(Company end issue)")</f>
        <v>[Code: 245678] TA: Found in Loose condition(Company end issue)</v>
      </c>
      <c r="M270" s="13" t="str">
        <f aca="false">IFERROR(__xludf.dummyfunction("""COMPUTED_VALUE"""),"245678")</f>
        <v>245678</v>
      </c>
      <c r="N270" s="13"/>
      <c r="O270" s="13" t="str">
        <f aca="false">IFERROR(__xludf.dummyfunction("""COMPUTED_VALUE"""),"taufeeq.akhtar@tajir-app.com")</f>
        <v>taufeeq.akhtar@tajir-app.com</v>
      </c>
      <c r="P270" s="13" t="str">
        <f aca="false">IFERROR(__xludf.dummyfunction("""COMPUTED_VALUE"""),"Taufeeq Akhtar ")</f>
        <v>Taufeeq Akhtar </v>
      </c>
      <c r="Q270" s="13" t="str">
        <f aca="false">IF(L270="","",L270)</f>
        <v>[Code: 245678] TA: Found in Loose condition(Company end issue)</v>
      </c>
    </row>
    <row r="271" customFormat="false" ht="15.75" hidden="false" customHeight="false" outlineLevel="0" collapsed="false">
      <c r="A271" s="13" t="str">
        <f aca="false">IFERROR(__xludf.dummyfunction("""COMPUTED_VALUE"""),"Metro DC Faisalabad")</f>
        <v>Metro DC Faisalabad</v>
      </c>
      <c r="B271" s="13" t="str">
        <f aca="false">IFERROR(__xludf.dummyfunction("""COMPUTED_VALUE"""),"cd68a607-af95-45cb-b9f4-2721224c85f8")</f>
        <v>cd68a607-af95-45cb-b9f4-2721224c85f8</v>
      </c>
      <c r="C271" s="13" t="str">
        <f aca="false">IFERROR(__xludf.dummyfunction("""COMPUTED_VALUE"""),"Coca Cola plastic 1.5L")</f>
        <v>Coca Cola plastic 1.5L</v>
      </c>
      <c r="D271" s="13" t="str">
        <f aca="false">IFERROR(__xludf.dummyfunction("""COMPUTED_VALUE"""),"Coca Cola")</f>
        <v>Coca Cola</v>
      </c>
      <c r="E271" s="13" t="str">
        <f aca="false">IFERROR(__xludf.dummyfunction("""COMPUTED_VALUE"""),"Beverages")</f>
        <v>Beverages</v>
      </c>
      <c r="F271" s="11" t="n">
        <f aca="false">IFERROR(__xludf.dummyfunction("""COMPUTED_VALUE"""),45102)</f>
        <v>45102</v>
      </c>
      <c r="G271" s="16" t="n">
        <f aca="false">IFERROR(__xludf.dummyfunction("""COMPUTED_VALUE"""),0.0220006481482829)</f>
        <v>0.02200064815</v>
      </c>
      <c r="H271" s="13" t="str">
        <f aca="false">IFERROR(__xludf.dummyfunction("""COMPUTED_VALUE"""),"damaged stock")</f>
        <v>damaged stock</v>
      </c>
      <c r="I271" s="13" t="n">
        <f aca="false">IFERROR(__xludf.dummyfunction("""COMPUTED_VALUE"""),2)</f>
        <v>2</v>
      </c>
      <c r="J271" s="13" t="n">
        <f aca="false">IFERROR(__xludf.dummyfunction("""COMPUTED_VALUE"""),813)</f>
        <v>813</v>
      </c>
      <c r="K271" s="13" t="n">
        <f aca="false">IFERROR(__xludf.dummyfunction("""COMPUTED_VALUE"""),1626)</f>
        <v>1626</v>
      </c>
      <c r="L271" s="13" t="str">
        <f aca="false">IFERROR(__xludf.dummyfunction("""COMPUTED_VALUE"""),"[Code: 23BBCE] TA: Found in Loose condition (Company end issue)")</f>
        <v>[Code: 23BBCE] TA: Found in Loose condition (Company end issue)</v>
      </c>
      <c r="M271" s="13" t="str">
        <f aca="false">IFERROR(__xludf.dummyfunction("""COMPUTED_VALUE"""),"23BBCE")</f>
        <v>23BBCE</v>
      </c>
      <c r="N271" s="13"/>
      <c r="O271" s="13" t="str">
        <f aca="false">IFERROR(__xludf.dummyfunction("""COMPUTED_VALUE"""),"taufeeq.akhtar@tajir-app.com")</f>
        <v>taufeeq.akhtar@tajir-app.com</v>
      </c>
      <c r="P271" s="13" t="str">
        <f aca="false">IFERROR(__xludf.dummyfunction("""COMPUTED_VALUE"""),"Taufeeq Akhtar ")</f>
        <v>Taufeeq Akhtar </v>
      </c>
      <c r="Q271" s="13" t="str">
        <f aca="false">IF(L271="","",L271)</f>
        <v>[Code: 23BBCE] TA: Found in Loose condition (Company end issue)</v>
      </c>
    </row>
    <row r="272" customFormat="false" ht="15.75" hidden="false" customHeight="false" outlineLevel="0" collapsed="false">
      <c r="A272" s="13" t="str">
        <f aca="false">IFERROR(__xludf.dummyfunction("""COMPUTED_VALUE"""),"Metro DC Faisalabad")</f>
        <v>Metro DC Faisalabad</v>
      </c>
      <c r="B272" s="13" t="str">
        <f aca="false">IFERROR(__xludf.dummyfunction("""COMPUTED_VALUE"""),"4a7a2807-a0b1-4bb9-af21-da5ec7137065")</f>
        <v>4a7a2807-a0b1-4bb9-af21-da5ec7137065</v>
      </c>
      <c r="C272" s="13" t="str">
        <f aca="false">IFERROR(__xludf.dummyfunction("""COMPUTED_VALUE"""),"Mirinda plastic 345ml (Other city stock)")</f>
        <v>Mirinda plastic 345ml (Other city stock)</v>
      </c>
      <c r="D272" s="13" t="str">
        <f aca="false">IFERROR(__xludf.dummyfunction("""COMPUTED_VALUE"""),"Mirinda")</f>
        <v>Mirinda</v>
      </c>
      <c r="E272" s="13" t="str">
        <f aca="false">IFERROR(__xludf.dummyfunction("""COMPUTED_VALUE"""),"Beverages")</f>
        <v>Beverages</v>
      </c>
      <c r="F272" s="11" t="n">
        <f aca="false">IFERROR(__xludf.dummyfunction("""COMPUTED_VALUE"""),45102)</f>
        <v>45102</v>
      </c>
      <c r="G272" s="16" t="n">
        <f aca="false">IFERROR(__xludf.dummyfunction("""COMPUTED_VALUE"""),0.0209813078688828)</f>
        <v>0.02098130787</v>
      </c>
      <c r="H272" s="13" t="str">
        <f aca="false">IFERROR(__xludf.dummyfunction("""COMPUTED_VALUE"""),"damaged stock")</f>
        <v>damaged stock</v>
      </c>
      <c r="I272" s="13" t="n">
        <f aca="false">IFERROR(__xludf.dummyfunction("""COMPUTED_VALUE"""),1)</f>
        <v>1</v>
      </c>
      <c r="J272" s="13" t="n">
        <f aca="false">IFERROR(__xludf.dummyfunction("""COMPUTED_VALUE"""),520)</f>
        <v>520</v>
      </c>
      <c r="K272" s="13" t="n">
        <f aca="false">IFERROR(__xludf.dummyfunction("""COMPUTED_VALUE"""),520)</f>
        <v>520</v>
      </c>
      <c r="L272" s="13" t="str">
        <f aca="false">IFERROR(__xludf.dummyfunction("""COMPUTED_VALUE"""),"[Code: 333579] TA: damaged because of mouse bite.")</f>
        <v>[Code: 333579] TA: damaged because of mouse bite.</v>
      </c>
      <c r="M272" s="13" t="str">
        <f aca="false">IFERROR(__xludf.dummyfunction("""COMPUTED_VALUE"""),"333579")</f>
        <v>333579</v>
      </c>
      <c r="N272" s="13"/>
      <c r="O272" s="13" t="str">
        <f aca="false">IFERROR(__xludf.dummyfunction("""COMPUTED_VALUE"""),"taufeeq.akhtar@tajir-app.com")</f>
        <v>taufeeq.akhtar@tajir-app.com</v>
      </c>
      <c r="P272" s="13" t="str">
        <f aca="false">IFERROR(__xludf.dummyfunction("""COMPUTED_VALUE"""),"Taufeeq Akhtar ")</f>
        <v>Taufeeq Akhtar </v>
      </c>
      <c r="Q272" s="13" t="str">
        <f aca="false">IF(L272="","",L272)</f>
        <v>[Code: 333579] TA: damaged because of mouse bite.</v>
      </c>
    </row>
    <row r="273" customFormat="false" ht="15.75" hidden="false" customHeight="false" outlineLevel="0" collapsed="false">
      <c r="A273" s="13" t="str">
        <f aca="false">IFERROR(__xludf.dummyfunction("""COMPUTED_VALUE"""),"Metro DC Faisalabad")</f>
        <v>Metro DC Faisalabad</v>
      </c>
      <c r="B273" s="13" t="str">
        <f aca="false">IFERROR(__xludf.dummyfunction("""COMPUTED_VALUE"""),"4a7a2807-a0b1-4bb9-af21-da5ec7137065")</f>
        <v>4a7a2807-a0b1-4bb9-af21-da5ec7137065</v>
      </c>
      <c r="C273" s="13" t="str">
        <f aca="false">IFERROR(__xludf.dummyfunction("""COMPUTED_VALUE"""),"Mirinda plastic 345ml (Other city stock)")</f>
        <v>Mirinda plastic 345ml (Other city stock)</v>
      </c>
      <c r="D273" s="13" t="str">
        <f aca="false">IFERROR(__xludf.dummyfunction("""COMPUTED_VALUE"""),"Mirinda")</f>
        <v>Mirinda</v>
      </c>
      <c r="E273" s="13" t="str">
        <f aca="false">IFERROR(__xludf.dummyfunction("""COMPUTED_VALUE"""),"Beverages")</f>
        <v>Beverages</v>
      </c>
      <c r="F273" s="11" t="n">
        <f aca="false">IFERROR(__xludf.dummyfunction("""COMPUTED_VALUE"""),45103)</f>
        <v>45103</v>
      </c>
      <c r="G273" s="16" t="n">
        <f aca="false">IFERROR(__xludf.dummyfunction("""COMPUTED_VALUE"""),0.051127650462742)</f>
        <v>0.05112765046</v>
      </c>
      <c r="H273" s="13" t="str">
        <f aca="false">IFERROR(__xludf.dummyfunction("""COMPUTED_VALUE"""),"missing stock")</f>
        <v>missing stock</v>
      </c>
      <c r="I273" s="13" t="n">
        <f aca="false">IFERROR(__xludf.dummyfunction("""COMPUTED_VALUE"""),1)</f>
        <v>1</v>
      </c>
      <c r="J273" s="13" t="n">
        <f aca="false">IFERROR(__xludf.dummyfunction("""COMPUTED_VALUE"""),520)</f>
        <v>520</v>
      </c>
      <c r="K273" s="13" t="n">
        <f aca="false">IFERROR(__xludf.dummyfunction("""COMPUTED_VALUE"""),520)</f>
        <v>520</v>
      </c>
      <c r="L273" s="13" t="str">
        <f aca="false">IFERROR(__xludf.dummyfunction("""COMPUTED_VALUE"""),"TA: NOT AVAILABLE ON FLOOR.")</f>
        <v>TA: NOT AVAILABLE ON FLOOR.</v>
      </c>
      <c r="M273" s="13"/>
      <c r="N273" s="13"/>
      <c r="O273" s="13" t="str">
        <f aca="false">IFERROR(__xludf.dummyfunction("""COMPUTED_VALUE"""),"taufeeq.akhtar@tajir-app.com")</f>
        <v>taufeeq.akhtar@tajir-app.com</v>
      </c>
      <c r="P273" s="13" t="str">
        <f aca="false">IFERROR(__xludf.dummyfunction("""COMPUTED_VALUE"""),"Taufeeq Akhtar ")</f>
        <v>Taufeeq Akhtar </v>
      </c>
      <c r="Q273" s="13" t="str">
        <f aca="false">IF(L273="","",L273)</f>
        <v>TA: NOT AVAILABLE ON FLOOR.</v>
      </c>
    </row>
    <row r="274" customFormat="false" ht="15.75" hidden="false" customHeight="false" outlineLevel="0" collapsed="false">
      <c r="A274" s="13" t="str">
        <f aca="false">IFERROR(__xludf.dummyfunction("""COMPUTED_VALUE"""),"Metro DC Faisalabad")</f>
        <v>Metro DC Faisalabad</v>
      </c>
      <c r="B274" s="13" t="str">
        <f aca="false">IFERROR(__xludf.dummyfunction("""COMPUTED_VALUE"""),"59e4c477-de73-4b1a-951d-f12eb0f05512")</f>
        <v>59e4c477-de73-4b1a-951d-f12eb0f05512</v>
      </c>
      <c r="C274" s="13" t="str">
        <f aca="false">IFERROR(__xludf.dummyfunction("""COMPUTED_VALUE"""),"Shangrila Tomato Ketchup x3 Bundle 400g")</f>
        <v>Shangrila Tomato Ketchup x3 Bundle 400g</v>
      </c>
      <c r="D274" s="13" t="str">
        <f aca="false">IFERROR(__xludf.dummyfunction("""COMPUTED_VALUE"""),"Shangrila")</f>
        <v>Shangrila</v>
      </c>
      <c r="E274" s="13" t="str">
        <f aca="false">IFERROR(__xludf.dummyfunction("""COMPUTED_VALUE"""),"Sauces")</f>
        <v>Sauces</v>
      </c>
      <c r="F274" s="11" t="n">
        <f aca="false">IFERROR(__xludf.dummyfunction("""COMPUTED_VALUE"""),45103)</f>
        <v>45103</v>
      </c>
      <c r="G274" s="16" t="n">
        <f aca="false">IFERROR(__xludf.dummyfunction("""COMPUTED_VALUE"""),0.0182868171307507)</f>
        <v>0.01828681713</v>
      </c>
      <c r="H274" s="13" t="str">
        <f aca="false">IFERROR(__xludf.dummyfunction("""COMPUTED_VALUE"""),"damaged stock")</f>
        <v>damaged stock</v>
      </c>
      <c r="I274" s="13" t="n">
        <f aca="false">IFERROR(__xludf.dummyfunction("""COMPUTED_VALUE"""),1)</f>
        <v>1</v>
      </c>
      <c r="J274" s="13" t="n">
        <f aca="false">IFERROR(__xludf.dummyfunction("""COMPUTED_VALUE"""),540.66)</f>
        <v>540.66</v>
      </c>
      <c r="K274" s="13" t="n">
        <f aca="false">IFERROR(__xludf.dummyfunction("""COMPUTED_VALUE"""),540.66)</f>
        <v>540.66</v>
      </c>
      <c r="L274" s="13" t="str">
        <f aca="false">IFERROR(__xludf.dummyfunction("""COMPUTED_VALUE"""),"[Code: 24566A] TA: Diplay krtay waqt box may say damaged nikla")</f>
        <v>[Code: 24566A] TA: Diplay krtay waqt box may say damaged nikla</v>
      </c>
      <c r="M274" s="13" t="str">
        <f aca="false">IFERROR(__xludf.dummyfunction("""COMPUTED_VALUE"""),"24566A")</f>
        <v>24566A</v>
      </c>
      <c r="N274" s="13"/>
      <c r="O274" s="13" t="str">
        <f aca="false">IFERROR(__xludf.dummyfunction("""COMPUTED_VALUE"""),"taufeeq.akhtar@tajir-app.com")</f>
        <v>taufeeq.akhtar@tajir-app.com</v>
      </c>
      <c r="P274" s="13" t="str">
        <f aca="false">IFERROR(__xludf.dummyfunction("""COMPUTED_VALUE"""),"Taufeeq Akhtar ")</f>
        <v>Taufeeq Akhtar </v>
      </c>
      <c r="Q274" s="13" t="str">
        <f aca="false">IF(L274="","",L274)</f>
        <v>[Code: 24566A] TA: Diplay krtay waqt box may say damaged nikla</v>
      </c>
    </row>
    <row r="275" customFormat="false" ht="15.75" hidden="false" customHeight="false" outlineLevel="0" collapsed="false">
      <c r="A275" s="13" t="str">
        <f aca="false">IFERROR(__xludf.dummyfunction("""COMPUTED_VALUE"""),"Metro DC Faisalabad")</f>
        <v>Metro DC Faisalabad</v>
      </c>
      <c r="B275" s="13" t="str">
        <f aca="false">IFERROR(__xludf.dummyfunction("""COMPUTED_VALUE"""),"13e1aca6-1334-4628-8642-373185a2eeb7")</f>
        <v>13e1aca6-1334-4628-8642-373185a2eeb7</v>
      </c>
      <c r="C275" s="13" t="str">
        <f aca="false">IFERROR(__xludf.dummyfunction("""COMPUTED_VALUE"""),"Shangrila Tomato Ketchup x6 Bundle 225g")</f>
        <v>Shangrila Tomato Ketchup x6 Bundle 225g</v>
      </c>
      <c r="D275" s="13" t="str">
        <f aca="false">IFERROR(__xludf.dummyfunction("""COMPUTED_VALUE"""),"Shangrila")</f>
        <v>Shangrila</v>
      </c>
      <c r="E275" s="13" t="str">
        <f aca="false">IFERROR(__xludf.dummyfunction("""COMPUTED_VALUE"""),"Sauces")</f>
        <v>Sauces</v>
      </c>
      <c r="F275" s="11" t="n">
        <f aca="false">IFERROR(__xludf.dummyfunction("""COMPUTED_VALUE"""),45103)</f>
        <v>45103</v>
      </c>
      <c r="G275" s="16" t="n">
        <f aca="false">IFERROR(__xludf.dummyfunction("""COMPUTED_VALUE"""),0.0162060185191922)</f>
        <v>0.01620601852</v>
      </c>
      <c r="H275" s="13" t="str">
        <f aca="false">IFERROR(__xludf.dummyfunction("""COMPUTED_VALUE"""),"damaged stock")</f>
        <v>damaged stock</v>
      </c>
      <c r="I275" s="13" t="n">
        <f aca="false">IFERROR(__xludf.dummyfunction("""COMPUTED_VALUE"""),1)</f>
        <v>1</v>
      </c>
      <c r="J275" s="13" t="n">
        <f aca="false">IFERROR(__xludf.dummyfunction("""COMPUTED_VALUE"""),614.12)</f>
        <v>614.12</v>
      </c>
      <c r="K275" s="13" t="n">
        <f aca="false">IFERROR(__xludf.dummyfunction("""COMPUTED_VALUE"""),614.12)</f>
        <v>614.12</v>
      </c>
      <c r="L275" s="13" t="str">
        <f aca="false">IFERROR(__xludf.dummyfunction("""COMPUTED_VALUE"""),"[Code: 46BCGH] TA: Box May say damaged nikla display krtay wqt.")</f>
        <v>[Code: 46BCGH] TA: Box May say damaged nikla display krtay wqt.</v>
      </c>
      <c r="M275" s="13" t="str">
        <f aca="false">IFERROR(__xludf.dummyfunction("""COMPUTED_VALUE"""),"46BCGH")</f>
        <v>46BCGH</v>
      </c>
      <c r="N275" s="13"/>
      <c r="O275" s="13" t="str">
        <f aca="false">IFERROR(__xludf.dummyfunction("""COMPUTED_VALUE"""),"taufeeq.akhtar@tajir-app.com")</f>
        <v>taufeeq.akhtar@tajir-app.com</v>
      </c>
      <c r="P275" s="13" t="str">
        <f aca="false">IFERROR(__xludf.dummyfunction("""COMPUTED_VALUE"""),"Taufeeq Akhtar ")</f>
        <v>Taufeeq Akhtar </v>
      </c>
      <c r="Q275" s="13" t="str">
        <f aca="false">IF(L275="","",L275)</f>
        <v>[Code: 46BCGH] TA: Box May say damaged nikla display krtay wqt.</v>
      </c>
    </row>
    <row r="276" customFormat="false" ht="15.75" hidden="false" customHeight="false" outlineLevel="0" collapsed="false">
      <c r="A276" s="13" t="str">
        <f aca="false">IFERROR(__xludf.dummyfunction("""COMPUTED_VALUE"""),"Metro DC Faisalabad")</f>
        <v>Metro DC Faisalabad</v>
      </c>
      <c r="B276" s="13" t="str">
        <f aca="false">IFERROR(__xludf.dummyfunction("""COMPUTED_VALUE"""),"6afa406d-5fa6-42ea-a697-9b99ff3ba267")</f>
        <v>6afa406d-5fa6-42ea-a697-9b99ff3ba267</v>
      </c>
      <c r="C276" s="13" t="str">
        <f aca="false">IFERROR(__xludf.dummyfunction("""COMPUTED_VALUE"""),"Sprite plastic 1L")</f>
        <v>Sprite plastic 1L</v>
      </c>
      <c r="D276" s="13" t="str">
        <f aca="false">IFERROR(__xludf.dummyfunction("""COMPUTED_VALUE"""),"Sprite")</f>
        <v>Sprite</v>
      </c>
      <c r="E276" s="13" t="str">
        <f aca="false">IFERROR(__xludf.dummyfunction("""COMPUTED_VALUE"""),"Beverages")</f>
        <v>Beverages</v>
      </c>
      <c r="F276" s="11" t="n">
        <f aca="false">IFERROR(__xludf.dummyfunction("""COMPUTED_VALUE"""),45103)</f>
        <v>45103</v>
      </c>
      <c r="G276" s="16" t="n">
        <f aca="false">IFERROR(__xludf.dummyfunction("""COMPUTED_VALUE"""),0.0150900115742412)</f>
        <v>0.01509001157</v>
      </c>
      <c r="H276" s="13" t="str">
        <f aca="false">IFERROR(__xludf.dummyfunction("""COMPUTED_VALUE"""),"damaged stock")</f>
        <v>damaged stock</v>
      </c>
      <c r="I276" s="13" t="n">
        <f aca="false">IFERROR(__xludf.dummyfunction("""COMPUTED_VALUE"""),1)</f>
        <v>1</v>
      </c>
      <c r="J276" s="13" t="n">
        <f aca="false">IFERROR(__xludf.dummyfunction("""COMPUTED_VALUE"""),672)</f>
        <v>672</v>
      </c>
      <c r="K276" s="13" t="n">
        <f aca="false">IFERROR(__xludf.dummyfunction("""COMPUTED_VALUE"""),672)</f>
        <v>672</v>
      </c>
      <c r="L276" s="13" t="str">
        <f aca="false">IFERROR(__xludf.dummyfunction("""COMPUTED_VALUE"""),"[Code: 34446A] TA:  Found in Loose condition during sorting")</f>
        <v>[Code: 34446A] TA:  Found in Loose condition during sorting</v>
      </c>
      <c r="M276" s="13" t="str">
        <f aca="false">IFERROR(__xludf.dummyfunction("""COMPUTED_VALUE"""),"34446A")</f>
        <v>34446A</v>
      </c>
      <c r="N276" s="13"/>
      <c r="O276" s="13" t="str">
        <f aca="false">IFERROR(__xludf.dummyfunction("""COMPUTED_VALUE"""),"taufeeq.akhtar@tajir-app.com")</f>
        <v>taufeeq.akhtar@tajir-app.com</v>
      </c>
      <c r="P276" s="13" t="str">
        <f aca="false">IFERROR(__xludf.dummyfunction("""COMPUTED_VALUE"""),"Taufeeq Akhtar ")</f>
        <v>Taufeeq Akhtar </v>
      </c>
      <c r="Q276" s="13" t="str">
        <f aca="false">IF(L276="","",L276)</f>
        <v>[Code: 34446A] TA:  Found in Loose condition during sorting</v>
      </c>
    </row>
    <row r="277" customFormat="false" ht="15.75" hidden="false" customHeight="false" outlineLevel="0" collapsed="false">
      <c r="A277" s="13" t="str">
        <f aca="false">IFERROR(__xludf.dummyfunction("""COMPUTED_VALUE"""),"Metro DC Faisalabad")</f>
        <v>Metro DC Faisalabad</v>
      </c>
      <c r="B277" s="13" t="str">
        <f aca="false">IFERROR(__xludf.dummyfunction("""COMPUTED_VALUE"""),"d108dc59-da93-451f-9024-d773dad3e97a")</f>
        <v>d108dc59-da93-451f-9024-d773dad3e97a</v>
      </c>
      <c r="C277" s="13" t="str">
        <f aca="false">IFERROR(__xludf.dummyfunction("""COMPUTED_VALUE"""),"Sprite plastic 1.5L")</f>
        <v>Sprite plastic 1.5L</v>
      </c>
      <c r="D277" s="13" t="str">
        <f aca="false">IFERROR(__xludf.dummyfunction("""COMPUTED_VALUE"""),"Sprite")</f>
        <v>Sprite</v>
      </c>
      <c r="E277" s="13" t="str">
        <f aca="false">IFERROR(__xludf.dummyfunction("""COMPUTED_VALUE"""),"Beverages")</f>
        <v>Beverages</v>
      </c>
      <c r="F277" s="11" t="n">
        <f aca="false">IFERROR(__xludf.dummyfunction("""COMPUTED_VALUE"""),45103)</f>
        <v>45103</v>
      </c>
      <c r="G277" s="16" t="n">
        <f aca="false">IFERROR(__xludf.dummyfunction("""COMPUTED_VALUE"""),0.0144387962977461)</f>
        <v>0.0144387963</v>
      </c>
      <c r="H277" s="13" t="str">
        <f aca="false">IFERROR(__xludf.dummyfunction("""COMPUTED_VALUE"""),"damaged stock")</f>
        <v>damaged stock</v>
      </c>
      <c r="I277" s="13" t="n">
        <f aca="false">IFERROR(__xludf.dummyfunction("""COMPUTED_VALUE"""),1)</f>
        <v>1</v>
      </c>
      <c r="J277" s="13" t="n">
        <f aca="false">IFERROR(__xludf.dummyfunction("""COMPUTED_VALUE"""),813)</f>
        <v>813</v>
      </c>
      <c r="K277" s="13" t="n">
        <f aca="false">IFERROR(__xludf.dummyfunction("""COMPUTED_VALUE"""),813)</f>
        <v>813</v>
      </c>
      <c r="L277" s="13" t="str">
        <f aca="false">IFERROR(__xludf.dummyfunction("""COMPUTED_VALUE"""),"[Code: 233458] TA: found in loose condition during sorting.")</f>
        <v>[Code: 233458] TA: found in loose condition during sorting.</v>
      </c>
      <c r="M277" s="13" t="str">
        <f aca="false">IFERROR(__xludf.dummyfunction("""COMPUTED_VALUE"""),"233458")</f>
        <v>233458</v>
      </c>
      <c r="N277" s="13"/>
      <c r="O277" s="13" t="str">
        <f aca="false">IFERROR(__xludf.dummyfunction("""COMPUTED_VALUE"""),"taufeeq.akhtar@tajir-app.com")</f>
        <v>taufeeq.akhtar@tajir-app.com</v>
      </c>
      <c r="P277" s="13" t="str">
        <f aca="false">IFERROR(__xludf.dummyfunction("""COMPUTED_VALUE"""),"Taufeeq Akhtar ")</f>
        <v>Taufeeq Akhtar </v>
      </c>
      <c r="Q277" s="13" t="str">
        <f aca="false">IF(L277="","",L277)</f>
        <v>[Code: 233458] TA: found in loose condition during sorting.</v>
      </c>
    </row>
    <row r="278" customFormat="false" ht="15.75" hidden="false" customHeight="false" outlineLevel="0" collapsed="false">
      <c r="A278" s="13" t="str">
        <f aca="false">IFERROR(__xludf.dummyfunction("""COMPUTED_VALUE"""),"Metro DC Faisalabad")</f>
        <v>Metro DC Faisalabad</v>
      </c>
      <c r="B278" s="13" t="str">
        <f aca="false">IFERROR(__xludf.dummyfunction("""COMPUTED_VALUE"""),"cd68a607-af95-45cb-b9f4-2721224c85f8")</f>
        <v>cd68a607-af95-45cb-b9f4-2721224c85f8</v>
      </c>
      <c r="C278" s="13" t="str">
        <f aca="false">IFERROR(__xludf.dummyfunction("""COMPUTED_VALUE"""),"Coca Cola plastic 1.5L")</f>
        <v>Coca Cola plastic 1.5L</v>
      </c>
      <c r="D278" s="13" t="str">
        <f aca="false">IFERROR(__xludf.dummyfunction("""COMPUTED_VALUE"""),"Coca Cola")</f>
        <v>Coca Cola</v>
      </c>
      <c r="E278" s="13" t="str">
        <f aca="false">IFERROR(__xludf.dummyfunction("""COMPUTED_VALUE"""),"Beverages")</f>
        <v>Beverages</v>
      </c>
      <c r="F278" s="11" t="n">
        <f aca="false">IFERROR(__xludf.dummyfunction("""COMPUTED_VALUE"""),45103)</f>
        <v>45103</v>
      </c>
      <c r="G278" s="16" t="n">
        <f aca="false">IFERROR(__xludf.dummyfunction("""COMPUTED_VALUE"""),0.013660624998437)</f>
        <v>0.013660625</v>
      </c>
      <c r="H278" s="13" t="str">
        <f aca="false">IFERROR(__xludf.dummyfunction("""COMPUTED_VALUE"""),"damaged stock")</f>
        <v>damaged stock</v>
      </c>
      <c r="I278" s="13" t="n">
        <f aca="false">IFERROR(__xludf.dummyfunction("""COMPUTED_VALUE"""),2)</f>
        <v>2</v>
      </c>
      <c r="J278" s="13" t="n">
        <f aca="false">IFERROR(__xludf.dummyfunction("""COMPUTED_VALUE"""),813)</f>
        <v>813</v>
      </c>
      <c r="K278" s="13" t="n">
        <f aca="false">IFERROR(__xludf.dummyfunction("""COMPUTED_VALUE"""),1626)</f>
        <v>1626</v>
      </c>
      <c r="L278" s="13" t="str">
        <f aca="false">IFERROR(__xludf.dummyfunction("""COMPUTED_VALUE"""),"[Code: 28AGHL] TA: Found loose during sorting.")</f>
        <v>[Code: 28AGHL] TA: Found loose during sorting.</v>
      </c>
      <c r="M278" s="13" t="str">
        <f aca="false">IFERROR(__xludf.dummyfunction("""COMPUTED_VALUE"""),"28AGHL")</f>
        <v>28AGHL</v>
      </c>
      <c r="N278" s="13"/>
      <c r="O278" s="13" t="str">
        <f aca="false">IFERROR(__xludf.dummyfunction("""COMPUTED_VALUE"""),"taufeeq.akhtar@tajir-app.com")</f>
        <v>taufeeq.akhtar@tajir-app.com</v>
      </c>
      <c r="P278" s="13" t="str">
        <f aca="false">IFERROR(__xludf.dummyfunction("""COMPUTED_VALUE"""),"Taufeeq Akhtar ")</f>
        <v>Taufeeq Akhtar </v>
      </c>
      <c r="Q278" s="13" t="str">
        <f aca="false">IF(L278="","",L278)</f>
        <v>[Code: 28AGHL] TA: Found loose during sorting.</v>
      </c>
    </row>
    <row r="279" customFormat="false" ht="15.75" hidden="false" customHeight="false" outlineLevel="0" collapsed="false">
      <c r="A279" s="13" t="str">
        <f aca="false">IFERROR(__xludf.dummyfunction("""COMPUTED_VALUE"""),"Metro DC Faisalabad")</f>
        <v>Metro DC Faisalabad</v>
      </c>
      <c r="B279" s="13" t="str">
        <f aca="false">IFERROR(__xludf.dummyfunction("""COMPUTED_VALUE"""),"446b7945-0903-4143-804b-79769ad0280b")</f>
        <v>446b7945-0903-4143-804b-79769ad0280b</v>
      </c>
      <c r="C279" s="13" t="str">
        <f aca="false">IFERROR(__xludf.dummyfunction("""COMPUTED_VALUE"""),"Engro Olpers Milk x8 Carton 1.5L")</f>
        <v>Engro Olpers Milk x8 Carton 1.5L</v>
      </c>
      <c r="D279" s="13" t="str">
        <f aca="false">IFERROR(__xludf.dummyfunction("""COMPUTED_VALUE"""),"Olpers")</f>
        <v>Olpers</v>
      </c>
      <c r="E279" s="13" t="str">
        <f aca="false">IFERROR(__xludf.dummyfunction("""COMPUTED_VALUE"""),"Dairy")</f>
        <v>Dairy</v>
      </c>
      <c r="F279" s="11" t="n">
        <f aca="false">IFERROR(__xludf.dummyfunction("""COMPUTED_VALUE"""),45104)</f>
        <v>45104</v>
      </c>
      <c r="G279" s="16" t="n">
        <f aca="false">IFERROR(__xludf.dummyfunction("""COMPUTED_VALUE"""),0.994976006946223)</f>
        <v>0.9949760069</v>
      </c>
      <c r="H279" s="13" t="str">
        <f aca="false">IFERROR(__xludf.dummyfunction("""COMPUTED_VALUE"""),"damaged stock")</f>
        <v>damaged stock</v>
      </c>
      <c r="I279" s="13" t="n">
        <f aca="false">IFERROR(__xludf.dummyfunction("""COMPUTED_VALUE"""),1)</f>
        <v>1</v>
      </c>
      <c r="J279" s="13" t="n">
        <f aca="false">IFERROR(__xludf.dummyfunction("""COMPUTED_VALUE"""),2690)</f>
        <v>2690</v>
      </c>
      <c r="K279" s="13" t="n">
        <f aca="false">IFERROR(__xludf.dummyfunction("""COMPUTED_VALUE"""),2690)</f>
        <v>2690</v>
      </c>
      <c r="L279" s="13" t="str">
        <f aca="false">IFERROR(__xludf.dummyfunction("""COMPUTED_VALUE"""),"[Code: 2348AA] TA; 1unit Damage found during sorting (Unit me one piece leak he )")</f>
        <v>[Code: 2348AA] TA; 1unit Damage found during sorting (Unit me one piece leak he )</v>
      </c>
      <c r="M279" s="13" t="str">
        <f aca="false">IFERROR(__xludf.dummyfunction("""COMPUTED_VALUE"""),"2348AA")</f>
        <v>2348AA</v>
      </c>
      <c r="N279" s="13"/>
      <c r="O279" s="13" t="str">
        <f aca="false">IFERROR(__xludf.dummyfunction("""COMPUTED_VALUE"""),"taufeeq.akhtar@tajir-app.com")</f>
        <v>taufeeq.akhtar@tajir-app.com</v>
      </c>
      <c r="P279" s="13" t="str">
        <f aca="false">IFERROR(__xludf.dummyfunction("""COMPUTED_VALUE"""),"Taufeeq Akhtar ")</f>
        <v>Taufeeq Akhtar </v>
      </c>
      <c r="Q279" s="13" t="str">
        <f aca="false">IF(L279="","",L279)</f>
        <v>[Code: 2348AA] TA; 1unit Damage found during sorting (Unit me one piece leak he )</v>
      </c>
    </row>
    <row r="280" customFormat="false" ht="15.75" hidden="false" customHeight="false" outlineLevel="0" collapsed="false">
      <c r="A280" s="13" t="str">
        <f aca="false">IFERROR(__xludf.dummyfunction("""COMPUTED_VALUE"""),"Metro DC Faisalabad")</f>
        <v>Metro DC Faisalabad</v>
      </c>
      <c r="B280" s="13" t="str">
        <f aca="false">IFERROR(__xludf.dummyfunction("""COMPUTED_VALUE"""),"19e5dc4d-029c-48c4-ac76-f5a2b0735223")</f>
        <v>19e5dc4d-029c-48c4-ac76-f5a2b0735223</v>
      </c>
      <c r="C280" s="13" t="str">
        <f aca="false">IFERROR(__xludf.dummyfunction("""COMPUTED_VALUE"""),"Top Pizza Flour 10kg")</f>
        <v>Top Pizza Flour 10kg</v>
      </c>
      <c r="D280" s="13" t="str">
        <f aca="false">IFERROR(__xludf.dummyfunction("""COMPUTED_VALUE"""),"Yadgar Atta")</f>
        <v>Yadgar Atta</v>
      </c>
      <c r="E280" s="13" t="str">
        <f aca="false">IFERROR(__xludf.dummyfunction("""COMPUTED_VALUE"""),"Flour")</f>
        <v>Flour</v>
      </c>
      <c r="F280" s="11" t="n">
        <f aca="false">IFERROR(__xludf.dummyfunction("""COMPUTED_VALUE"""),45104)</f>
        <v>45104</v>
      </c>
      <c r="G280" s="16" t="n">
        <f aca="false">IFERROR(__xludf.dummyfunction("""COMPUTED_VALUE"""),0.353449050927672)</f>
        <v>0.3534490509</v>
      </c>
      <c r="H280" s="13" t="str">
        <f aca="false">IFERROR(__xludf.dummyfunction("""COMPUTED_VALUE"""),"expired stock")</f>
        <v>expired stock</v>
      </c>
      <c r="I280" s="13" t="n">
        <f aca="false">IFERROR(__xludf.dummyfunction("""COMPUTED_VALUE"""),3)</f>
        <v>3</v>
      </c>
      <c r="J280" s="13" t="n">
        <f aca="false">IFERROR(__xludf.dummyfunction("""COMPUTED_VALUE"""),1450)</f>
        <v>1450</v>
      </c>
      <c r="K280" s="13" t="n">
        <f aca="false">IFERROR(__xludf.dummyfunction("""COMPUTED_VALUE"""),4350)</f>
        <v>4350</v>
      </c>
      <c r="L280" s="13" t="str">
        <f aca="false">IFERROR(__xludf.dummyfunction("""COMPUTED_VALUE"""),"[Code: 39ACFG] [Expiry: 12 Jul, 2023] AR : short expiry ")</f>
        <v>[Code: 39ACFG] [Expiry: 12 Jul, 2023] AR : short expiry </v>
      </c>
      <c r="M280" s="13" t="str">
        <f aca="false">IFERROR(__xludf.dummyfunction("""COMPUTED_VALUE"""),"39ACFG")</f>
        <v>39ACFG</v>
      </c>
      <c r="N280" s="13" t="str">
        <f aca="false">IFERROR(__xludf.dummyfunction("""COMPUTED_VALUE"""),"12 Jul, 2023")</f>
        <v>12 Jul, 2023</v>
      </c>
      <c r="O280" s="13" t="str">
        <f aca="false">IFERROR(__xludf.dummyfunction("""COMPUTED_VALUE"""),"ali.raza@tajir-app.com")</f>
        <v>ali.raza@tajir-app.com</v>
      </c>
      <c r="P280" s="13" t="str">
        <f aca="false">IFERROR(__xludf.dummyfunction("""COMPUTED_VALUE"""),"Ali Raza ")</f>
        <v>Ali Raza </v>
      </c>
      <c r="Q280" s="13" t="str">
        <f aca="false">IF(L280="","",L280)</f>
        <v>[Code: 39ACFG] [Expiry: 12 Jul, 2023] AR : short expiry </v>
      </c>
    </row>
    <row r="281" customFormat="false" ht="15.75" hidden="false" customHeight="false" outlineLevel="0" collapsed="false">
      <c r="A281" s="13" t="str">
        <f aca="false">IFERROR(__xludf.dummyfunction("""COMPUTED_VALUE"""),"Metro DC Faisalabad")</f>
        <v>Metro DC Faisalabad</v>
      </c>
      <c r="B281" s="13" t="str">
        <f aca="false">IFERROR(__xludf.dummyfunction("""COMPUTED_VALUE"""),"4df466f2-5062-4b23-a5b8-e471d0f47b18")</f>
        <v>4df466f2-5062-4b23-a5b8-e471d0f47b18</v>
      </c>
      <c r="C281" s="13" t="str">
        <f aca="false">IFERROR(__xludf.dummyfunction("""COMPUTED_VALUE"""),"Engro Tarang Liquid Tea Whitener x24 Crate 175ml")</f>
        <v>Engro Tarang Liquid Tea Whitener x24 Crate 175ml</v>
      </c>
      <c r="D281" s="13" t="str">
        <f aca="false">IFERROR(__xludf.dummyfunction("""COMPUTED_VALUE"""),"Tarang")</f>
        <v>Tarang</v>
      </c>
      <c r="E281" s="13" t="str">
        <f aca="false">IFERROR(__xludf.dummyfunction("""COMPUTED_VALUE"""),"Dairy")</f>
        <v>Dairy</v>
      </c>
      <c r="F281" s="11" t="n">
        <f aca="false">IFERROR(__xludf.dummyfunction("""COMPUTED_VALUE"""),45104)</f>
        <v>45104</v>
      </c>
      <c r="G281" s="16" t="n">
        <f aca="false">IFERROR(__xludf.dummyfunction("""COMPUTED_VALUE"""),0.0332824305560945)</f>
        <v>0.03328243056</v>
      </c>
      <c r="H281" s="13" t="str">
        <f aca="false">IFERROR(__xludf.dummyfunction("""COMPUTED_VALUE"""),"damaged stock")</f>
        <v>damaged stock</v>
      </c>
      <c r="I281" s="13" t="n">
        <f aca="false">IFERROR(__xludf.dummyfunction("""COMPUTED_VALUE"""),1)</f>
        <v>1</v>
      </c>
      <c r="J281" s="13" t="n">
        <f aca="false">IFERROR(__xludf.dummyfunction("""COMPUTED_VALUE"""),870)</f>
        <v>870</v>
      </c>
      <c r="K281" s="13" t="n">
        <f aca="false">IFERROR(__xludf.dummyfunction("""COMPUTED_VALUE"""),870)</f>
        <v>870</v>
      </c>
      <c r="L281" s="13" t="str">
        <f aca="false">IFERROR(__xludf.dummyfunction("""COMPUTED_VALUE"""),"[Code: 344CCF] TA: ulli lagi hay leak honay ki wajah say.")</f>
        <v>[Code: 344CCF] TA: ulli lagi hay leak honay ki wajah say.</v>
      </c>
      <c r="M281" s="13" t="str">
        <f aca="false">IFERROR(__xludf.dummyfunction("""COMPUTED_VALUE"""),"344CCF")</f>
        <v>344CCF</v>
      </c>
      <c r="N281" s="13"/>
      <c r="O281" s="13" t="str">
        <f aca="false">IFERROR(__xludf.dummyfunction("""COMPUTED_VALUE"""),"taufeeq.akhtar@tajir-app.com")</f>
        <v>taufeeq.akhtar@tajir-app.com</v>
      </c>
      <c r="P281" s="13" t="str">
        <f aca="false">IFERROR(__xludf.dummyfunction("""COMPUTED_VALUE"""),"Taufeeq Akhtar ")</f>
        <v>Taufeeq Akhtar </v>
      </c>
      <c r="Q281" s="13" t="str">
        <f aca="false">IF(L281="","",L281)</f>
        <v>[Code: 344CCF] TA: ulli lagi hay leak honay ki wajah say.</v>
      </c>
    </row>
    <row r="282" customFormat="false" ht="15.75" hidden="false" customHeight="false" outlineLevel="0" collapsed="false">
      <c r="A282" s="13" t="str">
        <f aca="false">IFERROR(__xludf.dummyfunction("""COMPUTED_VALUE"""),"Metro DC Faisalabad")</f>
        <v>Metro DC Faisalabad</v>
      </c>
      <c r="B282" s="13" t="str">
        <f aca="false">IFERROR(__xludf.dummyfunction("""COMPUTED_VALUE"""),"cd68a607-af95-45cb-b9f4-2721224c85f8")</f>
        <v>cd68a607-af95-45cb-b9f4-2721224c85f8</v>
      </c>
      <c r="C282" s="13" t="str">
        <f aca="false">IFERROR(__xludf.dummyfunction("""COMPUTED_VALUE"""),"Coca Cola plastic 1.5L")</f>
        <v>Coca Cola plastic 1.5L</v>
      </c>
      <c r="D282" s="13" t="str">
        <f aca="false">IFERROR(__xludf.dummyfunction("""COMPUTED_VALUE"""),"Coca Cola")</f>
        <v>Coca Cola</v>
      </c>
      <c r="E282" s="13" t="str">
        <f aca="false">IFERROR(__xludf.dummyfunction("""COMPUTED_VALUE"""),"Beverages")</f>
        <v>Beverages</v>
      </c>
      <c r="F282" s="11" t="n">
        <f aca="false">IFERROR(__xludf.dummyfunction("""COMPUTED_VALUE"""),45104)</f>
        <v>45104</v>
      </c>
      <c r="G282" s="16" t="n">
        <f aca="false">IFERROR(__xludf.dummyfunction("""COMPUTED_VALUE"""),0.0315817939808401)</f>
        <v>0.03158179398</v>
      </c>
      <c r="H282" s="13" t="str">
        <f aca="false">IFERROR(__xludf.dummyfunction("""COMPUTED_VALUE"""),"damaged stock")</f>
        <v>damaged stock</v>
      </c>
      <c r="I282" s="13" t="n">
        <f aca="false">IFERROR(__xludf.dummyfunction("""COMPUTED_VALUE"""),1)</f>
        <v>1</v>
      </c>
      <c r="J282" s="13" t="n">
        <f aca="false">IFERROR(__xludf.dummyfunction("""COMPUTED_VALUE"""),813)</f>
        <v>813</v>
      </c>
      <c r="K282" s="13" t="n">
        <f aca="false">IFERROR(__xludf.dummyfunction("""COMPUTED_VALUE"""),813)</f>
        <v>813</v>
      </c>
      <c r="L282" s="13" t="str">
        <f aca="false">IFERROR(__xludf.dummyfunction("""COMPUTED_VALUE"""),"[Code: 5668AA] TA: Found looase and empty bottels ")</f>
        <v>[Code: 5668AA] TA: Found looase and empty bottels </v>
      </c>
      <c r="M282" s="13" t="str">
        <f aca="false">IFERROR(__xludf.dummyfunction("""COMPUTED_VALUE"""),"5668AA")</f>
        <v>5668AA</v>
      </c>
      <c r="N282" s="13"/>
      <c r="O282" s="13" t="str">
        <f aca="false">IFERROR(__xludf.dummyfunction("""COMPUTED_VALUE"""),"taufeeq.akhtar@tajir-app.com")</f>
        <v>taufeeq.akhtar@tajir-app.com</v>
      </c>
      <c r="P282" s="13" t="str">
        <f aca="false">IFERROR(__xludf.dummyfunction("""COMPUTED_VALUE"""),"Taufeeq Akhtar ")</f>
        <v>Taufeeq Akhtar </v>
      </c>
      <c r="Q282" s="13" t="str">
        <f aca="false">IF(L282="","",L282)</f>
        <v>[Code: 5668AA] TA: Found looase and empty bottels </v>
      </c>
    </row>
    <row r="283" customFormat="false" ht="15.75" hidden="false" customHeight="false" outlineLevel="0" collapsed="false">
      <c r="A283" s="13" t="str">
        <f aca="false">IFERROR(__xludf.dummyfunction("""COMPUTED_VALUE"""),"Metro DC Faisalabad")</f>
        <v>Metro DC Faisalabad</v>
      </c>
      <c r="B283" s="13" t="str">
        <f aca="false">IFERROR(__xludf.dummyfunction("""COMPUTED_VALUE"""),"d108dc59-da93-451f-9024-d773dad3e97a")</f>
        <v>d108dc59-da93-451f-9024-d773dad3e97a</v>
      </c>
      <c r="C283" s="13" t="str">
        <f aca="false">IFERROR(__xludf.dummyfunction("""COMPUTED_VALUE"""),"Sprite plastic 1.5L")</f>
        <v>Sprite plastic 1.5L</v>
      </c>
      <c r="D283" s="13" t="str">
        <f aca="false">IFERROR(__xludf.dummyfunction("""COMPUTED_VALUE"""),"Sprite")</f>
        <v>Sprite</v>
      </c>
      <c r="E283" s="13" t="str">
        <f aca="false">IFERROR(__xludf.dummyfunction("""COMPUTED_VALUE"""),"Beverages")</f>
        <v>Beverages</v>
      </c>
      <c r="F283" s="11" t="n">
        <f aca="false">IFERROR(__xludf.dummyfunction("""COMPUTED_VALUE"""),45104)</f>
        <v>45104</v>
      </c>
      <c r="G283" s="16" t="n">
        <f aca="false">IFERROR(__xludf.dummyfunction("""COMPUTED_VALUE"""),0.0294287962980964)</f>
        <v>0.0294287963</v>
      </c>
      <c r="H283" s="13" t="str">
        <f aca="false">IFERROR(__xludf.dummyfunction("""COMPUTED_VALUE"""),"damaged stock")</f>
        <v>damaged stock</v>
      </c>
      <c r="I283" s="13" t="n">
        <f aca="false">IFERROR(__xludf.dummyfunction("""COMPUTED_VALUE"""),1)</f>
        <v>1</v>
      </c>
      <c r="J283" s="13" t="n">
        <f aca="false">IFERROR(__xludf.dummyfunction("""COMPUTED_VALUE"""),813)</f>
        <v>813</v>
      </c>
      <c r="K283" s="13" t="n">
        <f aca="false">IFERROR(__xludf.dummyfunction("""COMPUTED_VALUE"""),813)</f>
        <v>813</v>
      </c>
      <c r="L283" s="13" t="str">
        <f aca="false">IFERROR(__xludf.dummyfunction("""COMPUTED_VALUE"""),"[Code: 35689A] TA:Found in Loose condition during sorting.")</f>
        <v>[Code: 35689A] TA:Found in Loose condition during sorting.</v>
      </c>
      <c r="M283" s="13" t="str">
        <f aca="false">IFERROR(__xludf.dummyfunction("""COMPUTED_VALUE"""),"35689A")</f>
        <v>35689A</v>
      </c>
      <c r="N283" s="13"/>
      <c r="O283" s="13" t="str">
        <f aca="false">IFERROR(__xludf.dummyfunction("""COMPUTED_VALUE"""),"taufeeq.akhtar@tajir-app.com")</f>
        <v>taufeeq.akhtar@tajir-app.com</v>
      </c>
      <c r="P283" s="13" t="str">
        <f aca="false">IFERROR(__xludf.dummyfunction("""COMPUTED_VALUE"""),"Taufeeq Akhtar ")</f>
        <v>Taufeeq Akhtar </v>
      </c>
      <c r="Q283" s="13" t="str">
        <f aca="false">IF(L283="","",L283)</f>
        <v>[Code: 35689A] TA:Found in Loose condition during sorting.</v>
      </c>
    </row>
    <row r="284" customFormat="false" ht="15.75" hidden="false" customHeight="false" outlineLevel="0" collapsed="false">
      <c r="A284" s="13" t="str">
        <f aca="false">IFERROR(__xludf.dummyfunction("""COMPUTED_VALUE"""),"Metro DC Faisalabad")</f>
        <v>Metro DC Faisalabad</v>
      </c>
      <c r="B284" s="13" t="str">
        <f aca="false">IFERROR(__xludf.dummyfunction("""COMPUTED_VALUE"""),"2464bc36-bd09-4b59-a2c1-77ffe8e9f91e")</f>
        <v>2464bc36-bd09-4b59-a2c1-77ffe8e9f91e</v>
      </c>
      <c r="C284" s="13" t="str">
        <f aca="false">IFERROR(__xludf.dummyfunction("""COMPUTED_VALUE"""),"Knorr Noodles Chatpatta x12 Bundle 31g (Red) Rs40")</f>
        <v>Knorr Noodles Chatpatta x12 Bundle 31g (Red) Rs40</v>
      </c>
      <c r="D284" s="13" t="str">
        <f aca="false">IFERROR(__xludf.dummyfunction("""COMPUTED_VALUE"""),"Knorr")</f>
        <v>Knorr</v>
      </c>
      <c r="E284" s="13" t="str">
        <f aca="false">IFERROR(__xludf.dummyfunction("""COMPUTED_VALUE"""),"Snacks")</f>
        <v>Snacks</v>
      </c>
      <c r="F284" s="11" t="n">
        <f aca="false">IFERROR(__xludf.dummyfunction("""COMPUTED_VALUE"""),45104)</f>
        <v>45104</v>
      </c>
      <c r="G284" s="16" t="n">
        <f aca="false">IFERROR(__xludf.dummyfunction("""COMPUTED_VALUE"""),0.00740525463045424)</f>
        <v>0.00740525463</v>
      </c>
      <c r="H284" s="13" t="str">
        <f aca="false">IFERROR(__xludf.dummyfunction("""COMPUTED_VALUE"""),"missing stock")</f>
        <v>missing stock</v>
      </c>
      <c r="I284" s="13" t="n">
        <f aca="false">IFERROR(__xludf.dummyfunction("""COMPUTED_VALUE"""),32)</f>
        <v>32</v>
      </c>
      <c r="J284" s="13" t="n">
        <f aca="false">IFERROR(__xludf.dummyfunction("""COMPUTED_VALUE"""),428.4)</f>
        <v>428.4</v>
      </c>
      <c r="K284" s="13" t="n">
        <f aca="false">IFERROR(__xludf.dummyfunction("""COMPUTED_VALUE"""),13708.8)</f>
        <v>13708.8</v>
      </c>
      <c r="L284" s="13" t="str">
        <f aca="false">IFERROR(__xludf.dummyfunction("""COMPUTED_VALUE"""),"TA:Not Available on floor.")</f>
        <v>TA:Not Available on floor.</v>
      </c>
      <c r="M284" s="13"/>
      <c r="N284" s="13"/>
      <c r="O284" s="13" t="str">
        <f aca="false">IFERROR(__xludf.dummyfunction("""COMPUTED_VALUE"""),"taufeeq.akhtar@tajir-app.com")</f>
        <v>taufeeq.akhtar@tajir-app.com</v>
      </c>
      <c r="P284" s="13" t="str">
        <f aca="false">IFERROR(__xludf.dummyfunction("""COMPUTED_VALUE"""),"Taufeeq Akhtar ")</f>
        <v>Taufeeq Akhtar </v>
      </c>
      <c r="Q284" s="13" t="str">
        <f aca="false">IF(L284="","",L284)</f>
        <v>TA:Not Available on floor.</v>
      </c>
    </row>
    <row r="285" customFormat="false" ht="15.75" hidden="false" customHeight="false" outlineLevel="0" collapsed="false">
      <c r="A285" s="13" t="str">
        <f aca="false">IFERROR(__xludf.dummyfunction("""COMPUTED_VALUE"""),"Metro DC Faisalabad")</f>
        <v>Metro DC Faisalabad</v>
      </c>
      <c r="B285" s="13" t="str">
        <f aca="false">IFERROR(__xludf.dummyfunction("""COMPUTED_VALUE"""),"6afa406d-5fa6-42ea-a697-9b99ff3ba267")</f>
        <v>6afa406d-5fa6-42ea-a697-9b99ff3ba267</v>
      </c>
      <c r="C285" s="13" t="str">
        <f aca="false">IFERROR(__xludf.dummyfunction("""COMPUTED_VALUE"""),"Sprite plastic 1L")</f>
        <v>Sprite plastic 1L</v>
      </c>
      <c r="D285" s="13" t="str">
        <f aca="false">IFERROR(__xludf.dummyfunction("""COMPUTED_VALUE"""),"Sprite")</f>
        <v>Sprite</v>
      </c>
      <c r="E285" s="13" t="str">
        <f aca="false">IFERROR(__xludf.dummyfunction("""COMPUTED_VALUE"""),"Beverages")</f>
        <v>Beverages</v>
      </c>
      <c r="F285" s="11" t="n">
        <f aca="false">IFERROR(__xludf.dummyfunction("""COMPUTED_VALUE"""),45105)</f>
        <v>45105</v>
      </c>
      <c r="G285" s="16" t="n">
        <f aca="false">IFERROR(__xludf.dummyfunction("""COMPUTED_VALUE"""),0.0932780324056181)</f>
        <v>0.09327803241</v>
      </c>
      <c r="H285" s="13" t="str">
        <f aca="false">IFERROR(__xludf.dummyfunction("""COMPUTED_VALUE"""),"damaged stock")</f>
        <v>damaged stock</v>
      </c>
      <c r="I285" s="13" t="n">
        <f aca="false">IFERROR(__xludf.dummyfunction("""COMPUTED_VALUE"""),1)</f>
        <v>1</v>
      </c>
      <c r="J285" s="13" t="n">
        <f aca="false">IFERROR(__xludf.dummyfunction("""COMPUTED_VALUE"""),672)</f>
        <v>672</v>
      </c>
      <c r="K285" s="13" t="n">
        <f aca="false">IFERROR(__xludf.dummyfunction("""COMPUTED_VALUE"""),672)</f>
        <v>672</v>
      </c>
      <c r="L285" s="13" t="str">
        <f aca="false">IFERROR(__xludf.dummyfunction("""COMPUTED_VALUE"""),"[Code: 44667A] TA: 1 unit Damage found (stock sy lose bottel mili hain )")</f>
        <v>[Code: 44667A] TA: 1 unit Damage found (stock sy lose bottel mili hain )</v>
      </c>
      <c r="M285" s="13" t="str">
        <f aca="false">IFERROR(__xludf.dummyfunction("""COMPUTED_VALUE"""),"44667A")</f>
        <v>44667A</v>
      </c>
      <c r="N285" s="13"/>
      <c r="O285" s="13" t="str">
        <f aca="false">IFERROR(__xludf.dummyfunction("""COMPUTED_VALUE"""),"taufeeq.akhtar@tajir-app.com")</f>
        <v>taufeeq.akhtar@tajir-app.com</v>
      </c>
      <c r="P285" s="13" t="str">
        <f aca="false">IFERROR(__xludf.dummyfunction("""COMPUTED_VALUE"""),"Taufeeq Akhtar ")</f>
        <v>Taufeeq Akhtar </v>
      </c>
      <c r="Q285" s="13" t="str">
        <f aca="false">IF(L285="","",L285)</f>
        <v>[Code: 44667A] TA: 1 unit Damage found (stock sy lose bottel mili hain )</v>
      </c>
    </row>
    <row r="286" customFormat="false" ht="15.75" hidden="false" customHeight="false" outlineLevel="0" collapsed="false">
      <c r="A286" s="13" t="str">
        <f aca="false">IFERROR(__xludf.dummyfunction("""COMPUTED_VALUE"""),"Metro DC Faisalabad")</f>
        <v>Metro DC Faisalabad</v>
      </c>
      <c r="B286" s="13" t="str">
        <f aca="false">IFERROR(__xludf.dummyfunction("""COMPUTED_VALUE"""),"9c395894-35c2-4217-9eff-b0a22e04c2d1")</f>
        <v>9c395894-35c2-4217-9eff-b0a22e04c2d1</v>
      </c>
      <c r="C286" s="13" t="str">
        <f aca="false">IFERROR(__xludf.dummyfunction("""COMPUTED_VALUE"""),"Coca Cola plastic 2.25L (Jumbo)")</f>
        <v>Coca Cola plastic 2.25L (Jumbo)</v>
      </c>
      <c r="D286" s="13" t="str">
        <f aca="false">IFERROR(__xludf.dummyfunction("""COMPUTED_VALUE"""),"Coca Cola")</f>
        <v>Coca Cola</v>
      </c>
      <c r="E286" s="13" t="str">
        <f aca="false">IFERROR(__xludf.dummyfunction("""COMPUTED_VALUE"""),"Beverages")</f>
        <v>Beverages</v>
      </c>
      <c r="F286" s="11" t="n">
        <f aca="false">IFERROR(__xludf.dummyfunction("""COMPUTED_VALUE"""),45105)</f>
        <v>45105</v>
      </c>
      <c r="G286" s="16" t="n">
        <f aca="false">IFERROR(__xludf.dummyfunction("""COMPUTED_VALUE"""),0.0925543287024479)</f>
        <v>0.0925543287</v>
      </c>
      <c r="H286" s="13" t="str">
        <f aca="false">IFERROR(__xludf.dummyfunction("""COMPUTED_VALUE"""),"damaged stock")</f>
        <v>damaged stock</v>
      </c>
      <c r="I286" s="13" t="n">
        <f aca="false">IFERROR(__xludf.dummyfunction("""COMPUTED_VALUE"""),1)</f>
        <v>1</v>
      </c>
      <c r="J286" s="13" t="n">
        <f aca="false">IFERROR(__xludf.dummyfunction("""COMPUTED_VALUE"""),1196)</f>
        <v>1196</v>
      </c>
      <c r="K286" s="13" t="n">
        <f aca="false">IFERROR(__xludf.dummyfunction("""COMPUTED_VALUE"""),1196)</f>
        <v>1196</v>
      </c>
      <c r="L286" s="13" t="str">
        <f aca="false">IFERROR(__xludf.dummyfunction("""COMPUTED_VALUE"""),"[Code: 555566] TA: 1 unit Damage found (stock sy lose bottel mili hain")</f>
        <v>[Code: 555566] TA: 1 unit Damage found (stock sy lose bottel mili hain</v>
      </c>
      <c r="M286" s="13" t="str">
        <f aca="false">IFERROR(__xludf.dummyfunction("""COMPUTED_VALUE"""),"555566")</f>
        <v>555566</v>
      </c>
      <c r="N286" s="13"/>
      <c r="O286" s="13" t="str">
        <f aca="false">IFERROR(__xludf.dummyfunction("""COMPUTED_VALUE"""),"taufeeq.akhtar@tajir-app.com")</f>
        <v>taufeeq.akhtar@tajir-app.com</v>
      </c>
      <c r="P286" s="13" t="str">
        <f aca="false">IFERROR(__xludf.dummyfunction("""COMPUTED_VALUE"""),"Taufeeq Akhtar ")</f>
        <v>Taufeeq Akhtar </v>
      </c>
      <c r="Q286" s="13" t="str">
        <f aca="false">IF(L286="","",L286)</f>
        <v>[Code: 555566] TA: 1 unit Damage found (stock sy lose bottel mili hain</v>
      </c>
    </row>
    <row r="287" customFormat="false" ht="15.75" hidden="false" customHeight="false" outlineLevel="0" collapsed="false">
      <c r="A287" s="13" t="str">
        <f aca="false">IFERROR(__xludf.dummyfunction("""COMPUTED_VALUE"""),"Metro DC Faisalabad")</f>
        <v>Metro DC Faisalabad</v>
      </c>
      <c r="B287" s="13" t="str">
        <f aca="false">IFERROR(__xludf.dummyfunction("""COMPUTED_VALUE"""),"fad25572-0a15-41d0-8d58-dacc5ffc316c")</f>
        <v>fad25572-0a15-41d0-8d58-dacc5ffc316c</v>
      </c>
      <c r="C287" s="13" t="str">
        <f aca="false">IFERROR(__xludf.dummyfunction("""COMPUTED_VALUE"""),"National Mango Jam 200g")</f>
        <v>National Mango Jam 200g</v>
      </c>
      <c r="D287" s="13" t="str">
        <f aca="false">IFERROR(__xludf.dummyfunction("""COMPUTED_VALUE"""),"National")</f>
        <v>National</v>
      </c>
      <c r="E287" s="13" t="str">
        <f aca="false">IFERROR(__xludf.dummyfunction("""COMPUTED_VALUE"""),"Grocery")</f>
        <v>Grocery</v>
      </c>
      <c r="F287" s="11" t="n">
        <f aca="false">IFERROR(__xludf.dummyfunction("""COMPUTED_VALUE"""),45105)</f>
        <v>45105</v>
      </c>
      <c r="G287" s="16" t="n">
        <f aca="false">IFERROR(__xludf.dummyfunction("""COMPUTED_VALUE"""),0.0555539467593832)</f>
        <v>0.05555394676</v>
      </c>
      <c r="H287" s="13" t="str">
        <f aca="false">IFERROR(__xludf.dummyfunction("""COMPUTED_VALUE"""),"damaged stock")</f>
        <v>damaged stock</v>
      </c>
      <c r="I287" s="13" t="n">
        <f aca="false">IFERROR(__xludf.dummyfunction("""COMPUTED_VALUE"""),1)</f>
        <v>1</v>
      </c>
      <c r="J287" s="13" t="n">
        <f aca="false">IFERROR(__xludf.dummyfunction("""COMPUTED_VALUE"""),142.08)</f>
        <v>142.08</v>
      </c>
      <c r="K287" s="13" t="n">
        <f aca="false">IFERROR(__xludf.dummyfunction("""COMPUTED_VALUE"""),142.08)</f>
        <v>142.08</v>
      </c>
      <c r="L287" s="13" t="str">
        <f aca="false">IFERROR(__xludf.dummyfunction("""COMPUTED_VALUE"""),"[Code: 24ADEF] TA: Box May say damaged nikla.")</f>
        <v>[Code: 24ADEF] TA: Box May say damaged nikla.</v>
      </c>
      <c r="M287" s="13" t="str">
        <f aca="false">IFERROR(__xludf.dummyfunction("""COMPUTED_VALUE"""),"24ADEF")</f>
        <v>24ADEF</v>
      </c>
      <c r="N287" s="13"/>
      <c r="O287" s="13" t="str">
        <f aca="false">IFERROR(__xludf.dummyfunction("""COMPUTED_VALUE"""),"taufeeq.akhtar@tajir-app.com")</f>
        <v>taufeeq.akhtar@tajir-app.com</v>
      </c>
      <c r="P287" s="13" t="str">
        <f aca="false">IFERROR(__xludf.dummyfunction("""COMPUTED_VALUE"""),"Taufeeq Akhtar ")</f>
        <v>Taufeeq Akhtar </v>
      </c>
      <c r="Q287" s="13" t="str">
        <f aca="false">IF(L287="","",L287)</f>
        <v>[Code: 24ADEF] TA: Box May say damaged nikla.</v>
      </c>
    </row>
    <row r="288" customFormat="false" ht="15.75" hidden="false" customHeight="false" outlineLevel="0" collapsed="false">
      <c r="A288" s="13" t="str">
        <f aca="false">IFERROR(__xludf.dummyfunction("""COMPUTED_VALUE"""),"Metro DC Faisalabad")</f>
        <v>Metro DC Faisalabad</v>
      </c>
      <c r="B288" s="13" t="str">
        <f aca="false">IFERROR(__xludf.dummyfunction("""COMPUTED_VALUE"""),"fad25572-0a15-41d0-8d58-dacc5ffc316c")</f>
        <v>fad25572-0a15-41d0-8d58-dacc5ffc316c</v>
      </c>
      <c r="C288" s="13" t="str">
        <f aca="false">IFERROR(__xludf.dummyfunction("""COMPUTED_VALUE"""),"National Mango Jam 200g")</f>
        <v>National Mango Jam 200g</v>
      </c>
      <c r="D288" s="13" t="str">
        <f aca="false">IFERROR(__xludf.dummyfunction("""COMPUTED_VALUE"""),"National")</f>
        <v>National</v>
      </c>
      <c r="E288" s="13" t="str">
        <f aca="false">IFERROR(__xludf.dummyfunction("""COMPUTED_VALUE"""),"Grocery")</f>
        <v>Grocery</v>
      </c>
      <c r="F288" s="11" t="n">
        <f aca="false">IFERROR(__xludf.dummyfunction("""COMPUTED_VALUE"""),45105)</f>
        <v>45105</v>
      </c>
      <c r="G288" s="16" t="n">
        <f aca="false">IFERROR(__xludf.dummyfunction("""COMPUTED_VALUE"""),0.053315740742557)</f>
        <v>0.05331574074</v>
      </c>
      <c r="H288" s="13" t="str">
        <f aca="false">IFERROR(__xludf.dummyfunction("""COMPUTED_VALUE"""),"damaged stock")</f>
        <v>damaged stock</v>
      </c>
      <c r="I288" s="13" t="n">
        <f aca="false">IFERROR(__xludf.dummyfunction("""COMPUTED_VALUE"""),1)</f>
        <v>1</v>
      </c>
      <c r="J288" s="13" t="n">
        <f aca="false">IFERROR(__xludf.dummyfunction("""COMPUTED_VALUE"""),142.08)</f>
        <v>142.08</v>
      </c>
      <c r="K288" s="13" t="n">
        <f aca="false">IFERROR(__xludf.dummyfunction("""COMPUTED_VALUE"""),142.08)</f>
        <v>142.08</v>
      </c>
      <c r="L288" s="13" t="str">
        <f aca="false">IFERROR(__xludf.dummyfunction("""COMPUTED_VALUE"""),"[Code: 44AACD] TA: box may say damage nikla display krtay waqt.")</f>
        <v>[Code: 44AACD] TA: box may say damage nikla display krtay waqt.</v>
      </c>
      <c r="M288" s="13" t="str">
        <f aca="false">IFERROR(__xludf.dummyfunction("""COMPUTED_VALUE"""),"44AACD")</f>
        <v>44AACD</v>
      </c>
      <c r="N288" s="13"/>
      <c r="O288" s="13" t="str">
        <f aca="false">IFERROR(__xludf.dummyfunction("""COMPUTED_VALUE"""),"taufeeq.akhtar@tajir-app.com")</f>
        <v>taufeeq.akhtar@tajir-app.com</v>
      </c>
      <c r="P288" s="13" t="str">
        <f aca="false">IFERROR(__xludf.dummyfunction("""COMPUTED_VALUE"""),"Taufeeq Akhtar ")</f>
        <v>Taufeeq Akhtar </v>
      </c>
      <c r="Q288" s="13" t="str">
        <f aca="false">IF(L288="","",L288)</f>
        <v>[Code: 44AACD] TA: box may say damage nikla display krtay waqt.</v>
      </c>
    </row>
    <row r="289" customFormat="false" ht="15.75" hidden="false" customHeight="false" outlineLevel="0" collapsed="false">
      <c r="A289" s="13" t="str">
        <f aca="false">IFERROR(__xludf.dummyfunction("""COMPUTED_VALUE"""),"Metro DC Faisalabad")</f>
        <v>Metro DC Faisalabad</v>
      </c>
      <c r="B289" s="13" t="str">
        <f aca="false">IFERROR(__xludf.dummyfunction("""COMPUTED_VALUE"""),"43f4f41f-1e01-4a55-af90-dda61b167f55")</f>
        <v>43f4f41f-1e01-4a55-af90-dda61b167f55</v>
      </c>
      <c r="C289" s="13" t="str">
        <f aca="false">IFERROR(__xludf.dummyfunction("""COMPUTED_VALUE"""),"National Mixed Fruit Jam 440g")</f>
        <v>National Mixed Fruit Jam 440g</v>
      </c>
      <c r="D289" s="13" t="str">
        <f aca="false">IFERROR(__xludf.dummyfunction("""COMPUTED_VALUE"""),"National")</f>
        <v>National</v>
      </c>
      <c r="E289" s="13" t="str">
        <f aca="false">IFERROR(__xludf.dummyfunction("""COMPUTED_VALUE"""),"Grocery")</f>
        <v>Grocery</v>
      </c>
      <c r="F289" s="11" t="n">
        <f aca="false">IFERROR(__xludf.dummyfunction("""COMPUTED_VALUE"""),45109)</f>
        <v>45109</v>
      </c>
      <c r="G289" s="16" t="n">
        <f aca="false">IFERROR(__xludf.dummyfunction("""COMPUTED_VALUE"""),0.918009791665222)</f>
        <v>0.9180097917</v>
      </c>
      <c r="H289" s="13" t="str">
        <f aca="false">IFERROR(__xludf.dummyfunction("""COMPUTED_VALUE"""),"damaged stock")</f>
        <v>damaged stock</v>
      </c>
      <c r="I289" s="13" t="n">
        <f aca="false">IFERROR(__xludf.dummyfunction("""COMPUTED_VALUE"""),1)</f>
        <v>1</v>
      </c>
      <c r="J289" s="13" t="n">
        <f aca="false">IFERROR(__xludf.dummyfunction("""COMPUTED_VALUE"""),242.5)</f>
        <v>242.5</v>
      </c>
      <c r="K289" s="13" t="n">
        <f aca="false">IFERROR(__xludf.dummyfunction("""COMPUTED_VALUE"""),242.5)</f>
        <v>242.5</v>
      </c>
      <c r="L289" s="13" t="str">
        <f aca="false">IFERROR(__xludf.dummyfunction("""COMPUTED_VALUE"""),"[Code: 249BBB] TA:Dispaly krtay waqt box may say damaged nikla(Company end issue)")</f>
        <v>[Code: 249BBB] TA:Dispaly krtay waqt box may say damaged nikla(Company end issue)</v>
      </c>
      <c r="M289" s="13" t="str">
        <f aca="false">IFERROR(__xludf.dummyfunction("""COMPUTED_VALUE"""),"249BBB")</f>
        <v>249BBB</v>
      </c>
      <c r="N289" s="13"/>
      <c r="O289" s="13" t="str">
        <f aca="false">IFERROR(__xludf.dummyfunction("""COMPUTED_VALUE"""),"taufeeq.akhtar@tajir-app.com")</f>
        <v>taufeeq.akhtar@tajir-app.com</v>
      </c>
      <c r="P289" s="13" t="str">
        <f aca="false">IFERROR(__xludf.dummyfunction("""COMPUTED_VALUE"""),"Taufeeq Akhtar ")</f>
        <v>Taufeeq Akhtar </v>
      </c>
      <c r="Q289" s="13" t="str">
        <f aca="false">IF(L289="","",L289)</f>
        <v>[Code: 249BBB] TA:Dispaly krtay waqt box may say damaged nikla(Company end issue)</v>
      </c>
    </row>
    <row r="290" customFormat="false" ht="15.75" hidden="false" customHeight="false" outlineLevel="0" collapsed="false">
      <c r="A290" s="13" t="str">
        <f aca="false">IFERROR(__xludf.dummyfunction("""COMPUTED_VALUE"""),"Metro DC Faisalabad")</f>
        <v>Metro DC Faisalabad</v>
      </c>
      <c r="B290" s="13" t="str">
        <f aca="false">IFERROR(__xludf.dummyfunction("""COMPUTED_VALUE"""),"d63ab6cc-42d2-4109-b73f-680b703c1db4")</f>
        <v>d63ab6cc-42d2-4109-b73f-680b703c1db4</v>
      </c>
      <c r="C290" s="13" t="str">
        <f aca="false">IFERROR(__xludf.dummyfunction("""COMPUTED_VALUE"""),"Ariel Original Surf 500g Rs325")</f>
        <v>Ariel Original Surf 500g Rs325</v>
      </c>
      <c r="D290" s="13" t="str">
        <f aca="false">IFERROR(__xludf.dummyfunction("""COMPUTED_VALUE"""),"Ariel Surf")</f>
        <v>Ariel Surf</v>
      </c>
      <c r="E290" s="13" t="str">
        <f aca="false">IFERROR(__xludf.dummyfunction("""COMPUTED_VALUE"""),"Surf, Bleach")</f>
        <v>Surf, Bleach</v>
      </c>
      <c r="F290" s="11" t="n">
        <f aca="false">IFERROR(__xludf.dummyfunction("""COMPUTED_VALUE"""),45110)</f>
        <v>45110</v>
      </c>
      <c r="G290" s="16" t="n">
        <f aca="false">IFERROR(__xludf.dummyfunction("""COMPUTED_VALUE"""),0.875133402778435)</f>
        <v>0.8751334028</v>
      </c>
      <c r="H290" s="13" t="str">
        <f aca="false">IFERROR(__xludf.dummyfunction("""COMPUTED_VALUE"""),"damaged stock")</f>
        <v>damaged stock</v>
      </c>
      <c r="I290" s="13" t="n">
        <f aca="false">IFERROR(__xludf.dummyfunction("""COMPUTED_VALUE"""),1)</f>
        <v>1</v>
      </c>
      <c r="J290" s="13" t="n">
        <f aca="false">IFERROR(__xludf.dummyfunction("""COMPUTED_VALUE"""),289.5)</f>
        <v>289.5</v>
      </c>
      <c r="K290" s="13" t="n">
        <f aca="false">IFERROR(__xludf.dummyfunction("""COMPUTED_VALUE"""),289.5)</f>
        <v>289.5</v>
      </c>
      <c r="L290" s="13" t="str">
        <f aca="false">IFERROR(__xludf.dummyfunction("""COMPUTED_VALUE"""),"[Code: 234789] TA: box may say damaged nikla ")</f>
        <v>[Code: 234789] TA: box may say damaged nikla </v>
      </c>
      <c r="M290" s="13" t="str">
        <f aca="false">IFERROR(__xludf.dummyfunction("""COMPUTED_VALUE"""),"234789")</f>
        <v>234789</v>
      </c>
      <c r="N290" s="13"/>
      <c r="O290" s="13" t="str">
        <f aca="false">IFERROR(__xludf.dummyfunction("""COMPUTED_VALUE"""),"taufeeq.akhtar@tajir-app.com")</f>
        <v>taufeeq.akhtar@tajir-app.com</v>
      </c>
      <c r="P290" s="13" t="str">
        <f aca="false">IFERROR(__xludf.dummyfunction("""COMPUTED_VALUE"""),"Taufeeq Akhtar ")</f>
        <v>Taufeeq Akhtar </v>
      </c>
      <c r="Q290" s="13" t="str">
        <f aca="false">IF(L290="","",L290)</f>
        <v>[Code: 234789] TA: box may say damaged nikla </v>
      </c>
    </row>
    <row r="291" customFormat="false" ht="15.75" hidden="false" customHeight="false" outlineLevel="0" collapsed="false">
      <c r="A291" s="13" t="str">
        <f aca="false">IFERROR(__xludf.dummyfunction("""COMPUTED_VALUE"""),"Metro DC Faisalabad")</f>
        <v>Metro DC Faisalabad</v>
      </c>
      <c r="B291" s="13" t="str">
        <f aca="false">IFERROR(__xludf.dummyfunction("""COMPUTED_VALUE"""),"399be4c6-65e9-4f9f-96f8-5dd01114c885")</f>
        <v>399be4c6-65e9-4f9f-96f8-5dd01114c885</v>
      </c>
      <c r="C291" s="13" t="str">
        <f aca="false">IFERROR(__xludf.dummyfunction("""COMPUTED_VALUE"""),"Express power 1kg Rs450")</f>
        <v>Express power 1kg Rs450</v>
      </c>
      <c r="D291" s="13" t="str">
        <f aca="false">IFERROR(__xludf.dummyfunction("""COMPUTED_VALUE"""),"Express Surf")</f>
        <v>Express Surf</v>
      </c>
      <c r="E291" s="13" t="str">
        <f aca="false">IFERROR(__xludf.dummyfunction("""COMPUTED_VALUE"""),"Surf, Bleach")</f>
        <v>Surf, Bleach</v>
      </c>
      <c r="F291" s="11" t="n">
        <f aca="false">IFERROR(__xludf.dummyfunction("""COMPUTED_VALUE"""),45110)</f>
        <v>45110</v>
      </c>
      <c r="G291" s="16" t="n">
        <f aca="false">IFERROR(__xludf.dummyfunction("""COMPUTED_VALUE"""),0.870953784721144)</f>
        <v>0.8709537847</v>
      </c>
      <c r="H291" s="13" t="str">
        <f aca="false">IFERROR(__xludf.dummyfunction("""COMPUTED_VALUE"""),"damaged stock")</f>
        <v>damaged stock</v>
      </c>
      <c r="I291" s="13" t="n">
        <f aca="false">IFERROR(__xludf.dummyfunction("""COMPUTED_VALUE"""),2)</f>
        <v>2</v>
      </c>
      <c r="J291" s="13" t="n">
        <f aca="false">IFERROR(__xludf.dummyfunction("""COMPUTED_VALUE"""),399.79)</f>
        <v>399.79</v>
      </c>
      <c r="K291" s="13" t="n">
        <f aca="false">IFERROR(__xludf.dummyfunction("""COMPUTED_VALUE"""),799.58)</f>
        <v>799.58</v>
      </c>
      <c r="L291" s="13" t="str">
        <f aca="false">IFERROR(__xludf.dummyfunction("""COMPUTED_VALUE"""),"[Code: 37AFFH] TA: box may say damaged nikla .")</f>
        <v>[Code: 37AFFH] TA: box may say damaged nikla .</v>
      </c>
      <c r="M291" s="13" t="str">
        <f aca="false">IFERROR(__xludf.dummyfunction("""COMPUTED_VALUE"""),"37AFFH")</f>
        <v>37AFFH</v>
      </c>
      <c r="N291" s="13"/>
      <c r="O291" s="13" t="str">
        <f aca="false">IFERROR(__xludf.dummyfunction("""COMPUTED_VALUE"""),"taufeeq.akhtar@tajir-app.com")</f>
        <v>taufeeq.akhtar@tajir-app.com</v>
      </c>
      <c r="P291" s="13" t="str">
        <f aca="false">IFERROR(__xludf.dummyfunction("""COMPUTED_VALUE"""),"Taufeeq Akhtar ")</f>
        <v>Taufeeq Akhtar </v>
      </c>
      <c r="Q291" s="13" t="str">
        <f aca="false">IF(L291="","",L291)</f>
        <v>[Code: 37AFFH] TA: box may say damaged nikla .</v>
      </c>
    </row>
    <row r="292" customFormat="false" ht="15.75" hidden="false" customHeight="false" outlineLevel="0" collapsed="false">
      <c r="A292" s="13" t="str">
        <f aca="false">IFERROR(__xludf.dummyfunction("""COMPUTED_VALUE"""),"Metro DC Faisalabad")</f>
        <v>Metro DC Faisalabad</v>
      </c>
      <c r="B292" s="13" t="str">
        <f aca="false">IFERROR(__xludf.dummyfunction("""COMPUTED_VALUE"""),"fe1e8ada-86a8-4ffb-aca1-c0717a4122d2")</f>
        <v>fe1e8ada-86a8-4ffb-aca1-c0717a4122d2</v>
      </c>
      <c r="C292" s="13" t="str">
        <f aca="false">IFERROR(__xludf.dummyfunction("""COMPUTED_VALUE"""),"Super Blue Liquid 150ml")</f>
        <v>Super Blue Liquid 150ml</v>
      </c>
      <c r="D292" s="13" t="str">
        <f aca="false">IFERROR(__xludf.dummyfunction("""COMPUTED_VALUE"""),"Super")</f>
        <v>Super</v>
      </c>
      <c r="E292" s="13" t="str">
        <f aca="false">IFERROR(__xludf.dummyfunction("""COMPUTED_VALUE"""),"Surf, Bleach")</f>
        <v>Surf, Bleach</v>
      </c>
      <c r="F292" s="11" t="n">
        <f aca="false">IFERROR(__xludf.dummyfunction("""COMPUTED_VALUE"""),45110)</f>
        <v>45110</v>
      </c>
      <c r="G292" s="16" t="n">
        <f aca="false">IFERROR(__xludf.dummyfunction("""COMPUTED_VALUE"""),0.868793599535695)</f>
        <v>0.8687935995</v>
      </c>
      <c r="H292" s="13" t="str">
        <f aca="false">IFERROR(__xludf.dummyfunction("""COMPUTED_VALUE"""),"damaged stock")</f>
        <v>damaged stock</v>
      </c>
      <c r="I292" s="13" t="n">
        <f aca="false">IFERROR(__xludf.dummyfunction("""COMPUTED_VALUE"""),1)</f>
        <v>1</v>
      </c>
      <c r="J292" s="13" t="n">
        <f aca="false">IFERROR(__xludf.dummyfunction("""COMPUTED_VALUE"""),119)</f>
        <v>119</v>
      </c>
      <c r="K292" s="13" t="n">
        <f aca="false">IFERROR(__xludf.dummyfunction("""COMPUTED_VALUE"""),119)</f>
        <v>119</v>
      </c>
      <c r="L292" s="13" t="str">
        <f aca="false">IFERROR(__xludf.dummyfunction("""COMPUTED_VALUE"""),"[Code: 334469] TA: BOX may sayy damaged nikla.")</f>
        <v>[Code: 334469] TA: BOX may sayy damaged nikla.</v>
      </c>
      <c r="M292" s="13" t="str">
        <f aca="false">IFERROR(__xludf.dummyfunction("""COMPUTED_VALUE"""),"334469")</f>
        <v>334469</v>
      </c>
      <c r="N292" s="13"/>
      <c r="O292" s="13" t="str">
        <f aca="false">IFERROR(__xludf.dummyfunction("""COMPUTED_VALUE"""),"taufeeq.akhtar@tajir-app.com")</f>
        <v>taufeeq.akhtar@tajir-app.com</v>
      </c>
      <c r="P292" s="13" t="str">
        <f aca="false">IFERROR(__xludf.dummyfunction("""COMPUTED_VALUE"""),"Taufeeq Akhtar ")</f>
        <v>Taufeeq Akhtar </v>
      </c>
      <c r="Q292" s="13" t="str">
        <f aca="false">IF(L292="","",L292)</f>
        <v>[Code: 334469] TA: BOX may sayy damaged nikla.</v>
      </c>
    </row>
    <row r="293" customFormat="false" ht="15.75" hidden="false" customHeight="false" outlineLevel="0" collapsed="false">
      <c r="A293" s="13" t="str">
        <f aca="false">IFERROR(__xludf.dummyfunction("""COMPUTED_VALUE"""),"Metro DC Faisalabad")</f>
        <v>Metro DC Faisalabad</v>
      </c>
      <c r="B293" s="13" t="str">
        <f aca="false">IFERROR(__xludf.dummyfunction("""COMPUTED_VALUE"""),"e9c0a6e9-1dec-4df5-baa2-e4de53214163")</f>
        <v>e9c0a6e9-1dec-4df5-baa2-e4de53214163</v>
      </c>
      <c r="C293" s="13" t="str">
        <f aca="false">IFERROR(__xludf.dummyfunction("""COMPUTED_VALUE"""),"Head and Shoulders Classic Clean Shampoo 75ml Rs220")</f>
        <v>Head and Shoulders Classic Clean Shampoo 75ml Rs220</v>
      </c>
      <c r="D293" s="13" t="str">
        <f aca="false">IFERROR(__xludf.dummyfunction("""COMPUTED_VALUE"""),"Head and Shoulders")</f>
        <v>Head and Shoulders</v>
      </c>
      <c r="E293" s="13" t="str">
        <f aca="false">IFERROR(__xludf.dummyfunction("""COMPUTED_VALUE"""),"Shampoo")</f>
        <v>Shampoo</v>
      </c>
      <c r="F293" s="11" t="n">
        <f aca="false">IFERROR(__xludf.dummyfunction("""COMPUTED_VALUE"""),45110)</f>
        <v>45110</v>
      </c>
      <c r="G293" s="16" t="n">
        <f aca="false">IFERROR(__xludf.dummyfunction("""COMPUTED_VALUE"""),0.862046087963152)</f>
        <v>0.862046088</v>
      </c>
      <c r="H293" s="13" t="str">
        <f aca="false">IFERROR(__xludf.dummyfunction("""COMPUTED_VALUE"""),"damaged stock")</f>
        <v>damaged stock</v>
      </c>
      <c r="I293" s="13" t="n">
        <f aca="false">IFERROR(__xludf.dummyfunction("""COMPUTED_VALUE"""),1)</f>
        <v>1</v>
      </c>
      <c r="J293" s="13" t="n">
        <f aca="false">IFERROR(__xludf.dummyfunction("""COMPUTED_VALUE"""),189.3)</f>
        <v>189.3</v>
      </c>
      <c r="K293" s="13" t="n">
        <f aca="false">IFERROR(__xludf.dummyfunction("""COMPUTED_VALUE"""),189.3)</f>
        <v>189.3</v>
      </c>
      <c r="L293" s="13" t="str">
        <f aca="false">IFERROR(__xludf.dummyfunction("""COMPUTED_VALUE"""),"[Code: 335556] TA:BOx may say damaged nikla display krtay waqt.")</f>
        <v>[Code: 335556] TA:BOx may say damaged nikla display krtay waqt.</v>
      </c>
      <c r="M293" s="13" t="str">
        <f aca="false">IFERROR(__xludf.dummyfunction("""COMPUTED_VALUE"""),"335556")</f>
        <v>335556</v>
      </c>
      <c r="N293" s="13"/>
      <c r="O293" s="13" t="str">
        <f aca="false">IFERROR(__xludf.dummyfunction("""COMPUTED_VALUE"""),"taufeeq.akhtar@tajir-app.com")</f>
        <v>taufeeq.akhtar@tajir-app.com</v>
      </c>
      <c r="P293" s="13" t="str">
        <f aca="false">IFERROR(__xludf.dummyfunction("""COMPUTED_VALUE"""),"Taufeeq Akhtar ")</f>
        <v>Taufeeq Akhtar </v>
      </c>
      <c r="Q293" s="13" t="str">
        <f aca="false">IF(L293="","",L293)</f>
        <v>[Code: 335556] TA:BOx may say damaged nikla display krtay waqt.</v>
      </c>
    </row>
    <row r="294" customFormat="false" ht="15.75" hidden="false" customHeight="false" outlineLevel="0" collapsed="false">
      <c r="A294" s="13" t="str">
        <f aca="false">IFERROR(__xludf.dummyfunction("""COMPUTED_VALUE"""),"Metro DC Faisalabad")</f>
        <v>Metro DC Faisalabad</v>
      </c>
      <c r="B294" s="13" t="str">
        <f aca="false">IFERROR(__xludf.dummyfunction("""COMPUTED_VALUE"""),"9c395894-35c2-4217-9eff-b0a22e04c2d1")</f>
        <v>9c395894-35c2-4217-9eff-b0a22e04c2d1</v>
      </c>
      <c r="C294" s="13" t="str">
        <f aca="false">IFERROR(__xludf.dummyfunction("""COMPUTED_VALUE"""),"Coca Cola plastic 2.25L (Jumbo)")</f>
        <v>Coca Cola plastic 2.25L (Jumbo)</v>
      </c>
      <c r="D294" s="13" t="str">
        <f aca="false">IFERROR(__xludf.dummyfunction("""COMPUTED_VALUE"""),"Coca Cola")</f>
        <v>Coca Cola</v>
      </c>
      <c r="E294" s="13" t="str">
        <f aca="false">IFERROR(__xludf.dummyfunction("""COMPUTED_VALUE"""),"Beverages")</f>
        <v>Beverages</v>
      </c>
      <c r="F294" s="11" t="n">
        <f aca="false">IFERROR(__xludf.dummyfunction("""COMPUTED_VALUE"""),45110)</f>
        <v>45110</v>
      </c>
      <c r="G294" s="16" t="n">
        <f aca="false">IFERROR(__xludf.dummyfunction("""COMPUTED_VALUE"""),0.797594398148547)</f>
        <v>0.7975943981</v>
      </c>
      <c r="H294" s="13" t="str">
        <f aca="false">IFERROR(__xludf.dummyfunction("""COMPUTED_VALUE"""),"damaged stock")</f>
        <v>damaged stock</v>
      </c>
      <c r="I294" s="13" t="n">
        <f aca="false">IFERROR(__xludf.dummyfunction("""COMPUTED_VALUE"""),1)</f>
        <v>1</v>
      </c>
      <c r="J294" s="13" t="n">
        <f aca="false">IFERROR(__xludf.dummyfunction("""COMPUTED_VALUE"""),1196)</f>
        <v>1196</v>
      </c>
      <c r="K294" s="13" t="n">
        <f aca="false">IFERROR(__xludf.dummyfunction("""COMPUTED_VALUE"""),1196)</f>
        <v>1196</v>
      </c>
      <c r="L294" s="13" t="str">
        <f aca="false">IFERROR(__xludf.dummyfunction("""COMPUTED_VALUE"""),"[Code: 457CEJ] TA: Found in loose condition during sorting")</f>
        <v>[Code: 457CEJ] TA: Found in loose condition during sorting</v>
      </c>
      <c r="M294" s="13" t="str">
        <f aca="false">IFERROR(__xludf.dummyfunction("""COMPUTED_VALUE"""),"457CEJ")</f>
        <v>457CEJ</v>
      </c>
      <c r="N294" s="13"/>
      <c r="O294" s="13" t="str">
        <f aca="false">IFERROR(__xludf.dummyfunction("""COMPUTED_VALUE"""),"taufeeq.akhtar@tajir-app.com")</f>
        <v>taufeeq.akhtar@tajir-app.com</v>
      </c>
      <c r="P294" s="13" t="str">
        <f aca="false">IFERROR(__xludf.dummyfunction("""COMPUTED_VALUE"""),"Taufeeq Akhtar ")</f>
        <v>Taufeeq Akhtar </v>
      </c>
      <c r="Q294" s="13" t="str">
        <f aca="false">IF(L294="","",L294)</f>
        <v>[Code: 457CEJ] TA: Found in loose condition during sorting</v>
      </c>
    </row>
    <row r="295" customFormat="false" ht="15.75" hidden="false" customHeight="false" outlineLevel="0" collapsed="false">
      <c r="A295" s="13" t="str">
        <f aca="false">IFERROR(__xludf.dummyfunction("""COMPUTED_VALUE"""),"Metro DC Faisalabad")</f>
        <v>Metro DC Faisalabad</v>
      </c>
      <c r="B295" s="13" t="str">
        <f aca="false">IFERROR(__xludf.dummyfunction("""COMPUTED_VALUE"""),"640b3d13-fe80-4e07-8c7f-6e8b80a71337")</f>
        <v>640b3d13-fe80-4e07-8c7f-6e8b80a71337</v>
      </c>
      <c r="C295" s="13" t="str">
        <f aca="false">IFERROR(__xludf.dummyfunction("""COMPUTED_VALUE"""),"Swadi Besan 5kg")</f>
        <v>Swadi Besan 5kg</v>
      </c>
      <c r="D295" s="13" t="str">
        <f aca="false">IFERROR(__xludf.dummyfunction("""COMPUTED_VALUE"""),"Swadi")</f>
        <v>Swadi</v>
      </c>
      <c r="E295" s="13" t="str">
        <f aca="false">IFERROR(__xludf.dummyfunction("""COMPUTED_VALUE"""),"Pulses")</f>
        <v>Pulses</v>
      </c>
      <c r="F295" s="11" t="n">
        <f aca="false">IFERROR(__xludf.dummyfunction("""COMPUTED_VALUE"""),45110)</f>
        <v>45110</v>
      </c>
      <c r="G295" s="16" t="n">
        <f aca="false">IFERROR(__xludf.dummyfunction("""COMPUTED_VALUE"""),0.779273761573444)</f>
        <v>0.7792737616</v>
      </c>
      <c r="H295" s="13" t="str">
        <f aca="false">IFERROR(__xludf.dummyfunction("""COMPUTED_VALUE"""),"damaged stock")</f>
        <v>damaged stock</v>
      </c>
      <c r="I295" s="13" t="n">
        <f aca="false">IFERROR(__xludf.dummyfunction("""COMPUTED_VALUE"""),6)</f>
        <v>6</v>
      </c>
      <c r="J295" s="13" t="n">
        <f aca="false">IFERROR(__xludf.dummyfunction("""COMPUTED_VALUE"""),1150)</f>
        <v>1150</v>
      </c>
      <c r="K295" s="13" t="n">
        <f aca="false">IFERROR(__xludf.dummyfunction("""COMPUTED_VALUE"""),6900)</f>
        <v>6900</v>
      </c>
      <c r="L295" s="13" t="str">
        <f aca="false">IFERROR(__xludf.dummyfunction("""COMPUTED_VALUE"""),"[Code: 24899A] ZA: Stock Removed due to Quality Issue")</f>
        <v>[Code: 24899A] ZA: Stock Removed due to Quality Issue</v>
      </c>
      <c r="M295" s="13" t="str">
        <f aca="false">IFERROR(__xludf.dummyfunction("""COMPUTED_VALUE"""),"24899A")</f>
        <v>24899A</v>
      </c>
      <c r="N295" s="13"/>
      <c r="O295" s="13" t="str">
        <f aca="false">IFERROR(__xludf.dummyfunction("""COMPUTED_VALUE"""),"zeeshan.alimalik@tajir-app.com")</f>
        <v>zeeshan.alimalik@tajir-app.com</v>
      </c>
      <c r="P295" s="13" t="str">
        <f aca="false">IFERROR(__xludf.dummyfunction("""COMPUTED_VALUE"""),"Zeeshan Ali Malik")</f>
        <v>Zeeshan Ali Malik</v>
      </c>
      <c r="Q295" s="13" t="str">
        <f aca="false">IF(L295="","",L295)</f>
        <v>[Code: 24899A] ZA: Stock Removed due to Quality Issue</v>
      </c>
    </row>
    <row r="296" customFormat="false" ht="15.75" hidden="false" customHeight="false" outlineLevel="0" collapsed="false">
      <c r="A296" s="13" t="str">
        <f aca="false">IFERROR(__xludf.dummyfunction("""COMPUTED_VALUE"""),"Metro DC Faisalabad")</f>
        <v>Metro DC Faisalabad</v>
      </c>
      <c r="B296" s="13" t="str">
        <f aca="false">IFERROR(__xludf.dummyfunction("""COMPUTED_VALUE"""),"a7d2470b-2460-44b6-8f69-725c45d4b7f9")</f>
        <v>a7d2470b-2460-44b6-8f69-725c45d4b7f9</v>
      </c>
      <c r="C296" s="13" t="str">
        <f aca="false">IFERROR(__xludf.dummyfunction("""COMPUTED_VALUE"""),"Sultan Banaspati Ghee 5kg Tin Rs2740")</f>
        <v>Sultan Banaspati Ghee 5kg Tin Rs2740</v>
      </c>
      <c r="D296" s="13" t="str">
        <f aca="false">IFERROR(__xludf.dummyfunction("""COMPUTED_VALUE"""),"Sultan")</f>
        <v>Sultan</v>
      </c>
      <c r="E296" s="13" t="str">
        <f aca="false">IFERROR(__xludf.dummyfunction("""COMPUTED_VALUE"""),"Ghee and Oil")</f>
        <v>Ghee and Oil</v>
      </c>
      <c r="F296" s="11" t="n">
        <f aca="false">IFERROR(__xludf.dummyfunction("""COMPUTED_VALUE"""),45110)</f>
        <v>45110</v>
      </c>
      <c r="G296" s="16" t="n">
        <f aca="false">IFERROR(__xludf.dummyfunction("""COMPUTED_VALUE"""),0.769055231481977)</f>
        <v>0.7690552315</v>
      </c>
      <c r="H296" s="13" t="str">
        <f aca="false">IFERROR(__xludf.dummyfunction("""COMPUTED_VALUE"""),"damaged stock")</f>
        <v>damaged stock</v>
      </c>
      <c r="I296" s="13" t="n">
        <f aca="false">IFERROR(__xludf.dummyfunction("""COMPUTED_VALUE"""),1)</f>
        <v>1</v>
      </c>
      <c r="J296" s="13" t="n">
        <f aca="false">IFERROR(__xludf.dummyfunction("""COMPUTED_VALUE"""),2430.16)</f>
        <v>2430.16</v>
      </c>
      <c r="K296" s="13" t="n">
        <f aca="false">IFERROR(__xludf.dummyfunction("""COMPUTED_VALUE"""),2430.16)</f>
        <v>2430.16</v>
      </c>
      <c r="L296" s="13" t="str">
        <f aca="false">IFERROR(__xludf.dummyfunction("""COMPUTED_VALUE"""),"[Code: 57AACE] ZA: Stock found damage on floor during Audit")</f>
        <v>[Code: 57AACE] ZA: Stock found damage on floor during Audit</v>
      </c>
      <c r="M296" s="13" t="str">
        <f aca="false">IFERROR(__xludf.dummyfunction("""COMPUTED_VALUE"""),"57AACE")</f>
        <v>57AACE</v>
      </c>
      <c r="N296" s="13"/>
      <c r="O296" s="13" t="str">
        <f aca="false">IFERROR(__xludf.dummyfunction("""COMPUTED_VALUE"""),"zeeshan.alimalik@tajir-app.com")</f>
        <v>zeeshan.alimalik@tajir-app.com</v>
      </c>
      <c r="P296" s="13" t="str">
        <f aca="false">IFERROR(__xludf.dummyfunction("""COMPUTED_VALUE"""),"Zeeshan Ali Malik")</f>
        <v>Zeeshan Ali Malik</v>
      </c>
      <c r="Q296" s="13" t="str">
        <f aca="false">IF(L296="","",L296)</f>
        <v>[Code: 57AACE] ZA: Stock found damage on floor during Audit</v>
      </c>
    </row>
    <row r="297" customFormat="false" ht="15.75" hidden="false" customHeight="false" outlineLevel="0" collapsed="false">
      <c r="A297" s="13" t="str">
        <f aca="false">IFERROR(__xludf.dummyfunction("""COMPUTED_VALUE"""),"Metro DC Faisalabad")</f>
        <v>Metro DC Faisalabad</v>
      </c>
      <c r="B297" s="13" t="str">
        <f aca="false">IFERROR(__xludf.dummyfunction("""COMPUTED_VALUE"""),"fb5a1ad6-8f33-4e97-8f4e-2270ac3d6ff0")</f>
        <v>fb5a1ad6-8f33-4e97-8f4e-2270ac3d6ff0</v>
      </c>
      <c r="C297" s="13" t="str">
        <f aca="false">IFERROR(__xludf.dummyfunction("""COMPUTED_VALUE"""),"Peek Freans Sooper Biscuits Snack Pack 16pcs Rs15")</f>
        <v>Peek Freans Sooper Biscuits Snack Pack 16pcs Rs15</v>
      </c>
      <c r="D297" s="13" t="str">
        <f aca="false">IFERROR(__xludf.dummyfunction("""COMPUTED_VALUE"""),"Peek Freans")</f>
        <v>Peek Freans</v>
      </c>
      <c r="E297" s="13" t="str">
        <f aca="false">IFERROR(__xludf.dummyfunction("""COMPUTED_VALUE"""),"Biscuits, Wafers")</f>
        <v>Biscuits, Wafers</v>
      </c>
      <c r="F297" s="11" t="n">
        <f aca="false">IFERROR(__xludf.dummyfunction("""COMPUTED_VALUE"""),45111)</f>
        <v>45111</v>
      </c>
      <c r="G297" s="16" t="n">
        <f aca="false">IFERROR(__xludf.dummyfunction("""COMPUTED_VALUE"""),0.965762557871755)</f>
        <v>0.9657625579</v>
      </c>
      <c r="H297" s="13" t="str">
        <f aca="false">IFERROR(__xludf.dummyfunction("""COMPUTED_VALUE"""),"missing stock")</f>
        <v>missing stock</v>
      </c>
      <c r="I297" s="13" t="n">
        <f aca="false">IFERROR(__xludf.dummyfunction("""COMPUTED_VALUE"""),2)</f>
        <v>2</v>
      </c>
      <c r="J297" s="13" t="n">
        <f aca="false">IFERROR(__xludf.dummyfunction("""COMPUTED_VALUE"""),215.98)</f>
        <v>215.98</v>
      </c>
      <c r="K297" s="13" t="n">
        <f aca="false">IFERROR(__xludf.dummyfunction("""COMPUTED_VALUE"""),431.96)</f>
        <v>431.96</v>
      </c>
      <c r="L297" s="13" t="str">
        <f aca="false">IFERROR(__xludf.dummyfunction("""COMPUTED_VALUE"""),"TA: Not Available in floor (Night Audit)")</f>
        <v>TA: Not Available in floor (Night Audit)</v>
      </c>
      <c r="M297" s="13"/>
      <c r="N297" s="13"/>
      <c r="O297" s="13" t="str">
        <f aca="false">IFERROR(__xludf.dummyfunction("""COMPUTED_VALUE"""),"taufeeq.akhtar@tajir-app.com")</f>
        <v>taufeeq.akhtar@tajir-app.com</v>
      </c>
      <c r="P297" s="13" t="str">
        <f aca="false">IFERROR(__xludf.dummyfunction("""COMPUTED_VALUE"""),"Taufeeq Akhtar ")</f>
        <v>Taufeeq Akhtar </v>
      </c>
      <c r="Q297" s="13" t="str">
        <f aca="false">IF(L297="","",L297)</f>
        <v>TA: Not Available in floor (Night Audit)</v>
      </c>
    </row>
    <row r="298" customFormat="false" ht="15.75" hidden="false" customHeight="false" outlineLevel="0" collapsed="false">
      <c r="A298" s="13" t="str">
        <f aca="false">IFERROR(__xludf.dummyfunction("""COMPUTED_VALUE"""),"Metro DC Faisalabad")</f>
        <v>Metro DC Faisalabad</v>
      </c>
      <c r="B298" s="13" t="str">
        <f aca="false">IFERROR(__xludf.dummyfunction("""COMPUTED_VALUE"""),"b7ba5d29-7122-4903-a7c5-21040b23784c")</f>
        <v>b7ba5d29-7122-4903-a7c5-21040b23784c</v>
      </c>
      <c r="C298" s="13" t="str">
        <f aca="false">IFERROR(__xludf.dummyfunction("""COMPUTED_VALUE"""),"Shangrila Chilli Garlic Sauce x6 Bundle 70g")</f>
        <v>Shangrila Chilli Garlic Sauce x6 Bundle 70g</v>
      </c>
      <c r="D298" s="13" t="str">
        <f aca="false">IFERROR(__xludf.dummyfunction("""COMPUTED_VALUE"""),"Shangrila")</f>
        <v>Shangrila</v>
      </c>
      <c r="E298" s="13" t="str">
        <f aca="false">IFERROR(__xludf.dummyfunction("""COMPUTED_VALUE"""),"Sauces")</f>
        <v>Sauces</v>
      </c>
      <c r="F298" s="11" t="n">
        <f aca="false">IFERROR(__xludf.dummyfunction("""COMPUTED_VALUE"""),45111)</f>
        <v>45111</v>
      </c>
      <c r="G298" s="16" t="n">
        <f aca="false">IFERROR(__xludf.dummyfunction("""COMPUTED_VALUE"""),0.894642777778015)</f>
        <v>0.8946427778</v>
      </c>
      <c r="H298" s="13" t="str">
        <f aca="false">IFERROR(__xludf.dummyfunction("""COMPUTED_VALUE"""),"damaged stock")</f>
        <v>damaged stock</v>
      </c>
      <c r="I298" s="13" t="n">
        <f aca="false">IFERROR(__xludf.dummyfunction("""COMPUTED_VALUE"""),1)</f>
        <v>1</v>
      </c>
      <c r="J298" s="13" t="n">
        <f aca="false">IFERROR(__xludf.dummyfunction("""COMPUTED_VALUE"""),188.49)</f>
        <v>188.49</v>
      </c>
      <c r="K298" s="13" t="n">
        <f aca="false">IFERROR(__xludf.dummyfunction("""COMPUTED_VALUE"""),188.49)</f>
        <v>188.49</v>
      </c>
      <c r="L298" s="13" t="str">
        <f aca="false">IFERROR(__xludf.dummyfunction("""COMPUTED_VALUE"""),"[Code: 222CFG] TA: Found damaged from box during display.")</f>
        <v>[Code: 222CFG] TA: Found damaged from box during display.</v>
      </c>
      <c r="M298" s="13" t="str">
        <f aca="false">IFERROR(__xludf.dummyfunction("""COMPUTED_VALUE"""),"222CFG")</f>
        <v>222CFG</v>
      </c>
      <c r="N298" s="13"/>
      <c r="O298" s="13" t="str">
        <f aca="false">IFERROR(__xludf.dummyfunction("""COMPUTED_VALUE"""),"taufeeq.akhtar@tajir-app.com")</f>
        <v>taufeeq.akhtar@tajir-app.com</v>
      </c>
      <c r="P298" s="13" t="str">
        <f aca="false">IFERROR(__xludf.dummyfunction("""COMPUTED_VALUE"""),"Taufeeq Akhtar ")</f>
        <v>Taufeeq Akhtar </v>
      </c>
      <c r="Q298" s="13" t="str">
        <f aca="false">IF(L298="","",L298)</f>
        <v>[Code: 222CFG] TA: Found damaged from box during display.</v>
      </c>
    </row>
    <row r="299" customFormat="false" ht="15.75" hidden="false" customHeight="false" outlineLevel="0" collapsed="false">
      <c r="A299" s="13" t="str">
        <f aca="false">IFERROR(__xludf.dummyfunction("""COMPUTED_VALUE"""),"Metro DC Faisalabad")</f>
        <v>Metro DC Faisalabad</v>
      </c>
      <c r="B299" s="13" t="str">
        <f aca="false">IFERROR(__xludf.dummyfunction("""COMPUTED_VALUE"""),"3951e68d-8cd5-48c2-ba36-322050c21998")</f>
        <v>3951e68d-8cd5-48c2-ba36-322050c21998</v>
      </c>
      <c r="C299" s="13" t="str">
        <f aca="false">IFERROR(__xludf.dummyfunction("""COMPUTED_VALUE"""),"Sherdil Dal Mash Wash 1kg")</f>
        <v>Sherdil Dal Mash Wash 1kg</v>
      </c>
      <c r="D299" s="13" t="str">
        <f aca="false">IFERROR(__xludf.dummyfunction("""COMPUTED_VALUE"""),"Sherdil")</f>
        <v>Sherdil</v>
      </c>
      <c r="E299" s="13" t="str">
        <f aca="false">IFERROR(__xludf.dummyfunction("""COMPUTED_VALUE"""),"Pulses")</f>
        <v>Pulses</v>
      </c>
      <c r="F299" s="11" t="n">
        <f aca="false">IFERROR(__xludf.dummyfunction("""COMPUTED_VALUE"""),45111)</f>
        <v>45111</v>
      </c>
      <c r="G299" s="16" t="n">
        <f aca="false">IFERROR(__xludf.dummyfunction("""COMPUTED_VALUE"""),0.860856261575712)</f>
        <v>0.8608562616</v>
      </c>
      <c r="H299" s="13" t="str">
        <f aca="false">IFERROR(__xludf.dummyfunction("""COMPUTED_VALUE"""),"damaged stock")</f>
        <v>damaged stock</v>
      </c>
      <c r="I299" s="13" t="n">
        <f aca="false">IFERROR(__xludf.dummyfunction("""COMPUTED_VALUE"""),11)</f>
        <v>11</v>
      </c>
      <c r="J299" s="13" t="n">
        <f aca="false">IFERROR(__xludf.dummyfunction("""COMPUTED_VALUE"""),497)</f>
        <v>497</v>
      </c>
      <c r="K299" s="13" t="n">
        <f aca="false">IFERROR(__xludf.dummyfunction("""COMPUTED_VALUE"""),5467)</f>
        <v>5467</v>
      </c>
      <c r="L299" s="13" t="str">
        <f aca="false">IFERROR(__xludf.dummyfunction("""COMPUTED_VALUE"""),"[Code: 357AHK] TA: quality sahi nahi hay(Fungus lagi hay)")</f>
        <v>[Code: 357AHK] TA: quality sahi nahi hay(Fungus lagi hay)</v>
      </c>
      <c r="M299" s="13" t="str">
        <f aca="false">IFERROR(__xludf.dummyfunction("""COMPUTED_VALUE"""),"357AHK")</f>
        <v>357AHK</v>
      </c>
      <c r="N299" s="13"/>
      <c r="O299" s="13" t="str">
        <f aca="false">IFERROR(__xludf.dummyfunction("""COMPUTED_VALUE"""),"taufeeq.akhtar@tajir-app.com")</f>
        <v>taufeeq.akhtar@tajir-app.com</v>
      </c>
      <c r="P299" s="13" t="str">
        <f aca="false">IFERROR(__xludf.dummyfunction("""COMPUTED_VALUE"""),"Taufeeq Akhtar ")</f>
        <v>Taufeeq Akhtar </v>
      </c>
      <c r="Q299" s="13" t="str">
        <f aca="false">IF(L299="","",L299)</f>
        <v>[Code: 357AHK] TA: quality sahi nahi hay(Fungus lagi hay)</v>
      </c>
    </row>
    <row r="300" customFormat="false" ht="15.75" hidden="false" customHeight="false" outlineLevel="0" collapsed="false">
      <c r="A300" s="13" t="str">
        <f aca="false">IFERROR(__xludf.dummyfunction("""COMPUTED_VALUE"""),"Metro DC Faisalabad")</f>
        <v>Metro DC Faisalabad</v>
      </c>
      <c r="B300" s="13" t="str">
        <f aca="false">IFERROR(__xludf.dummyfunction("""COMPUTED_VALUE"""),"10f5c620-05d2-4bff-bf22-3c02b5a12fc2")</f>
        <v>10f5c620-05d2-4bff-bf22-3c02b5a12fc2</v>
      </c>
      <c r="C300" s="13" t="str">
        <f aca="false">IFERROR(__xludf.dummyfunction("""COMPUTED_VALUE"""),"Sherdil White Chana Bareek 5kg")</f>
        <v>Sherdil White Chana Bareek 5kg</v>
      </c>
      <c r="D300" s="13" t="str">
        <f aca="false">IFERROR(__xludf.dummyfunction("""COMPUTED_VALUE"""),"Sherdil")</f>
        <v>Sherdil</v>
      </c>
      <c r="E300" s="13" t="str">
        <f aca="false">IFERROR(__xludf.dummyfunction("""COMPUTED_VALUE"""),"Pulses")</f>
        <v>Pulses</v>
      </c>
      <c r="F300" s="11" t="n">
        <f aca="false">IFERROR(__xludf.dummyfunction("""COMPUTED_VALUE"""),45111)</f>
        <v>45111</v>
      </c>
      <c r="G300" s="16" t="n">
        <f aca="false">IFERROR(__xludf.dummyfunction("""COMPUTED_VALUE"""),0.360914351851534)</f>
        <v>0.3609143519</v>
      </c>
      <c r="H300" s="13" t="str">
        <f aca="false">IFERROR(__xludf.dummyfunction("""COMPUTED_VALUE"""),"damaged stock")</f>
        <v>damaged stock</v>
      </c>
      <c r="I300" s="13" t="n">
        <f aca="false">IFERROR(__xludf.dummyfunction("""COMPUTED_VALUE"""),1)</f>
        <v>1</v>
      </c>
      <c r="J300" s="13" t="n">
        <f aca="false">IFERROR(__xludf.dummyfunction("""COMPUTED_VALUE"""),1843)</f>
        <v>1843</v>
      </c>
      <c r="K300" s="13" t="n">
        <f aca="false">IFERROR(__xludf.dummyfunction("""COMPUTED_VALUE"""),1843)</f>
        <v>1843</v>
      </c>
      <c r="L300" s="13" t="str">
        <f aca="false">IFERROR(__xludf.dummyfunction("""COMPUTED_VALUE"""),"[Code: 233578] 01 unit has quality issue (Content Spoiled)")</f>
        <v>[Code: 233578] 01 unit has quality issue (Content Spoiled)</v>
      </c>
      <c r="M300" s="13" t="str">
        <f aca="false">IFERROR(__xludf.dummyfunction("""COMPUTED_VALUE"""),"233578")</f>
        <v>233578</v>
      </c>
      <c r="N300" s="13"/>
      <c r="O300" s="13" t="str">
        <f aca="false">IFERROR(__xludf.dummyfunction("""COMPUTED_VALUE"""),"ali.raza@tajir-app.com")</f>
        <v>ali.raza@tajir-app.com</v>
      </c>
      <c r="P300" s="13" t="str">
        <f aca="false">IFERROR(__xludf.dummyfunction("""COMPUTED_VALUE"""),"Ali Raza ")</f>
        <v>Ali Raza </v>
      </c>
      <c r="Q300" s="13" t="str">
        <f aca="false">IF(L300="","",L300)</f>
        <v>[Code: 233578] 01 unit has quality issue (Content Spoiled)</v>
      </c>
    </row>
    <row r="301" customFormat="false" ht="15.75" hidden="false" customHeight="false" outlineLevel="0" collapsed="false">
      <c r="A301" s="13" t="str">
        <f aca="false">IFERROR(__xludf.dummyfunction("""COMPUTED_VALUE"""),"Metro DC Faisalabad")</f>
        <v>Metro DC Faisalabad</v>
      </c>
      <c r="B301" s="13" t="str">
        <f aca="false">IFERROR(__xludf.dummyfunction("""COMPUTED_VALUE"""),"b223382d-8a2b-4732-988a-47b072256252")</f>
        <v>b223382d-8a2b-4732-988a-47b072256252</v>
      </c>
      <c r="C301" s="13" t="str">
        <f aca="false">IFERROR(__xludf.dummyfunction("""COMPUTED_VALUE"""),"Bio Amla Shampoo 280ml Rs300")</f>
        <v>Bio Amla Shampoo 280ml Rs300</v>
      </c>
      <c r="D301" s="13" t="str">
        <f aca="false">IFERROR(__xludf.dummyfunction("""COMPUTED_VALUE"""),"Bio Amla")</f>
        <v>Bio Amla</v>
      </c>
      <c r="E301" s="13" t="str">
        <f aca="false">IFERROR(__xludf.dummyfunction("""COMPUTED_VALUE"""),"Shampoo")</f>
        <v>Shampoo</v>
      </c>
      <c r="F301" s="11" t="n">
        <f aca="false">IFERROR(__xludf.dummyfunction("""COMPUTED_VALUE"""),45112)</f>
        <v>45112</v>
      </c>
      <c r="G301" s="16" t="n">
        <f aca="false">IFERROR(__xludf.dummyfunction("""COMPUTED_VALUE"""),0.899363113425026)</f>
        <v>0.8993631134</v>
      </c>
      <c r="H301" s="13" t="str">
        <f aca="false">IFERROR(__xludf.dummyfunction("""COMPUTED_VALUE"""),"damaged stock")</f>
        <v>damaged stock</v>
      </c>
      <c r="I301" s="13" t="n">
        <f aca="false">IFERROR(__xludf.dummyfunction("""COMPUTED_VALUE"""),1)</f>
        <v>1</v>
      </c>
      <c r="J301" s="13" t="n">
        <f aca="false">IFERROR(__xludf.dummyfunction("""COMPUTED_VALUE"""),191.25)</f>
        <v>191.25</v>
      </c>
      <c r="K301" s="13" t="n">
        <f aca="false">IFERROR(__xludf.dummyfunction("""COMPUTED_VALUE"""),191.25)</f>
        <v>191.25</v>
      </c>
      <c r="L301" s="13" t="str">
        <f aca="false">IFERROR(__xludf.dummyfunction("""COMPUTED_VALUE"""),"[Code: 2489GK] TA: found empty botel from box during display.")</f>
        <v>[Code: 2489GK] TA: found empty botel from box during display.</v>
      </c>
      <c r="M301" s="13" t="str">
        <f aca="false">IFERROR(__xludf.dummyfunction("""COMPUTED_VALUE"""),"2489GK")</f>
        <v>2489GK</v>
      </c>
      <c r="N301" s="13"/>
      <c r="O301" s="13" t="str">
        <f aca="false">IFERROR(__xludf.dummyfunction("""COMPUTED_VALUE"""),"taufeeq.akhtar@tajir-app.com")</f>
        <v>taufeeq.akhtar@tajir-app.com</v>
      </c>
      <c r="P301" s="13" t="str">
        <f aca="false">IFERROR(__xludf.dummyfunction("""COMPUTED_VALUE"""),"Taufeeq Akhtar ")</f>
        <v>Taufeeq Akhtar </v>
      </c>
      <c r="Q301" s="13" t="str">
        <f aca="false">IF(L301="","",L301)</f>
        <v>[Code: 2489GK] TA: found empty botel from box during display.</v>
      </c>
    </row>
    <row r="302" customFormat="false" ht="15.75" hidden="false" customHeight="false" outlineLevel="0" collapsed="false">
      <c r="A302" s="13" t="str">
        <f aca="false">IFERROR(__xludf.dummyfunction("""COMPUTED_VALUE"""),"Metro DC Faisalabad")</f>
        <v>Metro DC Faisalabad</v>
      </c>
      <c r="B302" s="13" t="str">
        <f aca="false">IFERROR(__xludf.dummyfunction("""COMPUTED_VALUE"""),"38f91ed7-8c25-4061-b1cb-85ac528c02dc")</f>
        <v>38f91ed7-8c25-4061-b1cb-85ac528c02dc</v>
      </c>
      <c r="C302" s="13" t="str">
        <f aca="false">IFERROR(__xludf.dummyfunction("""COMPUTED_VALUE"""),"Shangrila Tomato Ketchup x6 Bundle 70g")</f>
        <v>Shangrila Tomato Ketchup x6 Bundle 70g</v>
      </c>
      <c r="D302" s="13" t="str">
        <f aca="false">IFERROR(__xludf.dummyfunction("""COMPUTED_VALUE"""),"Shangrila")</f>
        <v>Shangrila</v>
      </c>
      <c r="E302" s="13" t="str">
        <f aca="false">IFERROR(__xludf.dummyfunction("""COMPUTED_VALUE"""),"Sauces")</f>
        <v>Sauces</v>
      </c>
      <c r="F302" s="11" t="n">
        <f aca="false">IFERROR(__xludf.dummyfunction("""COMPUTED_VALUE"""),45112)</f>
        <v>45112</v>
      </c>
      <c r="G302" s="16" t="n">
        <f aca="false">IFERROR(__xludf.dummyfunction("""COMPUTED_VALUE"""),0.649570185185692)</f>
        <v>0.6495701852</v>
      </c>
      <c r="H302" s="13" t="str">
        <f aca="false">IFERROR(__xludf.dummyfunction("""COMPUTED_VALUE"""),"expired stock")</f>
        <v>expired stock</v>
      </c>
      <c r="I302" s="13" t="n">
        <f aca="false">IFERROR(__xludf.dummyfunction("""COMPUTED_VALUE"""),576)</f>
        <v>576</v>
      </c>
      <c r="J302" s="13" t="n">
        <f aca="false">IFERROR(__xludf.dummyfunction("""COMPUTED_VALUE"""),188.49)</f>
        <v>188.49</v>
      </c>
      <c r="K302" s="13" t="n">
        <f aca="false">IFERROR(__xludf.dummyfunction("""COMPUTED_VALUE"""),108570.24)</f>
        <v>108570.24</v>
      </c>
      <c r="L302" s="13" t="str">
        <f aca="false">IFERROR(__xludf.dummyfunction("""COMPUTED_VALUE"""),"[Code: 34ABDD] [Expiry: 5 Jul, 2023] 576 units removed due to misprint of expiry date")</f>
        <v>[Code: 34ABDD] [Expiry: 5 Jul, 2023] 576 units removed due to misprint of expiry date</v>
      </c>
      <c r="M302" s="13" t="str">
        <f aca="false">IFERROR(__xludf.dummyfunction("""COMPUTED_VALUE"""),"34ABDD")</f>
        <v>34ABDD</v>
      </c>
      <c r="N302" s="13" t="str">
        <f aca="false">IFERROR(__xludf.dummyfunction("""COMPUTED_VALUE"""),"5 Jul, 2023")</f>
        <v>5 Jul, 2023</v>
      </c>
      <c r="O302" s="13" t="str">
        <f aca="false">IFERROR(__xludf.dummyfunction("""COMPUTED_VALUE"""),"ali.raza@tajir-app.com")</f>
        <v>ali.raza@tajir-app.com</v>
      </c>
      <c r="P302" s="13" t="str">
        <f aca="false">IFERROR(__xludf.dummyfunction("""COMPUTED_VALUE"""),"Ali Raza ")</f>
        <v>Ali Raza </v>
      </c>
      <c r="Q302" s="13" t="str">
        <f aca="false">IF(L302="","",L302)</f>
        <v>[Code: 34ABDD] [Expiry: 5 Jul, 2023] 576 units removed due to misprint of expiry date</v>
      </c>
    </row>
    <row r="303" customFormat="false" ht="15.75" hidden="false" customHeight="false" outlineLevel="0" collapsed="false">
      <c r="A303" s="13" t="str">
        <f aca="false">IFERROR(__xludf.dummyfunction("""COMPUTED_VALUE"""),"Metro DC Faisalabad")</f>
        <v>Metro DC Faisalabad</v>
      </c>
      <c r="B303" s="13" t="str">
        <f aca="false">IFERROR(__xludf.dummyfunction("""COMPUTED_VALUE"""),"90f9d692-0595-469e-a8a1-d4c4335cc3b4")</f>
        <v>90f9d692-0595-469e-a8a1-d4c4335cc3b4</v>
      </c>
      <c r="C303" s="13" t="str">
        <f aca="false">IFERROR(__xludf.dummyfunction("""COMPUTED_VALUE"""),"Kolson Jam Hearts Lemon Cream Biscuits Bar Pack 12pcs Rs15")</f>
        <v>Kolson Jam Hearts Lemon Cream Biscuits Bar Pack 12pcs Rs15</v>
      </c>
      <c r="D303" s="13" t="str">
        <f aca="false">IFERROR(__xludf.dummyfunction("""COMPUTED_VALUE"""),"Kolson")</f>
        <v>Kolson</v>
      </c>
      <c r="E303" s="13" t="str">
        <f aca="false">IFERROR(__xludf.dummyfunction("""COMPUTED_VALUE"""),"Biscuits, Wafers")</f>
        <v>Biscuits, Wafers</v>
      </c>
      <c r="F303" s="11" t="n">
        <f aca="false">IFERROR(__xludf.dummyfunction("""COMPUTED_VALUE"""),45113)</f>
        <v>45113</v>
      </c>
      <c r="G303" s="16" t="n">
        <f aca="false">IFERROR(__xludf.dummyfunction("""COMPUTED_VALUE"""),0.655101273146801)</f>
        <v>0.6551012731</v>
      </c>
      <c r="H303" s="13" t="str">
        <f aca="false">IFERROR(__xludf.dummyfunction("""COMPUTED_VALUE"""),"expired stock")</f>
        <v>expired stock</v>
      </c>
      <c r="I303" s="13" t="n">
        <f aca="false">IFERROR(__xludf.dummyfunction("""COMPUTED_VALUE"""),69)</f>
        <v>69</v>
      </c>
      <c r="J303" s="13" t="n">
        <f aca="false">IFERROR(__xludf.dummyfunction("""COMPUTED_VALUE"""),159.8)</f>
        <v>159.8</v>
      </c>
      <c r="K303" s="13" t="n">
        <f aca="false">IFERROR(__xludf.dummyfunction("""COMPUTED_VALUE"""),11026.2)</f>
        <v>11026.2</v>
      </c>
      <c r="L303" s="13" t="str">
        <f aca="false">IFERROR(__xludf.dummyfunction("""COMPUTED_VALUE"""),"[Code: 568899] [Expiry: 17 Jul, 2023] AR: Stock Expiry stock")</f>
        <v>[Code: 568899] [Expiry: 17 Jul, 2023] AR: Stock Expiry stock</v>
      </c>
      <c r="M303" s="13" t="str">
        <f aca="false">IFERROR(__xludf.dummyfunction("""COMPUTED_VALUE"""),"568899")</f>
        <v>568899</v>
      </c>
      <c r="N303" s="13" t="str">
        <f aca="false">IFERROR(__xludf.dummyfunction("""COMPUTED_VALUE"""),"17 Jul, 2023")</f>
        <v>17 Jul, 2023</v>
      </c>
      <c r="O303" s="13" t="str">
        <f aca="false">IFERROR(__xludf.dummyfunction("""COMPUTED_VALUE"""),"ali.raza@tajir-app.com")</f>
        <v>ali.raza@tajir-app.com</v>
      </c>
      <c r="P303" s="13" t="str">
        <f aca="false">IFERROR(__xludf.dummyfunction("""COMPUTED_VALUE"""),"Ali Raza ")</f>
        <v>Ali Raza </v>
      </c>
      <c r="Q303" s="13" t="str">
        <f aca="false">IF(L303="","",L303)</f>
        <v>[Code: 568899] [Expiry: 17 Jul, 2023] AR: Stock Expiry stock</v>
      </c>
    </row>
    <row r="304" customFormat="false" ht="15.75" hidden="false" customHeight="false" outlineLevel="0" collapsed="false">
      <c r="A304" s="13" t="str">
        <f aca="false">IFERROR(__xludf.dummyfunction("""COMPUTED_VALUE"""),"Metro DC Faisalabad")</f>
        <v>Metro DC Faisalabad</v>
      </c>
      <c r="B304" s="13" t="str">
        <f aca="false">IFERROR(__xludf.dummyfunction("""COMPUTED_VALUE"""),"5a3fa3ee-6f77-4747-96ae-dfa7c713c02c")</f>
        <v>5a3fa3ee-6f77-4747-96ae-dfa7c713c02c</v>
      </c>
      <c r="C304" s="13" t="str">
        <f aca="false">IFERROR(__xludf.dummyfunction("""COMPUTED_VALUE"""),"National Mango Jam 440g")</f>
        <v>National Mango Jam 440g</v>
      </c>
      <c r="D304" s="13" t="str">
        <f aca="false">IFERROR(__xludf.dummyfunction("""COMPUTED_VALUE"""),"National")</f>
        <v>National</v>
      </c>
      <c r="E304" s="13" t="str">
        <f aca="false">IFERROR(__xludf.dummyfunction("""COMPUTED_VALUE"""),"Grocery")</f>
        <v>Grocery</v>
      </c>
      <c r="F304" s="11" t="n">
        <f aca="false">IFERROR(__xludf.dummyfunction("""COMPUTED_VALUE"""),45114)</f>
        <v>45114</v>
      </c>
      <c r="G304" s="16" t="n">
        <f aca="false">IFERROR(__xludf.dummyfunction("""COMPUTED_VALUE"""),0.755100682871206)</f>
        <v>0.7551006829</v>
      </c>
      <c r="H304" s="13" t="str">
        <f aca="false">IFERROR(__xludf.dummyfunction("""COMPUTED_VALUE"""),"damaged stock")</f>
        <v>damaged stock</v>
      </c>
      <c r="I304" s="13" t="n">
        <f aca="false">IFERROR(__xludf.dummyfunction("""COMPUTED_VALUE"""),1)</f>
        <v>1</v>
      </c>
      <c r="J304" s="13" t="n">
        <f aca="false">IFERROR(__xludf.dummyfunction("""COMPUTED_VALUE"""),242.5)</f>
        <v>242.5</v>
      </c>
      <c r="K304" s="13" t="n">
        <f aca="false">IFERROR(__xludf.dummyfunction("""COMPUTED_VALUE"""),242.5)</f>
        <v>242.5</v>
      </c>
      <c r="L304" s="13" t="str">
        <f aca="false">IFERROR(__xludf.dummyfunction("""COMPUTED_VALUE"""),"[Code: 3589AB] TA; 1unit Damage Found during Sorting")</f>
        <v>[Code: 3589AB] TA; 1unit Damage Found during Sorting</v>
      </c>
      <c r="M304" s="13" t="str">
        <f aca="false">IFERROR(__xludf.dummyfunction("""COMPUTED_VALUE"""),"3589AB")</f>
        <v>3589AB</v>
      </c>
      <c r="N304" s="13"/>
      <c r="O304" s="13" t="str">
        <f aca="false">IFERROR(__xludf.dummyfunction("""COMPUTED_VALUE"""),"taufeeq.akhtar@tajir-app.com")</f>
        <v>taufeeq.akhtar@tajir-app.com</v>
      </c>
      <c r="P304" s="13" t="str">
        <f aca="false">IFERROR(__xludf.dummyfunction("""COMPUTED_VALUE"""),"Taufeeq Akhtar ")</f>
        <v>Taufeeq Akhtar </v>
      </c>
      <c r="Q304" s="13" t="str">
        <f aca="false">IF(L304="","",L304)</f>
        <v>[Code: 3589AB] TA; 1unit Damage Found during Sorting</v>
      </c>
    </row>
    <row r="305" customFormat="false" ht="15.75" hidden="false" customHeight="false" outlineLevel="0" collapsed="false">
      <c r="A305" s="13" t="str">
        <f aca="false">IFERROR(__xludf.dummyfunction("""COMPUTED_VALUE"""),"Metro DC Faisalabad")</f>
        <v>Metro DC Faisalabad</v>
      </c>
      <c r="B305" s="13" t="str">
        <f aca="false">IFERROR(__xludf.dummyfunction("""COMPUTED_VALUE"""),"e704339c-42c0-48de-92ab-39348129ef53")</f>
        <v>e704339c-42c0-48de-92ab-39348129ef53</v>
      </c>
      <c r="C305" s="13" t="str">
        <f aca="false">IFERROR(__xludf.dummyfunction("""COMPUTED_VALUE"""),"7up plastic 1L")</f>
        <v>7up plastic 1L</v>
      </c>
      <c r="D305" s="13" t="str">
        <f aca="false">IFERROR(__xludf.dummyfunction("""COMPUTED_VALUE"""),"7up")</f>
        <v>7up</v>
      </c>
      <c r="E305" s="13" t="str">
        <f aca="false">IFERROR(__xludf.dummyfunction("""COMPUTED_VALUE"""),"Beverages")</f>
        <v>Beverages</v>
      </c>
      <c r="F305" s="11" t="n">
        <f aca="false">IFERROR(__xludf.dummyfunction("""COMPUTED_VALUE"""),45114)</f>
        <v>45114</v>
      </c>
      <c r="G305" s="16" t="n">
        <f aca="false">IFERROR(__xludf.dummyfunction("""COMPUTED_VALUE"""),0.673474849535695)</f>
        <v>0.6734748495</v>
      </c>
      <c r="H305" s="13" t="str">
        <f aca="false">IFERROR(__xludf.dummyfunction("""COMPUTED_VALUE"""),"damaged stock")</f>
        <v>damaged stock</v>
      </c>
      <c r="I305" s="13" t="n">
        <f aca="false">IFERROR(__xludf.dummyfunction("""COMPUTED_VALUE"""),1)</f>
        <v>1</v>
      </c>
      <c r="J305" s="13" t="n">
        <f aca="false">IFERROR(__xludf.dummyfunction("""COMPUTED_VALUE"""),576)</f>
        <v>576</v>
      </c>
      <c r="K305" s="13" t="n">
        <f aca="false">IFERROR(__xludf.dummyfunction("""COMPUTED_VALUE"""),576)</f>
        <v>576</v>
      </c>
      <c r="L305" s="13" t="str">
        <f aca="false">IFERROR(__xludf.dummyfunction("""COMPUTED_VALUE"""),"[Code: 3668GG] TA: empty bottels found from pet during sorting.")</f>
        <v>[Code: 3668GG] TA: empty bottels found from pet during sorting.</v>
      </c>
      <c r="M305" s="13" t="str">
        <f aca="false">IFERROR(__xludf.dummyfunction("""COMPUTED_VALUE"""),"3668GG")</f>
        <v>3668GG</v>
      </c>
      <c r="N305" s="13"/>
      <c r="O305" s="13" t="str">
        <f aca="false">IFERROR(__xludf.dummyfunction("""COMPUTED_VALUE"""),"taufeeq.akhtar@tajir-app.com")</f>
        <v>taufeeq.akhtar@tajir-app.com</v>
      </c>
      <c r="P305" s="13" t="str">
        <f aca="false">IFERROR(__xludf.dummyfunction("""COMPUTED_VALUE"""),"Taufeeq Akhtar ")</f>
        <v>Taufeeq Akhtar </v>
      </c>
      <c r="Q305" s="13" t="str">
        <f aca="false">IF(L305="","",L305)</f>
        <v>[Code: 3668GG] TA: empty bottels found from pet during sorting.</v>
      </c>
    </row>
    <row r="306" customFormat="false" ht="15.75" hidden="false" customHeight="false" outlineLevel="0" collapsed="false">
      <c r="A306" s="13" t="str">
        <f aca="false">IFERROR(__xludf.dummyfunction("""COMPUTED_VALUE"""),"Metro DC Faisalabad")</f>
        <v>Metro DC Faisalabad</v>
      </c>
      <c r="B306" s="13" t="str">
        <f aca="false">IFERROR(__xludf.dummyfunction("""COMPUTED_VALUE"""),"6afa406d-5fa6-42ea-a697-9b99ff3ba267")</f>
        <v>6afa406d-5fa6-42ea-a697-9b99ff3ba267</v>
      </c>
      <c r="C306" s="13" t="str">
        <f aca="false">IFERROR(__xludf.dummyfunction("""COMPUTED_VALUE"""),"Sprite plastic 1L")</f>
        <v>Sprite plastic 1L</v>
      </c>
      <c r="D306" s="13" t="str">
        <f aca="false">IFERROR(__xludf.dummyfunction("""COMPUTED_VALUE"""),"Sprite")</f>
        <v>Sprite</v>
      </c>
      <c r="E306" s="13" t="str">
        <f aca="false">IFERROR(__xludf.dummyfunction("""COMPUTED_VALUE"""),"Beverages")</f>
        <v>Beverages</v>
      </c>
      <c r="F306" s="11" t="n">
        <f aca="false">IFERROR(__xludf.dummyfunction("""COMPUTED_VALUE"""),45115)</f>
        <v>45115</v>
      </c>
      <c r="G306" s="16" t="n">
        <f aca="false">IFERROR(__xludf.dummyfunction("""COMPUTED_VALUE"""),0.887904953705471)</f>
        <v>0.8879049537</v>
      </c>
      <c r="H306" s="13" t="str">
        <f aca="false">IFERROR(__xludf.dummyfunction("""COMPUTED_VALUE"""),"damaged stock")</f>
        <v>damaged stock</v>
      </c>
      <c r="I306" s="13" t="n">
        <f aca="false">IFERROR(__xludf.dummyfunction("""COMPUTED_VALUE"""),1)</f>
        <v>1</v>
      </c>
      <c r="J306" s="13" t="n">
        <f aca="false">IFERROR(__xludf.dummyfunction("""COMPUTED_VALUE"""),677.4)</f>
        <v>677.4</v>
      </c>
      <c r="K306" s="13" t="n">
        <f aca="false">IFERROR(__xludf.dummyfunction("""COMPUTED_VALUE"""),677.4)</f>
        <v>677.4</v>
      </c>
      <c r="L306" s="13" t="str">
        <f aca="false">IFERROR(__xludf.dummyfunction("""COMPUTED_VALUE"""),"[Code: 577DGL] TA: Found in loose condition during Loading")</f>
        <v>[Code: 577DGL] TA: Found in loose condition during Loading</v>
      </c>
      <c r="M306" s="13" t="str">
        <f aca="false">IFERROR(__xludf.dummyfunction("""COMPUTED_VALUE"""),"577DGL")</f>
        <v>577DGL</v>
      </c>
      <c r="N306" s="13"/>
      <c r="O306" s="13" t="str">
        <f aca="false">IFERROR(__xludf.dummyfunction("""COMPUTED_VALUE"""),"taufeeq.akhtar@tajir-app.com")</f>
        <v>taufeeq.akhtar@tajir-app.com</v>
      </c>
      <c r="P306" s="13" t="str">
        <f aca="false">IFERROR(__xludf.dummyfunction("""COMPUTED_VALUE"""),"Taufeeq Akhtar ")</f>
        <v>Taufeeq Akhtar </v>
      </c>
      <c r="Q306" s="13" t="str">
        <f aca="false">IF(L306="","",L306)</f>
        <v>[Code: 577DGL] TA: Found in loose condition during Loading</v>
      </c>
    </row>
    <row r="307" customFormat="false" ht="15.75" hidden="false" customHeight="false" outlineLevel="0" collapsed="false">
      <c r="A307" s="13" t="str">
        <f aca="false">IFERROR(__xludf.dummyfunction("""COMPUTED_VALUE"""),"Metro DC Faisalabad")</f>
        <v>Metro DC Faisalabad</v>
      </c>
      <c r="B307" s="13" t="str">
        <f aca="false">IFERROR(__xludf.dummyfunction("""COMPUTED_VALUE"""),"cd68a607-af95-45cb-b9f4-2721224c85f8")</f>
        <v>cd68a607-af95-45cb-b9f4-2721224c85f8</v>
      </c>
      <c r="C307" s="13" t="str">
        <f aca="false">IFERROR(__xludf.dummyfunction("""COMPUTED_VALUE"""),"Coca Cola plastic 1.5L")</f>
        <v>Coca Cola plastic 1.5L</v>
      </c>
      <c r="D307" s="13" t="str">
        <f aca="false">IFERROR(__xludf.dummyfunction("""COMPUTED_VALUE"""),"Coca Cola")</f>
        <v>Coca Cola</v>
      </c>
      <c r="E307" s="13" t="str">
        <f aca="false">IFERROR(__xludf.dummyfunction("""COMPUTED_VALUE"""),"Beverages")</f>
        <v>Beverages</v>
      </c>
      <c r="F307" s="11" t="n">
        <f aca="false">IFERROR(__xludf.dummyfunction("""COMPUTED_VALUE"""),45115)</f>
        <v>45115</v>
      </c>
      <c r="G307" s="16" t="n">
        <f aca="false">IFERROR(__xludf.dummyfunction("""COMPUTED_VALUE"""),0.887265925924406)</f>
        <v>0.8872659259</v>
      </c>
      <c r="H307" s="13" t="str">
        <f aca="false">IFERROR(__xludf.dummyfunction("""COMPUTED_VALUE"""),"damaged stock")</f>
        <v>damaged stock</v>
      </c>
      <c r="I307" s="13" t="n">
        <f aca="false">IFERROR(__xludf.dummyfunction("""COMPUTED_VALUE"""),1)</f>
        <v>1</v>
      </c>
      <c r="J307" s="13" t="n">
        <f aca="false">IFERROR(__xludf.dummyfunction("""COMPUTED_VALUE"""),872)</f>
        <v>872</v>
      </c>
      <c r="K307" s="13" t="n">
        <f aca="false">IFERROR(__xludf.dummyfunction("""COMPUTED_VALUE"""),872)</f>
        <v>872</v>
      </c>
      <c r="L307" s="13" t="str">
        <f aca="false">IFERROR(__xludf.dummyfunction("""COMPUTED_VALUE"""),"[Code: 6BCDEE]  TA: Found in loose and empty bottels during sorting.")</f>
        <v>[Code: 6BCDEE]  TA: Found in loose and empty bottels during sorting.</v>
      </c>
      <c r="M307" s="13" t="str">
        <f aca="false">IFERROR(__xludf.dummyfunction("""COMPUTED_VALUE"""),"6BCDEE")</f>
        <v>6BCDEE</v>
      </c>
      <c r="N307" s="13"/>
      <c r="O307" s="13" t="str">
        <f aca="false">IFERROR(__xludf.dummyfunction("""COMPUTED_VALUE"""),"taufeeq.akhtar@tajir-app.com")</f>
        <v>taufeeq.akhtar@tajir-app.com</v>
      </c>
      <c r="P307" s="13" t="str">
        <f aca="false">IFERROR(__xludf.dummyfunction("""COMPUTED_VALUE"""),"Taufeeq Akhtar ")</f>
        <v>Taufeeq Akhtar </v>
      </c>
      <c r="Q307" s="13" t="str">
        <f aca="false">IF(L307="","",L307)</f>
        <v>[Code: 6BCDEE]  TA: Found in loose and empty bottels during sorting.</v>
      </c>
    </row>
    <row r="308" customFormat="false" ht="15.75" hidden="false" customHeight="false" outlineLevel="0" collapsed="false">
      <c r="A308" s="13" t="str">
        <f aca="false">IFERROR(__xludf.dummyfunction("""COMPUTED_VALUE"""),"Metro DC Faisalabad")</f>
        <v>Metro DC Faisalabad</v>
      </c>
      <c r="B308" s="13" t="str">
        <f aca="false">IFERROR(__xludf.dummyfunction("""COMPUTED_VALUE"""),"e704339c-42c0-48de-92ab-39348129ef53")</f>
        <v>e704339c-42c0-48de-92ab-39348129ef53</v>
      </c>
      <c r="C308" s="13" t="str">
        <f aca="false">IFERROR(__xludf.dummyfunction("""COMPUTED_VALUE"""),"7up plastic 1L")</f>
        <v>7up plastic 1L</v>
      </c>
      <c r="D308" s="13" t="str">
        <f aca="false">IFERROR(__xludf.dummyfunction("""COMPUTED_VALUE"""),"7up")</f>
        <v>7up</v>
      </c>
      <c r="E308" s="13" t="str">
        <f aca="false">IFERROR(__xludf.dummyfunction("""COMPUTED_VALUE"""),"Beverages")</f>
        <v>Beverages</v>
      </c>
      <c r="F308" s="11" t="n">
        <f aca="false">IFERROR(__xludf.dummyfunction("""COMPUTED_VALUE"""),45115)</f>
        <v>45115</v>
      </c>
      <c r="G308" s="16" t="n">
        <f aca="false">IFERROR(__xludf.dummyfunction("""COMPUTED_VALUE"""),0.886173298609925)</f>
        <v>0.8861732986</v>
      </c>
      <c r="H308" s="13" t="str">
        <f aca="false">IFERROR(__xludf.dummyfunction("""COMPUTED_VALUE"""),"damaged stock")</f>
        <v>damaged stock</v>
      </c>
      <c r="I308" s="13" t="n">
        <f aca="false">IFERROR(__xludf.dummyfunction("""COMPUTED_VALUE"""),1)</f>
        <v>1</v>
      </c>
      <c r="J308" s="13" t="n">
        <f aca="false">IFERROR(__xludf.dummyfunction("""COMPUTED_VALUE"""),576)</f>
        <v>576</v>
      </c>
      <c r="K308" s="13" t="n">
        <f aca="false">IFERROR(__xludf.dummyfunction("""COMPUTED_VALUE"""),576)</f>
        <v>576</v>
      </c>
      <c r="L308" s="13" t="str">
        <f aca="false">IFERROR(__xludf.dummyfunction("""COMPUTED_VALUE"""),"[Code: 9ABDHP]  TA: Found in loose condition during sorting")</f>
        <v>[Code: 9ABDHP]  TA: Found in loose condition during sorting</v>
      </c>
      <c r="M308" s="13" t="str">
        <f aca="false">IFERROR(__xludf.dummyfunction("""COMPUTED_VALUE"""),"9ABDHP")</f>
        <v>9ABDHP</v>
      </c>
      <c r="N308" s="13"/>
      <c r="O308" s="13" t="str">
        <f aca="false">IFERROR(__xludf.dummyfunction("""COMPUTED_VALUE"""),"taufeeq.akhtar@tajir-app.com")</f>
        <v>taufeeq.akhtar@tajir-app.com</v>
      </c>
      <c r="P308" s="13" t="str">
        <f aca="false">IFERROR(__xludf.dummyfunction("""COMPUTED_VALUE"""),"Taufeeq Akhtar ")</f>
        <v>Taufeeq Akhtar </v>
      </c>
      <c r="Q308" s="13" t="str">
        <f aca="false">IF(L308="","",L308)</f>
        <v>[Code: 9ABDHP]  TA: Found in loose condition during sorting</v>
      </c>
    </row>
    <row r="309" customFormat="false" ht="15.75" hidden="false" customHeight="false" outlineLevel="0" collapsed="false">
      <c r="A309" s="13" t="str">
        <f aca="false">IFERROR(__xludf.dummyfunction("""COMPUTED_VALUE"""),"Metro DC Faisalabad")</f>
        <v>Metro DC Faisalabad</v>
      </c>
      <c r="B309" s="13" t="str">
        <f aca="false">IFERROR(__xludf.dummyfunction("""COMPUTED_VALUE"""),"91b8b9c1-7e40-45bd-8bc6-e6126047f1d6")</f>
        <v>91b8b9c1-7e40-45bd-8bc6-e6126047f1d6</v>
      </c>
      <c r="C309" s="13" t="str">
        <f aca="false">IFERROR(__xludf.dummyfunction("""COMPUTED_VALUE"""),"Al-Munawar Zahedi Dates 500g")</f>
        <v>Al-Munawar Zahedi Dates 500g</v>
      </c>
      <c r="D309" s="13" t="str">
        <f aca="false">IFERROR(__xludf.dummyfunction("""COMPUTED_VALUE"""),"Al-Munawar")</f>
        <v>Al-Munawar</v>
      </c>
      <c r="E309" s="13" t="str">
        <f aca="false">IFERROR(__xludf.dummyfunction("""COMPUTED_VALUE"""),"Khajoor &amp; Pakoriyan")</f>
        <v>Khajoor &amp; Pakoriyan</v>
      </c>
      <c r="F309" s="11" t="n">
        <f aca="false">IFERROR(__xludf.dummyfunction("""COMPUTED_VALUE"""),45116)</f>
        <v>45116</v>
      </c>
      <c r="G309" s="16" t="n">
        <f aca="false">IFERROR(__xludf.dummyfunction("""COMPUTED_VALUE"""),0.942694155093245)</f>
        <v>0.9426941551</v>
      </c>
      <c r="H309" s="13" t="str">
        <f aca="false">IFERROR(__xludf.dummyfunction("""COMPUTED_VALUE"""),"missing stock")</f>
        <v>missing stock</v>
      </c>
      <c r="I309" s="13" t="n">
        <f aca="false">IFERROR(__xludf.dummyfunction("""COMPUTED_VALUE"""),2)</f>
        <v>2</v>
      </c>
      <c r="J309" s="13" t="n">
        <f aca="false">IFERROR(__xludf.dummyfunction("""COMPUTED_VALUE"""),300)</f>
        <v>300</v>
      </c>
      <c r="K309" s="13" t="n">
        <f aca="false">IFERROR(__xludf.dummyfunction("""COMPUTED_VALUE"""),600)</f>
        <v>600</v>
      </c>
      <c r="L309" s="13" t="str">
        <f aca="false">IFERROR(__xludf.dummyfunction("""COMPUTED_VALUE"""),"TA; the sku not avilable ")</f>
        <v>TA; the sku not avilable </v>
      </c>
      <c r="M309" s="13"/>
      <c r="N309" s="13"/>
      <c r="O309" s="13" t="str">
        <f aca="false">IFERROR(__xludf.dummyfunction("""COMPUTED_VALUE"""),"taufeeq.akhtar@tajir-app.com")</f>
        <v>taufeeq.akhtar@tajir-app.com</v>
      </c>
      <c r="P309" s="13" t="str">
        <f aca="false">IFERROR(__xludf.dummyfunction("""COMPUTED_VALUE"""),"Taufeeq Akhtar ")</f>
        <v>Taufeeq Akhtar </v>
      </c>
      <c r="Q309" s="13" t="str">
        <f aca="false">IF(L309="","",L309)</f>
        <v>TA; the sku not avilable </v>
      </c>
    </row>
    <row r="310" customFormat="false" ht="15.75" hidden="false" customHeight="false" outlineLevel="0" collapsed="false">
      <c r="A310" s="13" t="str">
        <f aca="false">IFERROR(__xludf.dummyfunction("""COMPUTED_VALUE"""),"Metro DC Faisalabad")</f>
        <v>Metro DC Faisalabad</v>
      </c>
      <c r="B310" s="13" t="str">
        <f aca="false">IFERROR(__xludf.dummyfunction("""COMPUTED_VALUE"""),"7c2b8ffc-a709-4cae-922c-ba2811c9531f")</f>
        <v>7c2b8ffc-a709-4cae-922c-ba2811c9531f</v>
      </c>
      <c r="C310" s="13" t="str">
        <f aca="false">IFERROR(__xludf.dummyfunction("""COMPUTED_VALUE"""),"Chill Up Salted Lemon Can x12 Crate 250ml")</f>
        <v>Chill Up Salted Lemon Can x12 Crate 250ml</v>
      </c>
      <c r="D310" s="13" t="str">
        <f aca="false">IFERROR(__xludf.dummyfunction("""COMPUTED_VALUE"""),"Chill Up")</f>
        <v>Chill Up</v>
      </c>
      <c r="E310" s="13" t="str">
        <f aca="false">IFERROR(__xludf.dummyfunction("""COMPUTED_VALUE"""),"Beverages")</f>
        <v>Beverages</v>
      </c>
      <c r="F310" s="11" t="n">
        <f aca="false">IFERROR(__xludf.dummyfunction("""COMPUTED_VALUE"""),45116)</f>
        <v>45116</v>
      </c>
      <c r="G310" s="16" t="n">
        <f aca="false">IFERROR(__xludf.dummyfunction("""COMPUTED_VALUE"""),0.84852858796444)</f>
        <v>0.848528588</v>
      </c>
      <c r="H310" s="13" t="str">
        <f aca="false">IFERROR(__xludf.dummyfunction("""COMPUTED_VALUE"""),"damaged stock")</f>
        <v>damaged stock</v>
      </c>
      <c r="I310" s="13" t="n">
        <f aca="false">IFERROR(__xludf.dummyfunction("""COMPUTED_VALUE"""),1)</f>
        <v>1</v>
      </c>
      <c r="J310" s="13" t="n">
        <f aca="false">IFERROR(__xludf.dummyfunction("""COMPUTED_VALUE"""),994.35)</f>
        <v>994.35</v>
      </c>
      <c r="K310" s="13" t="n">
        <f aca="false">IFERROR(__xludf.dummyfunction("""COMPUTED_VALUE"""),994.35)</f>
        <v>994.35</v>
      </c>
      <c r="L310" s="13" t="str">
        <f aca="false">IFERROR(__xludf.dummyfunction("""COMPUTED_VALUE"""),"[Code: 35578A] TA:Found few bottels damaged during sorting.")</f>
        <v>[Code: 35578A] TA:Found few bottels damaged during sorting.</v>
      </c>
      <c r="M310" s="13" t="str">
        <f aca="false">IFERROR(__xludf.dummyfunction("""COMPUTED_VALUE"""),"35578A")</f>
        <v>35578A</v>
      </c>
      <c r="N310" s="13"/>
      <c r="O310" s="13" t="str">
        <f aca="false">IFERROR(__xludf.dummyfunction("""COMPUTED_VALUE"""),"taufeeq.akhtar@tajir-app.com")</f>
        <v>taufeeq.akhtar@tajir-app.com</v>
      </c>
      <c r="P310" s="13" t="str">
        <f aca="false">IFERROR(__xludf.dummyfunction("""COMPUTED_VALUE"""),"Taufeeq Akhtar ")</f>
        <v>Taufeeq Akhtar </v>
      </c>
      <c r="Q310" s="13" t="str">
        <f aca="false">IF(L310="","",L310)</f>
        <v>[Code: 35578A] TA:Found few bottels damaged during sorting.</v>
      </c>
    </row>
    <row r="311" customFormat="false" ht="15.75" hidden="false" customHeight="false" outlineLevel="0" collapsed="false">
      <c r="A311" s="13" t="str">
        <f aca="false">IFERROR(__xludf.dummyfunction("""COMPUTED_VALUE"""),"Metro DC Faisalabad")</f>
        <v>Metro DC Faisalabad</v>
      </c>
      <c r="B311" s="13" t="str">
        <f aca="false">IFERROR(__xludf.dummyfunction("""COMPUTED_VALUE"""),"0eac6d2f-01cf-4c5c-b580-2e1371626413")</f>
        <v>0eac6d2f-01cf-4c5c-b580-2e1371626413</v>
      </c>
      <c r="C311" s="13" t="str">
        <f aca="false">IFERROR(__xludf.dummyfunction("""COMPUTED_VALUE"""),"Kolson Jam Hearts Strawberry and Vanilla Biscuits Snack Pack 6pcs Rs30")</f>
        <v>Kolson Jam Hearts Strawberry and Vanilla Biscuits Snack Pack 6pcs Rs30</v>
      </c>
      <c r="D311" s="13" t="str">
        <f aca="false">IFERROR(__xludf.dummyfunction("""COMPUTED_VALUE"""),"Kolson")</f>
        <v>Kolson</v>
      </c>
      <c r="E311" s="13" t="str">
        <f aca="false">IFERROR(__xludf.dummyfunction("""COMPUTED_VALUE"""),"Biscuits, Wafers")</f>
        <v>Biscuits, Wafers</v>
      </c>
      <c r="F311" s="11" t="n">
        <f aca="false">IFERROR(__xludf.dummyfunction("""COMPUTED_VALUE"""),45116)</f>
        <v>45116</v>
      </c>
      <c r="G311" s="16" t="n">
        <f aca="false">IFERROR(__xludf.dummyfunction("""COMPUTED_VALUE"""),0.742285497685002)</f>
        <v>0.7422854977</v>
      </c>
      <c r="H311" s="13" t="str">
        <f aca="false">IFERROR(__xludf.dummyfunction("""COMPUTED_VALUE"""),"expired stock")</f>
        <v>expired stock</v>
      </c>
      <c r="I311" s="13" t="n">
        <f aca="false">IFERROR(__xludf.dummyfunction("""COMPUTED_VALUE"""),203)</f>
        <v>203</v>
      </c>
      <c r="J311" s="13" t="n">
        <f aca="false">IFERROR(__xludf.dummyfunction("""COMPUTED_VALUE"""),159.81)</f>
        <v>159.81</v>
      </c>
      <c r="K311" s="13" t="n">
        <f aca="false">IFERROR(__xludf.dummyfunction("""COMPUTED_VALUE"""),32441.43)</f>
        <v>32441.43</v>
      </c>
      <c r="L311" s="13" t="str">
        <f aca="false">IFERROR(__xludf.dummyfunction("""COMPUTED_VALUE"""),"[Code: 278FFJ] [Expiry: 4 Aug, 2023] AR: Stock removed due to short Expiry")</f>
        <v>[Code: 278FFJ] [Expiry: 4 Aug, 2023] AR: Stock removed due to short Expiry</v>
      </c>
      <c r="M311" s="13" t="str">
        <f aca="false">IFERROR(__xludf.dummyfunction("""COMPUTED_VALUE"""),"278FFJ")</f>
        <v>278FFJ</v>
      </c>
      <c r="N311" s="13" t="str">
        <f aca="false">IFERROR(__xludf.dummyfunction("""COMPUTED_VALUE"""),"4 Aug, 2023")</f>
        <v>4 Aug, 2023</v>
      </c>
      <c r="O311" s="13" t="str">
        <f aca="false">IFERROR(__xludf.dummyfunction("""COMPUTED_VALUE"""),"ali.raza@tajir-app.com")</f>
        <v>ali.raza@tajir-app.com</v>
      </c>
      <c r="P311" s="13" t="str">
        <f aca="false">IFERROR(__xludf.dummyfunction("""COMPUTED_VALUE"""),"Ali Raza ")</f>
        <v>Ali Raza </v>
      </c>
      <c r="Q311" s="13" t="str">
        <f aca="false">IF(L311="","",L311)</f>
        <v>[Code: 278FFJ] [Expiry: 4 Aug, 2023] AR: Stock removed due to short Expiry</v>
      </c>
    </row>
    <row r="312" customFormat="false" ht="15.75" hidden="false" customHeight="false" outlineLevel="0" collapsed="false">
      <c r="A312" s="13" t="str">
        <f aca="false">IFERROR(__xludf.dummyfunction("""COMPUTED_VALUE"""),"Metro DC Faisalabad")</f>
        <v>Metro DC Faisalabad</v>
      </c>
      <c r="B312" s="13" t="str">
        <f aca="false">IFERROR(__xludf.dummyfunction("""COMPUTED_VALUE"""),"0d2f17bc-36e0-41fe-b498-89a7a8a34416")</f>
        <v>0d2f17bc-36e0-41fe-b498-89a7a8a34416</v>
      </c>
      <c r="C312" s="13" t="str">
        <f aca="false">IFERROR(__xludf.dummyfunction("""COMPUTED_VALUE"""),"Brite Surf x12 bundle 23g Rs 10")</f>
        <v>Brite Surf x12 bundle 23g Rs 10</v>
      </c>
      <c r="D312" s="13" t="str">
        <f aca="false">IFERROR(__xludf.dummyfunction("""COMPUTED_VALUE"""),"Brite Surf")</f>
        <v>Brite Surf</v>
      </c>
      <c r="E312" s="13" t="str">
        <f aca="false">IFERROR(__xludf.dummyfunction("""COMPUTED_VALUE"""),"Surf, Bleach")</f>
        <v>Surf, Bleach</v>
      </c>
      <c r="F312" s="11" t="n">
        <f aca="false">IFERROR(__xludf.dummyfunction("""COMPUTED_VALUE"""),45116)</f>
        <v>45116</v>
      </c>
      <c r="G312" s="16" t="n">
        <f aca="false">IFERROR(__xludf.dummyfunction("""COMPUTED_VALUE"""),0.00119193286985297)</f>
        <v>0.00119193287</v>
      </c>
      <c r="H312" s="13" t="str">
        <f aca="false">IFERROR(__xludf.dummyfunction("""COMPUTED_VALUE"""),"damaged stock")</f>
        <v>damaged stock</v>
      </c>
      <c r="I312" s="13" t="n">
        <f aca="false">IFERROR(__xludf.dummyfunction("""COMPUTED_VALUE"""),1)</f>
        <v>1</v>
      </c>
      <c r="J312" s="13" t="n">
        <f aca="false">IFERROR(__xludf.dummyfunction("""COMPUTED_VALUE"""),107.91)</f>
        <v>107.91</v>
      </c>
      <c r="K312" s="13" t="n">
        <f aca="false">IFERROR(__xludf.dummyfunction("""COMPUTED_VALUE"""),107.91)</f>
        <v>107.91</v>
      </c>
      <c r="L312" s="13" t="str">
        <f aca="false">IFERROR(__xludf.dummyfunction("""COMPUTED_VALUE"""),"[Code: 33689A] TA:bag may say damaged nikla display k doran.")</f>
        <v>[Code: 33689A] TA:bag may say damaged nikla display k doran.</v>
      </c>
      <c r="M312" s="13" t="str">
        <f aca="false">IFERROR(__xludf.dummyfunction("""COMPUTED_VALUE"""),"33689A")</f>
        <v>33689A</v>
      </c>
      <c r="N312" s="13"/>
      <c r="O312" s="13" t="str">
        <f aca="false">IFERROR(__xludf.dummyfunction("""COMPUTED_VALUE"""),"taufeeq.akhtar@tajir-app.com")</f>
        <v>taufeeq.akhtar@tajir-app.com</v>
      </c>
      <c r="P312" s="13" t="str">
        <f aca="false">IFERROR(__xludf.dummyfunction("""COMPUTED_VALUE"""),"Taufeeq Akhtar ")</f>
        <v>Taufeeq Akhtar </v>
      </c>
      <c r="Q312" s="13" t="str">
        <f aca="false">IF(L312="","",L312)</f>
        <v>[Code: 33689A] TA:bag may say damaged nikla display k doran.</v>
      </c>
    </row>
    <row r="313" customFormat="false" ht="15.75" hidden="false" customHeight="false" outlineLevel="0" collapsed="false">
      <c r="A313" s="13" t="str">
        <f aca="false">IFERROR(__xludf.dummyfunction("""COMPUTED_VALUE"""),"Metro DC Faisalabad")</f>
        <v>Metro DC Faisalabad</v>
      </c>
      <c r="B313" s="13" t="str">
        <f aca="false">IFERROR(__xludf.dummyfunction("""COMPUTED_VALUE"""),"738b3bdb-3b9e-4c0a-a6fa-18a670c5bcba")</f>
        <v>738b3bdb-3b9e-4c0a-a6fa-18a670c5bcba</v>
      </c>
      <c r="C313" s="13" t="str">
        <f aca="false">IFERROR(__xludf.dummyfunction("""COMPUTED_VALUE"""),"Bonus tristar yellow surf 240g Rs50")</f>
        <v>Bonus tristar yellow surf 240g Rs50</v>
      </c>
      <c r="D313" s="13" t="str">
        <f aca="false">IFERROR(__xludf.dummyfunction("""COMPUTED_VALUE"""),"Bonus Surf")</f>
        <v>Bonus Surf</v>
      </c>
      <c r="E313" s="13" t="str">
        <f aca="false">IFERROR(__xludf.dummyfunction("""COMPUTED_VALUE"""),"Surf, Bleach")</f>
        <v>Surf, Bleach</v>
      </c>
      <c r="F313" s="11" t="n">
        <f aca="false">IFERROR(__xludf.dummyfunction("""COMPUTED_VALUE"""),45116)</f>
        <v>45116</v>
      </c>
      <c r="G313" s="16" t="n">
        <f aca="false">IFERROR(__xludf.dummyfunction("""COMPUTED_VALUE"""),0.000227314815289099)</f>
        <v>0.0002273148153</v>
      </c>
      <c r="H313" s="13" t="str">
        <f aca="false">IFERROR(__xludf.dummyfunction("""COMPUTED_VALUE"""),"damaged stock")</f>
        <v>damaged stock</v>
      </c>
      <c r="I313" s="13" t="n">
        <f aca="false">IFERROR(__xludf.dummyfunction("""COMPUTED_VALUE"""),2)</f>
        <v>2</v>
      </c>
      <c r="J313" s="13" t="n">
        <f aca="false">IFERROR(__xludf.dummyfunction("""COMPUTED_VALUE"""),45.59)</f>
        <v>45.59</v>
      </c>
      <c r="K313" s="13" t="n">
        <f aca="false">IFERROR(__xludf.dummyfunction("""COMPUTED_VALUE"""),91.18)</f>
        <v>91.18</v>
      </c>
      <c r="L313" s="13" t="str">
        <f aca="false">IFERROR(__xludf.dummyfunction("""COMPUTED_VALUE"""),"[Code: 678ADD] TA:bag may say damaged niklay display k doran.")</f>
        <v>[Code: 678ADD] TA:bag may say damaged niklay display k doran.</v>
      </c>
      <c r="M313" s="13" t="str">
        <f aca="false">IFERROR(__xludf.dummyfunction("""COMPUTED_VALUE"""),"678ADD")</f>
        <v>678ADD</v>
      </c>
      <c r="N313" s="13"/>
      <c r="O313" s="13" t="str">
        <f aca="false">IFERROR(__xludf.dummyfunction("""COMPUTED_VALUE"""),"taufeeq.akhtar@tajir-app.com")</f>
        <v>taufeeq.akhtar@tajir-app.com</v>
      </c>
      <c r="P313" s="13" t="str">
        <f aca="false">IFERROR(__xludf.dummyfunction("""COMPUTED_VALUE"""),"Taufeeq Akhtar ")</f>
        <v>Taufeeq Akhtar </v>
      </c>
      <c r="Q313" s="13" t="str">
        <f aca="false">IF(L313="","",L313)</f>
        <v>[Code: 678ADD] TA:bag may say damaged niklay display k doran.</v>
      </c>
    </row>
    <row r="314" customFormat="false" ht="15.75" hidden="false" customHeight="false" outlineLevel="0" collapsed="false">
      <c r="A314" s="13" t="str">
        <f aca="false">IFERROR(__xludf.dummyfunction("""COMPUTED_VALUE"""),"Metro DC Faisalabad")</f>
        <v>Metro DC Faisalabad</v>
      </c>
      <c r="B314" s="13" t="str">
        <f aca="false">IFERROR(__xludf.dummyfunction("""COMPUTED_VALUE"""),"baa38c91-1e0b-4e3a-a7a6-8e660f88175a")</f>
        <v>baa38c91-1e0b-4e3a-a7a6-8e660f88175a</v>
      </c>
      <c r="C314" s="13" t="str">
        <f aca="false">IFERROR(__xludf.dummyfunction("""COMPUTED_VALUE"""),"Candyland Yums Sour Rs10 (Green)")</f>
        <v>Candyland Yums Sour Rs10 (Green)</v>
      </c>
      <c r="D314" s="13" t="str">
        <f aca="false">IFERROR(__xludf.dummyfunction("""COMPUTED_VALUE"""),"Candyland")</f>
        <v>Candyland</v>
      </c>
      <c r="E314" s="13" t="str">
        <f aca="false">IFERROR(__xludf.dummyfunction("""COMPUTED_VALUE"""),"Confectionary")</f>
        <v>Confectionary</v>
      </c>
      <c r="F314" s="11" t="n">
        <f aca="false">IFERROR(__xludf.dummyfunction("""COMPUTED_VALUE"""),45117)</f>
        <v>45117</v>
      </c>
      <c r="G314" s="16" t="n">
        <f aca="false">IFERROR(__xludf.dummyfunction("""COMPUTED_VALUE"""),0.980320115740595)</f>
        <v>0.9803201157</v>
      </c>
      <c r="H314" s="13" t="str">
        <f aca="false">IFERROR(__xludf.dummyfunction("""COMPUTED_VALUE"""),"missing stock")</f>
        <v>missing stock</v>
      </c>
      <c r="I314" s="13" t="n">
        <f aca="false">IFERROR(__xludf.dummyfunction("""COMPUTED_VALUE"""),1)</f>
        <v>1</v>
      </c>
      <c r="J314" s="13" t="n">
        <f aca="false">IFERROR(__xludf.dummyfunction("""COMPUTED_VALUE"""),148.55)</f>
        <v>148.55</v>
      </c>
      <c r="K314" s="13" t="n">
        <f aca="false">IFERROR(__xludf.dummyfunction("""COMPUTED_VALUE"""),148.55)</f>
        <v>148.55</v>
      </c>
      <c r="L314" s="13" t="str">
        <f aca="false">IFERROR(__xludf.dummyfunction("""COMPUTED_VALUE"""),"TA; The requried sku not found")</f>
        <v>TA; The requried sku not found</v>
      </c>
      <c r="M314" s="13"/>
      <c r="N314" s="13"/>
      <c r="O314" s="13" t="str">
        <f aca="false">IFERROR(__xludf.dummyfunction("""COMPUTED_VALUE"""),"taufeeq.akhtar@tajir-app.com")</f>
        <v>taufeeq.akhtar@tajir-app.com</v>
      </c>
      <c r="P314" s="13" t="str">
        <f aca="false">IFERROR(__xludf.dummyfunction("""COMPUTED_VALUE"""),"Taufeeq Akhtar ")</f>
        <v>Taufeeq Akhtar </v>
      </c>
      <c r="Q314" s="13" t="str">
        <f aca="false">IF(L314="","",L314)</f>
        <v>TA; The requried sku not found</v>
      </c>
    </row>
    <row r="315" customFormat="false" ht="15.75" hidden="false" customHeight="false" outlineLevel="0" collapsed="false">
      <c r="A315" s="13" t="str">
        <f aca="false">IFERROR(__xludf.dummyfunction("""COMPUTED_VALUE"""),"Metro DC Faisalabad")</f>
        <v>Metro DC Faisalabad</v>
      </c>
      <c r="B315" s="13" t="str">
        <f aca="false">IFERROR(__xludf.dummyfunction("""COMPUTED_VALUE"""),"717c11ae-c3bc-4378-a184-2154badcf63d")</f>
        <v>717c11ae-c3bc-4378-a184-2154badcf63d</v>
      </c>
      <c r="C315" s="13" t="str">
        <f aca="false">IFERROR(__xludf.dummyfunction("""COMPUTED_VALUE"""),"Quality Grains Daal Mash Wash 500g")</f>
        <v>Quality Grains Daal Mash Wash 500g</v>
      </c>
      <c r="D315" s="13" t="str">
        <f aca="false">IFERROR(__xludf.dummyfunction("""COMPUTED_VALUE"""),"Quality Grains")</f>
        <v>Quality Grains</v>
      </c>
      <c r="E315" s="13" t="str">
        <f aca="false">IFERROR(__xludf.dummyfunction("""COMPUTED_VALUE"""),"Pulses")</f>
        <v>Pulses</v>
      </c>
      <c r="F315" s="11" t="n">
        <f aca="false">IFERROR(__xludf.dummyfunction("""COMPUTED_VALUE"""),45117)</f>
        <v>45117</v>
      </c>
      <c r="G315" s="16" t="n">
        <f aca="false">IFERROR(__xludf.dummyfunction("""COMPUTED_VALUE"""),0.976897743054914)</f>
        <v>0.9768977431</v>
      </c>
      <c r="H315" s="13" t="str">
        <f aca="false">IFERROR(__xludf.dummyfunction("""COMPUTED_VALUE"""),"damaged stock")</f>
        <v>damaged stock</v>
      </c>
      <c r="I315" s="13" t="n">
        <f aca="false">IFERROR(__xludf.dummyfunction("""COMPUTED_VALUE"""),6)</f>
        <v>6</v>
      </c>
      <c r="J315" s="13" t="n">
        <f aca="false">IFERROR(__xludf.dummyfunction("""COMPUTED_VALUE"""),246)</f>
        <v>246</v>
      </c>
      <c r="K315" s="13" t="n">
        <f aca="false">IFERROR(__xludf.dummyfunction("""COMPUTED_VALUE"""),1476)</f>
        <v>1476</v>
      </c>
      <c r="L315" s="13" t="str">
        <f aca="false">IFERROR(__xludf.dummyfunction("""COMPUTED_VALUE"""),"[Code: 299BDE] TA: Aik unit ki quality sahi nahi thi or 5 units floor pr available nahi thay...")</f>
        <v>[Code: 299BDE] TA: Aik unit ki quality sahi nahi thi or 5 units floor pr available nahi thay...</v>
      </c>
      <c r="M315" s="13" t="str">
        <f aca="false">IFERROR(__xludf.dummyfunction("""COMPUTED_VALUE"""),"299BDE")</f>
        <v>299BDE</v>
      </c>
      <c r="N315" s="13"/>
      <c r="O315" s="13" t="str">
        <f aca="false">IFERROR(__xludf.dummyfunction("""COMPUTED_VALUE"""),"taufeeq.akhtar@tajir-app.com")</f>
        <v>taufeeq.akhtar@tajir-app.com</v>
      </c>
      <c r="P315" s="13" t="str">
        <f aca="false">IFERROR(__xludf.dummyfunction("""COMPUTED_VALUE"""),"Taufeeq Akhtar ")</f>
        <v>Taufeeq Akhtar </v>
      </c>
      <c r="Q315" s="13" t="str">
        <f aca="false">IF(L315="","",L315)</f>
        <v>[Code: 299BDE] TA: Aik unit ki quality sahi nahi thi or 5 units floor pr available nahi thay...</v>
      </c>
    </row>
    <row r="316" customFormat="false" ht="15.75" hidden="false" customHeight="false" outlineLevel="0" collapsed="false">
      <c r="A316" s="13" t="str">
        <f aca="false">IFERROR(__xludf.dummyfunction("""COMPUTED_VALUE"""),"Metro DC Faisalabad")</f>
        <v>Metro DC Faisalabad</v>
      </c>
      <c r="B316" s="13" t="str">
        <f aca="false">IFERROR(__xludf.dummyfunction("""COMPUTED_VALUE"""),"671572b4-dd58-442e-8057-59bc8f59fb09")</f>
        <v>671572b4-dd58-442e-8057-59bc8f59fb09</v>
      </c>
      <c r="C316" s="13" t="str">
        <f aca="false">IFERROR(__xludf.dummyfunction("""COMPUTED_VALUE"""),"Quality Grains Daal Mash Wash 1kg")</f>
        <v>Quality Grains Daal Mash Wash 1kg</v>
      </c>
      <c r="D316" s="13" t="str">
        <f aca="false">IFERROR(__xludf.dummyfunction("""COMPUTED_VALUE"""),"Quality Grains")</f>
        <v>Quality Grains</v>
      </c>
      <c r="E316" s="13" t="str">
        <f aca="false">IFERROR(__xludf.dummyfunction("""COMPUTED_VALUE"""),"Pulses")</f>
        <v>Pulses</v>
      </c>
      <c r="F316" s="11" t="n">
        <f aca="false">IFERROR(__xludf.dummyfunction("""COMPUTED_VALUE"""),45117)</f>
        <v>45117</v>
      </c>
      <c r="G316" s="16" t="n">
        <f aca="false">IFERROR(__xludf.dummyfunction("""COMPUTED_VALUE"""),0.971791620369826)</f>
        <v>0.9717916204</v>
      </c>
      <c r="H316" s="13" t="str">
        <f aca="false">IFERROR(__xludf.dummyfunction("""COMPUTED_VALUE"""),"damaged stock")</f>
        <v>damaged stock</v>
      </c>
      <c r="I316" s="13" t="n">
        <f aca="false">IFERROR(__xludf.dummyfunction("""COMPUTED_VALUE"""),6)</f>
        <v>6</v>
      </c>
      <c r="J316" s="13" t="n">
        <f aca="false">IFERROR(__xludf.dummyfunction("""COMPUTED_VALUE"""),500)</f>
        <v>500</v>
      </c>
      <c r="K316" s="13" t="n">
        <f aca="false">IFERROR(__xludf.dummyfunction("""COMPUTED_VALUE"""),3000)</f>
        <v>3000</v>
      </c>
      <c r="L316" s="13" t="str">
        <f aca="false">IFERROR(__xludf.dummyfunction("""COMPUTED_VALUE"""),"[Code: 679AAA] TA: aik unit para hay lakin quality  sahi nahi or 5 unit floor pr available nahi hay.")</f>
        <v>[Code: 679AAA] TA: aik unit para hay lakin quality  sahi nahi or 5 unit floor pr available nahi hay.</v>
      </c>
      <c r="M316" s="13" t="str">
        <f aca="false">IFERROR(__xludf.dummyfunction("""COMPUTED_VALUE"""),"679AAA")</f>
        <v>679AAA</v>
      </c>
      <c r="N316" s="13"/>
      <c r="O316" s="13" t="str">
        <f aca="false">IFERROR(__xludf.dummyfunction("""COMPUTED_VALUE"""),"taufeeq.akhtar@tajir-app.com")</f>
        <v>taufeeq.akhtar@tajir-app.com</v>
      </c>
      <c r="P316" s="13" t="str">
        <f aca="false">IFERROR(__xludf.dummyfunction("""COMPUTED_VALUE"""),"Taufeeq Akhtar ")</f>
        <v>Taufeeq Akhtar </v>
      </c>
      <c r="Q316" s="13" t="str">
        <f aca="false">IF(L316="","",L316)</f>
        <v>[Code: 679AAA] TA: aik unit para hay lakin quality  sahi nahi or 5 unit floor pr available nahi hay.</v>
      </c>
    </row>
    <row r="317" customFormat="false" ht="15.75" hidden="false" customHeight="false" outlineLevel="0" collapsed="false">
      <c r="A317" s="13" t="str">
        <f aca="false">IFERROR(__xludf.dummyfunction("""COMPUTED_VALUE"""),"Metro DC Faisalabad")</f>
        <v>Metro DC Faisalabad</v>
      </c>
      <c r="B317" s="13" t="str">
        <f aca="false">IFERROR(__xludf.dummyfunction("""COMPUTED_VALUE"""),"cd68a607-af95-45cb-b9f4-2721224c85f8")</f>
        <v>cd68a607-af95-45cb-b9f4-2721224c85f8</v>
      </c>
      <c r="C317" s="13" t="str">
        <f aca="false">IFERROR(__xludf.dummyfunction("""COMPUTED_VALUE"""),"Coca Cola plastic 1.5L")</f>
        <v>Coca Cola plastic 1.5L</v>
      </c>
      <c r="D317" s="13" t="str">
        <f aca="false">IFERROR(__xludf.dummyfunction("""COMPUTED_VALUE"""),"Coca Cola")</f>
        <v>Coca Cola</v>
      </c>
      <c r="E317" s="13" t="str">
        <f aca="false">IFERROR(__xludf.dummyfunction("""COMPUTED_VALUE"""),"Beverages")</f>
        <v>Beverages</v>
      </c>
      <c r="F317" s="11" t="n">
        <f aca="false">IFERROR(__xludf.dummyfunction("""COMPUTED_VALUE"""),45117)</f>
        <v>45117</v>
      </c>
      <c r="G317" s="16" t="n">
        <f aca="false">IFERROR(__xludf.dummyfunction("""COMPUTED_VALUE"""),0.90671760416575)</f>
        <v>0.9067176042</v>
      </c>
      <c r="H317" s="13" t="str">
        <f aca="false">IFERROR(__xludf.dummyfunction("""COMPUTED_VALUE"""),"damaged stock")</f>
        <v>damaged stock</v>
      </c>
      <c r="I317" s="13" t="n">
        <f aca="false">IFERROR(__xludf.dummyfunction("""COMPUTED_VALUE"""),1)</f>
        <v>1</v>
      </c>
      <c r="J317" s="13" t="n">
        <f aca="false">IFERROR(__xludf.dummyfunction("""COMPUTED_VALUE"""),856)</f>
        <v>856</v>
      </c>
      <c r="K317" s="13" t="n">
        <f aca="false">IFERROR(__xludf.dummyfunction("""COMPUTED_VALUE"""),856)</f>
        <v>856</v>
      </c>
      <c r="L317" s="13" t="str">
        <f aca="false">IFERROR(__xludf.dummyfunction("""COMPUTED_VALUE"""),"[Code: 22255A]   TA: Found in loose and empty bottels during sorting.")</f>
        <v>[Code: 22255A]   TA: Found in loose and empty bottels during sorting.</v>
      </c>
      <c r="M317" s="13" t="str">
        <f aca="false">IFERROR(__xludf.dummyfunction("""COMPUTED_VALUE"""),"22255A")</f>
        <v>22255A</v>
      </c>
      <c r="N317" s="13"/>
      <c r="O317" s="13" t="str">
        <f aca="false">IFERROR(__xludf.dummyfunction("""COMPUTED_VALUE"""),"taufeeq.akhtar@tajir-app.com")</f>
        <v>taufeeq.akhtar@tajir-app.com</v>
      </c>
      <c r="P317" s="13" t="str">
        <f aca="false">IFERROR(__xludf.dummyfunction("""COMPUTED_VALUE"""),"Taufeeq Akhtar ")</f>
        <v>Taufeeq Akhtar </v>
      </c>
      <c r="Q317" s="13" t="str">
        <f aca="false">IF(L317="","",L317)</f>
        <v>[Code: 22255A]   TA: Found in loose and empty bottels during sorting.</v>
      </c>
    </row>
    <row r="318" customFormat="false" ht="15.75" hidden="false" customHeight="false" outlineLevel="0" collapsed="false">
      <c r="A318" s="13" t="str">
        <f aca="false">IFERROR(__xludf.dummyfunction("""COMPUTED_VALUE"""),"Metro DC Faisalabad")</f>
        <v>Metro DC Faisalabad</v>
      </c>
      <c r="B318" s="13" t="str">
        <f aca="false">IFERROR(__xludf.dummyfunction("""COMPUTED_VALUE"""),"c227111f-6b7d-4366-aa4b-32e58cf5a1f6")</f>
        <v>c227111f-6b7d-4366-aa4b-32e58cf5a1f6</v>
      </c>
      <c r="C318" s="13" t="str">
        <f aca="false">IFERROR(__xludf.dummyfunction("""COMPUTED_VALUE"""),"Sherdil White Chana Mota 500g")</f>
        <v>Sherdil White Chana Mota 500g</v>
      </c>
      <c r="D318" s="13" t="str">
        <f aca="false">IFERROR(__xludf.dummyfunction("""COMPUTED_VALUE"""),"Sherdil")</f>
        <v>Sherdil</v>
      </c>
      <c r="E318" s="13" t="str">
        <f aca="false">IFERROR(__xludf.dummyfunction("""COMPUTED_VALUE"""),"Pulses")</f>
        <v>Pulses</v>
      </c>
      <c r="F318" s="11" t="n">
        <f aca="false">IFERROR(__xludf.dummyfunction("""COMPUTED_VALUE"""),45117)</f>
        <v>45117</v>
      </c>
      <c r="G318" s="16" t="n">
        <f aca="false">IFERROR(__xludf.dummyfunction("""COMPUTED_VALUE"""),0.781304421296205)</f>
        <v>0.7813044213</v>
      </c>
      <c r="H318" s="13" t="str">
        <f aca="false">IFERROR(__xludf.dummyfunction("""COMPUTED_VALUE"""),"damaged stock")</f>
        <v>damaged stock</v>
      </c>
      <c r="I318" s="13" t="n">
        <f aca="false">IFERROR(__xludf.dummyfunction("""COMPUTED_VALUE"""),14)</f>
        <v>14</v>
      </c>
      <c r="J318" s="13" t="n">
        <f aca="false">IFERROR(__xludf.dummyfunction("""COMPUTED_VALUE"""),225)</f>
        <v>225</v>
      </c>
      <c r="K318" s="13" t="n">
        <f aca="false">IFERROR(__xludf.dummyfunction("""COMPUTED_VALUE"""),3150)</f>
        <v>3150</v>
      </c>
      <c r="L318" s="13" t="str">
        <f aca="false">IFERROR(__xludf.dummyfunction("""COMPUTED_VALUE"""),"[Code: 244888] TA: quality sahi nahi hay ulli lagi hay chano may.")</f>
        <v>[Code: 244888] TA: quality sahi nahi hay ulli lagi hay chano may.</v>
      </c>
      <c r="M318" s="13" t="str">
        <f aca="false">IFERROR(__xludf.dummyfunction("""COMPUTED_VALUE"""),"244888")</f>
        <v>244888</v>
      </c>
      <c r="N318" s="13"/>
      <c r="O318" s="13" t="str">
        <f aca="false">IFERROR(__xludf.dummyfunction("""COMPUTED_VALUE"""),"taufeeq.akhtar@tajir-app.com")</f>
        <v>taufeeq.akhtar@tajir-app.com</v>
      </c>
      <c r="P318" s="13" t="str">
        <f aca="false">IFERROR(__xludf.dummyfunction("""COMPUTED_VALUE"""),"Taufeeq Akhtar ")</f>
        <v>Taufeeq Akhtar </v>
      </c>
      <c r="Q318" s="13" t="str">
        <f aca="false">IF(L318="","",L318)</f>
        <v>[Code: 244888] TA: quality sahi nahi hay ulli lagi hay chano may.</v>
      </c>
    </row>
    <row r="319" customFormat="false" ht="15.75" hidden="false" customHeight="false" outlineLevel="0" collapsed="false">
      <c r="A319" s="13" t="str">
        <f aca="false">IFERROR(__xludf.dummyfunction("""COMPUTED_VALUE"""),"Metro DC Faisalabad")</f>
        <v>Metro DC Faisalabad</v>
      </c>
      <c r="B319" s="13" t="str">
        <f aca="false">IFERROR(__xludf.dummyfunction("""COMPUTED_VALUE"""),"5398c7c5-109d-4225-97cb-0237bb7c8aed")</f>
        <v>5398c7c5-109d-4225-97cb-0237bb7c8aed</v>
      </c>
      <c r="C319" s="13" t="str">
        <f aca="false">IFERROR(__xludf.dummyfunction("""COMPUTED_VALUE"""),"Mountain Dew plastic 345ml (Other city stock)")</f>
        <v>Mountain Dew plastic 345ml (Other city stock)</v>
      </c>
      <c r="D319" s="13" t="str">
        <f aca="false">IFERROR(__xludf.dummyfunction("""COMPUTED_VALUE"""),"Mountain Dew")</f>
        <v>Mountain Dew</v>
      </c>
      <c r="E319" s="13" t="str">
        <f aca="false">IFERROR(__xludf.dummyfunction("""COMPUTED_VALUE"""),"Beverages")</f>
        <v>Beverages</v>
      </c>
      <c r="F319" s="11" t="n">
        <f aca="false">IFERROR(__xludf.dummyfunction("""COMPUTED_VALUE"""),45117)</f>
        <v>45117</v>
      </c>
      <c r="G319" s="16" t="n">
        <f aca="false">IFERROR(__xludf.dummyfunction("""COMPUTED_VALUE"""),0.4879944328705)</f>
        <v>0.4879944329</v>
      </c>
      <c r="H319" s="13" t="str">
        <f aca="false">IFERROR(__xludf.dummyfunction("""COMPUTED_VALUE"""),"expired stock")</f>
        <v>expired stock</v>
      </c>
      <c r="I319" s="13" t="n">
        <f aca="false">IFERROR(__xludf.dummyfunction("""COMPUTED_VALUE"""),264)</f>
        <v>264</v>
      </c>
      <c r="J319" s="13" t="n">
        <f aca="false">IFERROR(__xludf.dummyfunction("""COMPUTED_VALUE"""),520)</f>
        <v>520</v>
      </c>
      <c r="K319" s="13" t="n">
        <f aca="false">IFERROR(__xludf.dummyfunction("""COMPUTED_VALUE"""),137280)</f>
        <v>137280</v>
      </c>
      <c r="L319" s="13" t="str">
        <f aca="false">IFERROR(__xludf.dummyfunction("""COMPUTED_VALUE"""),"[Code: 457BBC] [Expiry: 31 Jul, 2023] 264 units having Short expiry")</f>
        <v>[Code: 457BBC] [Expiry: 31 Jul, 2023] 264 units having Short expiry</v>
      </c>
      <c r="M319" s="13" t="str">
        <f aca="false">IFERROR(__xludf.dummyfunction("""COMPUTED_VALUE"""),"457BBC")</f>
        <v>457BBC</v>
      </c>
      <c r="N319" s="13" t="str">
        <f aca="false">IFERROR(__xludf.dummyfunction("""COMPUTED_VALUE"""),"31 Jul, 2023")</f>
        <v>31 Jul, 2023</v>
      </c>
      <c r="O319" s="13" t="str">
        <f aca="false">IFERROR(__xludf.dummyfunction("""COMPUTED_VALUE"""),"ali.raza@tajir-app.com")</f>
        <v>ali.raza@tajir-app.com</v>
      </c>
      <c r="P319" s="13" t="str">
        <f aca="false">IFERROR(__xludf.dummyfunction("""COMPUTED_VALUE"""),"Ali Raza ")</f>
        <v>Ali Raza </v>
      </c>
      <c r="Q319" s="13" t="str">
        <f aca="false">IF(L319="","",L319)</f>
        <v>[Code: 457BBC] [Expiry: 31 Jul, 2023] 264 units having Short expiry</v>
      </c>
    </row>
    <row r="320" customFormat="false" ht="15.75" hidden="false" customHeight="false" outlineLevel="0" collapsed="false">
      <c r="A320" s="13" t="str">
        <f aca="false">IFERROR(__xludf.dummyfunction("""COMPUTED_VALUE"""),"Metro DC Faisalabad")</f>
        <v>Metro DC Faisalabad</v>
      </c>
      <c r="B320" s="13" t="str">
        <f aca="false">IFERROR(__xludf.dummyfunction("""COMPUTED_VALUE"""),"2953fe5f-00e3-4ab4-83b9-39d0133c3ce6")</f>
        <v>2953fe5f-00e3-4ab4-83b9-39d0133c3ce6</v>
      </c>
      <c r="C320" s="13" t="str">
        <f aca="false">IFERROR(__xludf.dummyfunction("""COMPUTED_VALUE"""),"Peek Freans Zeera Click Biscuits Half Roll Rs40")</f>
        <v>Peek Freans Zeera Click Biscuits Half Roll Rs40</v>
      </c>
      <c r="D320" s="13" t="str">
        <f aca="false">IFERROR(__xludf.dummyfunction("""COMPUTED_VALUE"""),"Peek Freans")</f>
        <v>Peek Freans</v>
      </c>
      <c r="E320" s="13" t="str">
        <f aca="false">IFERROR(__xludf.dummyfunction("""COMPUTED_VALUE"""),"Biscuits, Wafers")</f>
        <v>Biscuits, Wafers</v>
      </c>
      <c r="F320" s="11" t="n">
        <f aca="false">IFERROR(__xludf.dummyfunction("""COMPUTED_VALUE"""),45117)</f>
        <v>45117</v>
      </c>
      <c r="G320" s="16" t="n">
        <f aca="false">IFERROR(__xludf.dummyfunction("""COMPUTED_VALUE"""),0.402296851850591)</f>
        <v>0.4022968519</v>
      </c>
      <c r="H320" s="13" t="str">
        <f aca="false">IFERROR(__xludf.dummyfunction("""COMPUTED_VALUE"""),"expired stock")</f>
        <v>expired stock</v>
      </c>
      <c r="I320" s="13" t="n">
        <f aca="false">IFERROR(__xludf.dummyfunction("""COMPUTED_VALUE"""),39)</f>
        <v>39</v>
      </c>
      <c r="J320" s="13" t="n">
        <f aca="false">IFERROR(__xludf.dummyfunction("""COMPUTED_VALUE"""),216)</f>
        <v>216</v>
      </c>
      <c r="K320" s="13" t="n">
        <f aca="false">IFERROR(__xludf.dummyfunction("""COMPUTED_VALUE"""),8424)</f>
        <v>8424</v>
      </c>
      <c r="L320" s="13" t="str">
        <f aca="false">IFERROR(__xludf.dummyfunction("""COMPUTED_VALUE"""),"[Code: 667EGJ] [Expiry: 31 Jul, 2023] AR : 39 selling unit found near expire")</f>
        <v>[Code: 667EGJ] [Expiry: 31 Jul, 2023] AR : 39 selling unit found near expire</v>
      </c>
      <c r="M320" s="13" t="str">
        <f aca="false">IFERROR(__xludf.dummyfunction("""COMPUTED_VALUE"""),"667EGJ")</f>
        <v>667EGJ</v>
      </c>
      <c r="N320" s="13" t="str">
        <f aca="false">IFERROR(__xludf.dummyfunction("""COMPUTED_VALUE"""),"31 Jul, 2023")</f>
        <v>31 Jul, 2023</v>
      </c>
      <c r="O320" s="13" t="str">
        <f aca="false">IFERROR(__xludf.dummyfunction("""COMPUTED_VALUE"""),"ali.raza@tajir-app.com")</f>
        <v>ali.raza@tajir-app.com</v>
      </c>
      <c r="P320" s="13" t="str">
        <f aca="false">IFERROR(__xludf.dummyfunction("""COMPUTED_VALUE"""),"Ali Raza ")</f>
        <v>Ali Raza </v>
      </c>
      <c r="Q320" s="13" t="str">
        <f aca="false">IF(L320="","",L320)</f>
        <v>[Code: 667EGJ] [Expiry: 31 Jul, 2023] AR : 39 selling unit found near expire</v>
      </c>
    </row>
    <row r="321" customFormat="false" ht="15.75" hidden="false" customHeight="false" outlineLevel="0" collapsed="false">
      <c r="A321" s="13" t="str">
        <f aca="false">IFERROR(__xludf.dummyfunction("""COMPUTED_VALUE"""),"Metro DC Faisalabad")</f>
        <v>Metro DC Faisalabad</v>
      </c>
      <c r="B321" s="13" t="str">
        <f aca="false">IFERROR(__xludf.dummyfunction("""COMPUTED_VALUE"""),"d108dc59-da93-451f-9024-d773dad3e97a")</f>
        <v>d108dc59-da93-451f-9024-d773dad3e97a</v>
      </c>
      <c r="C321" s="13" t="str">
        <f aca="false">IFERROR(__xludf.dummyfunction("""COMPUTED_VALUE"""),"Sprite plastic 1.5L")</f>
        <v>Sprite plastic 1.5L</v>
      </c>
      <c r="D321" s="13" t="str">
        <f aca="false">IFERROR(__xludf.dummyfunction("""COMPUTED_VALUE"""),"Sprite")</f>
        <v>Sprite</v>
      </c>
      <c r="E321" s="13" t="str">
        <f aca="false">IFERROR(__xludf.dummyfunction("""COMPUTED_VALUE"""),"Beverages")</f>
        <v>Beverages</v>
      </c>
      <c r="F321" s="11" t="n">
        <f aca="false">IFERROR(__xludf.dummyfunction("""COMPUTED_VALUE"""),45118)</f>
        <v>45118</v>
      </c>
      <c r="G321" s="16" t="n">
        <f aca="false">IFERROR(__xludf.dummyfunction("""COMPUTED_VALUE"""),0.979033032408895)</f>
        <v>0.9790330324</v>
      </c>
      <c r="H321" s="13" t="str">
        <f aca="false">IFERROR(__xludf.dummyfunction("""COMPUTED_VALUE"""),"damaged stock")</f>
        <v>damaged stock</v>
      </c>
      <c r="I321" s="13" t="n">
        <f aca="false">IFERROR(__xludf.dummyfunction("""COMPUTED_VALUE"""),1)</f>
        <v>1</v>
      </c>
      <c r="J321" s="13" t="n">
        <f aca="false">IFERROR(__xludf.dummyfunction("""COMPUTED_VALUE"""),856)</f>
        <v>856</v>
      </c>
      <c r="K321" s="13" t="n">
        <f aca="false">IFERROR(__xludf.dummyfunction("""COMPUTED_VALUE"""),856)</f>
        <v>856</v>
      </c>
      <c r="L321" s="13" t="str">
        <f aca="false">IFERROR(__xludf.dummyfunction("""COMPUTED_VALUE"""),"[Code: 24DGHJ] TA: 4 bottels found loose during sorting.")</f>
        <v>[Code: 24DGHJ] TA: 4 bottels found loose during sorting.</v>
      </c>
      <c r="M321" s="13" t="str">
        <f aca="false">IFERROR(__xludf.dummyfunction("""COMPUTED_VALUE"""),"24DGHJ")</f>
        <v>24DGHJ</v>
      </c>
      <c r="N321" s="13"/>
      <c r="O321" s="13" t="str">
        <f aca="false">IFERROR(__xludf.dummyfunction("""COMPUTED_VALUE"""),"taufeeq.akhtar@tajir-app.com")</f>
        <v>taufeeq.akhtar@tajir-app.com</v>
      </c>
      <c r="P321" s="13" t="str">
        <f aca="false">IFERROR(__xludf.dummyfunction("""COMPUTED_VALUE"""),"Taufeeq Akhtar ")</f>
        <v>Taufeeq Akhtar </v>
      </c>
      <c r="Q321" s="13" t="str">
        <f aca="false">IF(L321="","",L321)</f>
        <v>[Code: 24DGHJ] TA: 4 bottels found loose during sorting.</v>
      </c>
    </row>
    <row r="322" customFormat="false" ht="15.75" hidden="false" customHeight="false" outlineLevel="0" collapsed="false">
      <c r="A322" s="13" t="str">
        <f aca="false">IFERROR(__xludf.dummyfunction("""COMPUTED_VALUE"""),"Metro DC Faisalabad")</f>
        <v>Metro DC Faisalabad</v>
      </c>
      <c r="B322" s="13" t="str">
        <f aca="false">IFERROR(__xludf.dummyfunction("""COMPUTED_VALUE"""),"7f12f4f8-6be0-4afc-98a9-afca65a480b4")</f>
        <v>7f12f4f8-6be0-4afc-98a9-afca65a480b4</v>
      </c>
      <c r="C322" s="13" t="str">
        <f aca="false">IFERROR(__xludf.dummyfunction("""COMPUTED_VALUE"""),"Sherdil Daal Moong Wash 5kg")</f>
        <v>Sherdil Daal Moong Wash 5kg</v>
      </c>
      <c r="D322" s="13" t="str">
        <f aca="false">IFERROR(__xludf.dummyfunction("""COMPUTED_VALUE"""),"Sherdil")</f>
        <v>Sherdil</v>
      </c>
      <c r="E322" s="13" t="str">
        <f aca="false">IFERROR(__xludf.dummyfunction("""COMPUTED_VALUE"""),"Pulses")</f>
        <v>Pulses</v>
      </c>
      <c r="F322" s="11" t="n">
        <f aca="false">IFERROR(__xludf.dummyfunction("""COMPUTED_VALUE"""),45118)</f>
        <v>45118</v>
      </c>
      <c r="G322" s="16" t="n">
        <f aca="false">IFERROR(__xludf.dummyfunction("""COMPUTED_VALUE"""),0.529663888890231)</f>
        <v>0.5296638889</v>
      </c>
      <c r="H322" s="13" t="str">
        <f aca="false">IFERROR(__xludf.dummyfunction("""COMPUTED_VALUE"""),"damaged stock")</f>
        <v>damaged stock</v>
      </c>
      <c r="I322" s="13" t="n">
        <f aca="false">IFERROR(__xludf.dummyfunction("""COMPUTED_VALUE"""),1)</f>
        <v>1</v>
      </c>
      <c r="J322" s="13" t="n">
        <f aca="false">IFERROR(__xludf.dummyfunction("""COMPUTED_VALUE"""),1357)</f>
        <v>1357</v>
      </c>
      <c r="K322" s="13" t="n">
        <f aca="false">IFERROR(__xludf.dummyfunction("""COMPUTED_VALUE"""),1357)</f>
        <v>1357</v>
      </c>
      <c r="L322" s="13" t="str">
        <f aca="false">IFERROR(__xludf.dummyfunction("""COMPUTED_VALUE"""),"[Code: 24577A] 1 unit found damaged due to fungus")</f>
        <v>[Code: 24577A] 1 unit found damaged due to fungus</v>
      </c>
      <c r="M322" s="13" t="str">
        <f aca="false">IFERROR(__xludf.dummyfunction("""COMPUTED_VALUE"""),"24577A")</f>
        <v>24577A</v>
      </c>
      <c r="N322" s="13"/>
      <c r="O322" s="13" t="str">
        <f aca="false">IFERROR(__xludf.dummyfunction("""COMPUTED_VALUE"""),"ali.raza@tajir-app.com")</f>
        <v>ali.raza@tajir-app.com</v>
      </c>
      <c r="P322" s="13" t="str">
        <f aca="false">IFERROR(__xludf.dummyfunction("""COMPUTED_VALUE"""),"Ali Raza ")</f>
        <v>Ali Raza </v>
      </c>
      <c r="Q322" s="13" t="str">
        <f aca="false">IF(L322="","",L322)</f>
        <v>[Code: 24577A] 1 unit found damaged due to fungus</v>
      </c>
    </row>
    <row r="323" customFormat="false" ht="15.75" hidden="false" customHeight="false" outlineLevel="0" collapsed="false">
      <c r="A323" s="13" t="str">
        <f aca="false">IFERROR(__xludf.dummyfunction("""COMPUTED_VALUE"""),"Metro DC Faisalabad")</f>
        <v>Metro DC Faisalabad</v>
      </c>
      <c r="B323" s="13" t="str">
        <f aca="false">IFERROR(__xludf.dummyfunction("""COMPUTED_VALUE"""),"978a88b5-e0d1-4d9d-b7a1-90921ab8d4f0")</f>
        <v>978a88b5-e0d1-4d9d-b7a1-90921ab8d4f0</v>
      </c>
      <c r="C323" s="13" t="str">
        <f aca="false">IFERROR(__xludf.dummyfunction("""COMPUTED_VALUE"""),"Sherdil Daal Mash Wash 5kg")</f>
        <v>Sherdil Daal Mash Wash 5kg</v>
      </c>
      <c r="D323" s="13" t="str">
        <f aca="false">IFERROR(__xludf.dummyfunction("""COMPUTED_VALUE"""),"Sherdil")</f>
        <v>Sherdil</v>
      </c>
      <c r="E323" s="13" t="str">
        <f aca="false">IFERROR(__xludf.dummyfunction("""COMPUTED_VALUE"""),"Pulses")</f>
        <v>Pulses</v>
      </c>
      <c r="F323" s="11" t="n">
        <f aca="false">IFERROR(__xludf.dummyfunction("""COMPUTED_VALUE"""),45118)</f>
        <v>45118</v>
      </c>
      <c r="G323" s="16" t="n">
        <f aca="false">IFERROR(__xludf.dummyfunction("""COMPUTED_VALUE"""),0.5292867129614)</f>
        <v>0.529286713</v>
      </c>
      <c r="H323" s="13" t="str">
        <f aca="false">IFERROR(__xludf.dummyfunction("""COMPUTED_VALUE"""),"damaged stock")</f>
        <v>damaged stock</v>
      </c>
      <c r="I323" s="13" t="n">
        <f aca="false">IFERROR(__xludf.dummyfunction("""COMPUTED_VALUE"""),4)</f>
        <v>4</v>
      </c>
      <c r="J323" s="13" t="n">
        <f aca="false">IFERROR(__xludf.dummyfunction("""COMPUTED_VALUE"""),2432)</f>
        <v>2432</v>
      </c>
      <c r="K323" s="13" t="n">
        <f aca="false">IFERROR(__xludf.dummyfunction("""COMPUTED_VALUE"""),9728)</f>
        <v>9728</v>
      </c>
      <c r="L323" s="13" t="str">
        <f aca="false">IFERROR(__xludf.dummyfunction("""COMPUTED_VALUE"""),"[Code: 334779] 4 units found damaged due to fungus")</f>
        <v>[Code: 334779] 4 units found damaged due to fungus</v>
      </c>
      <c r="M323" s="13" t="str">
        <f aca="false">IFERROR(__xludf.dummyfunction("""COMPUTED_VALUE"""),"334779")</f>
        <v>334779</v>
      </c>
      <c r="N323" s="13"/>
      <c r="O323" s="13" t="str">
        <f aca="false">IFERROR(__xludf.dummyfunction("""COMPUTED_VALUE"""),"ali.raza@tajir-app.com")</f>
        <v>ali.raza@tajir-app.com</v>
      </c>
      <c r="P323" s="13" t="str">
        <f aca="false">IFERROR(__xludf.dummyfunction("""COMPUTED_VALUE"""),"Ali Raza ")</f>
        <v>Ali Raza </v>
      </c>
      <c r="Q323" s="13" t="str">
        <f aca="false">IF(L323="","",L323)</f>
        <v>[Code: 334779] 4 units found damaged due to fungus</v>
      </c>
    </row>
    <row r="324" customFormat="false" ht="15.75" hidden="false" customHeight="false" outlineLevel="0" collapsed="false">
      <c r="A324" s="13" t="str">
        <f aca="false">IFERROR(__xludf.dummyfunction("""COMPUTED_VALUE"""),"Metro DC Faisalabad")</f>
        <v>Metro DC Faisalabad</v>
      </c>
      <c r="B324" s="13" t="str">
        <f aca="false">IFERROR(__xludf.dummyfunction("""COMPUTED_VALUE"""),"c2dbed6e-d95e-4c43-b456-e74524aeabd0")</f>
        <v>c2dbed6e-d95e-4c43-b456-e74524aeabd0</v>
      </c>
      <c r="C324" s="13" t="str">
        <f aca="false">IFERROR(__xludf.dummyfunction("""COMPUTED_VALUE"""),"Sherdil White Chana Bareek 500g")</f>
        <v>Sherdil White Chana Bareek 500g</v>
      </c>
      <c r="D324" s="13" t="str">
        <f aca="false">IFERROR(__xludf.dummyfunction("""COMPUTED_VALUE"""),"Sherdil")</f>
        <v>Sherdil</v>
      </c>
      <c r="E324" s="13" t="str">
        <f aca="false">IFERROR(__xludf.dummyfunction("""COMPUTED_VALUE"""),"Pulses")</f>
        <v>Pulses</v>
      </c>
      <c r="F324" s="11" t="n">
        <f aca="false">IFERROR(__xludf.dummyfunction("""COMPUTED_VALUE"""),45118)</f>
        <v>45118</v>
      </c>
      <c r="G324" s="16" t="n">
        <f aca="false">IFERROR(__xludf.dummyfunction("""COMPUTED_VALUE"""),0.528183564814518)</f>
        <v>0.5281835648</v>
      </c>
      <c r="H324" s="13" t="str">
        <f aca="false">IFERROR(__xludf.dummyfunction("""COMPUTED_VALUE"""),"damaged stock")</f>
        <v>damaged stock</v>
      </c>
      <c r="I324" s="13" t="n">
        <f aca="false">IFERROR(__xludf.dummyfunction("""COMPUTED_VALUE"""),1)</f>
        <v>1</v>
      </c>
      <c r="J324" s="13" t="n">
        <f aca="false">IFERROR(__xludf.dummyfunction("""COMPUTED_VALUE"""),190)</f>
        <v>190</v>
      </c>
      <c r="K324" s="13" t="n">
        <f aca="false">IFERROR(__xludf.dummyfunction("""COMPUTED_VALUE"""),190)</f>
        <v>190</v>
      </c>
      <c r="L324" s="13" t="str">
        <f aca="false">IFERROR(__xludf.dummyfunction("""COMPUTED_VALUE"""),"[Code: 567788] 1 unit found damaged due to insects (Quality Issue0")</f>
        <v>[Code: 567788] 1 unit found damaged due to insects (Quality Issue0</v>
      </c>
      <c r="M324" s="13" t="str">
        <f aca="false">IFERROR(__xludf.dummyfunction("""COMPUTED_VALUE"""),"567788")</f>
        <v>567788</v>
      </c>
      <c r="N324" s="13"/>
      <c r="O324" s="13" t="str">
        <f aca="false">IFERROR(__xludf.dummyfunction("""COMPUTED_VALUE"""),"ali.raza@tajir-app.com")</f>
        <v>ali.raza@tajir-app.com</v>
      </c>
      <c r="P324" s="13" t="str">
        <f aca="false">IFERROR(__xludf.dummyfunction("""COMPUTED_VALUE"""),"Ali Raza ")</f>
        <v>Ali Raza </v>
      </c>
      <c r="Q324" s="13" t="str">
        <f aca="false">IF(L324="","",L324)</f>
        <v>[Code: 567788] 1 unit found damaged due to insects (Quality Issue0</v>
      </c>
    </row>
    <row r="325" customFormat="false" ht="15.75" hidden="false" customHeight="false" outlineLevel="0" collapsed="false">
      <c r="A325" s="13" t="str">
        <f aca="false">IFERROR(__xludf.dummyfunction("""COMPUTED_VALUE"""),"Metro DC Faisalabad")</f>
        <v>Metro DC Faisalabad</v>
      </c>
      <c r="B325" s="13" t="str">
        <f aca="false">IFERROR(__xludf.dummyfunction("""COMPUTED_VALUE"""),"6c568402-1788-466b-8f61-43acc83fa9d1")</f>
        <v>6c568402-1788-466b-8f61-43acc83fa9d1</v>
      </c>
      <c r="C325" s="13" t="str">
        <f aca="false">IFERROR(__xludf.dummyfunction("""COMPUTED_VALUE"""),"Sherdil White Chana Mota 5kg")</f>
        <v>Sherdil White Chana Mota 5kg</v>
      </c>
      <c r="D325" s="13" t="str">
        <f aca="false">IFERROR(__xludf.dummyfunction("""COMPUTED_VALUE"""),"Sherdil")</f>
        <v>Sherdil</v>
      </c>
      <c r="E325" s="13" t="str">
        <f aca="false">IFERROR(__xludf.dummyfunction("""COMPUTED_VALUE"""),"Pulses")</f>
        <v>Pulses</v>
      </c>
      <c r="F325" s="11" t="n">
        <f aca="false">IFERROR(__xludf.dummyfunction("""COMPUTED_VALUE"""),45118)</f>
        <v>45118</v>
      </c>
      <c r="G325" s="16" t="n">
        <f aca="false">IFERROR(__xludf.dummyfunction("""COMPUTED_VALUE"""),0.527506620370516)</f>
        <v>0.5275066204</v>
      </c>
      <c r="H325" s="13" t="str">
        <f aca="false">IFERROR(__xludf.dummyfunction("""COMPUTED_VALUE"""),"damaged stock")</f>
        <v>damaged stock</v>
      </c>
      <c r="I325" s="13" t="n">
        <f aca="false">IFERROR(__xludf.dummyfunction("""COMPUTED_VALUE"""),2)</f>
        <v>2</v>
      </c>
      <c r="J325" s="13" t="n">
        <f aca="false">IFERROR(__xludf.dummyfunction("""COMPUTED_VALUE"""),2180)</f>
        <v>2180</v>
      </c>
      <c r="K325" s="13" t="n">
        <f aca="false">IFERROR(__xludf.dummyfunction("""COMPUTED_VALUE"""),4360)</f>
        <v>4360</v>
      </c>
      <c r="L325" s="13" t="str">
        <f aca="false">IFERROR(__xludf.dummyfunction("""COMPUTED_VALUE"""),"[Code: 5779EF] 2 units damaged due to due to insects (Quality Issue)")</f>
        <v>[Code: 5779EF] 2 units damaged due to due to insects (Quality Issue)</v>
      </c>
      <c r="M325" s="13" t="str">
        <f aca="false">IFERROR(__xludf.dummyfunction("""COMPUTED_VALUE"""),"5779EF")</f>
        <v>5779EF</v>
      </c>
      <c r="N325" s="13"/>
      <c r="O325" s="13" t="str">
        <f aca="false">IFERROR(__xludf.dummyfunction("""COMPUTED_VALUE"""),"ali.raza@tajir-app.com")</f>
        <v>ali.raza@tajir-app.com</v>
      </c>
      <c r="P325" s="13" t="str">
        <f aca="false">IFERROR(__xludf.dummyfunction("""COMPUTED_VALUE"""),"Ali Raza ")</f>
        <v>Ali Raza </v>
      </c>
      <c r="Q325" s="13" t="str">
        <f aca="false">IF(L325="","",L325)</f>
        <v>[Code: 5779EF] 2 units damaged due to due to insects (Quality Issue)</v>
      </c>
    </row>
    <row r="326" customFormat="false" ht="15.75" hidden="false" customHeight="false" outlineLevel="0" collapsed="false">
      <c r="A326" s="13" t="str">
        <f aca="false">IFERROR(__xludf.dummyfunction("""COMPUTED_VALUE"""),"Metro DC Faisalabad")</f>
        <v>Metro DC Faisalabad</v>
      </c>
      <c r="B326" s="13" t="str">
        <f aca="false">IFERROR(__xludf.dummyfunction("""COMPUTED_VALUE"""),"fe7f6e44-8ea8-4eee-a9ea-e5fce8ce8067")</f>
        <v>fe7f6e44-8ea8-4eee-a9ea-e5fce8ce8067</v>
      </c>
      <c r="C326" s="13" t="str">
        <f aca="false">IFERROR(__xludf.dummyfunction("""COMPUTED_VALUE"""),"Quality Grains Daal Chana Budget 1kg")</f>
        <v>Quality Grains Daal Chana Budget 1kg</v>
      </c>
      <c r="D326" s="13" t="str">
        <f aca="false">IFERROR(__xludf.dummyfunction("""COMPUTED_VALUE"""),"Quality Grains")</f>
        <v>Quality Grains</v>
      </c>
      <c r="E326" s="13" t="str">
        <f aca="false">IFERROR(__xludf.dummyfunction("""COMPUTED_VALUE"""),"Pulses")</f>
        <v>Pulses</v>
      </c>
      <c r="F326" s="11" t="n">
        <f aca="false">IFERROR(__xludf.dummyfunction("""COMPUTED_VALUE"""),45118)</f>
        <v>45118</v>
      </c>
      <c r="G326" s="16" t="n">
        <f aca="false">IFERROR(__xludf.dummyfunction("""COMPUTED_VALUE"""),0.52672322916837)</f>
        <v>0.5267232292</v>
      </c>
      <c r="H326" s="13" t="str">
        <f aca="false">IFERROR(__xludf.dummyfunction("""COMPUTED_VALUE"""),"damaged stock")</f>
        <v>damaged stock</v>
      </c>
      <c r="I326" s="13" t="n">
        <f aca="false">IFERROR(__xludf.dummyfunction("""COMPUTED_VALUE"""),181)</f>
        <v>181</v>
      </c>
      <c r="J326" s="13" t="n">
        <f aca="false">IFERROR(__xludf.dummyfunction("""COMPUTED_VALUE"""),234)</f>
        <v>234</v>
      </c>
      <c r="K326" s="13" t="n">
        <f aca="false">IFERROR(__xludf.dummyfunction("""COMPUTED_VALUE"""),42354)</f>
        <v>42354</v>
      </c>
      <c r="L326" s="13" t="str">
        <f aca="false">IFERROR(__xludf.dummyfunction("""COMPUTED_VALUE"""),"[Code: 58CHHJ] 181 units damaged due to fungus")</f>
        <v>[Code: 58CHHJ] 181 units damaged due to fungus</v>
      </c>
      <c r="M326" s="13" t="str">
        <f aca="false">IFERROR(__xludf.dummyfunction("""COMPUTED_VALUE"""),"58CHHJ")</f>
        <v>58CHHJ</v>
      </c>
      <c r="N326" s="13"/>
      <c r="O326" s="13" t="str">
        <f aca="false">IFERROR(__xludf.dummyfunction("""COMPUTED_VALUE"""),"ali.raza@tajir-app.com")</f>
        <v>ali.raza@tajir-app.com</v>
      </c>
      <c r="P326" s="13" t="str">
        <f aca="false">IFERROR(__xludf.dummyfunction("""COMPUTED_VALUE"""),"Ali Raza ")</f>
        <v>Ali Raza </v>
      </c>
      <c r="Q326" s="13" t="str">
        <f aca="false">IF(L326="","",L326)</f>
        <v>[Code: 58CHHJ] 181 units damaged due to fungus</v>
      </c>
    </row>
    <row r="327" customFormat="false" ht="15.75" hidden="false" customHeight="false" outlineLevel="0" collapsed="false">
      <c r="A327" s="13" t="str">
        <f aca="false">IFERROR(__xludf.dummyfunction("""COMPUTED_VALUE"""),"Metro DC Faisalabad")</f>
        <v>Metro DC Faisalabad</v>
      </c>
      <c r="B327" s="13" t="str">
        <f aca="false">IFERROR(__xludf.dummyfunction("""COMPUTED_VALUE"""),"0d2f17bc-36e0-41fe-b498-89a7a8a34416")</f>
        <v>0d2f17bc-36e0-41fe-b498-89a7a8a34416</v>
      </c>
      <c r="C327" s="13" t="str">
        <f aca="false">IFERROR(__xludf.dummyfunction("""COMPUTED_VALUE"""),"Brite Surf x12 bundle 23g Rs 10")</f>
        <v>Brite Surf x12 bundle 23g Rs 10</v>
      </c>
      <c r="D327" s="13" t="str">
        <f aca="false">IFERROR(__xludf.dummyfunction("""COMPUTED_VALUE"""),"Brite Surf")</f>
        <v>Brite Surf</v>
      </c>
      <c r="E327" s="13" t="str">
        <f aca="false">IFERROR(__xludf.dummyfunction("""COMPUTED_VALUE"""),"Surf, Bleach")</f>
        <v>Surf, Bleach</v>
      </c>
      <c r="F327" s="11" t="n">
        <f aca="false">IFERROR(__xludf.dummyfunction("""COMPUTED_VALUE"""),45119)</f>
        <v>45119</v>
      </c>
      <c r="G327" s="16" t="n">
        <f aca="false">IFERROR(__xludf.dummyfunction("""COMPUTED_VALUE"""),0.946235335647248)</f>
        <v>0.9462353356</v>
      </c>
      <c r="H327" s="13" t="str">
        <f aca="false">IFERROR(__xludf.dummyfunction("""COMPUTED_VALUE"""),"damaged stock")</f>
        <v>damaged stock</v>
      </c>
      <c r="I327" s="13" t="n">
        <f aca="false">IFERROR(__xludf.dummyfunction("""COMPUTED_VALUE"""),2)</f>
        <v>2</v>
      </c>
      <c r="J327" s="13" t="n">
        <f aca="false">IFERROR(__xludf.dummyfunction("""COMPUTED_VALUE"""),107.91)</f>
        <v>107.91</v>
      </c>
      <c r="K327" s="13" t="n">
        <f aca="false">IFERROR(__xludf.dummyfunction("""COMPUTED_VALUE"""),215.82)</f>
        <v>215.82</v>
      </c>
      <c r="L327" s="13" t="str">
        <f aca="false">IFERROR(__xludf.dummyfunction("""COMPUTED_VALUE"""),"[Code: 36ACEE] TA: bag may say damaged milay display k doran.")</f>
        <v>[Code: 36ACEE] TA: bag may say damaged milay display k doran.</v>
      </c>
      <c r="M327" s="13" t="str">
        <f aca="false">IFERROR(__xludf.dummyfunction("""COMPUTED_VALUE"""),"36ACEE")</f>
        <v>36ACEE</v>
      </c>
      <c r="N327" s="13"/>
      <c r="O327" s="13" t="str">
        <f aca="false">IFERROR(__xludf.dummyfunction("""COMPUTED_VALUE"""),"taufeeq.akhtar@tajir-app.com")</f>
        <v>taufeeq.akhtar@tajir-app.com</v>
      </c>
      <c r="P327" s="13" t="str">
        <f aca="false">IFERROR(__xludf.dummyfunction("""COMPUTED_VALUE"""),"Taufeeq Akhtar ")</f>
        <v>Taufeeq Akhtar </v>
      </c>
      <c r="Q327" s="13" t="str">
        <f aca="false">IF(L327="","",L327)</f>
        <v>[Code: 36ACEE] TA: bag may say damaged milay display k doran.</v>
      </c>
    </row>
    <row r="328" customFormat="false" ht="15.75" hidden="false" customHeight="false" outlineLevel="0" collapsed="false">
      <c r="A328" s="13" t="str">
        <f aca="false">IFERROR(__xludf.dummyfunction("""COMPUTED_VALUE"""),"Metro DC Faisalabad")</f>
        <v>Metro DC Faisalabad</v>
      </c>
      <c r="B328" s="13" t="str">
        <f aca="false">IFERROR(__xludf.dummyfunction("""COMPUTED_VALUE"""),"5c5c14c0-1835-4730-97c8-c60574b0a2d5")</f>
        <v>5c5c14c0-1835-4730-97c8-c60574b0a2d5</v>
      </c>
      <c r="C328" s="13" t="str">
        <f aca="false">IFERROR(__xludf.dummyfunction("""COMPUTED_VALUE"""),"Surf Excel x6 bundle 95g Rs50")</f>
        <v>Surf Excel x6 bundle 95g Rs50</v>
      </c>
      <c r="D328" s="13" t="str">
        <f aca="false">IFERROR(__xludf.dummyfunction("""COMPUTED_VALUE"""),"Surf Excel")</f>
        <v>Surf Excel</v>
      </c>
      <c r="E328" s="13" t="str">
        <f aca="false">IFERROR(__xludf.dummyfunction("""COMPUTED_VALUE"""),"Surf, Bleach")</f>
        <v>Surf, Bleach</v>
      </c>
      <c r="F328" s="11" t="n">
        <f aca="false">IFERROR(__xludf.dummyfunction("""COMPUTED_VALUE"""),45119)</f>
        <v>45119</v>
      </c>
      <c r="G328" s="16" t="n">
        <f aca="false">IFERROR(__xludf.dummyfunction("""COMPUTED_VALUE"""),0.945309687500932)</f>
        <v>0.9453096875</v>
      </c>
      <c r="H328" s="13" t="str">
        <f aca="false">IFERROR(__xludf.dummyfunction("""COMPUTED_VALUE"""),"damaged stock")</f>
        <v>damaged stock</v>
      </c>
      <c r="I328" s="13" t="n">
        <f aca="false">IFERROR(__xludf.dummyfunction("""COMPUTED_VALUE"""),1)</f>
        <v>1</v>
      </c>
      <c r="J328" s="13" t="n">
        <f aca="false">IFERROR(__xludf.dummyfunction("""COMPUTED_VALUE"""),274.5)</f>
        <v>274.5</v>
      </c>
      <c r="K328" s="13" t="n">
        <f aca="false">IFERROR(__xludf.dummyfunction("""COMPUTED_VALUE"""),274.5)</f>
        <v>274.5</v>
      </c>
      <c r="L328" s="13" t="str">
        <f aca="false">IFERROR(__xludf.dummyfunction("""COMPUTED_VALUE"""),"[Code: 347ACD] TA: bag may say damaged mila display karnay kay doran.")</f>
        <v>[Code: 347ACD] TA: bag may say damaged mila display karnay kay doran.</v>
      </c>
      <c r="M328" s="13" t="str">
        <f aca="false">IFERROR(__xludf.dummyfunction("""COMPUTED_VALUE"""),"347ACD")</f>
        <v>347ACD</v>
      </c>
      <c r="N328" s="13"/>
      <c r="O328" s="13" t="str">
        <f aca="false">IFERROR(__xludf.dummyfunction("""COMPUTED_VALUE"""),"taufeeq.akhtar@tajir-app.com")</f>
        <v>taufeeq.akhtar@tajir-app.com</v>
      </c>
      <c r="P328" s="13" t="str">
        <f aca="false">IFERROR(__xludf.dummyfunction("""COMPUTED_VALUE"""),"Taufeeq Akhtar ")</f>
        <v>Taufeeq Akhtar </v>
      </c>
      <c r="Q328" s="13" t="str">
        <f aca="false">IF(L328="","",L328)</f>
        <v>[Code: 347ACD] TA: bag may say damaged mila display karnay kay doran.</v>
      </c>
    </row>
    <row r="329" customFormat="false" ht="15.75" hidden="false" customHeight="false" outlineLevel="0" collapsed="false">
      <c r="A329" s="13" t="str">
        <f aca="false">IFERROR(__xludf.dummyfunction("""COMPUTED_VALUE"""),"Metro DC Faisalabad")</f>
        <v>Metro DC Faisalabad</v>
      </c>
      <c r="B329" s="13" t="str">
        <f aca="false">IFERROR(__xludf.dummyfunction("""COMPUTED_VALUE"""),"48d86c7f-335c-4978-b5da-a55e35053778")</f>
        <v>48d86c7f-335c-4978-b5da-a55e35053778</v>
      </c>
      <c r="C329" s="13" t="str">
        <f aca="false">IFERROR(__xludf.dummyfunction("""COMPUTED_VALUE"""),"Surf Excel x6 bundle 35g Rs20")</f>
        <v>Surf Excel x6 bundle 35g Rs20</v>
      </c>
      <c r="D329" s="13" t="str">
        <f aca="false">IFERROR(__xludf.dummyfunction("""COMPUTED_VALUE"""),"Surf Excel")</f>
        <v>Surf Excel</v>
      </c>
      <c r="E329" s="13" t="str">
        <f aca="false">IFERROR(__xludf.dummyfunction("""COMPUTED_VALUE"""),"Surf, Bleach")</f>
        <v>Surf, Bleach</v>
      </c>
      <c r="F329" s="11" t="n">
        <f aca="false">IFERROR(__xludf.dummyfunction("""COMPUTED_VALUE"""),45119)</f>
        <v>45119</v>
      </c>
      <c r="G329" s="16" t="n">
        <f aca="false">IFERROR(__xludf.dummyfunction("""COMPUTED_VALUE"""),0.941715844906346)</f>
        <v>0.9417158449</v>
      </c>
      <c r="H329" s="13" t="str">
        <f aca="false">IFERROR(__xludf.dummyfunction("""COMPUTED_VALUE"""),"damaged stock")</f>
        <v>damaged stock</v>
      </c>
      <c r="I329" s="13" t="n">
        <f aca="false">IFERROR(__xludf.dummyfunction("""COMPUTED_VALUE"""),8)</f>
        <v>8</v>
      </c>
      <c r="J329" s="13" t="n">
        <f aca="false">IFERROR(__xludf.dummyfunction("""COMPUTED_VALUE"""),111)</f>
        <v>111</v>
      </c>
      <c r="K329" s="13" t="n">
        <f aca="false">IFERROR(__xludf.dummyfunction("""COMPUTED_VALUE"""),888)</f>
        <v>888</v>
      </c>
      <c r="L329" s="13" t="str">
        <f aca="false">IFERROR(__xludf.dummyfunction("""COMPUTED_VALUE"""),"[Code: 4589AD] TA: bag may say damaged milay display krnay kay doran.")</f>
        <v>[Code: 4589AD] TA: bag may say damaged milay display krnay kay doran.</v>
      </c>
      <c r="M329" s="13" t="str">
        <f aca="false">IFERROR(__xludf.dummyfunction("""COMPUTED_VALUE"""),"4589AD")</f>
        <v>4589AD</v>
      </c>
      <c r="N329" s="13"/>
      <c r="O329" s="13" t="str">
        <f aca="false">IFERROR(__xludf.dummyfunction("""COMPUTED_VALUE"""),"taufeeq.akhtar@tajir-app.com")</f>
        <v>taufeeq.akhtar@tajir-app.com</v>
      </c>
      <c r="P329" s="13" t="str">
        <f aca="false">IFERROR(__xludf.dummyfunction("""COMPUTED_VALUE"""),"Taufeeq Akhtar ")</f>
        <v>Taufeeq Akhtar </v>
      </c>
      <c r="Q329" s="13" t="str">
        <f aca="false">IF(L329="","",L329)</f>
        <v>[Code: 4589AD] TA: bag may say damaged milay display krnay kay doran.</v>
      </c>
    </row>
    <row r="330" customFormat="false" ht="15.75" hidden="false" customHeight="false" outlineLevel="0" collapsed="false">
      <c r="A330" s="13" t="str">
        <f aca="false">IFERROR(__xludf.dummyfunction("""COMPUTED_VALUE"""),"Metro DC Faisalabad")</f>
        <v>Metro DC Faisalabad</v>
      </c>
      <c r="B330" s="13" t="str">
        <f aca="false">IFERROR(__xludf.dummyfunction("""COMPUTED_VALUE"""),"8c6f0a86-09e6-4c8b-ab37-3f37b00556f3")</f>
        <v>8c6f0a86-09e6-4c8b-ab37-3f37b00556f3</v>
      </c>
      <c r="C330" s="13" t="str">
        <f aca="false">IFERROR(__xludf.dummyfunction("""COMPUTED_VALUE"""),"7up plastic 1L (Other city stock)")</f>
        <v>7up plastic 1L (Other city stock)</v>
      </c>
      <c r="D330" s="13" t="str">
        <f aca="false">IFERROR(__xludf.dummyfunction("""COMPUTED_VALUE"""),"7up")</f>
        <v>7up</v>
      </c>
      <c r="E330" s="13" t="str">
        <f aca="false">IFERROR(__xludf.dummyfunction("""COMPUTED_VALUE"""),"Beverages")</f>
        <v>Beverages</v>
      </c>
      <c r="F330" s="11" t="n">
        <f aca="false">IFERROR(__xludf.dummyfunction("""COMPUTED_VALUE"""),45119)</f>
        <v>45119</v>
      </c>
      <c r="G330" s="16" t="n">
        <f aca="false">IFERROR(__xludf.dummyfunction("""COMPUTED_VALUE"""),0.920185173609931)</f>
        <v>0.9201851736</v>
      </c>
      <c r="H330" s="13" t="str">
        <f aca="false">IFERROR(__xludf.dummyfunction("""COMPUTED_VALUE"""),"damaged stock")</f>
        <v>damaged stock</v>
      </c>
      <c r="I330" s="13" t="n">
        <f aca="false">IFERROR(__xludf.dummyfunction("""COMPUTED_VALUE"""),1)</f>
        <v>1</v>
      </c>
      <c r="J330" s="13" t="n">
        <f aca="false">IFERROR(__xludf.dummyfunction("""COMPUTED_VALUE"""),576)</f>
        <v>576</v>
      </c>
      <c r="K330" s="13" t="n">
        <f aca="false">IFERROR(__xludf.dummyfunction("""COMPUTED_VALUE"""),576)</f>
        <v>576</v>
      </c>
      <c r="L330" s="13" t="str">
        <f aca="false">IFERROR(__xludf.dummyfunction("""COMPUTED_VALUE"""),"[Code: 6889BC] TA: Found in loose and empty bottels during sorting.")</f>
        <v>[Code: 6889BC] TA: Found in loose and empty bottels during sorting.</v>
      </c>
      <c r="M330" s="13" t="str">
        <f aca="false">IFERROR(__xludf.dummyfunction("""COMPUTED_VALUE"""),"6889BC")</f>
        <v>6889BC</v>
      </c>
      <c r="N330" s="13"/>
      <c r="O330" s="13" t="str">
        <f aca="false">IFERROR(__xludf.dummyfunction("""COMPUTED_VALUE"""),"taufeeq.akhtar@tajir-app.com")</f>
        <v>taufeeq.akhtar@tajir-app.com</v>
      </c>
      <c r="P330" s="13" t="str">
        <f aca="false">IFERROR(__xludf.dummyfunction("""COMPUTED_VALUE"""),"Taufeeq Akhtar ")</f>
        <v>Taufeeq Akhtar </v>
      </c>
      <c r="Q330" s="13" t="str">
        <f aca="false">IF(L330="","",L330)</f>
        <v>[Code: 6889BC] TA: Found in loose and empty bottels during sorting.</v>
      </c>
    </row>
    <row r="331" customFormat="false" ht="15.75" hidden="false" customHeight="false" outlineLevel="0" collapsed="false">
      <c r="A331" s="13" t="str">
        <f aca="false">IFERROR(__xludf.dummyfunction("""COMPUTED_VALUE"""),"Metro DC Faisalabad")</f>
        <v>Metro DC Faisalabad</v>
      </c>
      <c r="B331" s="13" t="str">
        <f aca="false">IFERROR(__xludf.dummyfunction("""COMPUTED_VALUE"""),"6afa406d-5fa6-42ea-a697-9b99ff3ba267")</f>
        <v>6afa406d-5fa6-42ea-a697-9b99ff3ba267</v>
      </c>
      <c r="C331" s="13" t="str">
        <f aca="false">IFERROR(__xludf.dummyfunction("""COMPUTED_VALUE"""),"Sprite plastic 1L")</f>
        <v>Sprite plastic 1L</v>
      </c>
      <c r="D331" s="13" t="str">
        <f aca="false">IFERROR(__xludf.dummyfunction("""COMPUTED_VALUE"""),"Sprite")</f>
        <v>Sprite</v>
      </c>
      <c r="E331" s="13" t="str">
        <f aca="false">IFERROR(__xludf.dummyfunction("""COMPUTED_VALUE"""),"Beverages")</f>
        <v>Beverages</v>
      </c>
      <c r="F331" s="11" t="n">
        <f aca="false">IFERROR(__xludf.dummyfunction("""COMPUTED_VALUE"""),45122)</f>
        <v>45122</v>
      </c>
      <c r="G331" s="16" t="n">
        <f aca="false">IFERROR(__xludf.dummyfunction("""COMPUTED_VALUE"""),0.968928009259825)</f>
        <v>0.9689280093</v>
      </c>
      <c r="H331" s="13" t="str">
        <f aca="false">IFERROR(__xludf.dummyfunction("""COMPUTED_VALUE"""),"damaged stock")</f>
        <v>damaged stock</v>
      </c>
      <c r="I331" s="13" t="n">
        <f aca="false">IFERROR(__xludf.dummyfunction("""COMPUTED_VALUE"""),1)</f>
        <v>1</v>
      </c>
      <c r="J331" s="13" t="n">
        <f aca="false">IFERROR(__xludf.dummyfunction("""COMPUTED_VALUE"""),670)</f>
        <v>670</v>
      </c>
      <c r="K331" s="13" t="n">
        <f aca="false">IFERROR(__xludf.dummyfunction("""COMPUTED_VALUE"""),670)</f>
        <v>670</v>
      </c>
      <c r="L331" s="13" t="str">
        <f aca="false">IFERROR(__xludf.dummyfunction("""COMPUTED_VALUE"""),"[Code: 24567C] TA: Found loose bottles During Sorting(Company end issue)")</f>
        <v>[Code: 24567C] TA: Found loose bottles During Sorting(Company end issue)</v>
      </c>
      <c r="M331" s="13" t="str">
        <f aca="false">IFERROR(__xludf.dummyfunction("""COMPUTED_VALUE"""),"24567C")</f>
        <v>24567C</v>
      </c>
      <c r="N331" s="13"/>
      <c r="O331" s="13" t="str">
        <f aca="false">IFERROR(__xludf.dummyfunction("""COMPUTED_VALUE"""),"taufeeq.akhtar@tajir-app.com")</f>
        <v>taufeeq.akhtar@tajir-app.com</v>
      </c>
      <c r="P331" s="13" t="str">
        <f aca="false">IFERROR(__xludf.dummyfunction("""COMPUTED_VALUE"""),"Taufeeq Akhtar ")</f>
        <v>Taufeeq Akhtar </v>
      </c>
      <c r="Q331" s="13" t="str">
        <f aca="false">IF(L331="","",L331)</f>
        <v>[Code: 24567C] TA: Found loose bottles During Sorting(Company end issue)</v>
      </c>
    </row>
    <row r="332" customFormat="false" ht="15.75" hidden="false" customHeight="false" outlineLevel="0" collapsed="false">
      <c r="A332" s="13" t="str">
        <f aca="false">IFERROR(__xludf.dummyfunction("""COMPUTED_VALUE"""),"Metro DC Faisalabad")</f>
        <v>Metro DC Faisalabad</v>
      </c>
      <c r="B332" s="13" t="str">
        <f aca="false">IFERROR(__xludf.dummyfunction("""COMPUTED_VALUE"""),"6afa406d-5fa6-42ea-a697-9b99ff3ba267")</f>
        <v>6afa406d-5fa6-42ea-a697-9b99ff3ba267</v>
      </c>
      <c r="C332" s="13" t="str">
        <f aca="false">IFERROR(__xludf.dummyfunction("""COMPUTED_VALUE"""),"Sprite plastic 1L")</f>
        <v>Sprite plastic 1L</v>
      </c>
      <c r="D332" s="13" t="str">
        <f aca="false">IFERROR(__xludf.dummyfunction("""COMPUTED_VALUE"""),"Sprite")</f>
        <v>Sprite</v>
      </c>
      <c r="E332" s="13" t="str">
        <f aca="false">IFERROR(__xludf.dummyfunction("""COMPUTED_VALUE"""),"Beverages")</f>
        <v>Beverages</v>
      </c>
      <c r="F332" s="11" t="n">
        <f aca="false">IFERROR(__xludf.dummyfunction("""COMPUTED_VALUE"""),45122)</f>
        <v>45122</v>
      </c>
      <c r="G332" s="16" t="n">
        <f aca="false">IFERROR(__xludf.dummyfunction("""COMPUTED_VALUE"""),0.968925393519084)</f>
        <v>0.9689253935</v>
      </c>
      <c r="H332" s="13" t="str">
        <f aca="false">IFERROR(__xludf.dummyfunction("""COMPUTED_VALUE"""),"damaged stock")</f>
        <v>damaged stock</v>
      </c>
      <c r="I332" s="13" t="n">
        <f aca="false">IFERROR(__xludf.dummyfunction("""COMPUTED_VALUE"""),1)</f>
        <v>1</v>
      </c>
      <c r="J332" s="13" t="n">
        <f aca="false">IFERROR(__xludf.dummyfunction("""COMPUTED_VALUE"""),670)</f>
        <v>670</v>
      </c>
      <c r="K332" s="13" t="n">
        <f aca="false">IFERROR(__xludf.dummyfunction("""COMPUTED_VALUE"""),670)</f>
        <v>670</v>
      </c>
      <c r="L332" s="13" t="str">
        <f aca="false">IFERROR(__xludf.dummyfunction("""COMPUTED_VALUE"""),"[Code: 24567C] TA: Found loose bottles During Sorting(Company end issue)")</f>
        <v>[Code: 24567C] TA: Found loose bottles During Sorting(Company end issue)</v>
      </c>
      <c r="M332" s="13" t="str">
        <f aca="false">IFERROR(__xludf.dummyfunction("""COMPUTED_VALUE"""),"24567C")</f>
        <v>24567C</v>
      </c>
      <c r="N332" s="13"/>
      <c r="O332" s="13" t="str">
        <f aca="false">IFERROR(__xludf.dummyfunction("""COMPUTED_VALUE"""),"taufeeq.akhtar@tajir-app.com")</f>
        <v>taufeeq.akhtar@tajir-app.com</v>
      </c>
      <c r="P332" s="13" t="str">
        <f aca="false">IFERROR(__xludf.dummyfunction("""COMPUTED_VALUE"""),"Taufeeq Akhtar ")</f>
        <v>Taufeeq Akhtar </v>
      </c>
      <c r="Q332" s="13" t="str">
        <f aca="false">IF(L332="","",L332)</f>
        <v>[Code: 24567C] TA: Found loose bottles During Sorting(Company end issue)</v>
      </c>
    </row>
    <row r="333" customFormat="false" ht="15.75" hidden="false" customHeight="false" outlineLevel="0" collapsed="false">
      <c r="A333" s="13" t="str">
        <f aca="false">IFERROR(__xludf.dummyfunction("""COMPUTED_VALUE"""),"Metro DC Faisalabad")</f>
        <v>Metro DC Faisalabad</v>
      </c>
      <c r="B333" s="13" t="str">
        <f aca="false">IFERROR(__xludf.dummyfunction("""COMPUTED_VALUE"""),"cd68a607-af95-45cb-b9f4-2721224c85f8")</f>
        <v>cd68a607-af95-45cb-b9f4-2721224c85f8</v>
      </c>
      <c r="C333" s="13" t="str">
        <f aca="false">IFERROR(__xludf.dummyfunction("""COMPUTED_VALUE"""),"Coca Cola plastic 1.5L")</f>
        <v>Coca Cola plastic 1.5L</v>
      </c>
      <c r="D333" s="13" t="str">
        <f aca="false">IFERROR(__xludf.dummyfunction("""COMPUTED_VALUE"""),"Coca Cola")</f>
        <v>Coca Cola</v>
      </c>
      <c r="E333" s="13" t="str">
        <f aca="false">IFERROR(__xludf.dummyfunction("""COMPUTED_VALUE"""),"Beverages")</f>
        <v>Beverages</v>
      </c>
      <c r="F333" s="11" t="n">
        <f aca="false">IFERROR(__xludf.dummyfunction("""COMPUTED_VALUE"""),45122)</f>
        <v>45122</v>
      </c>
      <c r="G333" s="16" t="n">
        <f aca="false">IFERROR(__xludf.dummyfunction("""COMPUTED_VALUE"""),0.967591828703289)</f>
        <v>0.9675918287</v>
      </c>
      <c r="H333" s="13" t="str">
        <f aca="false">IFERROR(__xludf.dummyfunction("""COMPUTED_VALUE"""),"damaged stock")</f>
        <v>damaged stock</v>
      </c>
      <c r="I333" s="13" t="n">
        <f aca="false">IFERROR(__xludf.dummyfunction("""COMPUTED_VALUE"""),3)</f>
        <v>3</v>
      </c>
      <c r="J333" s="13" t="n">
        <f aca="false">IFERROR(__xludf.dummyfunction("""COMPUTED_VALUE"""),885)</f>
        <v>885</v>
      </c>
      <c r="K333" s="13" t="n">
        <f aca="false">IFERROR(__xludf.dummyfunction("""COMPUTED_VALUE"""),2655)</f>
        <v>2655</v>
      </c>
      <c r="L333" s="13" t="str">
        <f aca="false">IFERROR(__xludf.dummyfunction("""COMPUTED_VALUE"""),"[Code: 356AEG] TA:Found Loose bottels during sorting.(Company end issue)")</f>
        <v>[Code: 356AEG] TA:Found Loose bottels during sorting.(Company end issue)</v>
      </c>
      <c r="M333" s="13" t="str">
        <f aca="false">IFERROR(__xludf.dummyfunction("""COMPUTED_VALUE"""),"356AEG")</f>
        <v>356AEG</v>
      </c>
      <c r="N333" s="13"/>
      <c r="O333" s="13" t="str">
        <f aca="false">IFERROR(__xludf.dummyfunction("""COMPUTED_VALUE"""),"taufeeq.akhtar@tajir-app.com")</f>
        <v>taufeeq.akhtar@tajir-app.com</v>
      </c>
      <c r="P333" s="13" t="str">
        <f aca="false">IFERROR(__xludf.dummyfunction("""COMPUTED_VALUE"""),"Taufeeq Akhtar ")</f>
        <v>Taufeeq Akhtar </v>
      </c>
      <c r="Q333" s="13" t="str">
        <f aca="false">IF(L333="","",L333)</f>
        <v>[Code: 356AEG] TA:Found Loose bottels during sorting.(Company end issue)</v>
      </c>
    </row>
    <row r="334" customFormat="false" ht="15.75" hidden="false" customHeight="false" outlineLevel="0" collapsed="false">
      <c r="A334" s="13" t="str">
        <f aca="false">IFERROR(__xludf.dummyfunction("""COMPUTED_VALUE"""),"Metro DC Faisalabad")</f>
        <v>Metro DC Faisalabad</v>
      </c>
      <c r="B334" s="13" t="str">
        <f aca="false">IFERROR(__xludf.dummyfunction("""COMPUTED_VALUE"""),"1416169c-68df-4f79-9126-fe301e8ac9d9")</f>
        <v>1416169c-68df-4f79-9126-fe301e8ac9d9</v>
      </c>
      <c r="C334" s="13" t="str">
        <f aca="false">IFERROR(__xludf.dummyfunction("""COMPUTED_VALUE"""),"Sprite Plastic 2.25L (Jumbo)")</f>
        <v>Sprite Plastic 2.25L (Jumbo)</v>
      </c>
      <c r="D334" s="13" t="str">
        <f aca="false">IFERROR(__xludf.dummyfunction("""COMPUTED_VALUE"""),"Sprite")</f>
        <v>Sprite</v>
      </c>
      <c r="E334" s="13" t="str">
        <f aca="false">IFERROR(__xludf.dummyfunction("""COMPUTED_VALUE"""),"Beverages")</f>
        <v>Beverages</v>
      </c>
      <c r="F334" s="11" t="n">
        <f aca="false">IFERROR(__xludf.dummyfunction("""COMPUTED_VALUE"""),45122)</f>
        <v>45122</v>
      </c>
      <c r="G334" s="16" t="n">
        <f aca="false">IFERROR(__xludf.dummyfunction("""COMPUTED_VALUE"""),0.914099583334174)</f>
        <v>0.9140995833</v>
      </c>
      <c r="H334" s="13" t="str">
        <f aca="false">IFERROR(__xludf.dummyfunction("""COMPUTED_VALUE"""),"damaged stock")</f>
        <v>damaged stock</v>
      </c>
      <c r="I334" s="13" t="n">
        <f aca="false">IFERROR(__xludf.dummyfunction("""COMPUTED_VALUE"""),1)</f>
        <v>1</v>
      </c>
      <c r="J334" s="13" t="n">
        <f aca="false">IFERROR(__xludf.dummyfunction("""COMPUTED_VALUE"""),1206)</f>
        <v>1206</v>
      </c>
      <c r="K334" s="13" t="n">
        <f aca="false">IFERROR(__xludf.dummyfunction("""COMPUTED_VALUE"""),1206)</f>
        <v>1206</v>
      </c>
      <c r="L334" s="13" t="str">
        <f aca="false">IFERROR(__xludf.dummyfunction("""COMPUTED_VALUE"""),"[Code: 5688AA] TA: Found in loose and empty bottels during sorting.")</f>
        <v>[Code: 5688AA] TA: Found in loose and empty bottels during sorting.</v>
      </c>
      <c r="M334" s="13" t="str">
        <f aca="false">IFERROR(__xludf.dummyfunction("""COMPUTED_VALUE"""),"5688AA")</f>
        <v>5688AA</v>
      </c>
      <c r="N334" s="13"/>
      <c r="O334" s="13" t="str">
        <f aca="false">IFERROR(__xludf.dummyfunction("""COMPUTED_VALUE"""),"taufeeq.akhtar@tajir-app.com")</f>
        <v>taufeeq.akhtar@tajir-app.com</v>
      </c>
      <c r="P334" s="13" t="str">
        <f aca="false">IFERROR(__xludf.dummyfunction("""COMPUTED_VALUE"""),"Taufeeq Akhtar ")</f>
        <v>Taufeeq Akhtar </v>
      </c>
      <c r="Q334" s="13" t="str">
        <f aca="false">IF(L334="","",L334)</f>
        <v>[Code: 5688AA] TA: Found in loose and empty bottels during sorting.</v>
      </c>
    </row>
    <row r="335" customFormat="false" ht="15.75" hidden="false" customHeight="false" outlineLevel="0" collapsed="false">
      <c r="A335" s="13" t="str">
        <f aca="false">IFERROR(__xludf.dummyfunction("""COMPUTED_VALUE"""),"Metro DC Faisalabad")</f>
        <v>Metro DC Faisalabad</v>
      </c>
      <c r="B335" s="13" t="str">
        <f aca="false">IFERROR(__xludf.dummyfunction("""COMPUTED_VALUE"""),"9c395894-35c2-4217-9eff-b0a22e04c2d1")</f>
        <v>9c395894-35c2-4217-9eff-b0a22e04c2d1</v>
      </c>
      <c r="C335" s="13" t="str">
        <f aca="false">IFERROR(__xludf.dummyfunction("""COMPUTED_VALUE"""),"Coca Cola plastic 2.25L (Jumbo)")</f>
        <v>Coca Cola plastic 2.25L (Jumbo)</v>
      </c>
      <c r="D335" s="13" t="str">
        <f aca="false">IFERROR(__xludf.dummyfunction("""COMPUTED_VALUE"""),"Coca Cola")</f>
        <v>Coca Cola</v>
      </c>
      <c r="E335" s="13" t="str">
        <f aca="false">IFERROR(__xludf.dummyfunction("""COMPUTED_VALUE"""),"Beverages")</f>
        <v>Beverages</v>
      </c>
      <c r="F335" s="11" t="n">
        <f aca="false">IFERROR(__xludf.dummyfunction("""COMPUTED_VALUE"""),45122)</f>
        <v>45122</v>
      </c>
      <c r="G335" s="16" t="n">
        <f aca="false">IFERROR(__xludf.dummyfunction("""COMPUTED_VALUE"""),0.85987717592585)</f>
        <v>0.8598771759</v>
      </c>
      <c r="H335" s="13" t="str">
        <f aca="false">IFERROR(__xludf.dummyfunction("""COMPUTED_VALUE"""),"damaged stock")</f>
        <v>damaged stock</v>
      </c>
      <c r="I335" s="13" t="n">
        <f aca="false">IFERROR(__xludf.dummyfunction("""COMPUTED_VALUE"""),1)</f>
        <v>1</v>
      </c>
      <c r="J335" s="13" t="n">
        <f aca="false">IFERROR(__xludf.dummyfunction("""COMPUTED_VALUE"""),1226)</f>
        <v>1226</v>
      </c>
      <c r="K335" s="13" t="n">
        <f aca="false">IFERROR(__xludf.dummyfunction("""COMPUTED_VALUE"""),1226)</f>
        <v>1226</v>
      </c>
      <c r="L335" s="13" t="str">
        <f aca="false">IFERROR(__xludf.dummyfunction("""COMPUTED_VALUE"""),"[Code: 67CCGH] TA: 4 bottels Found Loose during Sorting.(Company end issue)")</f>
        <v>[Code: 67CCGH] TA: 4 bottels Found Loose during Sorting.(Company end issue)</v>
      </c>
      <c r="M335" s="13" t="str">
        <f aca="false">IFERROR(__xludf.dummyfunction("""COMPUTED_VALUE"""),"67CCGH")</f>
        <v>67CCGH</v>
      </c>
      <c r="N335" s="13"/>
      <c r="O335" s="13" t="str">
        <f aca="false">IFERROR(__xludf.dummyfunction("""COMPUTED_VALUE"""),"taufeeq.akhtar@tajir-app.com")</f>
        <v>taufeeq.akhtar@tajir-app.com</v>
      </c>
      <c r="P335" s="13" t="str">
        <f aca="false">IFERROR(__xludf.dummyfunction("""COMPUTED_VALUE"""),"Taufeeq Akhtar ")</f>
        <v>Taufeeq Akhtar </v>
      </c>
      <c r="Q335" s="13" t="str">
        <f aca="false">IF(L335="","",L335)</f>
        <v>[Code: 67CCGH] TA: 4 bottels Found Loose during Sorting.(Company end issue)</v>
      </c>
    </row>
    <row r="336" customFormat="false" ht="15.75" hidden="false" customHeight="false" outlineLevel="0" collapsed="false">
      <c r="A336" s="13" t="str">
        <f aca="false">IFERROR(__xludf.dummyfunction("""COMPUTED_VALUE"""),"Metro DC Faisalabad")</f>
        <v>Metro DC Faisalabad</v>
      </c>
      <c r="B336" s="13" t="str">
        <f aca="false">IFERROR(__xludf.dummyfunction("""COMPUTED_VALUE"""),"738b3bdb-3b9e-4c0a-a6fa-18a670c5bcba")</f>
        <v>738b3bdb-3b9e-4c0a-a6fa-18a670c5bcba</v>
      </c>
      <c r="C336" s="13" t="str">
        <f aca="false">IFERROR(__xludf.dummyfunction("""COMPUTED_VALUE"""),"Bonus tristar yellow surf 240g Rs50")</f>
        <v>Bonus tristar yellow surf 240g Rs50</v>
      </c>
      <c r="D336" s="13" t="str">
        <f aca="false">IFERROR(__xludf.dummyfunction("""COMPUTED_VALUE"""),"Bonus Surf")</f>
        <v>Bonus Surf</v>
      </c>
      <c r="E336" s="13" t="str">
        <f aca="false">IFERROR(__xludf.dummyfunction("""COMPUTED_VALUE"""),"Surf, Bleach")</f>
        <v>Surf, Bleach</v>
      </c>
      <c r="F336" s="11" t="n">
        <f aca="false">IFERROR(__xludf.dummyfunction("""COMPUTED_VALUE"""),45123)</f>
        <v>45123</v>
      </c>
      <c r="G336" s="16" t="n">
        <f aca="false">IFERROR(__xludf.dummyfunction("""COMPUTED_VALUE"""),0.918979849538239)</f>
        <v>0.9189798495</v>
      </c>
      <c r="H336" s="13" t="str">
        <f aca="false">IFERROR(__xludf.dummyfunction("""COMPUTED_VALUE"""),"damaged stock")</f>
        <v>damaged stock</v>
      </c>
      <c r="I336" s="13" t="n">
        <f aca="false">IFERROR(__xludf.dummyfunction("""COMPUTED_VALUE"""),1)</f>
        <v>1</v>
      </c>
      <c r="J336" s="13" t="n">
        <f aca="false">IFERROR(__xludf.dummyfunction("""COMPUTED_VALUE"""),45.59)</f>
        <v>45.59</v>
      </c>
      <c r="K336" s="13" t="n">
        <f aca="false">IFERROR(__xludf.dummyfunction("""COMPUTED_VALUE"""),45.59)</f>
        <v>45.59</v>
      </c>
      <c r="L336" s="13" t="str">
        <f aca="false">IFERROR(__xludf.dummyfunction("""COMPUTED_VALUE"""),"[Code: 669BCE] TA: bag may say damaged mila.")</f>
        <v>[Code: 669BCE] TA: bag may say damaged mila.</v>
      </c>
      <c r="M336" s="13" t="str">
        <f aca="false">IFERROR(__xludf.dummyfunction("""COMPUTED_VALUE"""),"669BCE")</f>
        <v>669BCE</v>
      </c>
      <c r="N336" s="13"/>
      <c r="O336" s="13" t="str">
        <f aca="false">IFERROR(__xludf.dummyfunction("""COMPUTED_VALUE"""),"taufeeq.akhtar@tajir-app.com")</f>
        <v>taufeeq.akhtar@tajir-app.com</v>
      </c>
      <c r="P336" s="13" t="str">
        <f aca="false">IFERROR(__xludf.dummyfunction("""COMPUTED_VALUE"""),"Taufeeq Akhtar ")</f>
        <v>Taufeeq Akhtar </v>
      </c>
      <c r="Q336" s="13" t="str">
        <f aca="false">IF(L336="","",L336)</f>
        <v>[Code: 669BCE] TA: bag may say damaged mila.</v>
      </c>
    </row>
    <row r="337" customFormat="false" ht="15.75" hidden="false" customHeight="false" outlineLevel="0" collapsed="false">
      <c r="A337" s="13" t="str">
        <f aca="false">IFERROR(__xludf.dummyfunction("""COMPUTED_VALUE"""),"Metro DC Faisalabad")</f>
        <v>Metro DC Faisalabad</v>
      </c>
      <c r="B337" s="13" t="str">
        <f aca="false">IFERROR(__xludf.dummyfunction("""COMPUTED_VALUE"""),"abcf8988-e2e3-45c6-9460-b69fac4fd0e1")</f>
        <v>abcf8988-e2e3-45c6-9460-b69fac4fd0e1</v>
      </c>
      <c r="C337" s="13" t="str">
        <f aca="false">IFERROR(__xludf.dummyfunction("""COMPUTED_VALUE"""),"Bonus tristar yellow surf 1kg Rs220")</f>
        <v>Bonus tristar yellow surf 1kg Rs220</v>
      </c>
      <c r="D337" s="13" t="str">
        <f aca="false">IFERROR(__xludf.dummyfunction("""COMPUTED_VALUE"""),"Bonus Surf")</f>
        <v>Bonus Surf</v>
      </c>
      <c r="E337" s="13" t="str">
        <f aca="false">IFERROR(__xludf.dummyfunction("""COMPUTED_VALUE"""),"Surf, Bleach")</f>
        <v>Surf, Bleach</v>
      </c>
      <c r="F337" s="11" t="n">
        <f aca="false">IFERROR(__xludf.dummyfunction("""COMPUTED_VALUE"""),45123)</f>
        <v>45123</v>
      </c>
      <c r="G337" s="16" t="n">
        <f aca="false">IFERROR(__xludf.dummyfunction("""COMPUTED_VALUE"""),0.918111574072446)</f>
        <v>0.9181115741</v>
      </c>
      <c r="H337" s="13" t="str">
        <f aca="false">IFERROR(__xludf.dummyfunction("""COMPUTED_VALUE"""),"damaged stock")</f>
        <v>damaged stock</v>
      </c>
      <c r="I337" s="13" t="n">
        <f aca="false">IFERROR(__xludf.dummyfunction("""COMPUTED_VALUE"""),1)</f>
        <v>1</v>
      </c>
      <c r="J337" s="13" t="n">
        <f aca="false">IFERROR(__xludf.dummyfunction("""COMPUTED_VALUE"""),201.18)</f>
        <v>201.18</v>
      </c>
      <c r="K337" s="13" t="n">
        <f aca="false">IFERROR(__xludf.dummyfunction("""COMPUTED_VALUE"""),201.18)</f>
        <v>201.18</v>
      </c>
      <c r="L337" s="13" t="str">
        <f aca="false">IFERROR(__xludf.dummyfunction("""COMPUTED_VALUE"""),"[Code: 2357AB] TA: bag may say damaged nikla display krtay waqt.")</f>
        <v>[Code: 2357AB] TA: bag may say damaged nikla display krtay waqt.</v>
      </c>
      <c r="M337" s="13" t="str">
        <f aca="false">IFERROR(__xludf.dummyfunction("""COMPUTED_VALUE"""),"2357AB")</f>
        <v>2357AB</v>
      </c>
      <c r="N337" s="13"/>
      <c r="O337" s="13" t="str">
        <f aca="false">IFERROR(__xludf.dummyfunction("""COMPUTED_VALUE"""),"taufeeq.akhtar@tajir-app.com")</f>
        <v>taufeeq.akhtar@tajir-app.com</v>
      </c>
      <c r="P337" s="13" t="str">
        <f aca="false">IFERROR(__xludf.dummyfunction("""COMPUTED_VALUE"""),"Taufeeq Akhtar ")</f>
        <v>Taufeeq Akhtar </v>
      </c>
      <c r="Q337" s="13" t="str">
        <f aca="false">IF(L337="","",L337)</f>
        <v>[Code: 2357AB] TA: bag may say damaged nikla display krtay waqt.</v>
      </c>
    </row>
    <row r="338" customFormat="false" ht="15.75" hidden="false" customHeight="false" outlineLevel="0" collapsed="false">
      <c r="A338" s="13" t="str">
        <f aca="false">IFERROR(__xludf.dummyfunction("""COMPUTED_VALUE"""),"Metro DC Faisalabad")</f>
        <v>Metro DC Faisalabad</v>
      </c>
      <c r="B338" s="13" t="str">
        <f aca="false">IFERROR(__xludf.dummyfunction("""COMPUTED_VALUE"""),"138f860f-6230-442e-9fbc-5d3c54065f1e")</f>
        <v>138f860f-6230-442e-9fbc-5d3c54065f1e</v>
      </c>
      <c r="C338" s="13" t="str">
        <f aca="false">IFERROR(__xludf.dummyfunction("""COMPUTED_VALUE"""),"Pepsi plastic 1L")</f>
        <v>Pepsi plastic 1L</v>
      </c>
      <c r="D338" s="13" t="str">
        <f aca="false">IFERROR(__xludf.dummyfunction("""COMPUTED_VALUE"""),"Pepsi")</f>
        <v>Pepsi</v>
      </c>
      <c r="E338" s="13" t="str">
        <f aca="false">IFERROR(__xludf.dummyfunction("""COMPUTED_VALUE"""),"Beverages")</f>
        <v>Beverages</v>
      </c>
      <c r="F338" s="11" t="n">
        <f aca="false">IFERROR(__xludf.dummyfunction("""COMPUTED_VALUE"""),45123)</f>
        <v>45123</v>
      </c>
      <c r="G338" s="16" t="n">
        <f aca="false">IFERROR(__xludf.dummyfunction("""COMPUTED_VALUE"""),0.916867997685099)</f>
        <v>0.9168679977</v>
      </c>
      <c r="H338" s="13" t="str">
        <f aca="false">IFERROR(__xludf.dummyfunction("""COMPUTED_VALUE"""),"damaged stock")</f>
        <v>damaged stock</v>
      </c>
      <c r="I338" s="13" t="n">
        <f aca="false">IFERROR(__xludf.dummyfunction("""COMPUTED_VALUE"""),1)</f>
        <v>1</v>
      </c>
      <c r="J338" s="13" t="n">
        <f aca="false">IFERROR(__xludf.dummyfunction("""COMPUTED_VALUE"""),556)</f>
        <v>556</v>
      </c>
      <c r="K338" s="13" t="n">
        <f aca="false">IFERROR(__xludf.dummyfunction("""COMPUTED_VALUE"""),556)</f>
        <v>556</v>
      </c>
      <c r="L338" s="13" t="str">
        <f aca="false">IFERROR(__xludf.dummyfunction("""COMPUTED_VALUE"""),"[Code: 345677] TA: Found in loose and Empty bottels during sorting.")</f>
        <v>[Code: 345677] TA: Found in loose and Empty bottels during sorting.</v>
      </c>
      <c r="M338" s="13" t="str">
        <f aca="false">IFERROR(__xludf.dummyfunction("""COMPUTED_VALUE"""),"345677")</f>
        <v>345677</v>
      </c>
      <c r="N338" s="13"/>
      <c r="O338" s="13" t="str">
        <f aca="false">IFERROR(__xludf.dummyfunction("""COMPUTED_VALUE"""),"taufeeq.akhtar@tajir-app.com")</f>
        <v>taufeeq.akhtar@tajir-app.com</v>
      </c>
      <c r="P338" s="13" t="str">
        <f aca="false">IFERROR(__xludf.dummyfunction("""COMPUTED_VALUE"""),"Taufeeq Akhtar ")</f>
        <v>Taufeeq Akhtar </v>
      </c>
      <c r="Q338" s="13" t="str">
        <f aca="false">IF(L338="","",L338)</f>
        <v>[Code: 345677] TA: Found in loose and Empty bottels during sorting.</v>
      </c>
    </row>
    <row r="339" customFormat="false" ht="15.75" hidden="false" customHeight="false" outlineLevel="0" collapsed="false">
      <c r="A339" s="13" t="str">
        <f aca="false">IFERROR(__xludf.dummyfunction("""COMPUTED_VALUE"""),"Metro DC Faisalabad")</f>
        <v>Metro DC Faisalabad</v>
      </c>
      <c r="B339" s="13" t="str">
        <f aca="false">IFERROR(__xludf.dummyfunction("""COMPUTED_VALUE"""),"cd68a607-af95-45cb-b9f4-2721224c85f8")</f>
        <v>cd68a607-af95-45cb-b9f4-2721224c85f8</v>
      </c>
      <c r="C339" s="13" t="str">
        <f aca="false">IFERROR(__xludf.dummyfunction("""COMPUTED_VALUE"""),"Coca Cola plastic 1.5L")</f>
        <v>Coca Cola plastic 1.5L</v>
      </c>
      <c r="D339" s="13" t="str">
        <f aca="false">IFERROR(__xludf.dummyfunction("""COMPUTED_VALUE"""),"Coca Cola")</f>
        <v>Coca Cola</v>
      </c>
      <c r="E339" s="13" t="str">
        <f aca="false">IFERROR(__xludf.dummyfunction("""COMPUTED_VALUE"""),"Beverages")</f>
        <v>Beverages</v>
      </c>
      <c r="F339" s="11" t="n">
        <f aca="false">IFERROR(__xludf.dummyfunction("""COMPUTED_VALUE"""),45124)</f>
        <v>45124</v>
      </c>
      <c r="G339" s="16" t="n">
        <f aca="false">IFERROR(__xludf.dummyfunction("""COMPUTED_VALUE"""),0.869458599536185)</f>
        <v>0.8694585995</v>
      </c>
      <c r="H339" s="13" t="str">
        <f aca="false">IFERROR(__xludf.dummyfunction("""COMPUTED_VALUE"""),"damaged stock")</f>
        <v>damaged stock</v>
      </c>
      <c r="I339" s="13" t="n">
        <f aca="false">IFERROR(__xludf.dummyfunction("""COMPUTED_VALUE"""),2)</f>
        <v>2</v>
      </c>
      <c r="J339" s="13" t="n">
        <f aca="false">IFERROR(__xludf.dummyfunction("""COMPUTED_VALUE"""),885)</f>
        <v>885</v>
      </c>
      <c r="K339" s="13" t="n">
        <f aca="false">IFERROR(__xludf.dummyfunction("""COMPUTED_VALUE"""),1770)</f>
        <v>1770</v>
      </c>
      <c r="L339" s="13" t="str">
        <f aca="false">IFERROR(__xludf.dummyfunction("""COMPUTED_VALUE"""),"[Code: 689ACE]  TA: Found loose bottles During Sorting(Company end issue)")</f>
        <v>[Code: 689ACE]  TA: Found loose bottles During Sorting(Company end issue)</v>
      </c>
      <c r="M339" s="13" t="str">
        <f aca="false">IFERROR(__xludf.dummyfunction("""COMPUTED_VALUE"""),"689ACE")</f>
        <v>689ACE</v>
      </c>
      <c r="N339" s="13"/>
      <c r="O339" s="13" t="str">
        <f aca="false">IFERROR(__xludf.dummyfunction("""COMPUTED_VALUE"""),"taufeeq.akhtar@tajir-app.com")</f>
        <v>taufeeq.akhtar@tajir-app.com</v>
      </c>
      <c r="P339" s="13" t="str">
        <f aca="false">IFERROR(__xludf.dummyfunction("""COMPUTED_VALUE"""),"Taufeeq Akhtar ")</f>
        <v>Taufeeq Akhtar </v>
      </c>
      <c r="Q339" s="13" t="str">
        <f aca="false">IF(L339="","",L339)</f>
        <v>[Code: 689ACE]  TA: Found loose bottles During Sorting(Company end issue)</v>
      </c>
    </row>
    <row r="340" customFormat="false" ht="15.75" hidden="false" customHeight="false" outlineLevel="0" collapsed="false">
      <c r="A340" s="13" t="str">
        <f aca="false">IFERROR(__xludf.dummyfunction("""COMPUTED_VALUE"""),"Metro DC Faisalabad")</f>
        <v>Metro DC Faisalabad</v>
      </c>
      <c r="B340" s="13" t="str">
        <f aca="false">IFERROR(__xludf.dummyfunction("""COMPUTED_VALUE"""),"67c33ff3-e486-487d-844a-b17c396936ee")</f>
        <v>67c33ff3-e486-487d-844a-b17c396936ee</v>
      </c>
      <c r="C340" s="13" t="str">
        <f aca="false">IFERROR(__xludf.dummyfunction("""COMPUTED_VALUE"""),"Coca Cola plastic 1L")</f>
        <v>Coca Cola plastic 1L</v>
      </c>
      <c r="D340" s="13" t="str">
        <f aca="false">IFERROR(__xludf.dummyfunction("""COMPUTED_VALUE"""),"Coca Cola")</f>
        <v>Coca Cola</v>
      </c>
      <c r="E340" s="13" t="str">
        <f aca="false">IFERROR(__xludf.dummyfunction("""COMPUTED_VALUE"""),"Beverages")</f>
        <v>Beverages</v>
      </c>
      <c r="F340" s="11" t="n">
        <f aca="false">IFERROR(__xludf.dummyfunction("""COMPUTED_VALUE"""),45125)</f>
        <v>45125</v>
      </c>
      <c r="G340" s="16" t="n">
        <f aca="false">IFERROR(__xludf.dummyfunction("""COMPUTED_VALUE"""),0.861169513889886)</f>
        <v>0.8611695139</v>
      </c>
      <c r="H340" s="13" t="str">
        <f aca="false">IFERROR(__xludf.dummyfunction("""COMPUTED_VALUE"""),"damaged stock")</f>
        <v>damaged stock</v>
      </c>
      <c r="I340" s="13" t="n">
        <f aca="false">IFERROR(__xludf.dummyfunction("""COMPUTED_VALUE"""),1)</f>
        <v>1</v>
      </c>
      <c r="J340" s="13" t="n">
        <f aca="false">IFERROR(__xludf.dummyfunction("""COMPUTED_VALUE"""),698)</f>
        <v>698</v>
      </c>
      <c r="K340" s="13" t="n">
        <f aca="false">IFERROR(__xludf.dummyfunction("""COMPUTED_VALUE"""),698)</f>
        <v>698</v>
      </c>
      <c r="L340" s="13" t="str">
        <f aca="false">IFERROR(__xludf.dummyfunction("""COMPUTED_VALUE"""),"[Code: 222457]  TA: Found in loose and empty bottels during sorting.")</f>
        <v>[Code: 222457]  TA: Found in loose and empty bottels during sorting.</v>
      </c>
      <c r="M340" s="13" t="str">
        <f aca="false">IFERROR(__xludf.dummyfunction("""COMPUTED_VALUE"""),"222457")</f>
        <v>222457</v>
      </c>
      <c r="N340" s="13"/>
      <c r="O340" s="13" t="str">
        <f aca="false">IFERROR(__xludf.dummyfunction("""COMPUTED_VALUE"""),"taufeeq.akhtar@tajir-app.com")</f>
        <v>taufeeq.akhtar@tajir-app.com</v>
      </c>
      <c r="P340" s="13" t="str">
        <f aca="false">IFERROR(__xludf.dummyfunction("""COMPUTED_VALUE"""),"Taufeeq Akhtar ")</f>
        <v>Taufeeq Akhtar </v>
      </c>
      <c r="Q340" s="13" t="str">
        <f aca="false">IF(L340="","",L340)</f>
        <v>[Code: 222457]  TA: Found in loose and empty bottels during sorting.</v>
      </c>
    </row>
    <row r="341" customFormat="false" ht="15.75" hidden="false" customHeight="false" outlineLevel="0" collapsed="false">
      <c r="A341" s="13" t="str">
        <f aca="false">IFERROR(__xludf.dummyfunction("""COMPUTED_VALUE"""),"Metro DC Faisalabad")</f>
        <v>Metro DC Faisalabad</v>
      </c>
      <c r="B341" s="13" t="str">
        <f aca="false">IFERROR(__xludf.dummyfunction("""COMPUTED_VALUE"""),"08c91743-6dd7-4879-95b9-a808ee0d28cd")</f>
        <v>08c91743-6dd7-4879-95b9-a808ee0d28cd</v>
      </c>
      <c r="C341" s="13" t="str">
        <f aca="false">IFERROR(__xludf.dummyfunction("""COMPUTED_VALUE"""),"Bisconni Chocolatto Filled Biscuits 8pcs Rs30")</f>
        <v>Bisconni Chocolatto Filled Biscuits 8pcs Rs30</v>
      </c>
      <c r="D341" s="13" t="str">
        <f aca="false">IFERROR(__xludf.dummyfunction("""COMPUTED_VALUE"""),"Bisconni")</f>
        <v>Bisconni</v>
      </c>
      <c r="E341" s="13" t="str">
        <f aca="false">IFERROR(__xludf.dummyfunction("""COMPUTED_VALUE"""),"Biscuits, Wafers")</f>
        <v>Biscuits, Wafers</v>
      </c>
      <c r="F341" s="11" t="n">
        <f aca="false">IFERROR(__xludf.dummyfunction("""COMPUTED_VALUE"""),45126)</f>
        <v>45126</v>
      </c>
      <c r="G341" s="16" t="n">
        <f aca="false">IFERROR(__xludf.dummyfunction("""COMPUTED_VALUE"""),0.891685532406232)</f>
        <v>0.8916855324</v>
      </c>
      <c r="H341" s="13" t="str">
        <f aca="false">IFERROR(__xludf.dummyfunction("""COMPUTED_VALUE"""),"damaged stock")</f>
        <v>damaged stock</v>
      </c>
      <c r="I341" s="13" t="n">
        <f aca="false">IFERROR(__xludf.dummyfunction("""COMPUTED_VALUE"""),3)</f>
        <v>3</v>
      </c>
      <c r="J341" s="13" t="n">
        <f aca="false">IFERROR(__xludf.dummyfunction("""COMPUTED_VALUE"""),213)</f>
        <v>213</v>
      </c>
      <c r="K341" s="13" t="n">
        <f aca="false">IFERROR(__xludf.dummyfunction("""COMPUTED_VALUE"""),639)</f>
        <v>639</v>
      </c>
      <c r="L341" s="13" t="str">
        <f aca="false">IFERROR(__xludf.dummyfunction("""COMPUTED_VALUE"""),"[Code: 478899] TA: 3 Units less in floor(Night audit).")</f>
        <v>[Code: 478899] TA: 3 Units less in floor(Night audit).</v>
      </c>
      <c r="M341" s="13" t="str">
        <f aca="false">IFERROR(__xludf.dummyfunction("""COMPUTED_VALUE"""),"478899")</f>
        <v>478899</v>
      </c>
      <c r="N341" s="13"/>
      <c r="O341" s="13" t="str">
        <f aca="false">IFERROR(__xludf.dummyfunction("""COMPUTED_VALUE"""),"taufeeq.akhtar@tajir-app.com")</f>
        <v>taufeeq.akhtar@tajir-app.com</v>
      </c>
      <c r="P341" s="13" t="str">
        <f aca="false">IFERROR(__xludf.dummyfunction("""COMPUTED_VALUE"""),"Taufeeq Akhtar ")</f>
        <v>Taufeeq Akhtar </v>
      </c>
      <c r="Q341" s="13" t="str">
        <f aca="false">IF(L341="","",L341)</f>
        <v>[Code: 478899] TA: 3 Units less in floor(Night audit).</v>
      </c>
    </row>
    <row r="342" customFormat="false" ht="15.75" hidden="false" customHeight="false" outlineLevel="0" collapsed="false">
      <c r="A342" s="13" t="str">
        <f aca="false">IFERROR(__xludf.dummyfunction("""COMPUTED_VALUE"""),"Metro DC Faisalabad")</f>
        <v>Metro DC Faisalabad</v>
      </c>
      <c r="B342" s="13" t="str">
        <f aca="false">IFERROR(__xludf.dummyfunction("""COMPUTED_VALUE"""),"4f93819e-18b1-4234-b206-d6b3121ef80c")</f>
        <v>4f93819e-18b1-4234-b206-d6b3121ef80c</v>
      </c>
      <c r="C342" s="13" t="str">
        <f aca="false">IFERROR(__xludf.dummyfunction("""COMPUTED_VALUE"""),"Giggly Opus Bar Caramel Filled Chocolate 15Pcs Rs10 (caramel bar)")</f>
        <v>Giggly Opus Bar Caramel Filled Chocolate 15Pcs Rs10 (caramel bar)</v>
      </c>
      <c r="D342" s="13" t="str">
        <f aca="false">IFERROR(__xludf.dummyfunction("""COMPUTED_VALUE"""),"Giggly")</f>
        <v>Giggly</v>
      </c>
      <c r="E342" s="13" t="str">
        <f aca="false">IFERROR(__xludf.dummyfunction("""COMPUTED_VALUE"""),"Confectionary")</f>
        <v>Confectionary</v>
      </c>
      <c r="F342" s="11" t="n">
        <f aca="false">IFERROR(__xludf.dummyfunction("""COMPUTED_VALUE"""),45126)</f>
        <v>45126</v>
      </c>
      <c r="G342" s="16" t="n">
        <f aca="false">IFERROR(__xludf.dummyfunction("""COMPUTED_VALUE"""),0.889252187501816)</f>
        <v>0.8892521875</v>
      </c>
      <c r="H342" s="13" t="str">
        <f aca="false">IFERROR(__xludf.dummyfunction("""COMPUTED_VALUE"""),"damaged stock")</f>
        <v>damaged stock</v>
      </c>
      <c r="I342" s="13" t="n">
        <f aca="false">IFERROR(__xludf.dummyfunction("""COMPUTED_VALUE"""),1)</f>
        <v>1</v>
      </c>
      <c r="J342" s="13" t="n">
        <f aca="false">IFERROR(__xludf.dummyfunction("""COMPUTED_VALUE"""),119.41)</f>
        <v>119.41</v>
      </c>
      <c r="K342" s="13" t="n">
        <f aca="false">IFERROR(__xludf.dummyfunction("""COMPUTED_VALUE"""),119.41)</f>
        <v>119.41</v>
      </c>
      <c r="L342" s="13" t="str">
        <f aca="false">IFERROR(__xludf.dummyfunction("""COMPUTED_VALUE"""),"[Code: 599BEF] TA: Found damaged from rack and few pieces are missing from the box.")</f>
        <v>[Code: 599BEF] TA: Found damaged from rack and few pieces are missing from the box.</v>
      </c>
      <c r="M342" s="13" t="str">
        <f aca="false">IFERROR(__xludf.dummyfunction("""COMPUTED_VALUE"""),"599BEF")</f>
        <v>599BEF</v>
      </c>
      <c r="N342" s="13"/>
      <c r="O342" s="13" t="str">
        <f aca="false">IFERROR(__xludf.dummyfunction("""COMPUTED_VALUE"""),"taufeeq.akhtar@tajir-app.com")</f>
        <v>taufeeq.akhtar@tajir-app.com</v>
      </c>
      <c r="P342" s="13" t="str">
        <f aca="false">IFERROR(__xludf.dummyfunction("""COMPUTED_VALUE"""),"Taufeeq Akhtar ")</f>
        <v>Taufeeq Akhtar </v>
      </c>
      <c r="Q342" s="13" t="str">
        <f aca="false">IF(L342="","",L342)</f>
        <v>[Code: 599BEF] TA: Found damaged from rack and few pieces are missing from the box.</v>
      </c>
    </row>
    <row r="343" customFormat="false" ht="15.75" hidden="false" customHeight="false" outlineLevel="0" collapsed="false">
      <c r="A343" s="13" t="str">
        <f aca="false">IFERROR(__xludf.dummyfunction("""COMPUTED_VALUE"""),"Metro DC Faisalabad")</f>
        <v>Metro DC Faisalabad</v>
      </c>
      <c r="B343" s="13" t="str">
        <f aca="false">IFERROR(__xludf.dummyfunction("""COMPUTED_VALUE"""),"cba4160d-2426-4f0a-86e5-206cc7183440")</f>
        <v>cba4160d-2426-4f0a-86e5-206cc7183440</v>
      </c>
      <c r="C343" s="13" t="str">
        <f aca="false">IFERROR(__xludf.dummyfunction("""COMPUTED_VALUE"""),"Ultra Pure Dish Wash Liquid 1000ml Rs350")</f>
        <v>Ultra Pure Dish Wash Liquid 1000ml Rs350</v>
      </c>
      <c r="D343" s="13" t="str">
        <f aca="false">IFERROR(__xludf.dummyfunction("""COMPUTED_VALUE"""),"Ultra Pure")</f>
        <v>Ultra Pure</v>
      </c>
      <c r="E343" s="13" t="str">
        <f aca="false">IFERROR(__xludf.dummyfunction("""COMPUTED_VALUE"""),"Home Care")</f>
        <v>Home Care</v>
      </c>
      <c r="F343" s="11" t="n">
        <f aca="false">IFERROR(__xludf.dummyfunction("""COMPUTED_VALUE"""),45126)</f>
        <v>45126</v>
      </c>
      <c r="G343" s="16" t="n">
        <f aca="false">IFERROR(__xludf.dummyfunction("""COMPUTED_VALUE"""),0.616849027776646)</f>
        <v>0.6168490278</v>
      </c>
      <c r="H343" s="13" t="str">
        <f aca="false">IFERROR(__xludf.dummyfunction("""COMPUTED_VALUE"""),"damaged stock")</f>
        <v>damaged stock</v>
      </c>
      <c r="I343" s="13" t="n">
        <f aca="false">IFERROR(__xludf.dummyfunction("""COMPUTED_VALUE"""),1)</f>
        <v>1</v>
      </c>
      <c r="J343" s="13" t="n">
        <f aca="false">IFERROR(__xludf.dummyfunction("""COMPUTED_VALUE"""),184)</f>
        <v>184</v>
      </c>
      <c r="K343" s="13" t="n">
        <f aca="false">IFERROR(__xludf.dummyfunction("""COMPUTED_VALUE"""),184)</f>
        <v>184</v>
      </c>
      <c r="L343" s="13" t="str">
        <f aca="false">IFERROR(__xludf.dummyfunction("""COMPUTED_VALUE"""),"[Code: 66777A] 01 unit found cap damaged ")</f>
        <v>[Code: 66777A] 01 unit found cap damaged </v>
      </c>
      <c r="M343" s="13" t="str">
        <f aca="false">IFERROR(__xludf.dummyfunction("""COMPUTED_VALUE"""),"66777A")</f>
        <v>66777A</v>
      </c>
      <c r="N343" s="13"/>
      <c r="O343" s="13" t="str">
        <f aca="false">IFERROR(__xludf.dummyfunction("""COMPUTED_VALUE"""),"ali.raza@tajir-app.com")</f>
        <v>ali.raza@tajir-app.com</v>
      </c>
      <c r="P343" s="13" t="str">
        <f aca="false">IFERROR(__xludf.dummyfunction("""COMPUTED_VALUE"""),"Ali Raza ")</f>
        <v>Ali Raza </v>
      </c>
      <c r="Q343" s="13" t="str">
        <f aca="false">IF(L343="","",L343)</f>
        <v>[Code: 66777A] 01 unit found cap damaged </v>
      </c>
    </row>
    <row r="344" customFormat="false" ht="15.75" hidden="false" customHeight="false" outlineLevel="0" collapsed="false">
      <c r="A344" s="13" t="str">
        <f aca="false">IFERROR(__xludf.dummyfunction("""COMPUTED_VALUE"""),"Metro DC Faisalabad")</f>
        <v>Metro DC Faisalabad</v>
      </c>
      <c r="B344" s="13" t="str">
        <f aca="false">IFERROR(__xludf.dummyfunction("""COMPUTED_VALUE"""),"80a44c7b-5c53-448c-a6ff-ff0f99023429")</f>
        <v>80a44c7b-5c53-448c-a6ff-ff0f99023429</v>
      </c>
      <c r="C344" s="13" t="str">
        <f aca="false">IFERROR(__xludf.dummyfunction("""COMPUTED_VALUE"""),"Sunlight Yellow Clean and Rose Fresh 330g Rs99")</f>
        <v>Sunlight Yellow Clean and Rose Fresh 330g Rs99</v>
      </c>
      <c r="D344" s="13" t="str">
        <f aca="false">IFERROR(__xludf.dummyfunction("""COMPUTED_VALUE"""),"Sunlight")</f>
        <v>Sunlight</v>
      </c>
      <c r="E344" s="13" t="str">
        <f aca="false">IFERROR(__xludf.dummyfunction("""COMPUTED_VALUE"""),"Surf, Bleach")</f>
        <v>Surf, Bleach</v>
      </c>
      <c r="F344" s="11" t="n">
        <f aca="false">IFERROR(__xludf.dummyfunction("""COMPUTED_VALUE"""),45128)</f>
        <v>45128</v>
      </c>
      <c r="G344" s="16" t="n">
        <f aca="false">IFERROR(__xludf.dummyfunction("""COMPUTED_VALUE"""),0.761106307871141)</f>
        <v>0.7611063079</v>
      </c>
      <c r="H344" s="13" t="str">
        <f aca="false">IFERROR(__xludf.dummyfunction("""COMPUTED_VALUE"""),"damaged stock")</f>
        <v>damaged stock</v>
      </c>
      <c r="I344" s="13" t="n">
        <f aca="false">IFERROR(__xludf.dummyfunction("""COMPUTED_VALUE"""),1)</f>
        <v>1</v>
      </c>
      <c r="J344" s="13" t="n">
        <f aca="false">IFERROR(__xludf.dummyfunction("""COMPUTED_VALUE"""),90.42)</f>
        <v>90.42</v>
      </c>
      <c r="K344" s="13" t="n">
        <f aca="false">IFERROR(__xludf.dummyfunction("""COMPUTED_VALUE"""),90.42)</f>
        <v>90.42</v>
      </c>
      <c r="L344" s="13" t="str">
        <f aca="false">IFERROR(__xludf.dummyfunction("""COMPUTED_VALUE"""),"[Code: 689DHJ] TA: found damaged during display.")</f>
        <v>[Code: 689DHJ] TA: found damaged during display.</v>
      </c>
      <c r="M344" s="13" t="str">
        <f aca="false">IFERROR(__xludf.dummyfunction("""COMPUTED_VALUE"""),"689DHJ")</f>
        <v>689DHJ</v>
      </c>
      <c r="N344" s="13"/>
      <c r="O344" s="13" t="str">
        <f aca="false">IFERROR(__xludf.dummyfunction("""COMPUTED_VALUE"""),"taufeeq.akhtar@tajir-app.com")</f>
        <v>taufeeq.akhtar@tajir-app.com</v>
      </c>
      <c r="P344" s="13" t="str">
        <f aca="false">IFERROR(__xludf.dummyfunction("""COMPUTED_VALUE"""),"Taufeeq Akhtar ")</f>
        <v>Taufeeq Akhtar </v>
      </c>
      <c r="Q344" s="13" t="str">
        <f aca="false">IF(L344="","",L344)</f>
        <v>[Code: 689DHJ] TA: found damaged during display.</v>
      </c>
    </row>
    <row r="345" customFormat="false" ht="15.75" hidden="false" customHeight="false" outlineLevel="0" collapsed="false">
      <c r="A345" s="13" t="str">
        <f aca="false">IFERROR(__xludf.dummyfunction("""COMPUTED_VALUE"""),"Metro DC Faisalabad")</f>
        <v>Metro DC Faisalabad</v>
      </c>
      <c r="B345" s="13" t="str">
        <f aca="false">IFERROR(__xludf.dummyfunction("""COMPUTED_VALUE"""),"d864c0cd-914b-4a54-96d5-8e894ba5f3b6")</f>
        <v>d864c0cd-914b-4a54-96d5-8e894ba5f3b6</v>
      </c>
      <c r="C345" s="13" t="str">
        <f aca="false">IFERROR(__xludf.dummyfunction("""COMPUTED_VALUE"""),"Surf Excel x6 bundle 20g Rs 10")</f>
        <v>Surf Excel x6 bundle 20g Rs 10</v>
      </c>
      <c r="D345" s="13" t="str">
        <f aca="false">IFERROR(__xludf.dummyfunction("""COMPUTED_VALUE"""),"Surf Excel")</f>
        <v>Surf Excel</v>
      </c>
      <c r="E345" s="13" t="str">
        <f aca="false">IFERROR(__xludf.dummyfunction("""COMPUTED_VALUE"""),"Surf, Bleach")</f>
        <v>Surf, Bleach</v>
      </c>
      <c r="F345" s="11" t="n">
        <f aca="false">IFERROR(__xludf.dummyfunction("""COMPUTED_VALUE"""),45128)</f>
        <v>45128</v>
      </c>
      <c r="G345" s="16" t="n">
        <f aca="false">IFERROR(__xludf.dummyfunction("""COMPUTED_VALUE"""),0.759723206017468)</f>
        <v>0.759723206</v>
      </c>
      <c r="H345" s="13" t="str">
        <f aca="false">IFERROR(__xludf.dummyfunction("""COMPUTED_VALUE"""),"damaged stock")</f>
        <v>damaged stock</v>
      </c>
      <c r="I345" s="13" t="n">
        <f aca="false">IFERROR(__xludf.dummyfunction("""COMPUTED_VALUE"""),4)</f>
        <v>4</v>
      </c>
      <c r="J345" s="13" t="n">
        <f aca="false">IFERROR(__xludf.dummyfunction("""COMPUTED_VALUE"""),55.21)</f>
        <v>55.21</v>
      </c>
      <c r="K345" s="13" t="n">
        <f aca="false">IFERROR(__xludf.dummyfunction("""COMPUTED_VALUE"""),220.84)</f>
        <v>220.84</v>
      </c>
      <c r="L345" s="13" t="str">
        <f aca="false">IFERROR(__xludf.dummyfunction("""COMPUTED_VALUE"""),"[Code: 2668DD] TA: found in damaged from bag during display.")</f>
        <v>[Code: 2668DD] TA: found in damaged from bag during display.</v>
      </c>
      <c r="M345" s="13" t="str">
        <f aca="false">IFERROR(__xludf.dummyfunction("""COMPUTED_VALUE"""),"2668DD")</f>
        <v>2668DD</v>
      </c>
      <c r="N345" s="13"/>
      <c r="O345" s="13" t="str">
        <f aca="false">IFERROR(__xludf.dummyfunction("""COMPUTED_VALUE"""),"taufeeq.akhtar@tajir-app.com")</f>
        <v>taufeeq.akhtar@tajir-app.com</v>
      </c>
      <c r="P345" s="13" t="str">
        <f aca="false">IFERROR(__xludf.dummyfunction("""COMPUTED_VALUE"""),"Taufeeq Akhtar ")</f>
        <v>Taufeeq Akhtar </v>
      </c>
      <c r="Q345" s="13" t="str">
        <f aca="false">IF(L345="","",L345)</f>
        <v>[Code: 2668DD] TA: found in damaged from bag during display.</v>
      </c>
    </row>
    <row r="346" customFormat="false" ht="15.75" hidden="false" customHeight="false" outlineLevel="0" collapsed="false">
      <c r="A346" s="13" t="str">
        <f aca="false">IFERROR(__xludf.dummyfunction("""COMPUTED_VALUE"""),"Metro DC Faisalabad")</f>
        <v>Metro DC Faisalabad</v>
      </c>
      <c r="B346" s="13" t="str">
        <f aca="false">IFERROR(__xludf.dummyfunction("""COMPUTED_VALUE"""),"379bf168-787d-41f8-b497-a8cc19cbb48e")</f>
        <v>379bf168-787d-41f8-b497-a8cc19cbb48e</v>
      </c>
      <c r="C346" s="13" t="str">
        <f aca="false">IFERROR(__xludf.dummyfunction("""COMPUTED_VALUE"""),"Super Shaheen Atta 10kg")</f>
        <v>Super Shaheen Atta 10kg</v>
      </c>
      <c r="D346" s="13" t="str">
        <f aca="false">IFERROR(__xludf.dummyfunction("""COMPUTED_VALUE"""),"Khalid Flour &amp; General Mills")</f>
        <v>Khalid Flour &amp; General Mills</v>
      </c>
      <c r="E346" s="13" t="str">
        <f aca="false">IFERROR(__xludf.dummyfunction("""COMPUTED_VALUE"""),"Flour")</f>
        <v>Flour</v>
      </c>
      <c r="F346" s="11" t="n">
        <f aca="false">IFERROR(__xludf.dummyfunction("""COMPUTED_VALUE"""),45128)</f>
        <v>45128</v>
      </c>
      <c r="G346" s="16" t="n">
        <f aca="false">IFERROR(__xludf.dummyfunction("""COMPUTED_VALUE"""),0.697580416666747)</f>
        <v>0.6975804167</v>
      </c>
      <c r="H346" s="13" t="str">
        <f aca="false">IFERROR(__xludf.dummyfunction("""COMPUTED_VALUE"""),"damaged stock")</f>
        <v>damaged stock</v>
      </c>
      <c r="I346" s="13" t="n">
        <f aca="false">IFERROR(__xludf.dummyfunction("""COMPUTED_VALUE"""),43)</f>
        <v>43</v>
      </c>
      <c r="J346" s="13" t="n">
        <f aca="false">IFERROR(__xludf.dummyfunction("""COMPUTED_VALUE"""),1330)</f>
        <v>1330</v>
      </c>
      <c r="K346" s="13" t="n">
        <f aca="false">IFERROR(__xludf.dummyfunction("""COMPUTED_VALUE"""),57190)</f>
        <v>57190</v>
      </c>
      <c r="L346" s="13" t="str">
        <f aca="false">IFERROR(__xludf.dummyfunction("""COMPUTED_VALUE"""),"[Code: ADFFGH] TA:quality sahi nahi hay.(Fungus lagi hay).")</f>
        <v>[Code: ADFFGH] TA:quality sahi nahi hay.(Fungus lagi hay).</v>
      </c>
      <c r="M346" s="13" t="str">
        <f aca="false">IFERROR(__xludf.dummyfunction("""COMPUTED_VALUE"""),"ADFFGH")</f>
        <v>ADFFGH</v>
      </c>
      <c r="N346" s="13"/>
      <c r="O346" s="13" t="str">
        <f aca="false">IFERROR(__xludf.dummyfunction("""COMPUTED_VALUE"""),"taufeeq.akhtar@tajir-app.com")</f>
        <v>taufeeq.akhtar@tajir-app.com</v>
      </c>
      <c r="P346" s="13" t="str">
        <f aca="false">IFERROR(__xludf.dummyfunction("""COMPUTED_VALUE"""),"Taufeeq Akhtar ")</f>
        <v>Taufeeq Akhtar </v>
      </c>
      <c r="Q346" s="13" t="str">
        <f aca="false">IF(L346="","",L346)</f>
        <v>[Code: ADFFGH] TA:quality sahi nahi hay.(Fungus lagi hay).</v>
      </c>
    </row>
    <row r="347" customFormat="false" ht="15.75" hidden="false" customHeight="false" outlineLevel="0" collapsed="false">
      <c r="A347" s="13" t="str">
        <f aca="false">IFERROR(__xludf.dummyfunction("""COMPUTED_VALUE"""),"Metro DC Faisalabad")</f>
        <v>Metro DC Faisalabad</v>
      </c>
      <c r="B347" s="13" t="str">
        <f aca="false">IFERROR(__xludf.dummyfunction("""COMPUTED_VALUE"""),"76cbd286-ec03-4842-a510-1302d929540b")</f>
        <v>76cbd286-ec03-4842-a510-1302d929540b</v>
      </c>
      <c r="C347" s="13" t="str">
        <f aca="false">IFERROR(__xludf.dummyfunction("""COMPUTED_VALUE"""),"A One Fine Atta 15kg")</f>
        <v>A One Fine Atta 15kg</v>
      </c>
      <c r="D347" s="13" t="str">
        <f aca="false">IFERROR(__xludf.dummyfunction("""COMPUTED_VALUE"""),"A One Atta")</f>
        <v>A One Atta</v>
      </c>
      <c r="E347" s="13" t="str">
        <f aca="false">IFERROR(__xludf.dummyfunction("""COMPUTED_VALUE"""),"Flour")</f>
        <v>Flour</v>
      </c>
      <c r="F347" s="11" t="n">
        <f aca="false">IFERROR(__xludf.dummyfunction("""COMPUTED_VALUE"""),45128)</f>
        <v>45128</v>
      </c>
      <c r="G347" s="16" t="n">
        <f aca="false">IFERROR(__xludf.dummyfunction("""COMPUTED_VALUE"""),0.620522233796975)</f>
        <v>0.6205222338</v>
      </c>
      <c r="H347" s="13" t="str">
        <f aca="false">IFERROR(__xludf.dummyfunction("""COMPUTED_VALUE"""),"damaged stock")</f>
        <v>damaged stock</v>
      </c>
      <c r="I347" s="13" t="n">
        <f aca="false">IFERROR(__xludf.dummyfunction("""COMPUTED_VALUE"""),143)</f>
        <v>143</v>
      </c>
      <c r="J347" s="13" t="n">
        <f aca="false">IFERROR(__xludf.dummyfunction("""COMPUTED_VALUE"""),2050)</f>
        <v>2050</v>
      </c>
      <c r="K347" s="13" t="n">
        <f aca="false">IFERROR(__xludf.dummyfunction("""COMPUTED_VALUE"""),293150)</f>
        <v>293150</v>
      </c>
      <c r="L347" s="13" t="str">
        <f aca="false">IFERROR(__xludf.dummyfunction("""COMPUTED_VALUE"""),"[Code: 69AFGG] TA:quality sahi nahi hay (fangus laga hay.)")</f>
        <v>[Code: 69AFGG] TA:quality sahi nahi hay (fangus laga hay.)</v>
      </c>
      <c r="M347" s="13" t="str">
        <f aca="false">IFERROR(__xludf.dummyfunction("""COMPUTED_VALUE"""),"69AFGG")</f>
        <v>69AFGG</v>
      </c>
      <c r="N347" s="13"/>
      <c r="O347" s="13" t="str">
        <f aca="false">IFERROR(__xludf.dummyfunction("""COMPUTED_VALUE"""),"taufeeq.akhtar@tajir-app.com")</f>
        <v>taufeeq.akhtar@tajir-app.com</v>
      </c>
      <c r="P347" s="13" t="str">
        <f aca="false">IFERROR(__xludf.dummyfunction("""COMPUTED_VALUE"""),"Taufeeq Akhtar ")</f>
        <v>Taufeeq Akhtar </v>
      </c>
      <c r="Q347" s="13" t="str">
        <f aca="false">IF(L347="","",L347)</f>
        <v>[Code: 69AFGG] TA:quality sahi nahi hay (fangus laga hay.)</v>
      </c>
    </row>
    <row r="348" customFormat="false" ht="15.75" hidden="false" customHeight="false" outlineLevel="0" collapsed="false">
      <c r="A348" s="13" t="str">
        <f aca="false">IFERROR(__xludf.dummyfunction("""COMPUTED_VALUE"""),"Metro DC Faisalabad")</f>
        <v>Metro DC Faisalabad</v>
      </c>
      <c r="B348" s="13" t="str">
        <f aca="false">IFERROR(__xludf.dummyfunction("""COMPUTED_VALUE"""),"e9ed0c29-a010-4faa-8134-f48eaaca8f25")</f>
        <v>e9ed0c29-a010-4faa-8134-f48eaaca8f25</v>
      </c>
      <c r="C348" s="13" t="str">
        <f aca="false">IFERROR(__xludf.dummyfunction("""COMPUTED_VALUE"""),"Crown Chakki Atta 5kg")</f>
        <v>Crown Chakki Atta 5kg</v>
      </c>
      <c r="D348" s="13" t="str">
        <f aca="false">IFERROR(__xludf.dummyfunction("""COMPUTED_VALUE"""),"Crown Chakki Atta")</f>
        <v>Crown Chakki Atta</v>
      </c>
      <c r="E348" s="13" t="str">
        <f aca="false">IFERROR(__xludf.dummyfunction("""COMPUTED_VALUE"""),"Flour")</f>
        <v>Flour</v>
      </c>
      <c r="F348" s="11" t="n">
        <f aca="false">IFERROR(__xludf.dummyfunction("""COMPUTED_VALUE"""),45128)</f>
        <v>45128</v>
      </c>
      <c r="G348" s="16" t="n">
        <f aca="false">IFERROR(__xludf.dummyfunction("""COMPUTED_VALUE"""),0.61937283564748)</f>
        <v>0.6193728356</v>
      </c>
      <c r="H348" s="13" t="str">
        <f aca="false">IFERROR(__xludf.dummyfunction("""COMPUTED_VALUE"""),"damaged stock")</f>
        <v>damaged stock</v>
      </c>
      <c r="I348" s="13" t="n">
        <f aca="false">IFERROR(__xludf.dummyfunction("""COMPUTED_VALUE"""),92)</f>
        <v>92</v>
      </c>
      <c r="J348" s="13" t="n">
        <f aca="false">IFERROR(__xludf.dummyfunction("""COMPUTED_VALUE"""),690)</f>
        <v>690</v>
      </c>
      <c r="K348" s="13" t="n">
        <f aca="false">IFERROR(__xludf.dummyfunction("""COMPUTED_VALUE"""),63480)</f>
        <v>63480</v>
      </c>
      <c r="L348" s="13" t="str">
        <f aca="false">IFERROR(__xludf.dummyfunction("""COMPUTED_VALUE"""),"[Code: 23889C] TA: fangus lagi hay. quality issue(company end)")</f>
        <v>[Code: 23889C] TA: fangus lagi hay. quality issue(company end)</v>
      </c>
      <c r="M348" s="13" t="str">
        <f aca="false">IFERROR(__xludf.dummyfunction("""COMPUTED_VALUE"""),"23889C")</f>
        <v>23889C</v>
      </c>
      <c r="N348" s="13"/>
      <c r="O348" s="13" t="str">
        <f aca="false">IFERROR(__xludf.dummyfunction("""COMPUTED_VALUE"""),"taufeeq.akhtar@tajir-app.com")</f>
        <v>taufeeq.akhtar@tajir-app.com</v>
      </c>
      <c r="P348" s="13" t="str">
        <f aca="false">IFERROR(__xludf.dummyfunction("""COMPUTED_VALUE"""),"Taufeeq Akhtar ")</f>
        <v>Taufeeq Akhtar </v>
      </c>
      <c r="Q348" s="13" t="str">
        <f aca="false">IF(L348="","",L348)</f>
        <v>[Code: 23889C] TA: fangus lagi hay. quality issue(company end)</v>
      </c>
    </row>
    <row r="349" customFormat="false" ht="15.75" hidden="false" customHeight="false" outlineLevel="0" collapsed="false">
      <c r="A349" s="13" t="str">
        <f aca="false">IFERROR(__xludf.dummyfunction("""COMPUTED_VALUE"""),"Metro DC Faisalabad")</f>
        <v>Metro DC Faisalabad</v>
      </c>
      <c r="B349" s="13" t="str">
        <f aca="false">IFERROR(__xludf.dummyfunction("""COMPUTED_VALUE"""),"c5f28882-1e06-4a8e-9655-5fb37e9446a2")</f>
        <v>c5f28882-1e06-4a8e-9655-5fb37e9446a2</v>
      </c>
      <c r="C349" s="13" t="str">
        <f aca="false">IFERROR(__xludf.dummyfunction("""COMPUTED_VALUE"""),"Dove Intense Repair Shampoo 175ml Rs450")</f>
        <v>Dove Intense Repair Shampoo 175ml Rs450</v>
      </c>
      <c r="D349" s="13" t="str">
        <f aca="false">IFERROR(__xludf.dummyfunction("""COMPUTED_VALUE"""),"Dove")</f>
        <v>Dove</v>
      </c>
      <c r="E349" s="13" t="str">
        <f aca="false">IFERROR(__xludf.dummyfunction("""COMPUTED_VALUE"""),"Shampoo")</f>
        <v>Shampoo</v>
      </c>
      <c r="F349" s="11" t="n">
        <f aca="false">IFERROR(__xludf.dummyfunction("""COMPUTED_VALUE"""),45129)</f>
        <v>45129</v>
      </c>
      <c r="G349" s="16" t="n">
        <f aca="false">IFERROR(__xludf.dummyfunction("""COMPUTED_VALUE"""),0.861695856480538)</f>
        <v>0.8616958565</v>
      </c>
      <c r="H349" s="13" t="str">
        <f aca="false">IFERROR(__xludf.dummyfunction("""COMPUTED_VALUE"""),"damaged stock")</f>
        <v>damaged stock</v>
      </c>
      <c r="I349" s="13" t="n">
        <f aca="false">IFERROR(__xludf.dummyfunction("""COMPUTED_VALUE"""),1)</f>
        <v>1</v>
      </c>
      <c r="J349" s="13" t="n">
        <f aca="false">IFERROR(__xludf.dummyfunction("""COMPUTED_VALUE"""),395)</f>
        <v>395</v>
      </c>
      <c r="K349" s="13" t="n">
        <f aca="false">IFERROR(__xludf.dummyfunction("""COMPUTED_VALUE"""),395)</f>
        <v>395</v>
      </c>
      <c r="L349" s="13" t="str">
        <f aca="false">IFERROR(__xludf.dummyfunction("""COMPUTED_VALUE"""),"[Code: 347889] TA: box may day damage mila(Leak hua hay cap open haoay k wajah say).")</f>
        <v>[Code: 347889] TA: box may day damage mila(Leak hua hay cap open haoay k wajah say).</v>
      </c>
      <c r="M349" s="13" t="str">
        <f aca="false">IFERROR(__xludf.dummyfunction("""COMPUTED_VALUE"""),"347889")</f>
        <v>347889</v>
      </c>
      <c r="N349" s="13"/>
      <c r="O349" s="13" t="str">
        <f aca="false">IFERROR(__xludf.dummyfunction("""COMPUTED_VALUE"""),"taufeeq.akhtar@tajir-app.com")</f>
        <v>taufeeq.akhtar@tajir-app.com</v>
      </c>
      <c r="P349" s="13" t="str">
        <f aca="false">IFERROR(__xludf.dummyfunction("""COMPUTED_VALUE"""),"Taufeeq Akhtar ")</f>
        <v>Taufeeq Akhtar </v>
      </c>
      <c r="Q349" s="13" t="str">
        <f aca="false">IF(L349="","",L349)</f>
        <v>[Code: 347889] TA: box may day damage mila(Leak hua hay cap open haoay k wajah say).</v>
      </c>
    </row>
    <row r="350" customFormat="false" ht="15.75" hidden="false" customHeight="false" outlineLevel="0" collapsed="false">
      <c r="A350" s="13" t="str">
        <f aca="false">IFERROR(__xludf.dummyfunction("""COMPUTED_VALUE"""),"Metro DC Faisalabad")</f>
        <v>Metro DC Faisalabad</v>
      </c>
      <c r="B350" s="13" t="str">
        <f aca="false">IFERROR(__xludf.dummyfunction("""COMPUTED_VALUE"""),"db2a9e21-31e6-49fe-af06-a1ebbfaf94f6")</f>
        <v>db2a9e21-31e6-49fe-af06-a1ebbfaf94f6</v>
      </c>
      <c r="C350" s="13" t="str">
        <f aca="false">IFERROR(__xludf.dummyfunction("""COMPUTED_VALUE"""),"Al-Munawar Garam Masala Powder 1kg")</f>
        <v>Al-Munawar Garam Masala Powder 1kg</v>
      </c>
      <c r="D350" s="13" t="str">
        <f aca="false">IFERROR(__xludf.dummyfunction("""COMPUTED_VALUE"""),"Al-Munawar")</f>
        <v>Al-Munawar</v>
      </c>
      <c r="E350" s="13" t="str">
        <f aca="false">IFERROR(__xludf.dummyfunction("""COMPUTED_VALUE"""),"Spices")</f>
        <v>Spices</v>
      </c>
      <c r="F350" s="11" t="n">
        <f aca="false">IFERROR(__xludf.dummyfunction("""COMPUTED_VALUE"""),45129)</f>
        <v>45129</v>
      </c>
      <c r="G350" s="16" t="n">
        <f aca="false">IFERROR(__xludf.dummyfunction("""COMPUTED_VALUE"""),0.416321307870451)</f>
        <v>0.4163213079</v>
      </c>
      <c r="H350" s="13" t="str">
        <f aca="false">IFERROR(__xludf.dummyfunction("""COMPUTED_VALUE"""),"damaged stock")</f>
        <v>damaged stock</v>
      </c>
      <c r="I350" s="13" t="n">
        <f aca="false">IFERROR(__xludf.dummyfunction("""COMPUTED_VALUE"""),13)</f>
        <v>13</v>
      </c>
      <c r="J350" s="13" t="n">
        <f aca="false">IFERROR(__xludf.dummyfunction("""COMPUTED_VALUE"""),1510)</f>
        <v>1510</v>
      </c>
      <c r="K350" s="13" t="n">
        <f aca="false">IFERROR(__xludf.dummyfunction("""COMPUTED_VALUE"""),19630)</f>
        <v>19630</v>
      </c>
      <c r="L350" s="13" t="str">
        <f aca="false">IFERROR(__xludf.dummyfunction("""COMPUTED_VALUE"""),"[Code: 2558AB] 14 units found and have quality issue")</f>
        <v>[Code: 2558AB] 14 units found and have quality issue</v>
      </c>
      <c r="M350" s="13" t="str">
        <f aca="false">IFERROR(__xludf.dummyfunction("""COMPUTED_VALUE"""),"2558AB")</f>
        <v>2558AB</v>
      </c>
      <c r="N350" s="13"/>
      <c r="O350" s="13" t="str">
        <f aca="false">IFERROR(__xludf.dummyfunction("""COMPUTED_VALUE"""),"ali.raza@tajir-app.com")</f>
        <v>ali.raza@tajir-app.com</v>
      </c>
      <c r="P350" s="13" t="str">
        <f aca="false">IFERROR(__xludf.dummyfunction("""COMPUTED_VALUE"""),"Ali Raza ")</f>
        <v>Ali Raza </v>
      </c>
      <c r="Q350" s="13" t="str">
        <f aca="false">IF(L350="","",L350)</f>
        <v>[Code: 2558AB] 14 units found and have quality issue</v>
      </c>
    </row>
    <row r="351" customFormat="false" ht="15.75" hidden="false" customHeight="false" outlineLevel="0" collapsed="false">
      <c r="A351" s="13" t="str">
        <f aca="false">IFERROR(__xludf.dummyfunction("""COMPUTED_VALUE"""),"Metro DC Faisalabad")</f>
        <v>Metro DC Faisalabad</v>
      </c>
      <c r="B351" s="13" t="str">
        <f aca="false">IFERROR(__xludf.dummyfunction("""COMPUTED_VALUE"""),"c32c9268-2957-4ca1-b416-07784f269da3")</f>
        <v>c32c9268-2957-4ca1-b416-07784f269da3</v>
      </c>
      <c r="C351" s="13" t="str">
        <f aca="false">IFERROR(__xludf.dummyfunction("""COMPUTED_VALUE"""),"Al-Munawar Dar Cheeni 500g")</f>
        <v>Al-Munawar Dar Cheeni 500g</v>
      </c>
      <c r="D351" s="13" t="str">
        <f aca="false">IFERROR(__xludf.dummyfunction("""COMPUTED_VALUE"""),"Al-Munawar")</f>
        <v>Al-Munawar</v>
      </c>
      <c r="E351" s="13" t="str">
        <f aca="false">IFERROR(__xludf.dummyfunction("""COMPUTED_VALUE"""),"Spices")</f>
        <v>Spices</v>
      </c>
      <c r="F351" s="11" t="n">
        <f aca="false">IFERROR(__xludf.dummyfunction("""COMPUTED_VALUE"""),45129)</f>
        <v>45129</v>
      </c>
      <c r="G351" s="16" t="n">
        <f aca="false">IFERROR(__xludf.dummyfunction("""COMPUTED_VALUE"""),0.415784444444692)</f>
        <v>0.4157844444</v>
      </c>
      <c r="H351" s="13" t="str">
        <f aca="false">IFERROR(__xludf.dummyfunction("""COMPUTED_VALUE"""),"damaged stock")</f>
        <v>damaged stock</v>
      </c>
      <c r="I351" s="13" t="n">
        <f aca="false">IFERROR(__xludf.dummyfunction("""COMPUTED_VALUE"""),14)</f>
        <v>14</v>
      </c>
      <c r="J351" s="13" t="n">
        <f aca="false">IFERROR(__xludf.dummyfunction("""COMPUTED_VALUE"""),540)</f>
        <v>540</v>
      </c>
      <c r="K351" s="13" t="n">
        <f aca="false">IFERROR(__xludf.dummyfunction("""COMPUTED_VALUE"""),7560)</f>
        <v>7560</v>
      </c>
      <c r="L351" s="13" t="str">
        <f aca="false">IFERROR(__xludf.dummyfunction("""COMPUTED_VALUE"""),"[Code: 2349DF] 14 units have quality issue ")</f>
        <v>[Code: 2349DF] 14 units have quality issue </v>
      </c>
      <c r="M351" s="13" t="str">
        <f aca="false">IFERROR(__xludf.dummyfunction("""COMPUTED_VALUE"""),"2349DF")</f>
        <v>2349DF</v>
      </c>
      <c r="N351" s="13"/>
      <c r="O351" s="13" t="str">
        <f aca="false">IFERROR(__xludf.dummyfunction("""COMPUTED_VALUE"""),"ali.raza@tajir-app.com")</f>
        <v>ali.raza@tajir-app.com</v>
      </c>
      <c r="P351" s="13" t="str">
        <f aca="false">IFERROR(__xludf.dummyfunction("""COMPUTED_VALUE"""),"Ali Raza ")</f>
        <v>Ali Raza </v>
      </c>
      <c r="Q351" s="13" t="str">
        <f aca="false">IF(L351="","",L351)</f>
        <v>[Code: 2349DF] 14 units have quality issue </v>
      </c>
    </row>
    <row r="352" customFormat="false" ht="15.75" hidden="false" customHeight="false" outlineLevel="0" collapsed="false">
      <c r="A352" s="13" t="str">
        <f aca="false">IFERROR(__xludf.dummyfunction("""COMPUTED_VALUE"""),"Metro DC Faisalabad")</f>
        <v>Metro DC Faisalabad</v>
      </c>
      <c r="B352" s="13" t="str">
        <f aca="false">IFERROR(__xludf.dummyfunction("""COMPUTED_VALUE"""),"621dbd60-720f-4ade-92c4-b3749f55891a")</f>
        <v>621dbd60-720f-4ade-92c4-b3749f55891a</v>
      </c>
      <c r="C352" s="13" t="str">
        <f aca="false">IFERROR(__xludf.dummyfunction("""COMPUTED_VALUE"""),"Al-Munawar Chaat Masala 500g")</f>
        <v>Al-Munawar Chaat Masala 500g</v>
      </c>
      <c r="D352" s="13" t="str">
        <f aca="false">IFERROR(__xludf.dummyfunction("""COMPUTED_VALUE"""),"Al-Munawar")</f>
        <v>Al-Munawar</v>
      </c>
      <c r="E352" s="13" t="str">
        <f aca="false">IFERROR(__xludf.dummyfunction("""COMPUTED_VALUE"""),"Spices")</f>
        <v>Spices</v>
      </c>
      <c r="F352" s="11" t="n">
        <f aca="false">IFERROR(__xludf.dummyfunction("""COMPUTED_VALUE"""),45129)</f>
        <v>45129</v>
      </c>
      <c r="G352" s="16" t="n">
        <f aca="false">IFERROR(__xludf.dummyfunction("""COMPUTED_VALUE"""),0.415430682869487)</f>
        <v>0.4154306829</v>
      </c>
      <c r="H352" s="13" t="str">
        <f aca="false">IFERROR(__xludf.dummyfunction("""COMPUTED_VALUE"""),"damaged stock")</f>
        <v>damaged stock</v>
      </c>
      <c r="I352" s="13" t="n">
        <f aca="false">IFERROR(__xludf.dummyfunction("""COMPUTED_VALUE"""),13)</f>
        <v>13</v>
      </c>
      <c r="J352" s="13" t="n">
        <f aca="false">IFERROR(__xludf.dummyfunction("""COMPUTED_VALUE"""),165)</f>
        <v>165</v>
      </c>
      <c r="K352" s="13" t="n">
        <f aca="false">IFERROR(__xludf.dummyfunction("""COMPUTED_VALUE"""),2145)</f>
        <v>2145</v>
      </c>
      <c r="L352" s="13" t="str">
        <f aca="false">IFERROR(__xludf.dummyfunction("""COMPUTED_VALUE"""),"[Code: 34566C] 13 units have quality issue")</f>
        <v>[Code: 34566C] 13 units have quality issue</v>
      </c>
      <c r="M352" s="13" t="str">
        <f aca="false">IFERROR(__xludf.dummyfunction("""COMPUTED_VALUE"""),"34566C")</f>
        <v>34566C</v>
      </c>
      <c r="N352" s="13"/>
      <c r="O352" s="13" t="str">
        <f aca="false">IFERROR(__xludf.dummyfunction("""COMPUTED_VALUE"""),"ali.raza@tajir-app.com")</f>
        <v>ali.raza@tajir-app.com</v>
      </c>
      <c r="P352" s="13" t="str">
        <f aca="false">IFERROR(__xludf.dummyfunction("""COMPUTED_VALUE"""),"Ali Raza ")</f>
        <v>Ali Raza </v>
      </c>
      <c r="Q352" s="13" t="str">
        <f aca="false">IF(L352="","",L352)</f>
        <v>[Code: 34566C] 13 units have quality issue</v>
      </c>
    </row>
    <row r="353" customFormat="false" ht="15.75" hidden="false" customHeight="false" outlineLevel="0" collapsed="false">
      <c r="A353" s="13" t="str">
        <f aca="false">IFERROR(__xludf.dummyfunction("""COMPUTED_VALUE"""),"Metro DC Faisalabad")</f>
        <v>Metro DC Faisalabad</v>
      </c>
      <c r="B353" s="13" t="str">
        <f aca="false">IFERROR(__xludf.dummyfunction("""COMPUTED_VALUE"""),"5851e843-65c8-4b68-ac1c-432ad2be8ea2")</f>
        <v>5851e843-65c8-4b68-ac1c-432ad2be8ea2</v>
      </c>
      <c r="C353" s="13" t="str">
        <f aca="false">IFERROR(__xludf.dummyfunction("""COMPUTED_VALUE"""),"Candyland Paradise Chocolate 12pcs Rs10")</f>
        <v>Candyland Paradise Chocolate 12pcs Rs10</v>
      </c>
      <c r="D353" s="13" t="str">
        <f aca="false">IFERROR(__xludf.dummyfunction("""COMPUTED_VALUE"""),"Candyland")</f>
        <v>Candyland</v>
      </c>
      <c r="E353" s="13" t="str">
        <f aca="false">IFERROR(__xludf.dummyfunction("""COMPUTED_VALUE"""),"Confectionary")</f>
        <v>Confectionary</v>
      </c>
      <c r="F353" s="11" t="n">
        <f aca="false">IFERROR(__xludf.dummyfunction("""COMPUTED_VALUE"""),45130)</f>
        <v>45130</v>
      </c>
      <c r="G353" s="16" t="n">
        <f aca="false">IFERROR(__xludf.dummyfunction("""COMPUTED_VALUE"""),0.947899467592032)</f>
        <v>0.9478994676</v>
      </c>
      <c r="H353" s="13" t="str">
        <f aca="false">IFERROR(__xludf.dummyfunction("""COMPUTED_VALUE"""),"missing stock")</f>
        <v>missing stock</v>
      </c>
      <c r="I353" s="13" t="n">
        <f aca="false">IFERROR(__xludf.dummyfunction("""COMPUTED_VALUE"""),36)</f>
        <v>36</v>
      </c>
      <c r="J353" s="13" t="n">
        <f aca="false">IFERROR(__xludf.dummyfunction("""COMPUTED_VALUE"""),93.93)</f>
        <v>93.93</v>
      </c>
      <c r="K353" s="13" t="n">
        <f aca="false">IFERROR(__xludf.dummyfunction("""COMPUTED_VALUE"""),3381.48)</f>
        <v>3381.48</v>
      </c>
      <c r="L353" s="13" t="str">
        <f aca="false">IFERROR(__xludf.dummyfunction("""COMPUTED_VALUE"""),"TA: Less due to brand exchange.(one carton or 18 units are available of paradise Rs.5)")</f>
        <v>TA: Less due to brand exchange.(one carton or 18 units are available of paradise Rs.5)</v>
      </c>
      <c r="M353" s="13"/>
      <c r="N353" s="13"/>
      <c r="O353" s="13" t="str">
        <f aca="false">IFERROR(__xludf.dummyfunction("""COMPUTED_VALUE"""),"taufeeq.akhtar@tajir-app.com")</f>
        <v>taufeeq.akhtar@tajir-app.com</v>
      </c>
      <c r="P353" s="13" t="str">
        <f aca="false">IFERROR(__xludf.dummyfunction("""COMPUTED_VALUE"""),"Taufeeq Akhtar ")</f>
        <v>Taufeeq Akhtar </v>
      </c>
      <c r="Q353" s="13" t="str">
        <f aca="false">IF(L353="","",L353)</f>
        <v>TA: Less due to brand exchange.(one carton or 18 units are available of paradise Rs.5)</v>
      </c>
    </row>
    <row r="354" customFormat="false" ht="15.75" hidden="false" customHeight="false" outlineLevel="0" collapsed="false">
      <c r="A354" s="13" t="str">
        <f aca="false">IFERROR(__xludf.dummyfunction("""COMPUTED_VALUE"""),"Metro DC Faisalabad")</f>
        <v>Metro DC Faisalabad</v>
      </c>
      <c r="B354" s="13" t="str">
        <f aca="false">IFERROR(__xludf.dummyfunction("""COMPUTED_VALUE"""),"23294e84-86d3-4867-bf69-7035fbfaef59")</f>
        <v>23294e84-86d3-4867-bf69-7035fbfaef59</v>
      </c>
      <c r="C354" s="13" t="str">
        <f aca="false">IFERROR(__xludf.dummyfunction("""COMPUTED_VALUE"""),"Bisconni Nice Biscuit 16pcs Rs15")</f>
        <v>Bisconni Nice Biscuit 16pcs Rs15</v>
      </c>
      <c r="D354" s="13" t="str">
        <f aca="false">IFERROR(__xludf.dummyfunction("""COMPUTED_VALUE"""),"Bisconni")</f>
        <v>Bisconni</v>
      </c>
      <c r="E354" s="13" t="str">
        <f aca="false">IFERROR(__xludf.dummyfunction("""COMPUTED_VALUE"""),"Biscuits, Wafers")</f>
        <v>Biscuits, Wafers</v>
      </c>
      <c r="F354" s="11" t="n">
        <f aca="false">IFERROR(__xludf.dummyfunction("""COMPUTED_VALUE"""),45130)</f>
        <v>45130</v>
      </c>
      <c r="G354" s="16" t="n">
        <f aca="false">IFERROR(__xludf.dummyfunction("""COMPUTED_VALUE"""),0.933104444445873)</f>
        <v>0.9331044444</v>
      </c>
      <c r="H354" s="13" t="str">
        <f aca="false">IFERROR(__xludf.dummyfunction("""COMPUTED_VALUE"""),"damaged stock")</f>
        <v>damaged stock</v>
      </c>
      <c r="I354" s="13" t="n">
        <f aca="false">IFERROR(__xludf.dummyfunction("""COMPUTED_VALUE"""),1)</f>
        <v>1</v>
      </c>
      <c r="J354" s="13" t="n">
        <f aca="false">IFERROR(__xludf.dummyfunction("""COMPUTED_VALUE"""),211.5)</f>
        <v>211.5</v>
      </c>
      <c r="K354" s="13" t="n">
        <f aca="false">IFERROR(__xludf.dummyfunction("""COMPUTED_VALUE"""),211.5)</f>
        <v>211.5</v>
      </c>
      <c r="L354" s="13" t="str">
        <f aca="false">IFERROR(__xludf.dummyfunction("""COMPUTED_VALUE"""),"[Code: 335ACE] TA:found damaged on floor. ")</f>
        <v>[Code: 335ACE] TA:found damaged on floor. </v>
      </c>
      <c r="M354" s="13" t="str">
        <f aca="false">IFERROR(__xludf.dummyfunction("""COMPUTED_VALUE"""),"335ACE")</f>
        <v>335ACE</v>
      </c>
      <c r="N354" s="13"/>
      <c r="O354" s="13" t="str">
        <f aca="false">IFERROR(__xludf.dummyfunction("""COMPUTED_VALUE"""),"taufeeq.akhtar@tajir-app.com")</f>
        <v>taufeeq.akhtar@tajir-app.com</v>
      </c>
      <c r="P354" s="13" t="str">
        <f aca="false">IFERROR(__xludf.dummyfunction("""COMPUTED_VALUE"""),"Taufeeq Akhtar ")</f>
        <v>Taufeeq Akhtar </v>
      </c>
      <c r="Q354" s="13" t="str">
        <f aca="false">IF(L354="","",L354)</f>
        <v>[Code: 335ACE] TA:found damaged on floor. </v>
      </c>
    </row>
    <row r="355" customFormat="false" ht="15.75" hidden="false" customHeight="false" outlineLevel="0" collapsed="false">
      <c r="A355" s="13" t="str">
        <f aca="false">IFERROR(__xludf.dummyfunction("""COMPUTED_VALUE"""),"Metro DC Faisalabad")</f>
        <v>Metro DC Faisalabad</v>
      </c>
      <c r="B355" s="13" t="str">
        <f aca="false">IFERROR(__xludf.dummyfunction("""COMPUTED_VALUE"""),"2078dcd4-3c88-45e1-bc7b-363dde84c6e8")</f>
        <v>2078dcd4-3c88-45e1-bc7b-363dde84c6e8</v>
      </c>
      <c r="C355" s="13" t="str">
        <f aca="false">IFERROR(__xludf.dummyfunction("""COMPUTED_VALUE"""),"Special Wooden Phool Jharoo")</f>
        <v>Special Wooden Phool Jharoo</v>
      </c>
      <c r="D355" s="13" t="str">
        <f aca="false">IFERROR(__xludf.dummyfunction("""COMPUTED_VALUE"""),"Jharoo")</f>
        <v>Jharoo</v>
      </c>
      <c r="E355" s="13" t="str">
        <f aca="false">IFERROR(__xludf.dummyfunction("""COMPUTED_VALUE"""),"Home Care")</f>
        <v>Home Care</v>
      </c>
      <c r="F355" s="11" t="n">
        <f aca="false">IFERROR(__xludf.dummyfunction("""COMPUTED_VALUE"""),45130)</f>
        <v>45130</v>
      </c>
      <c r="G355" s="16" t="n">
        <f aca="false">IFERROR(__xludf.dummyfunction("""COMPUTED_VALUE"""),0.917942962963475)</f>
        <v>0.917942963</v>
      </c>
      <c r="H355" s="13" t="str">
        <f aca="false">IFERROR(__xludf.dummyfunction("""COMPUTED_VALUE"""),"damaged stock")</f>
        <v>damaged stock</v>
      </c>
      <c r="I355" s="13" t="n">
        <f aca="false">IFERROR(__xludf.dummyfunction("""COMPUTED_VALUE"""),1)</f>
        <v>1</v>
      </c>
      <c r="J355" s="13" t="n">
        <f aca="false">IFERROR(__xludf.dummyfunction("""COMPUTED_VALUE"""),135)</f>
        <v>135</v>
      </c>
      <c r="K355" s="13" t="n">
        <f aca="false">IFERROR(__xludf.dummyfunction("""COMPUTED_VALUE"""),135)</f>
        <v>135</v>
      </c>
      <c r="L355" s="13" t="str">
        <f aca="false">IFERROR(__xludf.dummyfunction("""COMPUTED_VALUE"""),"[Code: ABDFKL] TA: found damaged during sorting")</f>
        <v>[Code: ABDFKL] TA: found damaged during sorting</v>
      </c>
      <c r="M355" s="13" t="str">
        <f aca="false">IFERROR(__xludf.dummyfunction("""COMPUTED_VALUE"""),"ABDFKL")</f>
        <v>ABDFKL</v>
      </c>
      <c r="N355" s="13"/>
      <c r="O355" s="13" t="str">
        <f aca="false">IFERROR(__xludf.dummyfunction("""COMPUTED_VALUE"""),"taufeeq.akhtar@tajir-app.com")</f>
        <v>taufeeq.akhtar@tajir-app.com</v>
      </c>
      <c r="P355" s="13" t="str">
        <f aca="false">IFERROR(__xludf.dummyfunction("""COMPUTED_VALUE"""),"Taufeeq Akhtar ")</f>
        <v>Taufeeq Akhtar </v>
      </c>
      <c r="Q355" s="13" t="str">
        <f aca="false">IF(L355="","",L355)</f>
        <v>[Code: ABDFKL] TA: found damaged during sorting</v>
      </c>
    </row>
    <row r="356" customFormat="false" ht="15.75" hidden="false" customHeight="false" outlineLevel="0" collapsed="false">
      <c r="A356" s="13" t="str">
        <f aca="false">IFERROR(__xludf.dummyfunction("""COMPUTED_VALUE"""),"Metro DC Faisalabad")</f>
        <v>Metro DC Faisalabad</v>
      </c>
      <c r="B356" s="13" t="str">
        <f aca="false">IFERROR(__xludf.dummyfunction("""COMPUTED_VALUE"""),"8af448e7-ff6d-4e39-a837-4e923e99504e")</f>
        <v>8af448e7-ff6d-4e39-a837-4e923e99504e</v>
      </c>
      <c r="C356" s="13" t="str">
        <f aca="false">IFERROR(__xludf.dummyfunction("""COMPUTED_VALUE"""),"Murree Brewery Bigg Apple Plastic x6 Crate 1L (One Liter)")</f>
        <v>Murree Brewery Bigg Apple Plastic x6 Crate 1L (One Liter)</v>
      </c>
      <c r="D356" s="13" t="str">
        <f aca="false">IFERROR(__xludf.dummyfunction("""COMPUTED_VALUE"""),"Murree Brewery")</f>
        <v>Murree Brewery</v>
      </c>
      <c r="E356" s="13" t="str">
        <f aca="false">IFERROR(__xludf.dummyfunction("""COMPUTED_VALUE"""),"Beverages")</f>
        <v>Beverages</v>
      </c>
      <c r="F356" s="11" t="n">
        <f aca="false">IFERROR(__xludf.dummyfunction("""COMPUTED_VALUE"""),45131)</f>
        <v>45131</v>
      </c>
      <c r="G356" s="16" t="n">
        <f aca="false">IFERROR(__xludf.dummyfunction("""COMPUTED_VALUE"""),0.864143067128401)</f>
        <v>0.8641430671</v>
      </c>
      <c r="H356" s="13" t="str">
        <f aca="false">IFERROR(__xludf.dummyfunction("""COMPUTED_VALUE"""),"damaged stock")</f>
        <v>damaged stock</v>
      </c>
      <c r="I356" s="13" t="n">
        <f aca="false">IFERROR(__xludf.dummyfunction("""COMPUTED_VALUE"""),1)</f>
        <v>1</v>
      </c>
      <c r="J356" s="13" t="n">
        <f aca="false">IFERROR(__xludf.dummyfunction("""COMPUTED_VALUE"""),456)</f>
        <v>456</v>
      </c>
      <c r="K356" s="13" t="n">
        <f aca="false">IFERROR(__xludf.dummyfunction("""COMPUTED_VALUE"""),456)</f>
        <v>456</v>
      </c>
      <c r="L356" s="13" t="str">
        <f aca="false">IFERROR(__xludf.dummyfunction("""COMPUTED_VALUE"""),"[Code: 3ACCCE] TA: found loose during sorting.")</f>
        <v>[Code: 3ACCCE] TA: found loose during sorting.</v>
      </c>
      <c r="M356" s="13" t="str">
        <f aca="false">IFERROR(__xludf.dummyfunction("""COMPUTED_VALUE"""),"3ACCCE")</f>
        <v>3ACCCE</v>
      </c>
      <c r="N356" s="13"/>
      <c r="O356" s="13" t="str">
        <f aca="false">IFERROR(__xludf.dummyfunction("""COMPUTED_VALUE"""),"taufeeq.akhtar@tajir-app.com")</f>
        <v>taufeeq.akhtar@tajir-app.com</v>
      </c>
      <c r="P356" s="13" t="str">
        <f aca="false">IFERROR(__xludf.dummyfunction("""COMPUTED_VALUE"""),"Taufeeq Akhtar ")</f>
        <v>Taufeeq Akhtar </v>
      </c>
      <c r="Q356" s="13" t="str">
        <f aca="false">IF(L356="","",L356)</f>
        <v>[Code: 3ACCCE] TA: found loose during sorting.</v>
      </c>
    </row>
    <row r="357" customFormat="false" ht="15.75" hidden="false" customHeight="false" outlineLevel="0" collapsed="false">
      <c r="A357" s="13" t="str">
        <f aca="false">IFERROR(__xludf.dummyfunction("""COMPUTED_VALUE"""),"Metro DC Faisalabad")</f>
        <v>Metro DC Faisalabad</v>
      </c>
      <c r="B357" s="13" t="str">
        <f aca="false">IFERROR(__xludf.dummyfunction("""COMPUTED_VALUE"""),"b1d42907-2b09-4bde-b14c-0f346545bf6e")</f>
        <v>b1d42907-2b09-4bde-b14c-0f346545bf6e</v>
      </c>
      <c r="C357" s="13" t="str">
        <f aca="false">IFERROR(__xludf.dummyfunction("""COMPUTED_VALUE"""),"National Mixed Pickle 400g")</f>
        <v>National Mixed Pickle 400g</v>
      </c>
      <c r="D357" s="13" t="str">
        <f aca="false">IFERROR(__xludf.dummyfunction("""COMPUTED_VALUE"""),"National")</f>
        <v>National</v>
      </c>
      <c r="E357" s="13" t="str">
        <f aca="false">IFERROR(__xludf.dummyfunction("""COMPUTED_VALUE"""),"Sauces")</f>
        <v>Sauces</v>
      </c>
      <c r="F357" s="11" t="n">
        <f aca="false">IFERROR(__xludf.dummyfunction("""COMPUTED_VALUE"""),45131)</f>
        <v>45131</v>
      </c>
      <c r="G357" s="16" t="n">
        <f aca="false">IFERROR(__xludf.dummyfunction("""COMPUTED_VALUE"""),0.546454699075831)</f>
        <v>0.5464546991</v>
      </c>
      <c r="H357" s="13" t="str">
        <f aca="false">IFERROR(__xludf.dummyfunction("""COMPUTED_VALUE"""),"damaged stock")</f>
        <v>damaged stock</v>
      </c>
      <c r="I357" s="13" t="n">
        <f aca="false">IFERROR(__xludf.dummyfunction("""COMPUTED_VALUE"""),1)</f>
        <v>1</v>
      </c>
      <c r="J357" s="13" t="n">
        <f aca="false">IFERROR(__xludf.dummyfunction("""COMPUTED_VALUE"""),263.33)</f>
        <v>263.33</v>
      </c>
      <c r="K357" s="13" t="n">
        <f aca="false">IFERROR(__xludf.dummyfunction("""COMPUTED_VALUE"""),263.33)</f>
        <v>263.33</v>
      </c>
      <c r="L357" s="13" t="str">
        <f aca="false">IFERROR(__xludf.dummyfunction("""COMPUTED_VALUE"""),"[Code: 355668] 01 unit found damaged")</f>
        <v>[Code: 355668] 01 unit found damaged</v>
      </c>
      <c r="M357" s="13" t="str">
        <f aca="false">IFERROR(__xludf.dummyfunction("""COMPUTED_VALUE"""),"355668")</f>
        <v>355668</v>
      </c>
      <c r="N357" s="13"/>
      <c r="O357" s="13" t="str">
        <f aca="false">IFERROR(__xludf.dummyfunction("""COMPUTED_VALUE"""),"ali.raza@tajir-app.com")</f>
        <v>ali.raza@tajir-app.com</v>
      </c>
      <c r="P357" s="13" t="str">
        <f aca="false">IFERROR(__xludf.dummyfunction("""COMPUTED_VALUE"""),"Ali Raza ")</f>
        <v>Ali Raza </v>
      </c>
      <c r="Q357" s="13" t="str">
        <f aca="false">IF(L357="","",L357)</f>
        <v>[Code: 355668] 01 unit found damaged</v>
      </c>
    </row>
    <row r="358" customFormat="false" ht="15.75" hidden="false" customHeight="false" outlineLevel="0" collapsed="false">
      <c r="A358" s="13" t="str">
        <f aca="false">IFERROR(__xludf.dummyfunction("""COMPUTED_VALUE"""),"Metro DC Faisalabad")</f>
        <v>Metro DC Faisalabad</v>
      </c>
      <c r="B358" s="13" t="str">
        <f aca="false">IFERROR(__xludf.dummyfunction("""COMPUTED_VALUE"""),"a77e7abe-7b3d-461d-917c-4e23bdad2720")</f>
        <v>a77e7abe-7b3d-461d-917c-4e23bdad2720</v>
      </c>
      <c r="C358" s="13" t="str">
        <f aca="false">IFERROR(__xludf.dummyfunction("""COMPUTED_VALUE"""),"Engro Olpers Chocolate Flavored Milk x24 180mL")</f>
        <v>Engro Olpers Chocolate Flavored Milk x24 180mL</v>
      </c>
      <c r="D358" s="13" t="str">
        <f aca="false">IFERROR(__xludf.dummyfunction("""COMPUTED_VALUE"""),"Olpers")</f>
        <v>Olpers</v>
      </c>
      <c r="E358" s="13" t="str">
        <f aca="false">IFERROR(__xludf.dummyfunction("""COMPUTED_VALUE"""),"Dairy")</f>
        <v>Dairy</v>
      </c>
      <c r="F358" s="11" t="n">
        <f aca="false">IFERROR(__xludf.dummyfunction("""COMPUTED_VALUE"""),45132)</f>
        <v>45132</v>
      </c>
      <c r="G358" s="16" t="n">
        <f aca="false">IFERROR(__xludf.dummyfunction("""COMPUTED_VALUE"""),0.535988055556192)</f>
        <v>0.5359880556</v>
      </c>
      <c r="H358" s="13" t="str">
        <f aca="false">IFERROR(__xludf.dummyfunction("""COMPUTED_VALUE"""),"expired stock")</f>
        <v>expired stock</v>
      </c>
      <c r="I358" s="13" t="n">
        <f aca="false">IFERROR(__xludf.dummyfunction("""COMPUTED_VALUE"""),56)</f>
        <v>56</v>
      </c>
      <c r="J358" s="13" t="n">
        <f aca="false">IFERROR(__xludf.dummyfunction("""COMPUTED_VALUE"""),1520)</f>
        <v>1520</v>
      </c>
      <c r="K358" s="13" t="n">
        <f aca="false">IFERROR(__xludf.dummyfunction("""COMPUTED_VALUE"""),85120)</f>
        <v>85120</v>
      </c>
      <c r="L358" s="13" t="str">
        <f aca="false">IFERROR(__xludf.dummyfunction("""COMPUTED_VALUE"""),"[Code: 44579A] [Expiry: 13 Aug, 2023] 56 selling unit found short expiry")</f>
        <v>[Code: 44579A] [Expiry: 13 Aug, 2023] 56 selling unit found short expiry</v>
      </c>
      <c r="M358" s="13" t="str">
        <f aca="false">IFERROR(__xludf.dummyfunction("""COMPUTED_VALUE"""),"44579A")</f>
        <v>44579A</v>
      </c>
      <c r="N358" s="13" t="str">
        <f aca="false">IFERROR(__xludf.dummyfunction("""COMPUTED_VALUE"""),"13 Aug, 2023")</f>
        <v>13 Aug, 2023</v>
      </c>
      <c r="O358" s="13" t="str">
        <f aca="false">IFERROR(__xludf.dummyfunction("""COMPUTED_VALUE"""),"ali.raza@tajir-app.com")</f>
        <v>ali.raza@tajir-app.com</v>
      </c>
      <c r="P358" s="13" t="str">
        <f aca="false">IFERROR(__xludf.dummyfunction("""COMPUTED_VALUE"""),"Ali Raza ")</f>
        <v>Ali Raza </v>
      </c>
      <c r="Q358" s="13" t="str">
        <f aca="false">IF(L358="","",L358)</f>
        <v>[Code: 44579A] [Expiry: 13 Aug, 2023] 56 selling unit found short expiry</v>
      </c>
    </row>
    <row r="359" customFormat="false" ht="15.75" hidden="false" customHeight="false" outlineLevel="0" collapsed="false">
      <c r="A359" s="13" t="str">
        <f aca="false">IFERROR(__xludf.dummyfunction("""COMPUTED_VALUE"""),"Metro DC Faisalabad")</f>
        <v>Metro DC Faisalabad</v>
      </c>
      <c r="B359" s="13" t="str">
        <f aca="false">IFERROR(__xludf.dummyfunction("""COMPUTED_VALUE"""),"fad25572-0a15-41d0-8d58-dacc5ffc316c")</f>
        <v>fad25572-0a15-41d0-8d58-dacc5ffc316c</v>
      </c>
      <c r="C359" s="13" t="str">
        <f aca="false">IFERROR(__xludf.dummyfunction("""COMPUTED_VALUE"""),"National Mango Jam 200g")</f>
        <v>National Mango Jam 200g</v>
      </c>
      <c r="D359" s="13" t="str">
        <f aca="false">IFERROR(__xludf.dummyfunction("""COMPUTED_VALUE"""),"National")</f>
        <v>National</v>
      </c>
      <c r="E359" s="13" t="str">
        <f aca="false">IFERROR(__xludf.dummyfunction("""COMPUTED_VALUE"""),"Grocery")</f>
        <v>Grocery</v>
      </c>
      <c r="F359" s="11" t="n">
        <f aca="false">IFERROR(__xludf.dummyfunction("""COMPUTED_VALUE"""),45133)</f>
        <v>45133</v>
      </c>
      <c r="G359" s="16" t="n">
        <f aca="false">IFERROR(__xludf.dummyfunction("""COMPUTED_VALUE"""),0.979854606482252)</f>
        <v>0.9798546065</v>
      </c>
      <c r="H359" s="13" t="str">
        <f aca="false">IFERROR(__xludf.dummyfunction("""COMPUTED_VALUE"""),"damaged stock")</f>
        <v>damaged stock</v>
      </c>
      <c r="I359" s="13" t="n">
        <f aca="false">IFERROR(__xludf.dummyfunction("""COMPUTED_VALUE"""),1)</f>
        <v>1</v>
      </c>
      <c r="J359" s="13" t="n">
        <f aca="false">IFERROR(__xludf.dummyfunction("""COMPUTED_VALUE"""),145.83)</f>
        <v>145.83</v>
      </c>
      <c r="K359" s="13" t="n">
        <f aca="false">IFERROR(__xludf.dummyfunction("""COMPUTED_VALUE"""),145.83)</f>
        <v>145.83</v>
      </c>
      <c r="L359" s="13" t="str">
        <f aca="false">IFERROR(__xludf.dummyfunction("""COMPUTED_VALUE"""),"[Code: 246FJK] TA: found damaged from box during display.")</f>
        <v>[Code: 246FJK] TA: found damaged from box during display.</v>
      </c>
      <c r="M359" s="13" t="str">
        <f aca="false">IFERROR(__xludf.dummyfunction("""COMPUTED_VALUE"""),"246FJK")</f>
        <v>246FJK</v>
      </c>
      <c r="N359" s="13"/>
      <c r="O359" s="13" t="str">
        <f aca="false">IFERROR(__xludf.dummyfunction("""COMPUTED_VALUE"""),"taufeeq.akhtar@tajir-app.com")</f>
        <v>taufeeq.akhtar@tajir-app.com</v>
      </c>
      <c r="P359" s="13" t="str">
        <f aca="false">IFERROR(__xludf.dummyfunction("""COMPUTED_VALUE"""),"Taufeeq Akhtar ")</f>
        <v>Taufeeq Akhtar </v>
      </c>
      <c r="Q359" s="13" t="str">
        <f aca="false">IF(L359="","",L359)</f>
        <v>[Code: 246FJK] TA: found damaged from box during display.</v>
      </c>
    </row>
    <row r="360" customFormat="false" ht="15.75" hidden="false" customHeight="false" outlineLevel="0" collapsed="false">
      <c r="A360" s="13" t="str">
        <f aca="false">IFERROR(__xludf.dummyfunction("""COMPUTED_VALUE"""),"Metro DC Faisalabad")</f>
        <v>Metro DC Faisalabad</v>
      </c>
      <c r="B360" s="13" t="str">
        <f aca="false">IFERROR(__xludf.dummyfunction("""COMPUTED_VALUE"""),"8e8e98e4-a24b-4c87-acfe-8360eed46321")</f>
        <v>8e8e98e4-a24b-4c87-acfe-8360eed46321</v>
      </c>
      <c r="C360" s="13" t="str">
        <f aca="false">IFERROR(__xludf.dummyfunction("""COMPUTED_VALUE"""),"Ultra Pure Amla Shampoo Herbal 500ml Rs450")</f>
        <v>Ultra Pure Amla Shampoo Herbal 500ml Rs450</v>
      </c>
      <c r="D360" s="13" t="str">
        <f aca="false">IFERROR(__xludf.dummyfunction("""COMPUTED_VALUE"""),"Ultra Pure")</f>
        <v>Ultra Pure</v>
      </c>
      <c r="E360" s="13" t="str">
        <f aca="false">IFERROR(__xludf.dummyfunction("""COMPUTED_VALUE"""),"Shampoo")</f>
        <v>Shampoo</v>
      </c>
      <c r="F360" s="11" t="n">
        <f aca="false">IFERROR(__xludf.dummyfunction("""COMPUTED_VALUE"""),45133)</f>
        <v>45133</v>
      </c>
      <c r="G360" s="16" t="n">
        <f aca="false">IFERROR(__xludf.dummyfunction("""COMPUTED_VALUE"""),0.962524224536627)</f>
        <v>0.9625242245</v>
      </c>
      <c r="H360" s="13" t="str">
        <f aca="false">IFERROR(__xludf.dummyfunction("""COMPUTED_VALUE"""),"damaged stock")</f>
        <v>damaged stock</v>
      </c>
      <c r="I360" s="13" t="n">
        <f aca="false">IFERROR(__xludf.dummyfunction("""COMPUTED_VALUE"""),1)</f>
        <v>1</v>
      </c>
      <c r="J360" s="13" t="n">
        <f aca="false">IFERROR(__xludf.dummyfunction("""COMPUTED_VALUE"""),174)</f>
        <v>174</v>
      </c>
      <c r="K360" s="13" t="n">
        <f aca="false">IFERROR(__xludf.dummyfunction("""COMPUTED_VALUE"""),174)</f>
        <v>174</v>
      </c>
      <c r="L360" s="13" t="str">
        <f aca="false">IFERROR(__xludf.dummyfunction("""COMPUTED_VALUE"""),"[Code: 3577BD] TA:found damaged from box during display....")</f>
        <v>[Code: 3577BD] TA:found damaged from box during display....</v>
      </c>
      <c r="M360" s="13" t="str">
        <f aca="false">IFERROR(__xludf.dummyfunction("""COMPUTED_VALUE"""),"3577BD")</f>
        <v>3577BD</v>
      </c>
      <c r="N360" s="13"/>
      <c r="O360" s="13" t="str">
        <f aca="false">IFERROR(__xludf.dummyfunction("""COMPUTED_VALUE"""),"taufeeq.akhtar@tajir-app.com")</f>
        <v>taufeeq.akhtar@tajir-app.com</v>
      </c>
      <c r="P360" s="13" t="str">
        <f aca="false">IFERROR(__xludf.dummyfunction("""COMPUTED_VALUE"""),"Taufeeq Akhtar ")</f>
        <v>Taufeeq Akhtar </v>
      </c>
      <c r="Q360" s="13" t="str">
        <f aca="false">IF(L360="","",L360)</f>
        <v>[Code: 3577BD] TA:found damaged from box during display....</v>
      </c>
    </row>
    <row r="361" customFormat="false" ht="15.75" hidden="false" customHeight="false" outlineLevel="0" collapsed="false">
      <c r="A361" s="13" t="str">
        <f aca="false">IFERROR(__xludf.dummyfunction("""COMPUTED_VALUE"""),"Metro DC Faisalabad")</f>
        <v>Metro DC Faisalabad</v>
      </c>
      <c r="B361" s="13" t="str">
        <f aca="false">IFERROR(__xludf.dummyfunction("""COMPUTED_VALUE"""),"717c11ae-c3bc-4378-a184-2154badcf63d")</f>
        <v>717c11ae-c3bc-4378-a184-2154badcf63d</v>
      </c>
      <c r="C361" s="13" t="str">
        <f aca="false">IFERROR(__xludf.dummyfunction("""COMPUTED_VALUE"""),"Quality Grains Daal Mash Wash 500g")</f>
        <v>Quality Grains Daal Mash Wash 500g</v>
      </c>
      <c r="D361" s="13" t="str">
        <f aca="false">IFERROR(__xludf.dummyfunction("""COMPUTED_VALUE"""),"Quality Grains")</f>
        <v>Quality Grains</v>
      </c>
      <c r="E361" s="13" t="str">
        <f aca="false">IFERROR(__xludf.dummyfunction("""COMPUTED_VALUE"""),"Pulses")</f>
        <v>Pulses</v>
      </c>
      <c r="F361" s="11" t="n">
        <f aca="false">IFERROR(__xludf.dummyfunction("""COMPUTED_VALUE"""),45133)</f>
        <v>45133</v>
      </c>
      <c r="G361" s="16" t="n">
        <f aca="false">IFERROR(__xludf.dummyfunction("""COMPUTED_VALUE"""),0.0552885879627043)</f>
        <v>0.05528858796</v>
      </c>
      <c r="H361" s="13" t="str">
        <f aca="false">IFERROR(__xludf.dummyfunction("""COMPUTED_VALUE"""),"missing stock")</f>
        <v>missing stock</v>
      </c>
      <c r="I361" s="13" t="n">
        <f aca="false">IFERROR(__xludf.dummyfunction("""COMPUTED_VALUE"""),5)</f>
        <v>5</v>
      </c>
      <c r="J361" s="13" t="n">
        <f aca="false">IFERROR(__xludf.dummyfunction("""COMPUTED_VALUE"""),252)</f>
        <v>252</v>
      </c>
      <c r="K361" s="13" t="n">
        <f aca="false">IFERROR(__xludf.dummyfunction("""COMPUTED_VALUE"""),1260)</f>
        <v>1260</v>
      </c>
      <c r="L361" s="13" t="str">
        <f aca="false">IFERROR(__xludf.dummyfunction("""COMPUTED_VALUE"""),"TA: Mistakenly double lived in audit.")</f>
        <v>TA: Mistakenly double lived in audit.</v>
      </c>
      <c r="M361" s="13"/>
      <c r="N361" s="13"/>
      <c r="O361" s="13" t="str">
        <f aca="false">IFERROR(__xludf.dummyfunction("""COMPUTED_VALUE"""),"taufeeq.akhtar@tajir-app.com")</f>
        <v>taufeeq.akhtar@tajir-app.com</v>
      </c>
      <c r="P361" s="13" t="str">
        <f aca="false">IFERROR(__xludf.dummyfunction("""COMPUTED_VALUE"""),"Taufeeq Akhtar ")</f>
        <v>Taufeeq Akhtar </v>
      </c>
      <c r="Q361" s="13" t="str">
        <f aca="false">IF(L361="","",L361)</f>
        <v>TA: Mistakenly double lived in audit.</v>
      </c>
    </row>
    <row r="362" customFormat="false" ht="15.75" hidden="false" customHeight="false" outlineLevel="0" collapsed="false">
      <c r="A362" s="13" t="str">
        <f aca="false">IFERROR(__xludf.dummyfunction("""COMPUTED_VALUE"""),"Metro DC Faisalabad")</f>
        <v>Metro DC Faisalabad</v>
      </c>
      <c r="B362" s="13" t="str">
        <f aca="false">IFERROR(__xludf.dummyfunction("""COMPUTED_VALUE"""),"de8d9d67-55e7-41cc-a256-7ae18bd528aa")</f>
        <v>de8d9d67-55e7-41cc-a256-7ae18bd528aa</v>
      </c>
      <c r="C362" s="13" t="str">
        <f aca="false">IFERROR(__xludf.dummyfunction("""COMPUTED_VALUE"""),"Yadgar Whole Wheat Atta 10kg")</f>
        <v>Yadgar Whole Wheat Atta 10kg</v>
      </c>
      <c r="D362" s="13" t="str">
        <f aca="false">IFERROR(__xludf.dummyfunction("""COMPUTED_VALUE"""),"Yadgar Atta")</f>
        <v>Yadgar Atta</v>
      </c>
      <c r="E362" s="13" t="str">
        <f aca="false">IFERROR(__xludf.dummyfunction("""COMPUTED_VALUE"""),"Flour")</f>
        <v>Flour</v>
      </c>
      <c r="F362" s="11" t="n">
        <f aca="false">IFERROR(__xludf.dummyfunction("""COMPUTED_VALUE"""),45134)</f>
        <v>45134</v>
      </c>
      <c r="G362" s="16" t="n">
        <f aca="false">IFERROR(__xludf.dummyfunction("""COMPUTED_VALUE"""),0.615314652776032)</f>
        <v>0.6153146528</v>
      </c>
      <c r="H362" s="13" t="str">
        <f aca="false">IFERROR(__xludf.dummyfunction("""COMPUTED_VALUE"""),"expired stock")</f>
        <v>expired stock</v>
      </c>
      <c r="I362" s="13" t="n">
        <f aca="false">IFERROR(__xludf.dummyfunction("""COMPUTED_VALUE"""),45)</f>
        <v>45</v>
      </c>
      <c r="J362" s="13" t="n">
        <f aca="false">IFERROR(__xludf.dummyfunction("""COMPUTED_VALUE"""),1310)</f>
        <v>1310</v>
      </c>
      <c r="K362" s="13" t="n">
        <f aca="false">IFERROR(__xludf.dummyfunction("""COMPUTED_VALUE"""),58950)</f>
        <v>58950</v>
      </c>
      <c r="L362" s="13" t="str">
        <f aca="false">IFERROR(__xludf.dummyfunction("""COMPUTED_VALUE"""),"[Code: 2489CC] [Expiry: 10 Sep, 2023] 45 units found damaged due to susri")</f>
        <v>[Code: 2489CC] [Expiry: 10 Sep, 2023] 45 units found damaged due to susri</v>
      </c>
      <c r="M362" s="13" t="str">
        <f aca="false">IFERROR(__xludf.dummyfunction("""COMPUTED_VALUE"""),"2489CC")</f>
        <v>2489CC</v>
      </c>
      <c r="N362" s="13" t="str">
        <f aca="false">IFERROR(__xludf.dummyfunction("""COMPUTED_VALUE"""),"10 Sep, 2023")</f>
        <v>10 Sep, 2023</v>
      </c>
      <c r="O362" s="13" t="str">
        <f aca="false">IFERROR(__xludf.dummyfunction("""COMPUTED_VALUE"""),"ali.raza@tajir-app.com")</f>
        <v>ali.raza@tajir-app.com</v>
      </c>
      <c r="P362" s="13" t="str">
        <f aca="false">IFERROR(__xludf.dummyfunction("""COMPUTED_VALUE"""),"Ali Raza ")</f>
        <v>Ali Raza </v>
      </c>
      <c r="Q362" s="13" t="str">
        <f aca="false">IF(L362="","",L362)</f>
        <v>[Code: 2489CC] [Expiry: 10 Sep, 2023] 45 units found damaged due to susri</v>
      </c>
    </row>
    <row r="363" customFormat="false" ht="15.75" hidden="false" customHeight="false" outlineLevel="0" collapsed="false">
      <c r="A363" s="13" t="str">
        <f aca="false">IFERROR(__xludf.dummyfunction("""COMPUTED_VALUE"""),"Metro DC Faisalabad")</f>
        <v>Metro DC Faisalabad</v>
      </c>
      <c r="B363" s="13" t="str">
        <f aca="false">IFERROR(__xludf.dummyfunction("""COMPUTED_VALUE"""),"19e5dc4d-029c-48c4-ac76-f5a2b0735223")</f>
        <v>19e5dc4d-029c-48c4-ac76-f5a2b0735223</v>
      </c>
      <c r="C363" s="13" t="str">
        <f aca="false">IFERROR(__xludf.dummyfunction("""COMPUTED_VALUE"""),"Top Pizza Flour 10kg")</f>
        <v>Top Pizza Flour 10kg</v>
      </c>
      <c r="D363" s="13" t="str">
        <f aca="false">IFERROR(__xludf.dummyfunction("""COMPUTED_VALUE"""),"Yadgar Atta")</f>
        <v>Yadgar Atta</v>
      </c>
      <c r="E363" s="13" t="str">
        <f aca="false">IFERROR(__xludf.dummyfunction("""COMPUTED_VALUE"""),"Flour")</f>
        <v>Flour</v>
      </c>
      <c r="F363" s="11" t="n">
        <f aca="false">IFERROR(__xludf.dummyfunction("""COMPUTED_VALUE"""),45134)</f>
        <v>45134</v>
      </c>
      <c r="G363" s="16" t="n">
        <f aca="false">IFERROR(__xludf.dummyfunction("""COMPUTED_VALUE"""),0.58835166666554)</f>
        <v>0.5883516667</v>
      </c>
      <c r="H363" s="13" t="str">
        <f aca="false">IFERROR(__xludf.dummyfunction("""COMPUTED_VALUE"""),"expired stock")</f>
        <v>expired stock</v>
      </c>
      <c r="I363" s="13" t="n">
        <f aca="false">IFERROR(__xludf.dummyfunction("""COMPUTED_VALUE"""),3)</f>
        <v>3</v>
      </c>
      <c r="J363" s="13" t="n">
        <f aca="false">IFERROR(__xludf.dummyfunction("""COMPUTED_VALUE"""),1450)</f>
        <v>1450</v>
      </c>
      <c r="K363" s="13" t="n">
        <f aca="false">IFERROR(__xludf.dummyfunction("""COMPUTED_VALUE"""),4350)</f>
        <v>4350</v>
      </c>
      <c r="L363" s="13" t="str">
        <f aca="false">IFERROR(__xludf.dummyfunction("""COMPUTED_VALUE"""),"[Code: 22456C] [Expiry: 10 Aug, 2023] 3 units expire in next month")</f>
        <v>[Code: 22456C] [Expiry: 10 Aug, 2023] 3 units expire in next month</v>
      </c>
      <c r="M363" s="13" t="str">
        <f aca="false">IFERROR(__xludf.dummyfunction("""COMPUTED_VALUE"""),"22456C")</f>
        <v>22456C</v>
      </c>
      <c r="N363" s="13" t="str">
        <f aca="false">IFERROR(__xludf.dummyfunction("""COMPUTED_VALUE"""),"10 Aug, 2023")</f>
        <v>10 Aug, 2023</v>
      </c>
      <c r="O363" s="13" t="str">
        <f aca="false">IFERROR(__xludf.dummyfunction("""COMPUTED_VALUE"""),"ali.raza@tajir-app.com")</f>
        <v>ali.raza@tajir-app.com</v>
      </c>
      <c r="P363" s="13" t="str">
        <f aca="false">IFERROR(__xludf.dummyfunction("""COMPUTED_VALUE"""),"Ali Raza ")</f>
        <v>Ali Raza </v>
      </c>
      <c r="Q363" s="13" t="str">
        <f aca="false">IF(L363="","",L363)</f>
        <v>[Code: 22456C] [Expiry: 10 Aug, 2023] 3 units expire in next month</v>
      </c>
    </row>
    <row r="364" customFormat="false" ht="15.75" hidden="false" customHeight="false" outlineLevel="0" collapsed="false">
      <c r="A364" s="13" t="str">
        <f aca="false">IFERROR(__xludf.dummyfunction("""COMPUTED_VALUE"""),"Metro DC Faisalabad")</f>
        <v>Metro DC Faisalabad</v>
      </c>
      <c r="B364" s="13" t="str">
        <f aca="false">IFERROR(__xludf.dummyfunction("""COMPUTED_VALUE"""),"e2b23a59-5b91-40c2-99b0-67c3e3509d5d")</f>
        <v>e2b23a59-5b91-40c2-99b0-67c3e3509d5d</v>
      </c>
      <c r="C364" s="13" t="str">
        <f aca="false">IFERROR(__xludf.dummyfunction("""COMPUTED_VALUE"""),"Yadgar Whole Wheat Atta 5kg")</f>
        <v>Yadgar Whole Wheat Atta 5kg</v>
      </c>
      <c r="D364" s="13" t="str">
        <f aca="false">IFERROR(__xludf.dummyfunction("""COMPUTED_VALUE"""),"Yadgar Atta")</f>
        <v>Yadgar Atta</v>
      </c>
      <c r="E364" s="13" t="str">
        <f aca="false">IFERROR(__xludf.dummyfunction("""COMPUTED_VALUE"""),"Flour")</f>
        <v>Flour</v>
      </c>
      <c r="F364" s="11" t="n">
        <f aca="false">IFERROR(__xludf.dummyfunction("""COMPUTED_VALUE"""),45134)</f>
        <v>45134</v>
      </c>
      <c r="G364" s="16" t="n">
        <f aca="false">IFERROR(__xludf.dummyfunction("""COMPUTED_VALUE"""),0.587884004629419)</f>
        <v>0.5878840046</v>
      </c>
      <c r="H364" s="13" t="str">
        <f aca="false">IFERROR(__xludf.dummyfunction("""COMPUTED_VALUE"""),"expired stock")</f>
        <v>expired stock</v>
      </c>
      <c r="I364" s="13" t="n">
        <f aca="false">IFERROR(__xludf.dummyfunction("""COMPUTED_VALUE"""),58)</f>
        <v>58</v>
      </c>
      <c r="J364" s="13" t="n">
        <f aca="false">IFERROR(__xludf.dummyfunction("""COMPUTED_VALUE"""),660)</f>
        <v>660</v>
      </c>
      <c r="K364" s="13" t="n">
        <f aca="false">IFERROR(__xludf.dummyfunction("""COMPUTED_VALUE"""),38280)</f>
        <v>38280</v>
      </c>
      <c r="L364" s="13" t="str">
        <f aca="false">IFERROR(__xludf.dummyfunction("""COMPUTED_VALUE"""),"[Code: 57899A] [Expiry: 10 Aug, 2023] 58 units expire in next month")</f>
        <v>[Code: 57899A] [Expiry: 10 Aug, 2023] 58 units expire in next month</v>
      </c>
      <c r="M364" s="13" t="str">
        <f aca="false">IFERROR(__xludf.dummyfunction("""COMPUTED_VALUE"""),"57899A")</f>
        <v>57899A</v>
      </c>
      <c r="N364" s="13" t="str">
        <f aca="false">IFERROR(__xludf.dummyfunction("""COMPUTED_VALUE"""),"10 Aug, 2023")</f>
        <v>10 Aug, 2023</v>
      </c>
      <c r="O364" s="13" t="str">
        <f aca="false">IFERROR(__xludf.dummyfunction("""COMPUTED_VALUE"""),"ali.raza@tajir-app.com")</f>
        <v>ali.raza@tajir-app.com</v>
      </c>
      <c r="P364" s="13" t="str">
        <f aca="false">IFERROR(__xludf.dummyfunction("""COMPUTED_VALUE"""),"Ali Raza ")</f>
        <v>Ali Raza </v>
      </c>
      <c r="Q364" s="13" t="str">
        <f aca="false">IF(L364="","",L364)</f>
        <v>[Code: 57899A] [Expiry: 10 Aug, 2023] 58 units expire in next month</v>
      </c>
    </row>
    <row r="365" customFormat="false" ht="15.75" hidden="false" customHeight="false" outlineLevel="0" collapsed="false">
      <c r="A365" s="13" t="str">
        <f aca="false">IFERROR(__xludf.dummyfunction("""COMPUTED_VALUE"""),"Metro DC Faisalabad")</f>
        <v>Metro DC Faisalabad</v>
      </c>
      <c r="B365" s="13" t="str">
        <f aca="false">IFERROR(__xludf.dummyfunction("""COMPUTED_VALUE"""),"9ebce01f-fcea-44e5-9f2d-4acec2b54956")</f>
        <v>9ebce01f-fcea-44e5-9f2d-4acec2b54956</v>
      </c>
      <c r="C365" s="13" t="str">
        <f aca="false">IFERROR(__xludf.dummyfunction("""COMPUTED_VALUE"""),"Yadgar Maida 1kg")</f>
        <v>Yadgar Maida 1kg</v>
      </c>
      <c r="D365" s="13" t="str">
        <f aca="false">IFERROR(__xludf.dummyfunction("""COMPUTED_VALUE"""),"Yadgar Atta")</f>
        <v>Yadgar Atta</v>
      </c>
      <c r="E365" s="13" t="str">
        <f aca="false">IFERROR(__xludf.dummyfunction("""COMPUTED_VALUE"""),"Flour")</f>
        <v>Flour</v>
      </c>
      <c r="F365" s="11" t="n">
        <f aca="false">IFERROR(__xludf.dummyfunction("""COMPUTED_VALUE"""),45134)</f>
        <v>45134</v>
      </c>
      <c r="G365" s="16" t="n">
        <f aca="false">IFERROR(__xludf.dummyfunction("""COMPUTED_VALUE"""),0.587264120369578)</f>
        <v>0.5872641204</v>
      </c>
      <c r="H365" s="13" t="str">
        <f aca="false">IFERROR(__xludf.dummyfunction("""COMPUTED_VALUE"""),"expired stock")</f>
        <v>expired stock</v>
      </c>
      <c r="I365" s="13" t="n">
        <f aca="false">IFERROR(__xludf.dummyfunction("""COMPUTED_VALUE"""),25)</f>
        <v>25</v>
      </c>
      <c r="J365" s="13" t="n">
        <f aca="false">IFERROR(__xludf.dummyfunction("""COMPUTED_VALUE"""),215)</f>
        <v>215</v>
      </c>
      <c r="K365" s="13" t="n">
        <f aca="false">IFERROR(__xludf.dummyfunction("""COMPUTED_VALUE"""),5375)</f>
        <v>5375</v>
      </c>
      <c r="L365" s="13" t="str">
        <f aca="false">IFERROR(__xludf.dummyfunction("""COMPUTED_VALUE"""),"[Code: 222359] [Expiry: 8 Aug, 2023] 25 units expire in next month")</f>
        <v>[Code: 222359] [Expiry: 8 Aug, 2023] 25 units expire in next month</v>
      </c>
      <c r="M365" s="13" t="str">
        <f aca="false">IFERROR(__xludf.dummyfunction("""COMPUTED_VALUE"""),"222359")</f>
        <v>222359</v>
      </c>
      <c r="N365" s="13" t="str">
        <f aca="false">IFERROR(__xludf.dummyfunction("""COMPUTED_VALUE"""),"8 Aug, 2023")</f>
        <v>8 Aug, 2023</v>
      </c>
      <c r="O365" s="13" t="str">
        <f aca="false">IFERROR(__xludf.dummyfunction("""COMPUTED_VALUE"""),"ali.raza@tajir-app.com")</f>
        <v>ali.raza@tajir-app.com</v>
      </c>
      <c r="P365" s="13" t="str">
        <f aca="false">IFERROR(__xludf.dummyfunction("""COMPUTED_VALUE"""),"Ali Raza ")</f>
        <v>Ali Raza </v>
      </c>
      <c r="Q365" s="13" t="str">
        <f aca="false">IF(L365="","",L365)</f>
        <v>[Code: 222359] [Expiry: 8 Aug, 2023] 25 units expire in next month</v>
      </c>
    </row>
    <row r="366" customFormat="false" ht="15.75" hidden="false" customHeight="false" outlineLevel="0" collapsed="false">
      <c r="A366" s="13" t="str">
        <f aca="false">IFERROR(__xludf.dummyfunction("""COMPUTED_VALUE"""),"Metro DC Faisalabad")</f>
        <v>Metro DC Faisalabad</v>
      </c>
      <c r="B366" s="13" t="str">
        <f aca="false">IFERROR(__xludf.dummyfunction("""COMPUTED_VALUE"""),"67c33ff3-e486-487d-844a-b17c396936ee")</f>
        <v>67c33ff3-e486-487d-844a-b17c396936ee</v>
      </c>
      <c r="C366" s="13" t="str">
        <f aca="false">IFERROR(__xludf.dummyfunction("""COMPUTED_VALUE"""),"Coca Cola plastic 1L")</f>
        <v>Coca Cola plastic 1L</v>
      </c>
      <c r="D366" s="13" t="str">
        <f aca="false">IFERROR(__xludf.dummyfunction("""COMPUTED_VALUE"""),"Coca Cola")</f>
        <v>Coca Cola</v>
      </c>
      <c r="E366" s="13" t="str">
        <f aca="false">IFERROR(__xludf.dummyfunction("""COMPUTED_VALUE"""),"Beverages")</f>
        <v>Beverages</v>
      </c>
      <c r="F366" s="11" t="n">
        <f aca="false">IFERROR(__xludf.dummyfunction("""COMPUTED_VALUE"""),45137)</f>
        <v>45137</v>
      </c>
      <c r="G366" s="16" t="n">
        <f aca="false">IFERROR(__xludf.dummyfunction("""COMPUTED_VALUE"""),0.95076618055659)</f>
        <v>0.9507661806</v>
      </c>
      <c r="H366" s="13" t="str">
        <f aca="false">IFERROR(__xludf.dummyfunction("""COMPUTED_VALUE"""),"damaged stock")</f>
        <v>damaged stock</v>
      </c>
      <c r="I366" s="13" t="n">
        <f aca="false">IFERROR(__xludf.dummyfunction("""COMPUTED_VALUE"""),1)</f>
        <v>1</v>
      </c>
      <c r="J366" s="13" t="n">
        <f aca="false">IFERROR(__xludf.dummyfunction("""COMPUTED_VALUE"""),708)</f>
        <v>708</v>
      </c>
      <c r="K366" s="13" t="n">
        <f aca="false">IFERROR(__xludf.dummyfunction("""COMPUTED_VALUE"""),708)</f>
        <v>708</v>
      </c>
      <c r="L366" s="13" t="str">
        <f aca="false">IFERROR(__xludf.dummyfunction("""COMPUTED_VALUE"""),"[Code: 6ABDEG] TA: Found in loose condition during sorting.")</f>
        <v>[Code: 6ABDEG] TA: Found in loose condition during sorting.</v>
      </c>
      <c r="M366" s="13" t="str">
        <f aca="false">IFERROR(__xludf.dummyfunction("""COMPUTED_VALUE"""),"6ABDEG")</f>
        <v>6ABDEG</v>
      </c>
      <c r="N366" s="13"/>
      <c r="O366" s="13" t="str">
        <f aca="false">IFERROR(__xludf.dummyfunction("""COMPUTED_VALUE"""),"taufeeq.akhtar@tajir-app.com")</f>
        <v>taufeeq.akhtar@tajir-app.com</v>
      </c>
      <c r="P366" s="13" t="str">
        <f aca="false">IFERROR(__xludf.dummyfunction("""COMPUTED_VALUE"""),"Taufeeq Akhtar ")</f>
        <v>Taufeeq Akhtar </v>
      </c>
      <c r="Q366" s="13" t="str">
        <f aca="false">IF(L366="","",L366)</f>
        <v>[Code: 6ABDEG] TA: Found in loose condition during sorting.</v>
      </c>
    </row>
    <row r="367" customFormat="false" ht="15.75" hidden="false" customHeight="false" outlineLevel="0" collapsed="false">
      <c r="A367" s="13" t="str">
        <f aca="false">IFERROR(__xludf.dummyfunction("""COMPUTED_VALUE"""),"Metro DC Faisalabad")</f>
        <v>Metro DC Faisalabad</v>
      </c>
      <c r="B367" s="13" t="str">
        <f aca="false">IFERROR(__xludf.dummyfunction("""COMPUTED_VALUE"""),"2a7fb319-7f21-4145-a915-5d8177e531d9")</f>
        <v>2a7fb319-7f21-4145-a915-5d8177e531d9</v>
      </c>
      <c r="C367" s="13" t="str">
        <f aca="false">IFERROR(__xludf.dummyfunction("""COMPUTED_VALUE"""),"Fruita Vitals Red Grape x24 Crate 200mL Rs57")</f>
        <v>Fruita Vitals Red Grape x24 Crate 200mL Rs57</v>
      </c>
      <c r="D367" s="13" t="str">
        <f aca="false">IFERROR(__xludf.dummyfunction("""COMPUTED_VALUE"""),"Fruita Vitals")</f>
        <v>Fruita Vitals</v>
      </c>
      <c r="E367" s="13" t="str">
        <f aca="false">IFERROR(__xludf.dummyfunction("""COMPUTED_VALUE"""),"Juice, Syrup, Squash")</f>
        <v>Juice, Syrup, Squash</v>
      </c>
      <c r="F367" s="11" t="n">
        <f aca="false">IFERROR(__xludf.dummyfunction("""COMPUTED_VALUE"""),45137)</f>
        <v>45137</v>
      </c>
      <c r="G367" s="16" t="n">
        <f aca="false">IFERROR(__xludf.dummyfunction("""COMPUTED_VALUE"""),0.82051326388759)</f>
        <v>0.8205132639</v>
      </c>
      <c r="H367" s="13" t="str">
        <f aca="false">IFERROR(__xludf.dummyfunction("""COMPUTED_VALUE"""),"expired stock")</f>
        <v>expired stock</v>
      </c>
      <c r="I367" s="13" t="n">
        <f aca="false">IFERROR(__xludf.dummyfunction("""COMPUTED_VALUE"""),16)</f>
        <v>16</v>
      </c>
      <c r="J367" s="13" t="n">
        <f aca="false">IFERROR(__xludf.dummyfunction("""COMPUTED_VALUE"""),1230)</f>
        <v>1230</v>
      </c>
      <c r="K367" s="13" t="n">
        <f aca="false">IFERROR(__xludf.dummyfunction("""COMPUTED_VALUE"""),19680)</f>
        <v>19680</v>
      </c>
      <c r="L367" s="13" t="str">
        <f aca="false">IFERROR(__xludf.dummyfunction("""COMPUTED_VALUE"""),"[Code: 233559] [Expiry: 21 Aug, 2023] AR: short expiry stock ")</f>
        <v>[Code: 233559] [Expiry: 21 Aug, 2023] AR: short expiry stock </v>
      </c>
      <c r="M367" s="13" t="str">
        <f aca="false">IFERROR(__xludf.dummyfunction("""COMPUTED_VALUE"""),"233559")</f>
        <v>233559</v>
      </c>
      <c r="N367" s="13" t="str">
        <f aca="false">IFERROR(__xludf.dummyfunction("""COMPUTED_VALUE"""),"21 Aug, 2023")</f>
        <v>21 Aug, 2023</v>
      </c>
      <c r="O367" s="13" t="str">
        <f aca="false">IFERROR(__xludf.dummyfunction("""COMPUTED_VALUE"""),"ali.raza@tajir-app.com")</f>
        <v>ali.raza@tajir-app.com</v>
      </c>
      <c r="P367" s="13" t="str">
        <f aca="false">IFERROR(__xludf.dummyfunction("""COMPUTED_VALUE"""),"Ali Raza ")</f>
        <v>Ali Raza </v>
      </c>
      <c r="Q367" s="13" t="str">
        <f aca="false">IF(L367="","",L367)</f>
        <v>[Code: 233559] [Expiry: 21 Aug, 2023] AR: short expiry stock </v>
      </c>
    </row>
    <row r="368" customFormat="false" ht="15.75" hidden="false" customHeight="false" outlineLevel="0" collapsed="false">
      <c r="A368" s="13" t="str">
        <f aca="false">IFERROR(__xludf.dummyfunction("""COMPUTED_VALUE"""),"Metro DC Faisalabad")</f>
        <v>Metro DC Faisalabad</v>
      </c>
      <c r="B368" s="13" t="str">
        <f aca="false">IFERROR(__xludf.dummyfunction("""COMPUTED_VALUE"""),"2a7fb319-7f21-4145-a915-5d8177e531d9")</f>
        <v>2a7fb319-7f21-4145-a915-5d8177e531d9</v>
      </c>
      <c r="C368" s="13" t="str">
        <f aca="false">IFERROR(__xludf.dummyfunction("""COMPUTED_VALUE"""),"Fruita Vitals Red Grape x24 Crate 200mL Rs57")</f>
        <v>Fruita Vitals Red Grape x24 Crate 200mL Rs57</v>
      </c>
      <c r="D368" s="13" t="str">
        <f aca="false">IFERROR(__xludf.dummyfunction("""COMPUTED_VALUE"""),"Fruita Vitals")</f>
        <v>Fruita Vitals</v>
      </c>
      <c r="E368" s="13" t="str">
        <f aca="false">IFERROR(__xludf.dummyfunction("""COMPUTED_VALUE"""),"Juice, Syrup, Squash")</f>
        <v>Juice, Syrup, Squash</v>
      </c>
      <c r="F368" s="11" t="n">
        <f aca="false">IFERROR(__xludf.dummyfunction("""COMPUTED_VALUE"""),45137)</f>
        <v>45137</v>
      </c>
      <c r="G368" s="16" t="n">
        <f aca="false">IFERROR(__xludf.dummyfunction("""COMPUTED_VALUE"""),0.515801608796862)</f>
        <v>0.5158016088</v>
      </c>
      <c r="H368" s="13" t="str">
        <f aca="false">IFERROR(__xludf.dummyfunction("""COMPUTED_VALUE"""),"expired stock")</f>
        <v>expired stock</v>
      </c>
      <c r="I368" s="13" t="n">
        <f aca="false">IFERROR(__xludf.dummyfunction("""COMPUTED_VALUE"""),30)</f>
        <v>30</v>
      </c>
      <c r="J368" s="13" t="n">
        <f aca="false">IFERROR(__xludf.dummyfunction("""COMPUTED_VALUE"""),1230)</f>
        <v>1230</v>
      </c>
      <c r="K368" s="13" t="n">
        <f aca="false">IFERROR(__xludf.dummyfunction("""COMPUTED_VALUE"""),36900)</f>
        <v>36900</v>
      </c>
      <c r="L368" s="13" t="str">
        <f aca="false">IFERROR(__xludf.dummyfunction("""COMPUTED_VALUE"""),"[Code: 2678FG] [Expiry: 21 Aug, 2023] AR: Short date stock")</f>
        <v>[Code: 2678FG] [Expiry: 21 Aug, 2023] AR: Short date stock</v>
      </c>
      <c r="M368" s="13" t="str">
        <f aca="false">IFERROR(__xludf.dummyfunction("""COMPUTED_VALUE"""),"2678FG")</f>
        <v>2678FG</v>
      </c>
      <c r="N368" s="13" t="str">
        <f aca="false">IFERROR(__xludf.dummyfunction("""COMPUTED_VALUE"""),"21 Aug, 2023")</f>
        <v>21 Aug, 2023</v>
      </c>
      <c r="O368" s="13" t="str">
        <f aca="false">IFERROR(__xludf.dummyfunction("""COMPUTED_VALUE"""),"ali.raza@tajir-app.com")</f>
        <v>ali.raza@tajir-app.com</v>
      </c>
      <c r="P368" s="13" t="str">
        <f aca="false">IFERROR(__xludf.dummyfunction("""COMPUTED_VALUE"""),"Ali Raza ")</f>
        <v>Ali Raza </v>
      </c>
      <c r="Q368" s="13" t="str">
        <f aca="false">IF(L368="","",L368)</f>
        <v>[Code: 2678FG] [Expiry: 21 Aug, 2023] AR: Short date stock</v>
      </c>
    </row>
    <row r="369" customFormat="false" ht="15.75" hidden="false" customHeight="false" outlineLevel="0" collapsed="false">
      <c r="A369" s="13" t="str">
        <f aca="false">IFERROR(__xludf.dummyfunction("""COMPUTED_VALUE"""),"Metro DC Faisalabad")</f>
        <v>Metro DC Faisalabad</v>
      </c>
      <c r="B369" s="13" t="str">
        <f aca="false">IFERROR(__xludf.dummyfunction("""COMPUTED_VALUE"""),"6afa406d-5fa6-42ea-a697-9b99ff3ba267")</f>
        <v>6afa406d-5fa6-42ea-a697-9b99ff3ba267</v>
      </c>
      <c r="C369" s="13" t="str">
        <f aca="false">IFERROR(__xludf.dummyfunction("""COMPUTED_VALUE"""),"Sprite plastic 1L")</f>
        <v>Sprite plastic 1L</v>
      </c>
      <c r="D369" s="13" t="str">
        <f aca="false">IFERROR(__xludf.dummyfunction("""COMPUTED_VALUE"""),"Sprite")</f>
        <v>Sprite</v>
      </c>
      <c r="E369" s="13" t="str">
        <f aca="false">IFERROR(__xludf.dummyfunction("""COMPUTED_VALUE"""),"Beverages")</f>
        <v>Beverages</v>
      </c>
      <c r="F369" s="11" t="n">
        <f aca="false">IFERROR(__xludf.dummyfunction("""COMPUTED_VALUE"""),45138)</f>
        <v>45138</v>
      </c>
      <c r="G369" s="16" t="n">
        <f aca="false">IFERROR(__xludf.dummyfunction("""COMPUTED_VALUE"""),0.929586805556671)</f>
        <v>0.9295868056</v>
      </c>
      <c r="H369" s="13" t="str">
        <f aca="false">IFERROR(__xludf.dummyfunction("""COMPUTED_VALUE"""),"damaged stock")</f>
        <v>damaged stock</v>
      </c>
      <c r="I369" s="13" t="n">
        <f aca="false">IFERROR(__xludf.dummyfunction("""COMPUTED_VALUE"""),1)</f>
        <v>1</v>
      </c>
      <c r="J369" s="13" t="n">
        <f aca="false">IFERROR(__xludf.dummyfunction("""COMPUTED_VALUE"""),708)</f>
        <v>708</v>
      </c>
      <c r="K369" s="13" t="n">
        <f aca="false">IFERROR(__xludf.dummyfunction("""COMPUTED_VALUE"""),708)</f>
        <v>708</v>
      </c>
      <c r="L369" s="13" t="str">
        <f aca="false">IFERROR(__xludf.dummyfunction("""COMPUTED_VALUE"""),"[Code: 22558A] TA: found in loose condition during sorting.")</f>
        <v>[Code: 22558A] TA: found in loose condition during sorting.</v>
      </c>
      <c r="M369" s="13" t="str">
        <f aca="false">IFERROR(__xludf.dummyfunction("""COMPUTED_VALUE"""),"22558A")</f>
        <v>22558A</v>
      </c>
      <c r="N369" s="13"/>
      <c r="O369" s="13" t="str">
        <f aca="false">IFERROR(__xludf.dummyfunction("""COMPUTED_VALUE"""),"taufeeq.akhtar@tajir-app.com")</f>
        <v>taufeeq.akhtar@tajir-app.com</v>
      </c>
      <c r="P369" s="13" t="str">
        <f aca="false">IFERROR(__xludf.dummyfunction("""COMPUTED_VALUE"""),"Taufeeq Akhtar ")</f>
        <v>Taufeeq Akhtar </v>
      </c>
      <c r="Q369" s="13" t="str">
        <f aca="false">IF(L369="","",L369)</f>
        <v>[Code: 22558A] TA: found in loose condition during sorting.</v>
      </c>
    </row>
    <row r="370" customFormat="false" ht="15.75" hidden="false" customHeight="false" outlineLevel="0" collapsed="false">
      <c r="A370" s="13" t="str">
        <f aca="false">IFERROR(__xludf.dummyfunction("""COMPUTED_VALUE"""),"Metro DC Faisalabad")</f>
        <v>Metro DC Faisalabad</v>
      </c>
      <c r="B370" s="13" t="str">
        <f aca="false">IFERROR(__xludf.dummyfunction("""COMPUTED_VALUE"""),"a46be111-2a99-4b29-8a75-aa691efd5217")</f>
        <v>a46be111-2a99-4b29-8a75-aa691efd5217</v>
      </c>
      <c r="C370" s="13" t="str">
        <f aca="false">IFERROR(__xludf.dummyfunction("""COMPUTED_VALUE"""),"Sting Berry Blast plastic 500ml (Half Liter)")</f>
        <v>Sting Berry Blast plastic 500ml (Half Liter)</v>
      </c>
      <c r="D370" s="13" t="str">
        <f aca="false">IFERROR(__xludf.dummyfunction("""COMPUTED_VALUE"""),"Sting")</f>
        <v>Sting</v>
      </c>
      <c r="E370" s="13" t="str">
        <f aca="false">IFERROR(__xludf.dummyfunction("""COMPUTED_VALUE"""),"Beverages")</f>
        <v>Beverages</v>
      </c>
      <c r="F370" s="11" t="n">
        <f aca="false">IFERROR(__xludf.dummyfunction("""COMPUTED_VALUE"""),45138)</f>
        <v>45138</v>
      </c>
      <c r="G370" s="16" t="n">
        <f aca="false">IFERROR(__xludf.dummyfunction("""COMPUTED_VALUE"""),0.928351307869389)</f>
        <v>0.9283513079</v>
      </c>
      <c r="H370" s="13" t="str">
        <f aca="false">IFERROR(__xludf.dummyfunction("""COMPUTED_VALUE"""),"damaged stock")</f>
        <v>damaged stock</v>
      </c>
      <c r="I370" s="13" t="n">
        <f aca="false">IFERROR(__xludf.dummyfunction("""COMPUTED_VALUE"""),1)</f>
        <v>1</v>
      </c>
      <c r="J370" s="13" t="n">
        <f aca="false">IFERROR(__xludf.dummyfunction("""COMPUTED_VALUE"""),920)</f>
        <v>920</v>
      </c>
      <c r="K370" s="13" t="n">
        <f aca="false">IFERROR(__xludf.dummyfunction("""COMPUTED_VALUE"""),920)</f>
        <v>920</v>
      </c>
      <c r="L370" s="13" t="str">
        <f aca="false">IFERROR(__xludf.dummyfunction("""COMPUTED_VALUE"""),"[Code: 3BDEGJ] TA:found in loose condition during sorting.")</f>
        <v>[Code: 3BDEGJ] TA:found in loose condition during sorting.</v>
      </c>
      <c r="M370" s="13" t="str">
        <f aca="false">IFERROR(__xludf.dummyfunction("""COMPUTED_VALUE"""),"3BDEGJ")</f>
        <v>3BDEGJ</v>
      </c>
      <c r="N370" s="13"/>
      <c r="O370" s="13" t="str">
        <f aca="false">IFERROR(__xludf.dummyfunction("""COMPUTED_VALUE"""),"taufeeq.akhtar@tajir-app.com")</f>
        <v>taufeeq.akhtar@tajir-app.com</v>
      </c>
      <c r="P370" s="13" t="str">
        <f aca="false">IFERROR(__xludf.dummyfunction("""COMPUTED_VALUE"""),"Taufeeq Akhtar ")</f>
        <v>Taufeeq Akhtar </v>
      </c>
      <c r="Q370" s="13" t="str">
        <f aca="false">IF(L370="","",L370)</f>
        <v>[Code: 3BDEGJ] TA:found in loose condition during sorting.</v>
      </c>
    </row>
    <row r="371" customFormat="false" ht="15.75" hidden="false" customHeight="false" outlineLevel="0" collapsed="false">
      <c r="A371" s="13" t="str">
        <f aca="false">IFERROR(__xludf.dummyfunction("""COMPUTED_VALUE"""),"Metro DC Faisalabad")</f>
        <v>Metro DC Faisalabad</v>
      </c>
      <c r="B371" s="13" t="str">
        <f aca="false">IFERROR(__xludf.dummyfunction("""COMPUTED_VALUE"""),"60e2bb1e-d374-4b6c-82f1-86fc0c5cdcdb")</f>
        <v>60e2bb1e-d374-4b6c-82f1-86fc0c5cdcdb</v>
      </c>
      <c r="C371" s="13" t="str">
        <f aca="false">IFERROR(__xludf.dummyfunction("""COMPUTED_VALUE"""),"Fruita Vitals Red Grape 1L Rs313")</f>
        <v>Fruita Vitals Red Grape 1L Rs313</v>
      </c>
      <c r="D371" s="13" t="str">
        <f aca="false">IFERROR(__xludf.dummyfunction("""COMPUTED_VALUE"""),"Fruita Vitals")</f>
        <v>Fruita Vitals</v>
      </c>
      <c r="E371" s="13" t="str">
        <f aca="false">IFERROR(__xludf.dummyfunction("""COMPUTED_VALUE"""),"Juice, Syrup, Squash")</f>
        <v>Juice, Syrup, Squash</v>
      </c>
      <c r="F371" s="11" t="n">
        <f aca="false">IFERROR(__xludf.dummyfunction("""COMPUTED_VALUE"""),45138)</f>
        <v>45138</v>
      </c>
      <c r="G371" s="16" t="n">
        <f aca="false">IFERROR(__xludf.dummyfunction("""COMPUTED_VALUE"""),0.791135486111558)</f>
        <v>0.7911354861</v>
      </c>
      <c r="H371" s="13" t="str">
        <f aca="false">IFERROR(__xludf.dummyfunction("""COMPUTED_VALUE"""),"expired stock")</f>
        <v>expired stock</v>
      </c>
      <c r="I371" s="13" t="n">
        <f aca="false">IFERROR(__xludf.dummyfunction("""COMPUTED_VALUE"""),1349)</f>
        <v>1349</v>
      </c>
      <c r="J371" s="13" t="n">
        <f aca="false">IFERROR(__xludf.dummyfunction("""COMPUTED_VALUE"""),291.35)</f>
        <v>291.35</v>
      </c>
      <c r="K371" s="13" t="n">
        <f aca="false">IFERROR(__xludf.dummyfunction("""COMPUTED_VALUE"""),393031.15)</f>
        <v>393031.15</v>
      </c>
      <c r="L371" s="13" t="str">
        <f aca="false">IFERROR(__xludf.dummyfunction("""COMPUTED_VALUE"""),"[Code: 5ACDEG] [Expiry: 6 Aug, 2023] ZA: Stock removed due to short expiry.")</f>
        <v>[Code: 5ACDEG] [Expiry: 6 Aug, 2023] ZA: Stock removed due to short expiry.</v>
      </c>
      <c r="M371" s="13" t="str">
        <f aca="false">IFERROR(__xludf.dummyfunction("""COMPUTED_VALUE"""),"5ACDEG")</f>
        <v>5ACDEG</v>
      </c>
      <c r="N371" s="13" t="str">
        <f aca="false">IFERROR(__xludf.dummyfunction("""COMPUTED_VALUE"""),"6 Aug, 2023")</f>
        <v>6 Aug, 2023</v>
      </c>
      <c r="O371" s="13" t="str">
        <f aca="false">IFERROR(__xludf.dummyfunction("""COMPUTED_VALUE"""),"ali.raza@tajir-app.com")</f>
        <v>ali.raza@tajir-app.com</v>
      </c>
      <c r="P371" s="13" t="str">
        <f aca="false">IFERROR(__xludf.dummyfunction("""COMPUTED_VALUE"""),"Ali Raza ")</f>
        <v>Ali Raza </v>
      </c>
      <c r="Q371" s="13" t="str">
        <f aca="false">IF(L371="","",L371)</f>
        <v>[Code: 5ACDEG] [Expiry: 6 Aug, 2023] ZA: Stock removed due to short expiry.</v>
      </c>
    </row>
    <row r="372" customFormat="false" ht="15.75" hidden="false" customHeight="false" outlineLevel="0" collapsed="false">
      <c r="A372" s="13" t="str">
        <f aca="false">IFERROR(__xludf.dummyfunction("""COMPUTED_VALUE"""),"Metro DC Faisalabad")</f>
        <v>Metro DC Faisalabad</v>
      </c>
      <c r="B372" s="13" t="str">
        <f aca="false">IFERROR(__xludf.dummyfunction("""COMPUTED_VALUE"""),"7a49cdfe-e3d6-492c-a939-6352fb823dea")</f>
        <v>7a49cdfe-e3d6-492c-a939-6352fb823dea</v>
      </c>
      <c r="C372" s="13" t="str">
        <f aca="false">IFERROR(__xludf.dummyfunction("""COMPUTED_VALUE"""),"Guard Tukra Basmati Rice 1kg Rs290")</f>
        <v>Guard Tukra Basmati Rice 1kg Rs290</v>
      </c>
      <c r="D372" s="13" t="str">
        <f aca="false">IFERROR(__xludf.dummyfunction("""COMPUTED_VALUE"""),"Guard Agri")</f>
        <v>Guard Agri</v>
      </c>
      <c r="E372" s="13" t="str">
        <f aca="false">IFERROR(__xludf.dummyfunction("""COMPUTED_VALUE"""),"Rice")</f>
        <v>Rice</v>
      </c>
      <c r="F372" s="11" t="n">
        <f aca="false">IFERROR(__xludf.dummyfunction("""COMPUTED_VALUE"""),45138)</f>
        <v>45138</v>
      </c>
      <c r="G372" s="16" t="n">
        <f aca="false">IFERROR(__xludf.dummyfunction("""COMPUTED_VALUE"""),0.396387430554176)</f>
        <v>0.3963874306</v>
      </c>
      <c r="H372" s="13" t="str">
        <f aca="false">IFERROR(__xludf.dummyfunction("""COMPUTED_VALUE"""),"damaged stock")</f>
        <v>damaged stock</v>
      </c>
      <c r="I372" s="13" t="n">
        <f aca="false">IFERROR(__xludf.dummyfunction("""COMPUTED_VALUE"""),20)</f>
        <v>20</v>
      </c>
      <c r="J372" s="13" t="n">
        <f aca="false">IFERROR(__xludf.dummyfunction("""COMPUTED_VALUE"""),247.74)</f>
        <v>247.74</v>
      </c>
      <c r="K372" s="13" t="n">
        <f aca="false">IFERROR(__xludf.dummyfunction("""COMPUTED_VALUE"""),4954.8)</f>
        <v>4954.8</v>
      </c>
      <c r="L372" s="13" t="str">
        <f aca="false">IFERROR(__xludf.dummyfunction("""COMPUTED_VALUE"""),"[Code: 223556] 20 units found damaged due to susri")</f>
        <v>[Code: 223556] 20 units found damaged due to susri</v>
      </c>
      <c r="M372" s="13" t="str">
        <f aca="false">IFERROR(__xludf.dummyfunction("""COMPUTED_VALUE"""),"223556")</f>
        <v>223556</v>
      </c>
      <c r="N372" s="13"/>
      <c r="O372" s="13" t="str">
        <f aca="false">IFERROR(__xludf.dummyfunction("""COMPUTED_VALUE"""),"ali.raza@tajir-app.com")</f>
        <v>ali.raza@tajir-app.com</v>
      </c>
      <c r="P372" s="13" t="str">
        <f aca="false">IFERROR(__xludf.dummyfunction("""COMPUTED_VALUE"""),"Ali Raza ")</f>
        <v>Ali Raza </v>
      </c>
      <c r="Q372" s="13" t="str">
        <f aca="false">IF(L372="","",L372)</f>
        <v>[Code: 223556] 20 units found damaged due to susri</v>
      </c>
    </row>
    <row r="373" customFormat="false" ht="15.75" hidden="false" customHeight="false" outlineLevel="0" collapsed="false">
      <c r="A373" s="13" t="str">
        <f aca="false">IFERROR(__xludf.dummyfunction("""COMPUTED_VALUE"""),"Metro DC Faisalabad")</f>
        <v>Metro DC Faisalabad</v>
      </c>
      <c r="B373" s="13" t="str">
        <f aca="false">IFERROR(__xludf.dummyfunction("""COMPUTED_VALUE"""),"fa16ff05-7be7-427a-9ef8-07f7e7540a1c")</f>
        <v>fa16ff05-7be7-427a-9ef8-07f7e7540a1c</v>
      </c>
      <c r="C373" s="13" t="str">
        <f aca="false">IFERROR(__xludf.dummyfunction("""COMPUTED_VALUE"""),"Guard Super Kernel Rice 5kg Rs2245")</f>
        <v>Guard Super Kernel Rice 5kg Rs2245</v>
      </c>
      <c r="D373" s="13" t="str">
        <f aca="false">IFERROR(__xludf.dummyfunction("""COMPUTED_VALUE"""),"Guard Agri")</f>
        <v>Guard Agri</v>
      </c>
      <c r="E373" s="13" t="str">
        <f aca="false">IFERROR(__xludf.dummyfunction("""COMPUTED_VALUE"""),"Rice")</f>
        <v>Rice</v>
      </c>
      <c r="F373" s="11" t="n">
        <f aca="false">IFERROR(__xludf.dummyfunction("""COMPUTED_VALUE"""),45138)</f>
        <v>45138</v>
      </c>
      <c r="G373" s="16" t="n">
        <f aca="false">IFERROR(__xludf.dummyfunction("""COMPUTED_VALUE"""),0.395963541666111)</f>
        <v>0.3959635417</v>
      </c>
      <c r="H373" s="13" t="str">
        <f aca="false">IFERROR(__xludf.dummyfunction("""COMPUTED_VALUE"""),"damaged stock")</f>
        <v>damaged stock</v>
      </c>
      <c r="I373" s="13" t="n">
        <f aca="false">IFERROR(__xludf.dummyfunction("""COMPUTED_VALUE"""),8)</f>
        <v>8</v>
      </c>
      <c r="J373" s="13" t="n">
        <f aca="false">IFERROR(__xludf.dummyfunction("""COMPUTED_VALUE"""),1903.5)</f>
        <v>1903.5</v>
      </c>
      <c r="K373" s="13" t="n">
        <f aca="false">IFERROR(__xludf.dummyfunction("""COMPUTED_VALUE"""),15228)</f>
        <v>15228</v>
      </c>
      <c r="L373" s="13" t="str">
        <f aca="false">IFERROR(__xludf.dummyfunction("""COMPUTED_VALUE"""),"[Code: 2459AB] 8 units found damaged due to susri")</f>
        <v>[Code: 2459AB] 8 units found damaged due to susri</v>
      </c>
      <c r="M373" s="13" t="str">
        <f aca="false">IFERROR(__xludf.dummyfunction("""COMPUTED_VALUE"""),"2459AB")</f>
        <v>2459AB</v>
      </c>
      <c r="N373" s="13"/>
      <c r="O373" s="13" t="str">
        <f aca="false">IFERROR(__xludf.dummyfunction("""COMPUTED_VALUE"""),"ali.raza@tajir-app.com")</f>
        <v>ali.raza@tajir-app.com</v>
      </c>
      <c r="P373" s="13" t="str">
        <f aca="false">IFERROR(__xludf.dummyfunction("""COMPUTED_VALUE"""),"Ali Raza ")</f>
        <v>Ali Raza </v>
      </c>
      <c r="Q373" s="13" t="str">
        <f aca="false">IF(L373="","",L373)</f>
        <v>[Code: 2459AB] 8 units found damaged due to susri</v>
      </c>
    </row>
    <row r="374" customFormat="false" ht="15.75" hidden="false" customHeight="false" outlineLevel="0" collapsed="false">
      <c r="A374" s="13" t="str">
        <f aca="false">IFERROR(__xludf.dummyfunction("""COMPUTED_VALUE"""),"Metro DC Faisalabad")</f>
        <v>Metro DC Faisalabad</v>
      </c>
      <c r="B374" s="13" t="str">
        <f aca="false">IFERROR(__xludf.dummyfunction("""COMPUTED_VALUE"""),"8be8f800-b90e-46d0-a0d0-62a2d626bda3")</f>
        <v>8be8f800-b90e-46d0-a0d0-62a2d626bda3</v>
      </c>
      <c r="C374" s="13" t="str">
        <f aca="false">IFERROR(__xludf.dummyfunction("""COMPUTED_VALUE"""),"Arsh Aromatic Basmati Rice 5kg Rs2050")</f>
        <v>Arsh Aromatic Basmati Rice 5kg Rs2050</v>
      </c>
      <c r="D374" s="13" t="str">
        <f aca="false">IFERROR(__xludf.dummyfunction("""COMPUTED_VALUE"""),"Arsh")</f>
        <v>Arsh</v>
      </c>
      <c r="E374" s="13" t="str">
        <f aca="false">IFERROR(__xludf.dummyfunction("""COMPUTED_VALUE"""),"Rice")</f>
        <v>Rice</v>
      </c>
      <c r="F374" s="11" t="n">
        <f aca="false">IFERROR(__xludf.dummyfunction("""COMPUTED_VALUE"""),45138)</f>
        <v>45138</v>
      </c>
      <c r="G374" s="16" t="n">
        <f aca="false">IFERROR(__xludf.dummyfunction("""COMPUTED_VALUE"""),0.388949317130222)</f>
        <v>0.3889493171</v>
      </c>
      <c r="H374" s="13" t="str">
        <f aca="false">IFERROR(__xludf.dummyfunction("""COMPUTED_VALUE"""),"damaged stock")</f>
        <v>damaged stock</v>
      </c>
      <c r="I374" s="13" t="n">
        <f aca="false">IFERROR(__xludf.dummyfunction("""COMPUTED_VALUE"""),5)</f>
        <v>5</v>
      </c>
      <c r="J374" s="13" t="n">
        <f aca="false">IFERROR(__xludf.dummyfunction("""COMPUTED_VALUE"""),1781.25)</f>
        <v>1781.25</v>
      </c>
      <c r="K374" s="13" t="n">
        <f aca="false">IFERROR(__xludf.dummyfunction("""COMPUTED_VALUE"""),8906.25)</f>
        <v>8906.25</v>
      </c>
      <c r="L374" s="13" t="str">
        <f aca="false">IFERROR(__xludf.dummyfunction("""COMPUTED_VALUE"""),"[Code: 3478AA] 5 units found damaged due to susri")</f>
        <v>[Code: 3478AA] 5 units found damaged due to susri</v>
      </c>
      <c r="M374" s="13" t="str">
        <f aca="false">IFERROR(__xludf.dummyfunction("""COMPUTED_VALUE"""),"3478AA")</f>
        <v>3478AA</v>
      </c>
      <c r="N374" s="13"/>
      <c r="O374" s="13" t="str">
        <f aca="false">IFERROR(__xludf.dummyfunction("""COMPUTED_VALUE"""),"ali.raza@tajir-app.com")</f>
        <v>ali.raza@tajir-app.com</v>
      </c>
      <c r="P374" s="13" t="str">
        <f aca="false">IFERROR(__xludf.dummyfunction("""COMPUTED_VALUE"""),"Ali Raza ")</f>
        <v>Ali Raza </v>
      </c>
      <c r="Q374" s="13" t="str">
        <f aca="false">IF(L374="","",L374)</f>
        <v>[Code: 3478AA] 5 units found damaged due to susri</v>
      </c>
    </row>
    <row r="375" customFormat="false" ht="15.75" hidden="false" customHeight="false" outlineLevel="0" collapsed="false">
      <c r="A375" s="13" t="str">
        <f aca="false">IFERROR(__xludf.dummyfunction("""COMPUTED_VALUE"""),"Metro DC Faisalabad")</f>
        <v>Metro DC Faisalabad</v>
      </c>
      <c r="B375" s="13" t="str">
        <f aca="false">IFERROR(__xludf.dummyfunction("""COMPUTED_VALUE"""),"8e69544a-1546-48c7-8f7e-4a74280deb6d")</f>
        <v>8e69544a-1546-48c7-8f7e-4a74280deb6d</v>
      </c>
      <c r="C375" s="13" t="str">
        <f aca="false">IFERROR(__xludf.dummyfunction("""COMPUTED_VALUE"""),"Guard Awami Basmati Rice 5kg Rs1490")</f>
        <v>Guard Awami Basmati Rice 5kg Rs1490</v>
      </c>
      <c r="D375" s="13" t="str">
        <f aca="false">IFERROR(__xludf.dummyfunction("""COMPUTED_VALUE"""),"Guard Agri")</f>
        <v>Guard Agri</v>
      </c>
      <c r="E375" s="13" t="str">
        <f aca="false">IFERROR(__xludf.dummyfunction("""COMPUTED_VALUE"""),"Rice")</f>
        <v>Rice</v>
      </c>
      <c r="F375" s="11" t="n">
        <f aca="false">IFERROR(__xludf.dummyfunction("""COMPUTED_VALUE"""),45138)</f>
        <v>45138</v>
      </c>
      <c r="G375" s="16" t="n">
        <f aca="false">IFERROR(__xludf.dummyfunction("""COMPUTED_VALUE"""),0.387911087963798)</f>
        <v>0.387911088</v>
      </c>
      <c r="H375" s="13" t="str">
        <f aca="false">IFERROR(__xludf.dummyfunction("""COMPUTED_VALUE"""),"damaged stock")</f>
        <v>damaged stock</v>
      </c>
      <c r="I375" s="13" t="n">
        <f aca="false">IFERROR(__xludf.dummyfunction("""COMPUTED_VALUE"""),2)</f>
        <v>2</v>
      </c>
      <c r="J375" s="13" t="n">
        <f aca="false">IFERROR(__xludf.dummyfunction("""COMPUTED_VALUE"""),1272.75)</f>
        <v>1272.75</v>
      </c>
      <c r="K375" s="13" t="n">
        <f aca="false">IFERROR(__xludf.dummyfunction("""COMPUTED_VALUE"""),2545.5)</f>
        <v>2545.5</v>
      </c>
      <c r="L375" s="13" t="str">
        <f aca="false">IFERROR(__xludf.dummyfunction("""COMPUTED_VALUE"""),"[Code: 35789C] 2 units found damaged due to susri")</f>
        <v>[Code: 35789C] 2 units found damaged due to susri</v>
      </c>
      <c r="M375" s="13" t="str">
        <f aca="false">IFERROR(__xludf.dummyfunction("""COMPUTED_VALUE"""),"35789C")</f>
        <v>35789C</v>
      </c>
      <c r="N375" s="13"/>
      <c r="O375" s="13" t="str">
        <f aca="false">IFERROR(__xludf.dummyfunction("""COMPUTED_VALUE"""),"ali.raza@tajir-app.com")</f>
        <v>ali.raza@tajir-app.com</v>
      </c>
      <c r="P375" s="13" t="str">
        <f aca="false">IFERROR(__xludf.dummyfunction("""COMPUTED_VALUE"""),"Ali Raza ")</f>
        <v>Ali Raza </v>
      </c>
      <c r="Q375" s="13" t="str">
        <f aca="false">IF(L375="","",L375)</f>
        <v>[Code: 35789C] 2 units found damaged due to susri</v>
      </c>
    </row>
    <row r="376" customFormat="false" ht="15.75" hidden="false" customHeight="false" outlineLevel="0" collapsed="false">
      <c r="A376" s="13" t="str">
        <f aca="false">IFERROR(__xludf.dummyfunction("""COMPUTED_VALUE"""),"Metro DC Faisalabad")</f>
        <v>Metro DC Faisalabad</v>
      </c>
      <c r="B376" s="13" t="str">
        <f aca="false">IFERROR(__xludf.dummyfunction("""COMPUTED_VALUE"""),"0feb230b-0301-42b3-9770-9b79ac4135fc")</f>
        <v>0feb230b-0301-42b3-9770-9b79ac4135fc</v>
      </c>
      <c r="C376" s="13" t="str">
        <f aca="false">IFERROR(__xludf.dummyfunction("""COMPUTED_VALUE"""),"Pepsi plastic 1.5L (Other city stock)")</f>
        <v>Pepsi plastic 1.5L (Other city stock)</v>
      </c>
      <c r="D376" s="13" t="str">
        <f aca="false">IFERROR(__xludf.dummyfunction("""COMPUTED_VALUE"""),"Pepsi")</f>
        <v>Pepsi</v>
      </c>
      <c r="E376" s="13" t="str">
        <f aca="false">IFERROR(__xludf.dummyfunction("""COMPUTED_VALUE"""),"Beverages")</f>
        <v>Beverages</v>
      </c>
      <c r="F376" s="11" t="n">
        <f aca="false">IFERROR(__xludf.dummyfunction("""COMPUTED_VALUE"""),45139)</f>
        <v>45139</v>
      </c>
      <c r="G376" s="16" t="n">
        <f aca="false">IFERROR(__xludf.dummyfunction("""COMPUTED_VALUE"""),0.968335486111936)</f>
        <v>0.9683354861</v>
      </c>
      <c r="H376" s="13" t="str">
        <f aca="false">IFERROR(__xludf.dummyfunction("""COMPUTED_VALUE"""),"damaged stock")</f>
        <v>damaged stock</v>
      </c>
      <c r="I376" s="13" t="n">
        <f aca="false">IFERROR(__xludf.dummyfunction("""COMPUTED_VALUE"""),1)</f>
        <v>1</v>
      </c>
      <c r="J376" s="13" t="n">
        <f aca="false">IFERROR(__xludf.dummyfunction("""COMPUTED_VALUE"""),726)</f>
        <v>726</v>
      </c>
      <c r="K376" s="13" t="n">
        <f aca="false">IFERROR(__xludf.dummyfunction("""COMPUTED_VALUE"""),726)</f>
        <v>726</v>
      </c>
      <c r="L376" s="13" t="str">
        <f aca="false">IFERROR(__xludf.dummyfunction("""COMPUTED_VALUE"""),"[Code: 79BEHH] TA: Found in loose condition during sorting.")</f>
        <v>[Code: 79BEHH] TA: Found in loose condition during sorting.</v>
      </c>
      <c r="M376" s="13" t="str">
        <f aca="false">IFERROR(__xludf.dummyfunction("""COMPUTED_VALUE"""),"79BEHH")</f>
        <v>79BEHH</v>
      </c>
      <c r="N376" s="13"/>
      <c r="O376" s="13" t="str">
        <f aca="false">IFERROR(__xludf.dummyfunction("""COMPUTED_VALUE"""),"taufeeq.akhtar@tajir-app.com")</f>
        <v>taufeeq.akhtar@tajir-app.com</v>
      </c>
      <c r="P376" s="13" t="str">
        <f aca="false">IFERROR(__xludf.dummyfunction("""COMPUTED_VALUE"""),"Taufeeq Akhtar ")</f>
        <v>Taufeeq Akhtar </v>
      </c>
      <c r="Q376" s="13" t="str">
        <f aca="false">IF(L376="","",L376)</f>
        <v>[Code: 79BEHH] TA: Found in loose condition during sorting.</v>
      </c>
    </row>
    <row r="377" customFormat="false" ht="15.75" hidden="false" customHeight="false" outlineLevel="0" collapsed="false">
      <c r="A377" s="13" t="str">
        <f aca="false">IFERROR(__xludf.dummyfunction("""COMPUTED_VALUE"""),"Metro DC Faisalabad")</f>
        <v>Metro DC Faisalabad</v>
      </c>
      <c r="B377" s="13" t="str">
        <f aca="false">IFERROR(__xludf.dummyfunction("""COMPUTED_VALUE"""),"79e6d840-1b66-4011-9fc4-d33bc5d08f50")</f>
        <v>79e6d840-1b66-4011-9fc4-d33bc5d08f50</v>
      </c>
      <c r="C377" s="13" t="str">
        <f aca="false">IFERROR(__xludf.dummyfunction("""COMPUTED_VALUE"""),"Pepsi plastic 1L (Other city stock)")</f>
        <v>Pepsi plastic 1L (Other city stock)</v>
      </c>
      <c r="D377" s="13" t="str">
        <f aca="false">IFERROR(__xludf.dummyfunction("""COMPUTED_VALUE"""),"Pepsi")</f>
        <v>Pepsi</v>
      </c>
      <c r="E377" s="13" t="str">
        <f aca="false">IFERROR(__xludf.dummyfunction("""COMPUTED_VALUE"""),"Beverages")</f>
        <v>Beverages</v>
      </c>
      <c r="F377" s="11" t="n">
        <f aca="false">IFERROR(__xludf.dummyfunction("""COMPUTED_VALUE"""),45139)</f>
        <v>45139</v>
      </c>
      <c r="G377" s="16" t="n">
        <f aca="false">IFERROR(__xludf.dummyfunction("""COMPUTED_VALUE"""),0.964287199073821)</f>
        <v>0.9642871991</v>
      </c>
      <c r="H377" s="13" t="str">
        <f aca="false">IFERROR(__xludf.dummyfunction("""COMPUTED_VALUE"""),"missing stock")</f>
        <v>missing stock</v>
      </c>
      <c r="I377" s="13" t="n">
        <f aca="false">IFERROR(__xludf.dummyfunction("""COMPUTED_VALUE"""),2)</f>
        <v>2</v>
      </c>
      <c r="J377" s="13" t="n">
        <f aca="false">IFERROR(__xludf.dummyfunction("""COMPUTED_VALUE"""),576)</f>
        <v>576</v>
      </c>
      <c r="K377" s="13" t="n">
        <f aca="false">IFERROR(__xludf.dummyfunction("""COMPUTED_VALUE"""),1152)</f>
        <v>1152</v>
      </c>
      <c r="L377" s="13" t="str">
        <f aca="false">IFERROR(__xludf.dummyfunction("""COMPUTED_VALUE"""),"TA: Not available...(Night audit)")</f>
        <v>TA: Not available...(Night audit)</v>
      </c>
      <c r="M377" s="13"/>
      <c r="N377" s="13"/>
      <c r="O377" s="13" t="str">
        <f aca="false">IFERROR(__xludf.dummyfunction("""COMPUTED_VALUE"""),"taufeeq.akhtar@tajir-app.com")</f>
        <v>taufeeq.akhtar@tajir-app.com</v>
      </c>
      <c r="P377" s="13" t="str">
        <f aca="false">IFERROR(__xludf.dummyfunction("""COMPUTED_VALUE"""),"Taufeeq Akhtar ")</f>
        <v>Taufeeq Akhtar </v>
      </c>
      <c r="Q377" s="13" t="str">
        <f aca="false">IF(L377="","",L377)</f>
        <v>TA: Not available...(Night audit)</v>
      </c>
    </row>
    <row r="378" customFormat="false" ht="15.75" hidden="false" customHeight="false" outlineLevel="0" collapsed="false">
      <c r="A378" s="13" t="str">
        <f aca="false">IFERROR(__xludf.dummyfunction("""COMPUTED_VALUE"""),"Metro DC Faisalabad")</f>
        <v>Metro DC Faisalabad</v>
      </c>
      <c r="B378" s="13" t="str">
        <f aca="false">IFERROR(__xludf.dummyfunction("""COMPUTED_VALUE"""),"79e6d840-1b66-4011-9fc4-d33bc5d08f50")</f>
        <v>79e6d840-1b66-4011-9fc4-d33bc5d08f50</v>
      </c>
      <c r="C378" s="13" t="str">
        <f aca="false">IFERROR(__xludf.dummyfunction("""COMPUTED_VALUE"""),"Pepsi plastic 1L (Other city stock)")</f>
        <v>Pepsi plastic 1L (Other city stock)</v>
      </c>
      <c r="D378" s="13" t="str">
        <f aca="false">IFERROR(__xludf.dummyfunction("""COMPUTED_VALUE"""),"Pepsi")</f>
        <v>Pepsi</v>
      </c>
      <c r="E378" s="13" t="str">
        <f aca="false">IFERROR(__xludf.dummyfunction("""COMPUTED_VALUE"""),"Beverages")</f>
        <v>Beverages</v>
      </c>
      <c r="F378" s="11" t="n">
        <f aca="false">IFERROR(__xludf.dummyfunction("""COMPUTED_VALUE"""),45139)</f>
        <v>45139</v>
      </c>
      <c r="G378" s="16" t="n">
        <f aca="false">IFERROR(__xludf.dummyfunction("""COMPUTED_VALUE"""),0.963238379630551)</f>
        <v>0.9632383796</v>
      </c>
      <c r="H378" s="13" t="str">
        <f aca="false">IFERROR(__xludf.dummyfunction("""COMPUTED_VALUE"""),"damaged stock")</f>
        <v>damaged stock</v>
      </c>
      <c r="I378" s="13" t="n">
        <f aca="false">IFERROR(__xludf.dummyfunction("""COMPUTED_VALUE"""),3)</f>
        <v>3</v>
      </c>
      <c r="J378" s="13" t="n">
        <f aca="false">IFERROR(__xludf.dummyfunction("""COMPUTED_VALUE"""),576)</f>
        <v>576</v>
      </c>
      <c r="K378" s="13" t="n">
        <f aca="false">IFERROR(__xludf.dummyfunction("""COMPUTED_VALUE"""),1728)</f>
        <v>1728</v>
      </c>
      <c r="L378" s="13" t="str">
        <f aca="false">IFERROR(__xludf.dummyfunction("""COMPUTED_VALUE"""),"[Code: 6789AD] TA: found in loose condition and some empty bottel.")</f>
        <v>[Code: 6789AD] TA: found in loose condition and some empty bottel.</v>
      </c>
      <c r="M378" s="13" t="str">
        <f aca="false">IFERROR(__xludf.dummyfunction("""COMPUTED_VALUE"""),"6789AD")</f>
        <v>6789AD</v>
      </c>
      <c r="N378" s="13"/>
      <c r="O378" s="13" t="str">
        <f aca="false">IFERROR(__xludf.dummyfunction("""COMPUTED_VALUE"""),"taufeeq.akhtar@tajir-app.com")</f>
        <v>taufeeq.akhtar@tajir-app.com</v>
      </c>
      <c r="P378" s="13" t="str">
        <f aca="false">IFERROR(__xludf.dummyfunction("""COMPUTED_VALUE"""),"Taufeeq Akhtar ")</f>
        <v>Taufeeq Akhtar </v>
      </c>
      <c r="Q378" s="13" t="str">
        <f aca="false">IF(L378="","",L378)</f>
        <v>[Code: 6789AD] TA: found in loose condition and some empty bottel.</v>
      </c>
    </row>
    <row r="379" customFormat="false" ht="15.75" hidden="false" customHeight="false" outlineLevel="0" collapsed="false">
      <c r="A379" s="13" t="str">
        <f aca="false">IFERROR(__xludf.dummyfunction("""COMPUTED_VALUE"""),"Metro DC Faisalabad")</f>
        <v>Metro DC Faisalabad</v>
      </c>
      <c r="B379" s="13" t="str">
        <f aca="false">IFERROR(__xludf.dummyfunction("""COMPUTED_VALUE"""),"671abd0a-6903-4fba-9ed6-f5cfd6efc7de")</f>
        <v>671abd0a-6903-4fba-9ed6-f5cfd6efc7de</v>
      </c>
      <c r="C379" s="13" t="str">
        <f aca="false">IFERROR(__xludf.dummyfunction("""COMPUTED_VALUE"""),"Sherdil Khopra Powder 100g")</f>
        <v>Sherdil Khopra Powder 100g</v>
      </c>
      <c r="D379" s="13" t="str">
        <f aca="false">IFERROR(__xludf.dummyfunction("""COMPUTED_VALUE"""),"Sherdil")</f>
        <v>Sherdil</v>
      </c>
      <c r="E379" s="13" t="str">
        <f aca="false">IFERROR(__xludf.dummyfunction("""COMPUTED_VALUE"""),"Spices")</f>
        <v>Spices</v>
      </c>
      <c r="F379" s="11" t="n">
        <f aca="false">IFERROR(__xludf.dummyfunction("""COMPUTED_VALUE"""),45140)</f>
        <v>45140</v>
      </c>
      <c r="G379" s="16" t="n">
        <f aca="false">IFERROR(__xludf.dummyfunction("""COMPUTED_VALUE"""),0.955426203704625)</f>
        <v>0.9554262037</v>
      </c>
      <c r="H379" s="13" t="str">
        <f aca="false">IFERROR(__xludf.dummyfunction("""COMPUTED_VALUE"""),"missing stock")</f>
        <v>missing stock</v>
      </c>
      <c r="I379" s="13" t="n">
        <f aca="false">IFERROR(__xludf.dummyfunction("""COMPUTED_VALUE"""),1)</f>
        <v>1</v>
      </c>
      <c r="J379" s="13" t="n">
        <f aca="false">IFERROR(__xludf.dummyfunction("""COMPUTED_VALUE"""),94)</f>
        <v>94</v>
      </c>
      <c r="K379" s="13" t="n">
        <f aca="false">IFERROR(__xludf.dummyfunction("""COMPUTED_VALUE"""),94)</f>
        <v>94</v>
      </c>
      <c r="L379" s="13" t="str">
        <f aca="false">IFERROR(__xludf.dummyfunction("""COMPUTED_VALUE"""),"TA: brand exchange company end say...uper khopra likha magr packet kay undr ispagol hay.")</f>
        <v>TA: brand exchange company end say...uper khopra likha magr packet kay undr ispagol hay.</v>
      </c>
      <c r="M379" s="13"/>
      <c r="N379" s="13"/>
      <c r="O379" s="13" t="str">
        <f aca="false">IFERROR(__xludf.dummyfunction("""COMPUTED_VALUE"""),"taufeeq.akhtar@tajir-app.com")</f>
        <v>taufeeq.akhtar@tajir-app.com</v>
      </c>
      <c r="P379" s="13" t="str">
        <f aca="false">IFERROR(__xludf.dummyfunction("""COMPUTED_VALUE"""),"Taufeeq Akhtar ")</f>
        <v>Taufeeq Akhtar </v>
      </c>
      <c r="Q379" s="13" t="str">
        <f aca="false">IF(L379="","",L379)</f>
        <v>TA: brand exchange company end say...uper khopra likha magr packet kay undr ispagol hay.</v>
      </c>
    </row>
    <row r="380" customFormat="false" ht="15.75" hidden="false" customHeight="false" outlineLevel="0" collapsed="false">
      <c r="A380" s="13" t="str">
        <f aca="false">IFERROR(__xludf.dummyfunction("""COMPUTED_VALUE"""),"Metro DC Faisalabad")</f>
        <v>Metro DC Faisalabad</v>
      </c>
      <c r="B380" s="13" t="str">
        <f aca="false">IFERROR(__xludf.dummyfunction("""COMPUTED_VALUE"""),"f0ad7b4e-0679-4e5d-ba61-adcde994ff43")</f>
        <v>f0ad7b4e-0679-4e5d-ba61-adcde994ff43</v>
      </c>
      <c r="C380" s="13" t="str">
        <f aca="false">IFERROR(__xludf.dummyfunction("""COMPUTED_VALUE"""),"Kolson U Shape Vermicelli x12 Bundle 140g")</f>
        <v>Kolson U Shape Vermicelli x12 Bundle 140g</v>
      </c>
      <c r="D380" s="13" t="str">
        <f aca="false">IFERROR(__xludf.dummyfunction("""COMPUTED_VALUE"""),"Kolson")</f>
        <v>Kolson</v>
      </c>
      <c r="E380" s="13" t="str">
        <f aca="false">IFERROR(__xludf.dummyfunction("""COMPUTED_VALUE"""),"Grocery")</f>
        <v>Grocery</v>
      </c>
      <c r="F380" s="11" t="n">
        <f aca="false">IFERROR(__xludf.dummyfunction("""COMPUTED_VALUE"""),45142)</f>
        <v>45142</v>
      </c>
      <c r="G380" s="16" t="n">
        <f aca="false">IFERROR(__xludf.dummyfunction("""COMPUTED_VALUE"""),0.82519082175962)</f>
        <v>0.8251908218</v>
      </c>
      <c r="H380" s="13" t="str">
        <f aca="false">IFERROR(__xludf.dummyfunction("""COMPUTED_VALUE"""),"missing stock")</f>
        <v>missing stock</v>
      </c>
      <c r="I380" s="13" t="n">
        <f aca="false">IFERROR(__xludf.dummyfunction("""COMPUTED_VALUE"""),1)</f>
        <v>1</v>
      </c>
      <c r="J380" s="13" t="n">
        <f aca="false">IFERROR(__xludf.dummyfunction("""COMPUTED_VALUE"""),507.83)</f>
        <v>507.83</v>
      </c>
      <c r="K380" s="13" t="n">
        <f aca="false">IFERROR(__xludf.dummyfunction("""COMPUTED_VALUE"""),507.83)</f>
        <v>507.83</v>
      </c>
      <c r="L380" s="13" t="str">
        <f aca="false">IFERROR(__xludf.dummyfunction("""COMPUTED_VALUE"""),"TA: Not Available on the floor.")</f>
        <v>TA: Not Available on the floor.</v>
      </c>
      <c r="M380" s="13"/>
      <c r="N380" s="13"/>
      <c r="O380" s="13" t="str">
        <f aca="false">IFERROR(__xludf.dummyfunction("""COMPUTED_VALUE"""),"taufeeq.akhtar@tajir-app.com")</f>
        <v>taufeeq.akhtar@tajir-app.com</v>
      </c>
      <c r="P380" s="13" t="str">
        <f aca="false">IFERROR(__xludf.dummyfunction("""COMPUTED_VALUE"""),"Taufeeq Akhtar ")</f>
        <v>Taufeeq Akhtar </v>
      </c>
      <c r="Q380" s="13" t="str">
        <f aca="false">IF(L380="","",L380)</f>
        <v>TA: Not Available on the floor.</v>
      </c>
    </row>
    <row r="381" customFormat="false" ht="15.75" hidden="false" customHeight="false" outlineLevel="0" collapsed="false">
      <c r="A381" s="13" t="str">
        <f aca="false">IFERROR(__xludf.dummyfunction("""COMPUTED_VALUE"""),"Metro DC Faisalabad")</f>
        <v>Metro DC Faisalabad</v>
      </c>
      <c r="B381" s="13" t="str">
        <f aca="false">IFERROR(__xludf.dummyfunction("""COMPUTED_VALUE"""),"17aa7ddd-01de-4d8c-a111-7f60217ccdd6")</f>
        <v>17aa7ddd-01de-4d8c-a111-7f60217ccdd6</v>
      </c>
      <c r="C381" s="13" t="str">
        <f aca="false">IFERROR(__xludf.dummyfunction("""COMPUTED_VALUE"""),"Fair and Lovely Advanced Multi Vitamin Fairness Cream x3 Bundle 25g Rs199")</f>
        <v>Fair and Lovely Advanced Multi Vitamin Fairness Cream x3 Bundle 25g Rs199</v>
      </c>
      <c r="D381" s="13" t="str">
        <f aca="false">IFERROR(__xludf.dummyfunction("""COMPUTED_VALUE"""),"Fair and Lovely")</f>
        <v>Fair and Lovely</v>
      </c>
      <c r="E381" s="13" t="str">
        <f aca="false">IFERROR(__xludf.dummyfunction("""COMPUTED_VALUE"""),"Personal Care")</f>
        <v>Personal Care</v>
      </c>
      <c r="F381" s="11" t="n">
        <f aca="false">IFERROR(__xludf.dummyfunction("""COMPUTED_VALUE"""),45142)</f>
        <v>45142</v>
      </c>
      <c r="G381" s="16" t="n">
        <f aca="false">IFERROR(__xludf.dummyfunction("""COMPUTED_VALUE"""),0.822580312500081)</f>
        <v>0.8225803125</v>
      </c>
      <c r="H381" s="13" t="str">
        <f aca="false">IFERROR(__xludf.dummyfunction("""COMPUTED_VALUE"""),"missing stock")</f>
        <v>missing stock</v>
      </c>
      <c r="I381" s="13" t="n">
        <f aca="false">IFERROR(__xludf.dummyfunction("""COMPUTED_VALUE"""),24)</f>
        <v>24</v>
      </c>
      <c r="J381" s="13" t="n">
        <f aca="false">IFERROR(__xludf.dummyfunction("""COMPUTED_VALUE"""),515)</f>
        <v>515</v>
      </c>
      <c r="K381" s="13" t="n">
        <f aca="false">IFERROR(__xludf.dummyfunction("""COMPUTED_VALUE"""),12360)</f>
        <v>12360</v>
      </c>
      <c r="L381" s="13" t="str">
        <f aca="false">IFERROR(__xludf.dummyfunction("""COMPUTED_VALUE"""),"TA: Not Available on the florr.")</f>
        <v>TA: Not Available on the florr.</v>
      </c>
      <c r="M381" s="13"/>
      <c r="N381" s="13"/>
      <c r="O381" s="13" t="str">
        <f aca="false">IFERROR(__xludf.dummyfunction("""COMPUTED_VALUE"""),"taufeeq.akhtar@tajir-app.com")</f>
        <v>taufeeq.akhtar@tajir-app.com</v>
      </c>
      <c r="P381" s="13" t="str">
        <f aca="false">IFERROR(__xludf.dummyfunction("""COMPUTED_VALUE"""),"Taufeeq Akhtar ")</f>
        <v>Taufeeq Akhtar </v>
      </c>
      <c r="Q381" s="13" t="str">
        <f aca="false">IF(L381="","",L381)</f>
        <v>TA: Not Available on the florr.</v>
      </c>
    </row>
    <row r="382" customFormat="false" ht="15.75" hidden="false" customHeight="false" outlineLevel="0" collapsed="false">
      <c r="A382" s="13" t="str">
        <f aca="false">IFERROR(__xludf.dummyfunction("""COMPUTED_VALUE"""),"Metro DC Faisalabad")</f>
        <v>Metro DC Faisalabad</v>
      </c>
      <c r="B382" s="13" t="str">
        <f aca="false">IFERROR(__xludf.dummyfunction("""COMPUTED_VALUE"""),"3d8ceafe-422d-42ad-8d8f-f606dafa6270")</f>
        <v>3d8ceafe-422d-42ad-8d8f-f606dafa6270</v>
      </c>
      <c r="C382" s="13" t="str">
        <f aca="false">IFERROR(__xludf.dummyfunction("""COMPUTED_VALUE"""),"Hilal Eclairs Candy 50pcs Rs2.5")</f>
        <v>Hilal Eclairs Candy 50pcs Rs2.5</v>
      </c>
      <c r="D382" s="13" t="str">
        <f aca="false">IFERROR(__xludf.dummyfunction("""COMPUTED_VALUE"""),"Hilal")</f>
        <v>Hilal</v>
      </c>
      <c r="E382" s="13" t="str">
        <f aca="false">IFERROR(__xludf.dummyfunction("""COMPUTED_VALUE"""),"Confectionary")</f>
        <v>Confectionary</v>
      </c>
      <c r="F382" s="11" t="n">
        <f aca="false">IFERROR(__xludf.dummyfunction("""COMPUTED_VALUE"""),45142)</f>
        <v>45142</v>
      </c>
      <c r="G382" s="16" t="n">
        <f aca="false">IFERROR(__xludf.dummyfunction("""COMPUTED_VALUE"""),0.656198900463987)</f>
        <v>0.6561989005</v>
      </c>
      <c r="H382" s="13" t="str">
        <f aca="false">IFERROR(__xludf.dummyfunction("""COMPUTED_VALUE"""),"damaged stock")</f>
        <v>damaged stock</v>
      </c>
      <c r="I382" s="13" t="n">
        <f aca="false">IFERROR(__xludf.dummyfunction("""COMPUTED_VALUE"""),120)</f>
        <v>120</v>
      </c>
      <c r="J382" s="13" t="n">
        <f aca="false">IFERROR(__xludf.dummyfunction("""COMPUTED_VALUE"""),199.69)</f>
        <v>199.69</v>
      </c>
      <c r="K382" s="13" t="n">
        <f aca="false">IFERROR(__xludf.dummyfunction("""COMPUTED_VALUE"""),23962.8)</f>
        <v>23962.8</v>
      </c>
      <c r="L382" s="13" t="str">
        <f aca="false">IFERROR(__xludf.dummyfunction("""COMPUTED_VALUE"""),"AR: temp remove")</f>
        <v>AR: temp remove</v>
      </c>
      <c r="M382" s="13"/>
      <c r="N382" s="13"/>
      <c r="O382" s="13" t="str">
        <f aca="false">IFERROR(__xludf.dummyfunction("""COMPUTED_VALUE"""),"aimen.rafique@tajir-app.com")</f>
        <v>aimen.rafique@tajir-app.com</v>
      </c>
      <c r="P382" s="13" t="str">
        <f aca="false">IFERROR(__xludf.dummyfunction("""COMPUTED_VALUE"""),"Aimen Rafique")</f>
        <v>Aimen Rafique</v>
      </c>
      <c r="Q382" s="13" t="str">
        <f aca="false">IF(L382="","",L382)</f>
        <v>AR: temp remove</v>
      </c>
    </row>
    <row r="383" customFormat="false" ht="15.75" hidden="false" customHeight="false" outlineLevel="0" collapsed="false">
      <c r="A383" s="13" t="str">
        <f aca="false">IFERROR(__xludf.dummyfunction("""COMPUTED_VALUE"""),"Metro DC Faisalabad")</f>
        <v>Metro DC Faisalabad</v>
      </c>
      <c r="B383" s="13" t="str">
        <f aca="false">IFERROR(__xludf.dummyfunction("""COMPUTED_VALUE"""),"db1281d2-b45b-4883-8f8c-596859595064")</f>
        <v>db1281d2-b45b-4883-8f8c-596859595064</v>
      </c>
      <c r="C383" s="13" t="str">
        <f aca="false">IFERROR(__xludf.dummyfunction("""COMPUTED_VALUE"""),"Swadi Surkh Mirch Pissi Hoi 5kg")</f>
        <v>Swadi Surkh Mirch Pissi Hoi 5kg</v>
      </c>
      <c r="D383" s="13" t="str">
        <f aca="false">IFERROR(__xludf.dummyfunction("""COMPUTED_VALUE"""),"Swadi")</f>
        <v>Swadi</v>
      </c>
      <c r="E383" s="13" t="str">
        <f aca="false">IFERROR(__xludf.dummyfunction("""COMPUTED_VALUE"""),"Spices")</f>
        <v>Spices</v>
      </c>
      <c r="F383" s="11" t="n">
        <f aca="false">IFERROR(__xludf.dummyfunction("""COMPUTED_VALUE"""),45143)</f>
        <v>45143</v>
      </c>
      <c r="G383" s="16" t="n">
        <f aca="false">IFERROR(__xludf.dummyfunction("""COMPUTED_VALUE"""),0.979309432871308)</f>
        <v>0.9793094329</v>
      </c>
      <c r="H383" s="13" t="str">
        <f aca="false">IFERROR(__xludf.dummyfunction("""COMPUTED_VALUE"""),"expired stock")</f>
        <v>expired stock</v>
      </c>
      <c r="I383" s="13" t="n">
        <f aca="false">IFERROR(__xludf.dummyfunction("""COMPUTED_VALUE"""),1)</f>
        <v>1</v>
      </c>
      <c r="J383" s="13" t="n">
        <f aca="false">IFERROR(__xludf.dummyfunction("""COMPUTED_VALUE"""),2750)</f>
        <v>2750</v>
      </c>
      <c r="K383" s="13" t="n">
        <f aca="false">IFERROR(__xludf.dummyfunction("""COMPUTED_VALUE"""),2750)</f>
        <v>2750</v>
      </c>
      <c r="L383" s="13" t="str">
        <f aca="false">IFERROR(__xludf.dummyfunction("""COMPUTED_VALUE"""),"[Code: 569AAB] [Expiry: 20 May, 2023] TA; 1 unit found  Expire ( date 20/5/2023)")</f>
        <v>[Code: 569AAB] [Expiry: 20 May, 2023] TA; 1 unit found  Expire ( date 20/5/2023)</v>
      </c>
      <c r="M383" s="13" t="str">
        <f aca="false">IFERROR(__xludf.dummyfunction("""COMPUTED_VALUE"""),"569AAB")</f>
        <v>569AAB</v>
      </c>
      <c r="N383" s="13" t="str">
        <f aca="false">IFERROR(__xludf.dummyfunction("""COMPUTED_VALUE"""),"20 May, 2023")</f>
        <v>20 May, 2023</v>
      </c>
      <c r="O383" s="13" t="str">
        <f aca="false">IFERROR(__xludf.dummyfunction("""COMPUTED_VALUE"""),"taufeeq.akhtar@tajir-app.com")</f>
        <v>taufeeq.akhtar@tajir-app.com</v>
      </c>
      <c r="P383" s="13" t="str">
        <f aca="false">IFERROR(__xludf.dummyfunction("""COMPUTED_VALUE"""),"Taufeeq Akhtar ")</f>
        <v>Taufeeq Akhtar </v>
      </c>
      <c r="Q383" s="13" t="str">
        <f aca="false">IF(L383="","",L383)</f>
        <v>[Code: 569AAB] [Expiry: 20 May, 2023] TA; 1 unit found  Expire ( date 20/5/2023)</v>
      </c>
    </row>
    <row r="384" customFormat="false" ht="15.75" hidden="false" customHeight="false" outlineLevel="0" collapsed="false">
      <c r="A384" s="13" t="str">
        <f aca="false">IFERROR(__xludf.dummyfunction("""COMPUTED_VALUE"""),"Metro DC Faisalabad")</f>
        <v>Metro DC Faisalabad</v>
      </c>
      <c r="B384" s="13" t="str">
        <f aca="false">IFERROR(__xludf.dummyfunction("""COMPUTED_VALUE"""),"bb395c3c-56d7-4e32-b2ae-c52852d22a73")</f>
        <v>bb395c3c-56d7-4e32-b2ae-c52852d22a73</v>
      </c>
      <c r="C384" s="13" t="str">
        <f aca="false">IFERROR(__xludf.dummyfunction("""COMPUTED_VALUE"""),"Seasly Water 1.5L")</f>
        <v>Seasly Water 1.5L</v>
      </c>
      <c r="D384" s="13" t="str">
        <f aca="false">IFERROR(__xludf.dummyfunction("""COMPUTED_VALUE"""),"Seasly Water")</f>
        <v>Seasly Water</v>
      </c>
      <c r="E384" s="13" t="str">
        <f aca="false">IFERROR(__xludf.dummyfunction("""COMPUTED_VALUE"""),"Beverages")</f>
        <v>Beverages</v>
      </c>
      <c r="F384" s="11" t="n">
        <f aca="false">IFERROR(__xludf.dummyfunction("""COMPUTED_VALUE"""),45143)</f>
        <v>45143</v>
      </c>
      <c r="G384" s="16" t="n">
        <f aca="false">IFERROR(__xludf.dummyfunction("""COMPUTED_VALUE"""),0.863720972221818)</f>
        <v>0.8637209722</v>
      </c>
      <c r="H384" s="13" t="str">
        <f aca="false">IFERROR(__xludf.dummyfunction("""COMPUTED_VALUE"""),"damaged stock")</f>
        <v>damaged stock</v>
      </c>
      <c r="I384" s="13" t="n">
        <f aca="false">IFERROR(__xludf.dummyfunction("""COMPUTED_VALUE"""),1)</f>
        <v>1</v>
      </c>
      <c r="J384" s="13" t="n">
        <f aca="false">IFERROR(__xludf.dummyfunction("""COMPUTED_VALUE"""),175)</f>
        <v>175</v>
      </c>
      <c r="K384" s="13" t="n">
        <f aca="false">IFERROR(__xludf.dummyfunction("""COMPUTED_VALUE"""),175)</f>
        <v>175</v>
      </c>
      <c r="L384" s="13" t="str">
        <f aca="false">IFERROR(__xludf.dummyfunction("""COMPUTED_VALUE"""),"[Code: 49BBHJ] TA: loose bottels found during sorting.")</f>
        <v>[Code: 49BBHJ] TA: loose bottels found during sorting.</v>
      </c>
      <c r="M384" s="13" t="str">
        <f aca="false">IFERROR(__xludf.dummyfunction("""COMPUTED_VALUE"""),"49BBHJ")</f>
        <v>49BBHJ</v>
      </c>
      <c r="N384" s="13"/>
      <c r="O384" s="13" t="str">
        <f aca="false">IFERROR(__xludf.dummyfunction("""COMPUTED_VALUE"""),"taufeeq.akhtar@tajir-app.com")</f>
        <v>taufeeq.akhtar@tajir-app.com</v>
      </c>
      <c r="P384" s="13" t="str">
        <f aca="false">IFERROR(__xludf.dummyfunction("""COMPUTED_VALUE"""),"Taufeeq Akhtar ")</f>
        <v>Taufeeq Akhtar </v>
      </c>
      <c r="Q384" s="13" t="str">
        <f aca="false">IF(L384="","",L384)</f>
        <v>[Code: 49BBHJ] TA: loose bottels found during sorting.</v>
      </c>
    </row>
    <row r="385" customFormat="false" ht="15.75" hidden="false" customHeight="false" outlineLevel="0" collapsed="false">
      <c r="A385" s="13" t="str">
        <f aca="false">IFERROR(__xludf.dummyfunction("""COMPUTED_VALUE"""),"Metro DC Faisalabad")</f>
        <v>Metro DC Faisalabad</v>
      </c>
      <c r="B385" s="13" t="str">
        <f aca="false">IFERROR(__xludf.dummyfunction("""COMPUTED_VALUE"""),"248ab271-a514-46ab-93f3-d3f1c3c30c09")</f>
        <v>248ab271-a514-46ab-93f3-d3f1c3c30c09</v>
      </c>
      <c r="C385" s="13" t="str">
        <f aca="false">IFERROR(__xludf.dummyfunction("""COMPUTED_VALUE"""),"Hiba's Collection Aloe Vera Face Wash 100mL (Sensitive Skin)")</f>
        <v>Hiba's Collection Aloe Vera Face Wash 100mL (Sensitive Skin)</v>
      </c>
      <c r="D385" s="13" t="str">
        <f aca="false">IFERROR(__xludf.dummyfunction("""COMPUTED_VALUE"""),"Hiba's Collection")</f>
        <v>Hiba's Collection</v>
      </c>
      <c r="E385" s="13" t="str">
        <f aca="false">IFERROR(__xludf.dummyfunction("""COMPUTED_VALUE"""),"Personal Care")</f>
        <v>Personal Care</v>
      </c>
      <c r="F385" s="11" t="n">
        <f aca="false">IFERROR(__xludf.dummyfunction("""COMPUTED_VALUE"""),45144)</f>
        <v>45144</v>
      </c>
      <c r="G385" s="16" t="n">
        <f aca="false">IFERROR(__xludf.dummyfunction("""COMPUTED_VALUE"""),0.954081666666607)</f>
        <v>0.9540816667</v>
      </c>
      <c r="H385" s="13" t="str">
        <f aca="false">IFERROR(__xludf.dummyfunction("""COMPUTED_VALUE"""),"missing stock")</f>
        <v>missing stock</v>
      </c>
      <c r="I385" s="13" t="n">
        <f aca="false">IFERROR(__xludf.dummyfunction("""COMPUTED_VALUE"""),1)</f>
        <v>1</v>
      </c>
      <c r="J385" s="13" t="n">
        <f aca="false">IFERROR(__xludf.dummyfunction("""COMPUTED_VALUE"""),220)</f>
        <v>220</v>
      </c>
      <c r="K385" s="13" t="n">
        <f aca="false">IFERROR(__xludf.dummyfunction("""COMPUTED_VALUE"""),220)</f>
        <v>220</v>
      </c>
      <c r="L385" s="13" t="str">
        <f aca="false">IFERROR(__xludf.dummyfunction("""COMPUTED_VALUE"""),"TA: Not Available on the floor.")</f>
        <v>TA: Not Available on the floor.</v>
      </c>
      <c r="M385" s="13"/>
      <c r="N385" s="13"/>
      <c r="O385" s="13" t="str">
        <f aca="false">IFERROR(__xludf.dummyfunction("""COMPUTED_VALUE"""),"taufeeq.akhtar@tajir-app.com")</f>
        <v>taufeeq.akhtar@tajir-app.com</v>
      </c>
      <c r="P385" s="13" t="str">
        <f aca="false">IFERROR(__xludf.dummyfunction("""COMPUTED_VALUE"""),"Taufeeq Akhtar ")</f>
        <v>Taufeeq Akhtar </v>
      </c>
      <c r="Q385" s="13" t="str">
        <f aca="false">IF(L385="","",L385)</f>
        <v>TA: Not Available on the floor.</v>
      </c>
    </row>
    <row r="386" customFormat="false" ht="15.75" hidden="false" customHeight="false" outlineLevel="0" collapsed="false">
      <c r="A386" s="13" t="str">
        <f aca="false">IFERROR(__xludf.dummyfunction("""COMPUTED_VALUE"""),"Metro DC Faisalabad")</f>
        <v>Metro DC Faisalabad</v>
      </c>
      <c r="B386" s="13" t="str">
        <f aca="false">IFERROR(__xludf.dummyfunction("""COMPUTED_VALUE"""),"09ff2b51-de1a-43dc-8e0b-d66ec9177555")</f>
        <v>09ff2b51-de1a-43dc-8e0b-d66ec9177555</v>
      </c>
      <c r="C386" s="13" t="str">
        <f aca="false">IFERROR(__xludf.dummyfunction("""COMPUTED_VALUE"""),"Aquafina Mineral Water 1.5L ")</f>
        <v>Aquafina Mineral Water 1.5L </v>
      </c>
      <c r="D386" s="13" t="str">
        <f aca="false">IFERROR(__xludf.dummyfunction("""COMPUTED_VALUE"""),"Aquafina")</f>
        <v>Aquafina</v>
      </c>
      <c r="E386" s="13" t="str">
        <f aca="false">IFERROR(__xludf.dummyfunction("""COMPUTED_VALUE"""),"Beverages")</f>
        <v>Beverages</v>
      </c>
      <c r="F386" s="11" t="n">
        <f aca="false">IFERROR(__xludf.dummyfunction("""COMPUTED_VALUE"""),45144)</f>
        <v>45144</v>
      </c>
      <c r="G386" s="16" t="n">
        <f aca="false">IFERROR(__xludf.dummyfunction("""COMPUTED_VALUE"""),0.938166064816238)</f>
        <v>0.9381660648</v>
      </c>
      <c r="H386" s="13" t="str">
        <f aca="false">IFERROR(__xludf.dummyfunction("""COMPUTED_VALUE"""),"damaged stock")</f>
        <v>damaged stock</v>
      </c>
      <c r="I386" s="13" t="n">
        <f aca="false">IFERROR(__xludf.dummyfunction("""COMPUTED_VALUE"""),1)</f>
        <v>1</v>
      </c>
      <c r="J386" s="13" t="n">
        <f aca="false">IFERROR(__xludf.dummyfunction("""COMPUTED_VALUE"""),425)</f>
        <v>425</v>
      </c>
      <c r="K386" s="13" t="n">
        <f aca="false">IFERROR(__xludf.dummyfunction("""COMPUTED_VALUE"""),425)</f>
        <v>425</v>
      </c>
      <c r="L386" s="13" t="str">
        <f aca="false">IFERROR(__xludf.dummyfunction("""COMPUTED_VALUE"""),"[Code: 33679A] TA: loose bottels found during sorting.")</f>
        <v>[Code: 33679A] TA: loose bottels found during sorting.</v>
      </c>
      <c r="M386" s="13" t="str">
        <f aca="false">IFERROR(__xludf.dummyfunction("""COMPUTED_VALUE"""),"33679A")</f>
        <v>33679A</v>
      </c>
      <c r="N386" s="13"/>
      <c r="O386" s="13" t="str">
        <f aca="false">IFERROR(__xludf.dummyfunction("""COMPUTED_VALUE"""),"taufeeq.akhtar@tajir-app.com")</f>
        <v>taufeeq.akhtar@tajir-app.com</v>
      </c>
      <c r="P386" s="13" t="str">
        <f aca="false">IFERROR(__xludf.dummyfunction("""COMPUTED_VALUE"""),"Taufeeq Akhtar ")</f>
        <v>Taufeeq Akhtar </v>
      </c>
      <c r="Q386" s="13" t="str">
        <f aca="false">IF(L386="","",L386)</f>
        <v>[Code: 33679A] TA: loose bottels found during sorting.</v>
      </c>
    </row>
    <row r="387" customFormat="false" ht="15.75" hidden="false" customHeight="false" outlineLevel="0" collapsed="false">
      <c r="A387" s="13" t="str">
        <f aca="false">IFERROR(__xludf.dummyfunction("""COMPUTED_VALUE"""),"Metro DC Faisalabad")</f>
        <v>Metro DC Faisalabad</v>
      </c>
      <c r="B387" s="13" t="str">
        <f aca="false">IFERROR(__xludf.dummyfunction("""COMPUTED_VALUE"""),"80b07a0a-8f60-4407-ab45-58e972cfd1dd")</f>
        <v>80b07a0a-8f60-4407-ab45-58e972cfd1dd</v>
      </c>
      <c r="C387" s="13" t="str">
        <f aca="false">IFERROR(__xludf.dummyfunction("""COMPUTED_VALUE"""),"Giggly Opus Square Caramel Chocolate 30pcs Box Rs5")</f>
        <v>Giggly Opus Square Caramel Chocolate 30pcs Box Rs5</v>
      </c>
      <c r="D387" s="13" t="str">
        <f aca="false">IFERROR(__xludf.dummyfunction("""COMPUTED_VALUE"""),"Giggly")</f>
        <v>Giggly</v>
      </c>
      <c r="E387" s="13" t="str">
        <f aca="false">IFERROR(__xludf.dummyfunction("""COMPUTED_VALUE"""),"Confectionary")</f>
        <v>Confectionary</v>
      </c>
      <c r="F387" s="11" t="n">
        <f aca="false">IFERROR(__xludf.dummyfunction("""COMPUTED_VALUE"""),45144)</f>
        <v>45144</v>
      </c>
      <c r="G387" s="16" t="n">
        <f aca="false">IFERROR(__xludf.dummyfunction("""COMPUTED_VALUE"""),0.823554780093455)</f>
        <v>0.8235547801</v>
      </c>
      <c r="H387" s="13" t="str">
        <f aca="false">IFERROR(__xludf.dummyfunction("""COMPUTED_VALUE"""),"damaged stock")</f>
        <v>damaged stock</v>
      </c>
      <c r="I387" s="13" t="n">
        <f aca="false">IFERROR(__xludf.dummyfunction("""COMPUTED_VALUE"""),1)</f>
        <v>1</v>
      </c>
      <c r="J387" s="13" t="n">
        <f aca="false">IFERROR(__xludf.dummyfunction("""COMPUTED_VALUE"""),122.67)</f>
        <v>122.67</v>
      </c>
      <c r="K387" s="13" t="n">
        <f aca="false">IFERROR(__xludf.dummyfunction("""COMPUTED_VALUE"""),122.67)</f>
        <v>122.67</v>
      </c>
      <c r="L387" s="13" t="str">
        <f aca="false">IFERROR(__xludf.dummyfunction("""COMPUTED_VALUE"""),"[Code: 446789] TA: found damaged from corton during display and few pieces are missing from the box.")</f>
        <v>[Code: 446789] TA: found damaged from corton during display and few pieces are missing from the box.</v>
      </c>
      <c r="M387" s="13" t="str">
        <f aca="false">IFERROR(__xludf.dummyfunction("""COMPUTED_VALUE"""),"446789")</f>
        <v>446789</v>
      </c>
      <c r="N387" s="13"/>
      <c r="O387" s="13" t="str">
        <f aca="false">IFERROR(__xludf.dummyfunction("""COMPUTED_VALUE"""),"taufeeq.akhtar@tajir-app.com")</f>
        <v>taufeeq.akhtar@tajir-app.com</v>
      </c>
      <c r="P387" s="13" t="str">
        <f aca="false">IFERROR(__xludf.dummyfunction("""COMPUTED_VALUE"""),"Taufeeq Akhtar ")</f>
        <v>Taufeeq Akhtar </v>
      </c>
      <c r="Q387" s="13" t="str">
        <f aca="false">IF(L387="","",L387)</f>
        <v>[Code: 446789] TA: found damaged from corton during display and few pieces are missing from the box.</v>
      </c>
    </row>
    <row r="388" customFormat="false" ht="15.75" hidden="false" customHeight="false" outlineLevel="0" collapsed="false">
      <c r="A388" s="13" t="str">
        <f aca="false">IFERROR(__xludf.dummyfunction("""COMPUTED_VALUE"""),"Metro DC Faisalabad")</f>
        <v>Metro DC Faisalabad</v>
      </c>
      <c r="B388" s="13" t="str">
        <f aca="false">IFERROR(__xludf.dummyfunction("""COMPUTED_VALUE"""),"01c5ef82-cc7c-4e03-9b33-0f3c7b4215cf")</f>
        <v>01c5ef82-cc7c-4e03-9b33-0f3c7b4215cf</v>
      </c>
      <c r="C388" s="13" t="str">
        <f aca="false">IFERROR(__xludf.dummyfunction("""COMPUTED_VALUE"""),"Shangrila Chilli Garlic Sauce x6 Bundle 225g")</f>
        <v>Shangrila Chilli Garlic Sauce x6 Bundle 225g</v>
      </c>
      <c r="D388" s="13" t="str">
        <f aca="false">IFERROR(__xludf.dummyfunction("""COMPUTED_VALUE"""),"Shangrila")</f>
        <v>Shangrila</v>
      </c>
      <c r="E388" s="13" t="str">
        <f aca="false">IFERROR(__xludf.dummyfunction("""COMPUTED_VALUE"""),"Sauces")</f>
        <v>Sauces</v>
      </c>
      <c r="F388" s="11" t="n">
        <f aca="false">IFERROR(__xludf.dummyfunction("""COMPUTED_VALUE"""),45145)</f>
        <v>45145</v>
      </c>
      <c r="G388" s="16" t="n">
        <f aca="false">IFERROR(__xludf.dummyfunction("""COMPUTED_VALUE"""),0.910086655093196)</f>
        <v>0.9100866551</v>
      </c>
      <c r="H388" s="13" t="str">
        <f aca="false">IFERROR(__xludf.dummyfunction("""COMPUTED_VALUE"""),"damaged stock")</f>
        <v>damaged stock</v>
      </c>
      <c r="I388" s="13" t="n">
        <f aca="false">IFERROR(__xludf.dummyfunction("""COMPUTED_VALUE"""),1)</f>
        <v>1</v>
      </c>
      <c r="J388" s="13" t="n">
        <f aca="false">IFERROR(__xludf.dummyfunction("""COMPUTED_VALUE"""),614.12)</f>
        <v>614.12</v>
      </c>
      <c r="K388" s="13" t="n">
        <f aca="false">IFERROR(__xludf.dummyfunction("""COMPUTED_VALUE"""),614.12)</f>
        <v>614.12</v>
      </c>
      <c r="L388" s="13" t="str">
        <f aca="false">IFERROR(__xludf.dummyfunction("""COMPUTED_VALUE"""),"[Code: 99CFGK] TA: box may say aik piece damaged mila display kay doran.")</f>
        <v>[Code: 99CFGK] TA: box may say aik piece damaged mila display kay doran.</v>
      </c>
      <c r="M388" s="13" t="str">
        <f aca="false">IFERROR(__xludf.dummyfunction("""COMPUTED_VALUE"""),"99CFGK")</f>
        <v>99CFGK</v>
      </c>
      <c r="N388" s="13"/>
      <c r="O388" s="13" t="str">
        <f aca="false">IFERROR(__xludf.dummyfunction("""COMPUTED_VALUE"""),"taufeeq.akhtar@tajir-app.com")</f>
        <v>taufeeq.akhtar@tajir-app.com</v>
      </c>
      <c r="P388" s="13" t="str">
        <f aca="false">IFERROR(__xludf.dummyfunction("""COMPUTED_VALUE"""),"Taufeeq Akhtar ")</f>
        <v>Taufeeq Akhtar </v>
      </c>
      <c r="Q388" s="13" t="str">
        <f aca="false">IF(L388="","",L388)</f>
        <v>[Code: 99CFGK] TA: box may say aik piece damaged mila display kay doran.</v>
      </c>
    </row>
    <row r="389" customFormat="false" ht="15.75" hidden="false" customHeight="false" outlineLevel="0" collapsed="false">
      <c r="A389" s="13" t="str">
        <f aca="false">IFERROR(__xludf.dummyfunction("""COMPUTED_VALUE"""),"Metro DC Faisalabad")</f>
        <v>Metro DC Faisalabad</v>
      </c>
      <c r="B389" s="13" t="str">
        <f aca="false">IFERROR(__xludf.dummyfunction("""COMPUTED_VALUE"""),"bce89ad4-9a48-440a-9e92-b6c4600eb026")</f>
        <v>bce89ad4-9a48-440a-9e92-b6c4600eb026</v>
      </c>
      <c r="C389" s="13" t="str">
        <f aca="false">IFERROR(__xludf.dummyfunction("""COMPUTED_VALUE"""),"Sunlight Green Clean and Fresh 330g Rs99")</f>
        <v>Sunlight Green Clean and Fresh 330g Rs99</v>
      </c>
      <c r="D389" s="13" t="str">
        <f aca="false">IFERROR(__xludf.dummyfunction("""COMPUTED_VALUE"""),"Sunlight")</f>
        <v>Sunlight</v>
      </c>
      <c r="E389" s="13" t="str">
        <f aca="false">IFERROR(__xludf.dummyfunction("""COMPUTED_VALUE"""),"Surf, Bleach")</f>
        <v>Surf, Bleach</v>
      </c>
      <c r="F389" s="11" t="n">
        <f aca="false">IFERROR(__xludf.dummyfunction("""COMPUTED_VALUE"""),45145)</f>
        <v>45145</v>
      </c>
      <c r="G389" s="16" t="n">
        <f aca="false">IFERROR(__xludf.dummyfunction("""COMPUTED_VALUE"""),0.909060127314729)</f>
        <v>0.9090601273</v>
      </c>
      <c r="H389" s="13" t="str">
        <f aca="false">IFERROR(__xludf.dummyfunction("""COMPUTED_VALUE"""),"damaged stock")</f>
        <v>damaged stock</v>
      </c>
      <c r="I389" s="13" t="n">
        <f aca="false">IFERROR(__xludf.dummyfunction("""COMPUTED_VALUE"""),1)</f>
        <v>1</v>
      </c>
      <c r="J389" s="13" t="n">
        <f aca="false">IFERROR(__xludf.dummyfunction("""COMPUTED_VALUE"""),91.5)</f>
        <v>91.5</v>
      </c>
      <c r="K389" s="13" t="n">
        <f aca="false">IFERROR(__xludf.dummyfunction("""COMPUTED_VALUE"""),91.5)</f>
        <v>91.5</v>
      </c>
      <c r="L389" s="13" t="str">
        <f aca="false">IFERROR(__xludf.dummyfunction("""COMPUTED_VALUE"""),"[Code: 23677A] TA: bag may say damaged mila display kay doran.")</f>
        <v>[Code: 23677A] TA: bag may say damaged mila display kay doran.</v>
      </c>
      <c r="M389" s="13" t="str">
        <f aca="false">IFERROR(__xludf.dummyfunction("""COMPUTED_VALUE"""),"23677A")</f>
        <v>23677A</v>
      </c>
      <c r="N389" s="13"/>
      <c r="O389" s="13" t="str">
        <f aca="false">IFERROR(__xludf.dummyfunction("""COMPUTED_VALUE"""),"taufeeq.akhtar@tajir-app.com")</f>
        <v>taufeeq.akhtar@tajir-app.com</v>
      </c>
      <c r="P389" s="13" t="str">
        <f aca="false">IFERROR(__xludf.dummyfunction("""COMPUTED_VALUE"""),"Taufeeq Akhtar ")</f>
        <v>Taufeeq Akhtar </v>
      </c>
      <c r="Q389" s="13" t="str">
        <f aca="false">IF(L389="","",L389)</f>
        <v>[Code: 23677A] TA: bag may say damaged mila display kay doran.</v>
      </c>
    </row>
    <row r="390" customFormat="false" ht="15.75" hidden="false" customHeight="false" outlineLevel="0" collapsed="false">
      <c r="A390" s="13" t="str">
        <f aca="false">IFERROR(__xludf.dummyfunction("""COMPUTED_VALUE"""),"Metro DC Faisalabad")</f>
        <v>Metro DC Faisalabad</v>
      </c>
      <c r="B390" s="13" t="str">
        <f aca="false">IFERROR(__xludf.dummyfunction("""COMPUTED_VALUE"""),"d864c0cd-914b-4a54-96d5-8e894ba5f3b6")</f>
        <v>d864c0cd-914b-4a54-96d5-8e894ba5f3b6</v>
      </c>
      <c r="C390" s="13" t="str">
        <f aca="false">IFERROR(__xludf.dummyfunction("""COMPUTED_VALUE"""),"Surf Excel x6 bundle 20g Rs 10")</f>
        <v>Surf Excel x6 bundle 20g Rs 10</v>
      </c>
      <c r="D390" s="13" t="str">
        <f aca="false">IFERROR(__xludf.dummyfunction("""COMPUTED_VALUE"""),"Surf Excel")</f>
        <v>Surf Excel</v>
      </c>
      <c r="E390" s="13" t="str">
        <f aca="false">IFERROR(__xludf.dummyfunction("""COMPUTED_VALUE"""),"Surf, Bleach")</f>
        <v>Surf, Bleach</v>
      </c>
      <c r="F390" s="11" t="n">
        <f aca="false">IFERROR(__xludf.dummyfunction("""COMPUTED_VALUE"""),45145)</f>
        <v>45145</v>
      </c>
      <c r="G390" s="16" t="n">
        <f aca="false">IFERROR(__xludf.dummyfunction("""COMPUTED_VALUE"""),0.90798822916505)</f>
        <v>0.9079882292</v>
      </c>
      <c r="H390" s="13" t="str">
        <f aca="false">IFERROR(__xludf.dummyfunction("""COMPUTED_VALUE"""),"damaged stock")</f>
        <v>damaged stock</v>
      </c>
      <c r="I390" s="13" t="n">
        <f aca="false">IFERROR(__xludf.dummyfunction("""COMPUTED_VALUE"""),2)</f>
        <v>2</v>
      </c>
      <c r="J390" s="13" t="n">
        <f aca="false">IFERROR(__xludf.dummyfunction("""COMPUTED_VALUE"""),55.21)</f>
        <v>55.21</v>
      </c>
      <c r="K390" s="13" t="n">
        <f aca="false">IFERROR(__xludf.dummyfunction("""COMPUTED_VALUE"""),110.42)</f>
        <v>110.42</v>
      </c>
      <c r="L390" s="13" t="str">
        <f aca="false">IFERROR(__xludf.dummyfunction("""COMPUTED_VALUE"""),"[Code: 366BBC] TA; Display k doran damaged hogye hain.")</f>
        <v>[Code: 366BBC] TA; Display k doran damaged hogye hain.</v>
      </c>
      <c r="M390" s="13" t="str">
        <f aca="false">IFERROR(__xludf.dummyfunction("""COMPUTED_VALUE"""),"366BBC")</f>
        <v>366BBC</v>
      </c>
      <c r="N390" s="13"/>
      <c r="O390" s="13" t="str">
        <f aca="false">IFERROR(__xludf.dummyfunction("""COMPUTED_VALUE"""),"taufeeq.akhtar@tajir-app.com")</f>
        <v>taufeeq.akhtar@tajir-app.com</v>
      </c>
      <c r="P390" s="13" t="str">
        <f aca="false">IFERROR(__xludf.dummyfunction("""COMPUTED_VALUE"""),"Taufeeq Akhtar ")</f>
        <v>Taufeeq Akhtar </v>
      </c>
      <c r="Q390" s="13" t="str">
        <f aca="false">IF(L390="","",L390)</f>
        <v>[Code: 366BBC] TA; Display k doran damaged hogye hain.</v>
      </c>
    </row>
    <row r="391" customFormat="false" ht="15.75" hidden="false" customHeight="false" outlineLevel="0" collapsed="false">
      <c r="A391" s="13" t="str">
        <f aca="false">IFERROR(__xludf.dummyfunction("""COMPUTED_VALUE"""),"Metro DC Faisalabad")</f>
        <v>Metro DC Faisalabad</v>
      </c>
      <c r="B391" s="13" t="str">
        <f aca="false">IFERROR(__xludf.dummyfunction("""COMPUTED_VALUE"""),"6bf8e4d8-b1ee-4416-8677-04c83525e4ce")</f>
        <v>6bf8e4d8-b1ee-4416-8677-04c83525e4ce</v>
      </c>
      <c r="C391" s="13" t="str">
        <f aca="false">IFERROR(__xludf.dummyfunction("""COMPUTED_VALUE"""),"Dummer Super Fine Atta 15kg")</f>
        <v>Dummer Super Fine Atta 15kg</v>
      </c>
      <c r="D391" s="13" t="str">
        <f aca="false">IFERROR(__xludf.dummyfunction("""COMPUTED_VALUE"""),"Dummer Atta")</f>
        <v>Dummer Atta</v>
      </c>
      <c r="E391" s="13" t="str">
        <f aca="false">IFERROR(__xludf.dummyfunction("""COMPUTED_VALUE"""),"Flour")</f>
        <v>Flour</v>
      </c>
      <c r="F391" s="11" t="n">
        <f aca="false">IFERROR(__xludf.dummyfunction("""COMPUTED_VALUE"""),45147)</f>
        <v>45147</v>
      </c>
      <c r="G391" s="16" t="n">
        <f aca="false">IFERROR(__xludf.dummyfunction("""COMPUTED_VALUE"""),0.947092187499224)</f>
        <v>0.9470921875</v>
      </c>
      <c r="H391" s="13" t="str">
        <f aca="false">IFERROR(__xludf.dummyfunction("""COMPUTED_VALUE"""),"damaged stock")</f>
        <v>damaged stock</v>
      </c>
      <c r="I391" s="13" t="n">
        <f aca="false">IFERROR(__xludf.dummyfunction("""COMPUTED_VALUE"""),1)</f>
        <v>1</v>
      </c>
      <c r="J391" s="13" t="n">
        <f aca="false">IFERROR(__xludf.dummyfunction("""COMPUTED_VALUE"""),2100)</f>
        <v>2100</v>
      </c>
      <c r="K391" s="13" t="n">
        <f aca="false">IFERROR(__xludf.dummyfunction("""COMPUTED_VALUE"""),2100)</f>
        <v>2100</v>
      </c>
      <c r="L391" s="13" t="str">
        <f aca="false">IFERROR(__xludf.dummyfunction("""COMPUTED_VALUE"""),"[Code: 27799A] TA: Quality sahi nahi hay (fangus lagi hay) ")</f>
        <v>[Code: 27799A] TA: Quality sahi nahi hay (fangus lagi hay) </v>
      </c>
      <c r="M391" s="13" t="str">
        <f aca="false">IFERROR(__xludf.dummyfunction("""COMPUTED_VALUE"""),"27799A")</f>
        <v>27799A</v>
      </c>
      <c r="N391" s="13"/>
      <c r="O391" s="13" t="str">
        <f aca="false">IFERROR(__xludf.dummyfunction("""COMPUTED_VALUE"""),"taufeeq.akhtar@tajir-app.com")</f>
        <v>taufeeq.akhtar@tajir-app.com</v>
      </c>
      <c r="P391" s="13" t="str">
        <f aca="false">IFERROR(__xludf.dummyfunction("""COMPUTED_VALUE"""),"Taufeeq Akhtar ")</f>
        <v>Taufeeq Akhtar </v>
      </c>
      <c r="Q391" s="13" t="str">
        <f aca="false">IF(L391="","",L391)</f>
        <v>[Code: 27799A] TA: Quality sahi nahi hay (fangus lagi hay) </v>
      </c>
    </row>
    <row r="392" customFormat="false" ht="15.75" hidden="false" customHeight="false" outlineLevel="0" collapsed="false">
      <c r="A392" s="13" t="str">
        <f aca="false">IFERROR(__xludf.dummyfunction("""COMPUTED_VALUE"""),"Metro DC Faisalabad")</f>
        <v>Metro DC Faisalabad</v>
      </c>
      <c r="B392" s="13" t="str">
        <f aca="false">IFERROR(__xludf.dummyfunction("""COMPUTED_VALUE"""),"4ec7070e-b3be-4519-8bc9-28c4f61e0c5c")</f>
        <v>4ec7070e-b3be-4519-8bc9-28c4f61e0c5c</v>
      </c>
      <c r="C392" s="13" t="str">
        <f aca="false">IFERROR(__xludf.dummyfunction("""COMPUTED_VALUE"""),"Palmolive Healthy &amp; Smooth Shampoo 375ml Rs570")</f>
        <v>Palmolive Healthy &amp; Smooth Shampoo 375ml Rs570</v>
      </c>
      <c r="D392" s="13" t="str">
        <f aca="false">IFERROR(__xludf.dummyfunction("""COMPUTED_VALUE"""),"Palmolive")</f>
        <v>Palmolive</v>
      </c>
      <c r="E392" s="13" t="str">
        <f aca="false">IFERROR(__xludf.dummyfunction("""COMPUTED_VALUE"""),"Shampoo")</f>
        <v>Shampoo</v>
      </c>
      <c r="F392" s="11" t="n">
        <f aca="false">IFERROR(__xludf.dummyfunction("""COMPUTED_VALUE"""),45147)</f>
        <v>45147</v>
      </c>
      <c r="G392" s="16" t="n">
        <f aca="false">IFERROR(__xludf.dummyfunction("""COMPUTED_VALUE"""),0.931431851850235)</f>
        <v>0.9314318519</v>
      </c>
      <c r="H392" s="13" t="str">
        <f aca="false">IFERROR(__xludf.dummyfunction("""COMPUTED_VALUE"""),"missing stock")</f>
        <v>missing stock</v>
      </c>
      <c r="I392" s="13" t="n">
        <f aca="false">IFERROR(__xludf.dummyfunction("""COMPUTED_VALUE"""),1)</f>
        <v>1</v>
      </c>
      <c r="J392" s="13" t="n">
        <f aca="false">IFERROR(__xludf.dummyfunction("""COMPUTED_VALUE"""),489.07)</f>
        <v>489.07</v>
      </c>
      <c r="K392" s="13" t="n">
        <f aca="false">IFERROR(__xludf.dummyfunction("""COMPUTED_VALUE"""),489.07)</f>
        <v>489.07</v>
      </c>
      <c r="L392" s="13" t="str">
        <f aca="false">IFERROR(__xludf.dummyfunction("""COMPUTED_VALUE"""),"TA: Not available on the floor.")</f>
        <v>TA: Not available on the floor.</v>
      </c>
      <c r="M392" s="13"/>
      <c r="N392" s="13"/>
      <c r="O392" s="13" t="str">
        <f aca="false">IFERROR(__xludf.dummyfunction("""COMPUTED_VALUE"""),"taufeeq.akhtar@tajir-app.com")</f>
        <v>taufeeq.akhtar@tajir-app.com</v>
      </c>
      <c r="P392" s="13" t="str">
        <f aca="false">IFERROR(__xludf.dummyfunction("""COMPUTED_VALUE"""),"Taufeeq Akhtar ")</f>
        <v>Taufeeq Akhtar </v>
      </c>
      <c r="Q392" s="13" t="str">
        <f aca="false">IF(L392="","",L392)</f>
        <v>TA: Not available on the floor.</v>
      </c>
    </row>
    <row r="393" customFormat="false" ht="15.75" hidden="false" customHeight="false" outlineLevel="0" collapsed="false">
      <c r="A393" s="13" t="str">
        <f aca="false">IFERROR(__xludf.dummyfunction("""COMPUTED_VALUE"""),"Metro DC Faisalabad")</f>
        <v>Metro DC Faisalabad</v>
      </c>
      <c r="B393" s="13" t="str">
        <f aca="false">IFERROR(__xludf.dummyfunction("""COMPUTED_VALUE"""),"cc634f8e-33ec-46b5-8ea6-33ed0432f243")</f>
        <v>cc634f8e-33ec-46b5-8ea6-33ed0432f243</v>
      </c>
      <c r="C393" s="13" t="str">
        <f aca="false">IFERROR(__xludf.dummyfunction("""COMPUTED_VALUE"""),"Sherdil Taatri 100g")</f>
        <v>Sherdil Taatri 100g</v>
      </c>
      <c r="D393" s="13" t="str">
        <f aca="false">IFERROR(__xludf.dummyfunction("""COMPUTED_VALUE"""),"Sherdil")</f>
        <v>Sherdil</v>
      </c>
      <c r="E393" s="13" t="str">
        <f aca="false">IFERROR(__xludf.dummyfunction("""COMPUTED_VALUE"""),"Spices")</f>
        <v>Spices</v>
      </c>
      <c r="F393" s="11" t="n">
        <f aca="false">IFERROR(__xludf.dummyfunction("""COMPUTED_VALUE"""),45147)</f>
        <v>45147</v>
      </c>
      <c r="G393" s="16" t="n">
        <f aca="false">IFERROR(__xludf.dummyfunction("""COMPUTED_VALUE"""),0.732521273149108)</f>
        <v>0.7325212731</v>
      </c>
      <c r="H393" s="13" t="str">
        <f aca="false">IFERROR(__xludf.dummyfunction("""COMPUTED_VALUE"""),"expired stock")</f>
        <v>expired stock</v>
      </c>
      <c r="I393" s="13" t="n">
        <f aca="false">IFERROR(__xludf.dummyfunction("""COMPUTED_VALUE"""),13)</f>
        <v>13</v>
      </c>
      <c r="J393" s="13" t="n">
        <f aca="false">IFERROR(__xludf.dummyfunction("""COMPUTED_VALUE"""),104)</f>
        <v>104</v>
      </c>
      <c r="K393" s="13" t="n">
        <f aca="false">IFERROR(__xludf.dummyfunction("""COMPUTED_VALUE"""),1352)</f>
        <v>1352</v>
      </c>
      <c r="L393" s="13" t="str">
        <f aca="false">IFERROR(__xludf.dummyfunction("""COMPUTED_VALUE"""),"[Code: 2789DG] [Expiry: 20 Sep, 2023] 13 units found short expriy")</f>
        <v>[Code: 2789DG] [Expiry: 20 Sep, 2023] 13 units found short expriy</v>
      </c>
      <c r="M393" s="13" t="str">
        <f aca="false">IFERROR(__xludf.dummyfunction("""COMPUTED_VALUE"""),"2789DG")</f>
        <v>2789DG</v>
      </c>
      <c r="N393" s="13" t="str">
        <f aca="false">IFERROR(__xludf.dummyfunction("""COMPUTED_VALUE"""),"20 Sep, 2023")</f>
        <v>20 Sep, 2023</v>
      </c>
      <c r="O393" s="13" t="str">
        <f aca="false">IFERROR(__xludf.dummyfunction("""COMPUTED_VALUE"""),"ali.raza@tajir-app.com")</f>
        <v>ali.raza@tajir-app.com</v>
      </c>
      <c r="P393" s="13" t="str">
        <f aca="false">IFERROR(__xludf.dummyfunction("""COMPUTED_VALUE"""),"Ali Raza ")</f>
        <v>Ali Raza </v>
      </c>
      <c r="Q393" s="13" t="str">
        <f aca="false">IF(L393="","",L393)</f>
        <v>[Code: 2789DG] [Expiry: 20 Sep, 2023] 13 units found short expriy</v>
      </c>
    </row>
    <row r="394" customFormat="false" ht="15.75" hidden="false" customHeight="false" outlineLevel="0" collapsed="false">
      <c r="A394" s="13" t="str">
        <f aca="false">IFERROR(__xludf.dummyfunction("""COMPUTED_VALUE"""),"Metro DC Faisalabad")</f>
        <v>Metro DC Faisalabad</v>
      </c>
      <c r="B394" s="13" t="str">
        <f aca="false">IFERROR(__xludf.dummyfunction("""COMPUTED_VALUE"""),"6c568402-1788-466b-8f61-43acc83fa9d1")</f>
        <v>6c568402-1788-466b-8f61-43acc83fa9d1</v>
      </c>
      <c r="C394" s="13" t="str">
        <f aca="false">IFERROR(__xludf.dummyfunction("""COMPUTED_VALUE"""),"Sherdil White Chana Mota 5kg")</f>
        <v>Sherdil White Chana Mota 5kg</v>
      </c>
      <c r="D394" s="13" t="str">
        <f aca="false">IFERROR(__xludf.dummyfunction("""COMPUTED_VALUE"""),"Sherdil")</f>
        <v>Sherdil</v>
      </c>
      <c r="E394" s="13" t="str">
        <f aca="false">IFERROR(__xludf.dummyfunction("""COMPUTED_VALUE"""),"Pulses")</f>
        <v>Pulses</v>
      </c>
      <c r="F394" s="11" t="n">
        <f aca="false">IFERROR(__xludf.dummyfunction("""COMPUTED_VALUE"""),45147)</f>
        <v>45147</v>
      </c>
      <c r="G394" s="16" t="n">
        <f aca="false">IFERROR(__xludf.dummyfunction("""COMPUTED_VALUE"""),0.716053761573045)</f>
        <v>0.7160537616</v>
      </c>
      <c r="H394" s="13" t="str">
        <f aca="false">IFERROR(__xludf.dummyfunction("""COMPUTED_VALUE"""),"expired stock")</f>
        <v>expired stock</v>
      </c>
      <c r="I394" s="13" t="n">
        <f aca="false">IFERROR(__xludf.dummyfunction("""COMPUTED_VALUE"""),1)</f>
        <v>1</v>
      </c>
      <c r="J394" s="13" t="n">
        <f aca="false">IFERROR(__xludf.dummyfunction("""COMPUTED_VALUE"""),2045)</f>
        <v>2045</v>
      </c>
      <c r="K394" s="13" t="n">
        <f aca="false">IFERROR(__xludf.dummyfunction("""COMPUTED_VALUE"""),2045)</f>
        <v>2045</v>
      </c>
      <c r="L394" s="13" t="str">
        <f aca="false">IFERROR(__xludf.dummyfunction("""COMPUTED_VALUE"""),"[Code: 2377HK] [Expiry: 25 Aug, 2023] 1 unit found short epxiry")</f>
        <v>[Code: 2377HK] [Expiry: 25 Aug, 2023] 1 unit found short epxiry</v>
      </c>
      <c r="M394" s="13" t="str">
        <f aca="false">IFERROR(__xludf.dummyfunction("""COMPUTED_VALUE"""),"2377HK")</f>
        <v>2377HK</v>
      </c>
      <c r="N394" s="13" t="str">
        <f aca="false">IFERROR(__xludf.dummyfunction("""COMPUTED_VALUE"""),"25 Aug, 2023")</f>
        <v>25 Aug, 2023</v>
      </c>
      <c r="O394" s="13" t="str">
        <f aca="false">IFERROR(__xludf.dummyfunction("""COMPUTED_VALUE"""),"ali.raza@tajir-app.com")</f>
        <v>ali.raza@tajir-app.com</v>
      </c>
      <c r="P394" s="13" t="str">
        <f aca="false">IFERROR(__xludf.dummyfunction("""COMPUTED_VALUE"""),"Ali Raza ")</f>
        <v>Ali Raza </v>
      </c>
      <c r="Q394" s="13" t="str">
        <f aca="false">IF(L394="","",L394)</f>
        <v>[Code: 2377HK] [Expiry: 25 Aug, 2023] 1 unit found short epxiry</v>
      </c>
    </row>
    <row r="395" customFormat="false" ht="15.75" hidden="false" customHeight="false" outlineLevel="0" collapsed="false">
      <c r="A395" s="13" t="str">
        <f aca="false">IFERROR(__xludf.dummyfunction("""COMPUTED_VALUE"""),"Metro DC Faisalabad")</f>
        <v>Metro DC Faisalabad</v>
      </c>
      <c r="B395" s="13" t="str">
        <f aca="false">IFERROR(__xludf.dummyfunction("""COMPUTED_VALUE"""),"06d6c9b1-99eb-425f-87fc-dcf844091b3c")</f>
        <v>06d6c9b1-99eb-425f-87fc-dcf844091b3c</v>
      </c>
      <c r="C395" s="13" t="str">
        <f aca="false">IFERROR(__xludf.dummyfunction("""COMPUTED_VALUE"""),"Sherdil Red Chili Crushed 500g")</f>
        <v>Sherdil Red Chili Crushed 500g</v>
      </c>
      <c r="D395" s="13" t="str">
        <f aca="false">IFERROR(__xludf.dummyfunction("""COMPUTED_VALUE"""),"Sherdil")</f>
        <v>Sherdil</v>
      </c>
      <c r="E395" s="13" t="str">
        <f aca="false">IFERROR(__xludf.dummyfunction("""COMPUTED_VALUE"""),"Spices")</f>
        <v>Spices</v>
      </c>
      <c r="F395" s="11" t="n">
        <f aca="false">IFERROR(__xludf.dummyfunction("""COMPUTED_VALUE"""),45147)</f>
        <v>45147</v>
      </c>
      <c r="G395" s="16" t="n">
        <f aca="false">IFERROR(__xludf.dummyfunction("""COMPUTED_VALUE"""),0.715397835649334)</f>
        <v>0.7153978356</v>
      </c>
      <c r="H395" s="13" t="str">
        <f aca="false">IFERROR(__xludf.dummyfunction("""COMPUTED_VALUE"""),"expired stock")</f>
        <v>expired stock</v>
      </c>
      <c r="I395" s="13" t="n">
        <f aca="false">IFERROR(__xludf.dummyfunction("""COMPUTED_VALUE"""),15)</f>
        <v>15</v>
      </c>
      <c r="J395" s="13" t="n">
        <f aca="false">IFERROR(__xludf.dummyfunction("""COMPUTED_VALUE"""),400)</f>
        <v>400</v>
      </c>
      <c r="K395" s="13" t="n">
        <f aca="false">IFERROR(__xludf.dummyfunction("""COMPUTED_VALUE"""),6000)</f>
        <v>6000</v>
      </c>
      <c r="L395" s="13" t="str">
        <f aca="false">IFERROR(__xludf.dummyfunction("""COMPUTED_VALUE"""),"[Code: 4577AB] [Expiry: 20 Sep, 2023] 15 units found short expiry")</f>
        <v>[Code: 4577AB] [Expiry: 20 Sep, 2023] 15 units found short expiry</v>
      </c>
      <c r="M395" s="13" t="str">
        <f aca="false">IFERROR(__xludf.dummyfunction("""COMPUTED_VALUE"""),"4577AB")</f>
        <v>4577AB</v>
      </c>
      <c r="N395" s="13" t="str">
        <f aca="false">IFERROR(__xludf.dummyfunction("""COMPUTED_VALUE"""),"20 Sep, 2023")</f>
        <v>20 Sep, 2023</v>
      </c>
      <c r="O395" s="13" t="str">
        <f aca="false">IFERROR(__xludf.dummyfunction("""COMPUTED_VALUE"""),"ali.raza@tajir-app.com")</f>
        <v>ali.raza@tajir-app.com</v>
      </c>
      <c r="P395" s="13" t="str">
        <f aca="false">IFERROR(__xludf.dummyfunction("""COMPUTED_VALUE"""),"Ali Raza ")</f>
        <v>Ali Raza </v>
      </c>
      <c r="Q395" s="13" t="str">
        <f aca="false">IF(L395="","",L395)</f>
        <v>[Code: 4577AB] [Expiry: 20 Sep, 2023] 15 units found short expiry</v>
      </c>
    </row>
    <row r="396" customFormat="false" ht="15.75" hidden="false" customHeight="false" outlineLevel="0" collapsed="false">
      <c r="A396" s="13" t="str">
        <f aca="false">IFERROR(__xludf.dummyfunction("""COMPUTED_VALUE"""),"Metro DC Faisalabad")</f>
        <v>Metro DC Faisalabad</v>
      </c>
      <c r="B396" s="13" t="str">
        <f aca="false">IFERROR(__xludf.dummyfunction("""COMPUTED_VALUE"""),"efa208eb-1570-4637-96a6-831cf6fcd3cb")</f>
        <v>efa208eb-1570-4637-96a6-831cf6fcd3cb</v>
      </c>
      <c r="C396" s="13" t="str">
        <f aca="false">IFERROR(__xludf.dummyfunction("""COMPUTED_VALUE"""),"Sherdil Red Chili Crushed 1Kg")</f>
        <v>Sherdil Red Chili Crushed 1Kg</v>
      </c>
      <c r="D396" s="13" t="str">
        <f aca="false">IFERROR(__xludf.dummyfunction("""COMPUTED_VALUE"""),"Sherdil")</f>
        <v>Sherdil</v>
      </c>
      <c r="E396" s="13" t="str">
        <f aca="false">IFERROR(__xludf.dummyfunction("""COMPUTED_VALUE"""),"Spices")</f>
        <v>Spices</v>
      </c>
      <c r="F396" s="11" t="n">
        <f aca="false">IFERROR(__xludf.dummyfunction("""COMPUTED_VALUE"""),45147)</f>
        <v>45147</v>
      </c>
      <c r="G396" s="16" t="n">
        <f aca="false">IFERROR(__xludf.dummyfunction("""COMPUTED_VALUE"""),0.71482283564866)</f>
        <v>0.7148228356</v>
      </c>
      <c r="H396" s="13" t="str">
        <f aca="false">IFERROR(__xludf.dummyfunction("""COMPUTED_VALUE"""),"expired stock")</f>
        <v>expired stock</v>
      </c>
      <c r="I396" s="13" t="n">
        <f aca="false">IFERROR(__xludf.dummyfunction("""COMPUTED_VALUE"""),7)</f>
        <v>7</v>
      </c>
      <c r="J396" s="13" t="n">
        <f aca="false">IFERROR(__xludf.dummyfunction("""COMPUTED_VALUE"""),740)</f>
        <v>740</v>
      </c>
      <c r="K396" s="13" t="n">
        <f aca="false">IFERROR(__xludf.dummyfunction("""COMPUTED_VALUE"""),5180)</f>
        <v>5180</v>
      </c>
      <c r="L396" s="13" t="str">
        <f aca="false">IFERROR(__xludf.dummyfunction("""COMPUTED_VALUE"""),"[Code: 224566] [Expiry: 25 Aug, 2023] 07 units found short expiry")</f>
        <v>[Code: 224566] [Expiry: 25 Aug, 2023] 07 units found short expiry</v>
      </c>
      <c r="M396" s="13" t="str">
        <f aca="false">IFERROR(__xludf.dummyfunction("""COMPUTED_VALUE"""),"224566")</f>
        <v>224566</v>
      </c>
      <c r="N396" s="13" t="str">
        <f aca="false">IFERROR(__xludf.dummyfunction("""COMPUTED_VALUE"""),"25 Aug, 2023")</f>
        <v>25 Aug, 2023</v>
      </c>
      <c r="O396" s="13" t="str">
        <f aca="false">IFERROR(__xludf.dummyfunction("""COMPUTED_VALUE"""),"ali.raza@tajir-app.com")</f>
        <v>ali.raza@tajir-app.com</v>
      </c>
      <c r="P396" s="13" t="str">
        <f aca="false">IFERROR(__xludf.dummyfunction("""COMPUTED_VALUE"""),"Ali Raza ")</f>
        <v>Ali Raza </v>
      </c>
      <c r="Q396" s="13" t="str">
        <f aca="false">IF(L396="","",L396)</f>
        <v>[Code: 224566] [Expiry: 25 Aug, 2023] 07 units found short expiry</v>
      </c>
    </row>
    <row r="397" customFormat="false" ht="15.75" hidden="false" customHeight="false" outlineLevel="0" collapsed="false">
      <c r="A397" s="13" t="str">
        <f aca="false">IFERROR(__xludf.dummyfunction("""COMPUTED_VALUE"""),"Metro DC Faisalabad")</f>
        <v>Metro DC Faisalabad</v>
      </c>
      <c r="B397" s="13" t="str">
        <f aca="false">IFERROR(__xludf.dummyfunction("""COMPUTED_VALUE"""),"ef5292a1-b576-440d-a0a7-7557c23acc14")</f>
        <v>ef5292a1-b576-440d-a0a7-7557c23acc14</v>
      </c>
      <c r="C397" s="13" t="str">
        <f aca="false">IFERROR(__xludf.dummyfunction("""COMPUTED_VALUE"""),"Sherdil Masar Desi 5kg")</f>
        <v>Sherdil Masar Desi 5kg</v>
      </c>
      <c r="D397" s="13" t="str">
        <f aca="false">IFERROR(__xludf.dummyfunction("""COMPUTED_VALUE"""),"Sherdil")</f>
        <v>Sherdil</v>
      </c>
      <c r="E397" s="13" t="str">
        <f aca="false">IFERROR(__xludf.dummyfunction("""COMPUTED_VALUE"""),"Pulses")</f>
        <v>Pulses</v>
      </c>
      <c r="F397" s="11" t="n">
        <f aca="false">IFERROR(__xludf.dummyfunction("""COMPUTED_VALUE"""),45147)</f>
        <v>45147</v>
      </c>
      <c r="G397" s="16" t="n">
        <f aca="false">IFERROR(__xludf.dummyfunction("""COMPUTED_VALUE"""),0.713911261575486)</f>
        <v>0.7139112616</v>
      </c>
      <c r="H397" s="13" t="str">
        <f aca="false">IFERROR(__xludf.dummyfunction("""COMPUTED_VALUE"""),"expired stock")</f>
        <v>expired stock</v>
      </c>
      <c r="I397" s="13" t="n">
        <f aca="false">IFERROR(__xludf.dummyfunction("""COMPUTED_VALUE"""),3)</f>
        <v>3</v>
      </c>
      <c r="J397" s="13" t="n">
        <f aca="false">IFERROR(__xludf.dummyfunction("""COMPUTED_VALUE"""),2737)</f>
        <v>2737</v>
      </c>
      <c r="K397" s="13" t="n">
        <f aca="false">IFERROR(__xludf.dummyfunction("""COMPUTED_VALUE"""),8211)</f>
        <v>8211</v>
      </c>
      <c r="L397" s="13" t="str">
        <f aca="false">IFERROR(__xludf.dummyfunction("""COMPUTED_VALUE"""),"[Code: 223334] [Expiry: 20 Sep, 2023] 03 units expire in next month ")</f>
        <v>[Code: 223334] [Expiry: 20 Sep, 2023] 03 units expire in next month </v>
      </c>
      <c r="M397" s="13" t="str">
        <f aca="false">IFERROR(__xludf.dummyfunction("""COMPUTED_VALUE"""),"223334")</f>
        <v>223334</v>
      </c>
      <c r="N397" s="13" t="str">
        <f aca="false">IFERROR(__xludf.dummyfunction("""COMPUTED_VALUE"""),"20 Sep, 2023")</f>
        <v>20 Sep, 2023</v>
      </c>
      <c r="O397" s="13" t="str">
        <f aca="false">IFERROR(__xludf.dummyfunction("""COMPUTED_VALUE"""),"ali.raza@tajir-app.com")</f>
        <v>ali.raza@tajir-app.com</v>
      </c>
      <c r="P397" s="13" t="str">
        <f aca="false">IFERROR(__xludf.dummyfunction("""COMPUTED_VALUE"""),"Ali Raza ")</f>
        <v>Ali Raza </v>
      </c>
      <c r="Q397" s="13" t="str">
        <f aca="false">IF(L397="","",L397)</f>
        <v>[Code: 223334] [Expiry: 20 Sep, 2023] 03 units expire in next month </v>
      </c>
    </row>
    <row r="398" customFormat="false" ht="15.75" hidden="false" customHeight="false" outlineLevel="0" collapsed="false">
      <c r="A398" s="13" t="str">
        <f aca="false">IFERROR(__xludf.dummyfunction("""COMPUTED_VALUE"""),"Metro DC Faisalabad")</f>
        <v>Metro DC Faisalabad</v>
      </c>
      <c r="B398" s="13" t="str">
        <f aca="false">IFERROR(__xludf.dummyfunction("""COMPUTED_VALUE"""),"68e18f16-9746-430b-a32a-2b6c62dba9c3")</f>
        <v>68e18f16-9746-430b-a32a-2b6c62dba9c3</v>
      </c>
      <c r="C398" s="13" t="str">
        <f aca="false">IFERROR(__xludf.dummyfunction("""COMPUTED_VALUE"""),"Sherdil Daal Mash Chilka 5kg")</f>
        <v>Sherdil Daal Mash Chilka 5kg</v>
      </c>
      <c r="D398" s="13" t="str">
        <f aca="false">IFERROR(__xludf.dummyfunction("""COMPUTED_VALUE"""),"Sherdil")</f>
        <v>Sherdil</v>
      </c>
      <c r="E398" s="13" t="str">
        <f aca="false">IFERROR(__xludf.dummyfunction("""COMPUTED_VALUE"""),"Pulses")</f>
        <v>Pulses</v>
      </c>
      <c r="F398" s="11" t="n">
        <f aca="false">IFERROR(__xludf.dummyfunction("""COMPUTED_VALUE"""),45147)</f>
        <v>45147</v>
      </c>
      <c r="G398" s="16" t="n">
        <f aca="false">IFERROR(__xludf.dummyfunction("""COMPUTED_VALUE"""),0.71261281250034)</f>
        <v>0.7126128125</v>
      </c>
      <c r="H398" s="13" t="str">
        <f aca="false">IFERROR(__xludf.dummyfunction("""COMPUTED_VALUE"""),"expired stock")</f>
        <v>expired stock</v>
      </c>
      <c r="I398" s="13" t="n">
        <f aca="false">IFERROR(__xludf.dummyfunction("""COMPUTED_VALUE"""),5)</f>
        <v>5</v>
      </c>
      <c r="J398" s="13" t="n">
        <f aca="false">IFERROR(__xludf.dummyfunction("""COMPUTED_VALUE"""),2021)</f>
        <v>2021</v>
      </c>
      <c r="K398" s="13" t="n">
        <f aca="false">IFERROR(__xludf.dummyfunction("""COMPUTED_VALUE"""),10105)</f>
        <v>10105</v>
      </c>
      <c r="L398" s="13" t="str">
        <f aca="false">IFERROR(__xludf.dummyfunction("""COMPUTED_VALUE"""),"[Code: 44DEFH] [Expiry: 28 Sep, 2023] 05 units expire in next month")</f>
        <v>[Code: 44DEFH] [Expiry: 28 Sep, 2023] 05 units expire in next month</v>
      </c>
      <c r="M398" s="13" t="str">
        <f aca="false">IFERROR(__xludf.dummyfunction("""COMPUTED_VALUE"""),"44DEFH")</f>
        <v>44DEFH</v>
      </c>
      <c r="N398" s="13" t="str">
        <f aca="false">IFERROR(__xludf.dummyfunction("""COMPUTED_VALUE"""),"28 Sep, 2023")</f>
        <v>28 Sep, 2023</v>
      </c>
      <c r="O398" s="13" t="str">
        <f aca="false">IFERROR(__xludf.dummyfunction("""COMPUTED_VALUE"""),"ali.raza@tajir-app.com")</f>
        <v>ali.raza@tajir-app.com</v>
      </c>
      <c r="P398" s="13" t="str">
        <f aca="false">IFERROR(__xludf.dummyfunction("""COMPUTED_VALUE"""),"Ali Raza ")</f>
        <v>Ali Raza </v>
      </c>
      <c r="Q398" s="13" t="str">
        <f aca="false">IF(L398="","",L398)</f>
        <v>[Code: 44DEFH] [Expiry: 28 Sep, 2023] 05 units expire in next month</v>
      </c>
    </row>
    <row r="399" customFormat="false" ht="15.75" hidden="false" customHeight="false" outlineLevel="0" collapsed="false">
      <c r="A399" s="13" t="str">
        <f aca="false">IFERROR(__xludf.dummyfunction("""COMPUTED_VALUE"""),"Metro DC Faisalabad")</f>
        <v>Metro DC Faisalabad</v>
      </c>
      <c r="B399" s="13" t="str">
        <f aca="false">IFERROR(__xludf.dummyfunction("""COMPUTED_VALUE"""),"b4cfbd12-ad18-40f4-8008-44f022246aae")</f>
        <v>b4cfbd12-ad18-40f4-8008-44f022246aae</v>
      </c>
      <c r="C399" s="13" t="str">
        <f aca="false">IFERROR(__xludf.dummyfunction("""COMPUTED_VALUE"""),"Al-Munawar Besan 20kg")</f>
        <v>Al-Munawar Besan 20kg</v>
      </c>
      <c r="D399" s="13" t="str">
        <f aca="false">IFERROR(__xludf.dummyfunction("""COMPUTED_VALUE"""),"Al-Munawar")</f>
        <v>Al-Munawar</v>
      </c>
      <c r="E399" s="13" t="str">
        <f aca="false">IFERROR(__xludf.dummyfunction("""COMPUTED_VALUE"""),"Pulses")</f>
        <v>Pulses</v>
      </c>
      <c r="F399" s="11" t="n">
        <f aca="false">IFERROR(__xludf.dummyfunction("""COMPUTED_VALUE"""),45148)</f>
        <v>45148</v>
      </c>
      <c r="G399" s="16" t="n">
        <f aca="false">IFERROR(__xludf.dummyfunction("""COMPUTED_VALUE"""),0.481909328703149)</f>
        <v>0.4819093287</v>
      </c>
      <c r="H399" s="13" t="str">
        <f aca="false">IFERROR(__xludf.dummyfunction("""COMPUTED_VALUE"""),"damaged stock")</f>
        <v>damaged stock</v>
      </c>
      <c r="I399" s="13" t="n">
        <f aca="false">IFERROR(__xludf.dummyfunction("""COMPUTED_VALUE"""),3)</f>
        <v>3</v>
      </c>
      <c r="J399" s="13" t="n">
        <f aca="false">IFERROR(__xludf.dummyfunction("""COMPUTED_VALUE"""),4470)</f>
        <v>4470</v>
      </c>
      <c r="K399" s="13" t="n">
        <f aca="false">IFERROR(__xludf.dummyfunction("""COMPUTED_VALUE"""),13410)</f>
        <v>13410</v>
      </c>
      <c r="L399" s="13" t="str">
        <f aca="false">IFERROR(__xludf.dummyfunction("""COMPUTED_VALUE"""),"[Code: 233678] 03 units having quality issue.")</f>
        <v>[Code: 233678] 03 units having quality issue.</v>
      </c>
      <c r="M399" s="13" t="str">
        <f aca="false">IFERROR(__xludf.dummyfunction("""COMPUTED_VALUE"""),"233678")</f>
        <v>233678</v>
      </c>
      <c r="N399" s="13"/>
      <c r="O399" s="13" t="str">
        <f aca="false">IFERROR(__xludf.dummyfunction("""COMPUTED_VALUE"""),"ali.raza@tajir-app.com")</f>
        <v>ali.raza@tajir-app.com</v>
      </c>
      <c r="P399" s="13" t="str">
        <f aca="false">IFERROR(__xludf.dummyfunction("""COMPUTED_VALUE"""),"Ali Raza ")</f>
        <v>Ali Raza </v>
      </c>
      <c r="Q399" s="13" t="str">
        <f aca="false">IF(L399="","",L399)</f>
        <v>[Code: 233678] 03 units having quality issue.</v>
      </c>
    </row>
    <row r="400" customFormat="false" ht="15.75" hidden="false" customHeight="false" outlineLevel="0" collapsed="false">
      <c r="A400" s="13" t="str">
        <f aca="false">IFERROR(__xludf.dummyfunction("""COMPUTED_VALUE"""),"Metro DC Faisalabad")</f>
        <v>Metro DC Faisalabad</v>
      </c>
      <c r="B400" s="13" t="str">
        <f aca="false">IFERROR(__xludf.dummyfunction("""COMPUTED_VALUE"""),"6afa406d-5fa6-42ea-a697-9b99ff3ba267")</f>
        <v>6afa406d-5fa6-42ea-a697-9b99ff3ba267</v>
      </c>
      <c r="C400" s="13" t="str">
        <f aca="false">IFERROR(__xludf.dummyfunction("""COMPUTED_VALUE"""),"Sprite plastic 1L")</f>
        <v>Sprite plastic 1L</v>
      </c>
      <c r="D400" s="13" t="str">
        <f aca="false">IFERROR(__xludf.dummyfunction("""COMPUTED_VALUE"""),"Sprite")</f>
        <v>Sprite</v>
      </c>
      <c r="E400" s="13" t="str">
        <f aca="false">IFERROR(__xludf.dummyfunction("""COMPUTED_VALUE"""),"Beverages")</f>
        <v>Beverages</v>
      </c>
      <c r="F400" s="11" t="n">
        <f aca="false">IFERROR(__xludf.dummyfunction("""COMPUTED_VALUE"""),45149)</f>
        <v>45149</v>
      </c>
      <c r="G400" s="16" t="n">
        <f aca="false">IFERROR(__xludf.dummyfunction("""COMPUTED_VALUE"""),0.784529409723925)</f>
        <v>0.7845294097</v>
      </c>
      <c r="H400" s="13" t="str">
        <f aca="false">IFERROR(__xludf.dummyfunction("""COMPUTED_VALUE"""),"missing stock")</f>
        <v>missing stock</v>
      </c>
      <c r="I400" s="13" t="n">
        <f aca="false">IFERROR(__xludf.dummyfunction("""COMPUTED_VALUE"""),1)</f>
        <v>1</v>
      </c>
      <c r="J400" s="13" t="n">
        <f aca="false">IFERROR(__xludf.dummyfunction("""COMPUTED_VALUE"""),708)</f>
        <v>708</v>
      </c>
      <c r="K400" s="13" t="n">
        <f aca="false">IFERROR(__xludf.dummyfunction("""COMPUTED_VALUE"""),708)</f>
        <v>708</v>
      </c>
      <c r="L400" s="13" t="str">
        <f aca="false">IFERROR(__xludf.dummyfunction("""COMPUTED_VALUE"""),"TA: Not found on the floor.")</f>
        <v>TA: Not found on the floor.</v>
      </c>
      <c r="M400" s="13"/>
      <c r="N400" s="13"/>
      <c r="O400" s="13" t="str">
        <f aca="false">IFERROR(__xludf.dummyfunction("""COMPUTED_VALUE"""),"taufeeq.akhtar@tajir-app.com")</f>
        <v>taufeeq.akhtar@tajir-app.com</v>
      </c>
      <c r="P400" s="13" t="str">
        <f aca="false">IFERROR(__xludf.dummyfunction("""COMPUTED_VALUE"""),"Taufeeq Akhtar ")</f>
        <v>Taufeeq Akhtar </v>
      </c>
      <c r="Q400" s="13" t="str">
        <f aca="false">IF(L400="","",L400)</f>
        <v>TA: Not found on the floor.</v>
      </c>
    </row>
    <row r="401" customFormat="false" ht="15.75" hidden="false" customHeight="false" outlineLevel="0" collapsed="false">
      <c r="A401" s="13" t="str">
        <f aca="false">IFERROR(__xludf.dummyfunction("""COMPUTED_VALUE"""),"Metro DC Faisalabad")</f>
        <v>Metro DC Faisalabad</v>
      </c>
      <c r="B401" s="13" t="str">
        <f aca="false">IFERROR(__xludf.dummyfunction("""COMPUTED_VALUE"""),"c0d23360-824d-4c04-acdb-4f5111e410d0")</f>
        <v>c0d23360-824d-4c04-acdb-4f5111e410d0</v>
      </c>
      <c r="C401" s="13" t="str">
        <f aca="false">IFERROR(__xludf.dummyfunction("""COMPUTED_VALUE"""),"Pepsi plastic 1.5L")</f>
        <v>Pepsi plastic 1.5L</v>
      </c>
      <c r="D401" s="13" t="str">
        <f aca="false">IFERROR(__xludf.dummyfunction("""COMPUTED_VALUE"""),"Pepsi")</f>
        <v>Pepsi</v>
      </c>
      <c r="E401" s="13" t="str">
        <f aca="false">IFERROR(__xludf.dummyfunction("""COMPUTED_VALUE"""),"Beverages")</f>
        <v>Beverages</v>
      </c>
      <c r="F401" s="11" t="n">
        <f aca="false">IFERROR(__xludf.dummyfunction("""COMPUTED_VALUE"""),45149)</f>
        <v>45149</v>
      </c>
      <c r="G401" s="16" t="n">
        <f aca="false">IFERROR(__xludf.dummyfunction("""COMPUTED_VALUE"""),0.658931400462219)</f>
        <v>0.6589314005</v>
      </c>
      <c r="H401" s="13" t="str">
        <f aca="false">IFERROR(__xludf.dummyfunction("""COMPUTED_VALUE"""),"damaged stock")</f>
        <v>damaged stock</v>
      </c>
      <c r="I401" s="13" t="n">
        <f aca="false">IFERROR(__xludf.dummyfunction("""COMPUTED_VALUE"""),1)</f>
        <v>1</v>
      </c>
      <c r="J401" s="13" t="n">
        <f aca="false">IFERROR(__xludf.dummyfunction("""COMPUTED_VALUE"""),730)</f>
        <v>730</v>
      </c>
      <c r="K401" s="13" t="n">
        <f aca="false">IFERROR(__xludf.dummyfunction("""COMPUTED_VALUE"""),730)</f>
        <v>730</v>
      </c>
      <c r="L401" s="13" t="str">
        <f aca="false">IFERROR(__xludf.dummyfunction("""COMPUTED_VALUE"""),"[Code: 25669A] TA: found in loose condition during sorting.")</f>
        <v>[Code: 25669A] TA: found in loose condition during sorting.</v>
      </c>
      <c r="M401" s="13" t="str">
        <f aca="false">IFERROR(__xludf.dummyfunction("""COMPUTED_VALUE"""),"25669A")</f>
        <v>25669A</v>
      </c>
      <c r="N401" s="13"/>
      <c r="O401" s="13" t="str">
        <f aca="false">IFERROR(__xludf.dummyfunction("""COMPUTED_VALUE"""),"taufeeq.akhtar@tajir-app.com")</f>
        <v>taufeeq.akhtar@tajir-app.com</v>
      </c>
      <c r="P401" s="13" t="str">
        <f aca="false">IFERROR(__xludf.dummyfunction("""COMPUTED_VALUE"""),"Taufeeq Akhtar ")</f>
        <v>Taufeeq Akhtar </v>
      </c>
      <c r="Q401" s="13" t="str">
        <f aca="false">IF(L401="","",L401)</f>
        <v>[Code: 25669A] TA: found in loose condition during sorting.</v>
      </c>
    </row>
    <row r="402" customFormat="false" ht="15.75" hidden="false" customHeight="false" outlineLevel="0" collapsed="false">
      <c r="A402" s="13" t="str">
        <f aca="false">IFERROR(__xludf.dummyfunction("""COMPUTED_VALUE"""),"Metro DC Faisalabad")</f>
        <v>Metro DC Faisalabad</v>
      </c>
      <c r="B402" s="13" t="str">
        <f aca="false">IFERROR(__xludf.dummyfunction("""COMPUTED_VALUE"""),"73450c2c-e78c-4c7c-ada4-17c7817fcb4c")</f>
        <v>73450c2c-e78c-4c7c-ada4-17c7817fcb4c</v>
      </c>
      <c r="C402" s="13" t="str">
        <f aca="false">IFERROR(__xludf.dummyfunction("""COMPUTED_VALUE"""),"Plastic Special Phool Jharoo")</f>
        <v>Plastic Special Phool Jharoo</v>
      </c>
      <c r="D402" s="13" t="str">
        <f aca="false">IFERROR(__xludf.dummyfunction("""COMPUTED_VALUE"""),"Jharoo")</f>
        <v>Jharoo</v>
      </c>
      <c r="E402" s="13" t="str">
        <f aca="false">IFERROR(__xludf.dummyfunction("""COMPUTED_VALUE"""),"Home Care")</f>
        <v>Home Care</v>
      </c>
      <c r="F402" s="11" t="n">
        <f aca="false">IFERROR(__xludf.dummyfunction("""COMPUTED_VALUE"""),45150)</f>
        <v>45150</v>
      </c>
      <c r="G402" s="16" t="n">
        <f aca="false">IFERROR(__xludf.dummyfunction("""COMPUTED_VALUE"""),0.980018148146779)</f>
        <v>0.9800181481</v>
      </c>
      <c r="H402" s="13" t="str">
        <f aca="false">IFERROR(__xludf.dummyfunction("""COMPUTED_VALUE"""),"damaged stock")</f>
        <v>damaged stock</v>
      </c>
      <c r="I402" s="13" t="n">
        <f aca="false">IFERROR(__xludf.dummyfunction("""COMPUTED_VALUE"""),1)</f>
        <v>1</v>
      </c>
      <c r="J402" s="13" t="n">
        <f aca="false">IFERROR(__xludf.dummyfunction("""COMPUTED_VALUE"""),135)</f>
        <v>135</v>
      </c>
      <c r="K402" s="13" t="n">
        <f aca="false">IFERROR(__xludf.dummyfunction("""COMPUTED_VALUE"""),135)</f>
        <v>135</v>
      </c>
      <c r="L402" s="13" t="str">
        <f aca="false">IFERROR(__xludf.dummyfunction("""COMPUTED_VALUE"""),"[Code: 4789AA] TA: Found damaged on floor during sorting.")</f>
        <v>[Code: 4789AA] TA: Found damaged on floor during sorting.</v>
      </c>
      <c r="M402" s="13" t="str">
        <f aca="false">IFERROR(__xludf.dummyfunction("""COMPUTED_VALUE"""),"4789AA")</f>
        <v>4789AA</v>
      </c>
      <c r="N402" s="13"/>
      <c r="O402" s="13" t="str">
        <f aca="false">IFERROR(__xludf.dummyfunction("""COMPUTED_VALUE"""),"taufeeq.akhtar@tajir-app.com")</f>
        <v>taufeeq.akhtar@tajir-app.com</v>
      </c>
      <c r="P402" s="13" t="str">
        <f aca="false">IFERROR(__xludf.dummyfunction("""COMPUTED_VALUE"""),"Taufeeq Akhtar ")</f>
        <v>Taufeeq Akhtar </v>
      </c>
      <c r="Q402" s="13" t="str">
        <f aca="false">IF(L402="","",L402)</f>
        <v>[Code: 4789AA] TA: Found damaged on floor during sorting.</v>
      </c>
    </row>
    <row r="403" customFormat="false" ht="15.75" hidden="false" customHeight="false" outlineLevel="0" collapsed="false">
      <c r="A403" s="13" t="str">
        <f aca="false">IFERROR(__xludf.dummyfunction("""COMPUTED_VALUE"""),"Metro DC Faisalabad")</f>
        <v>Metro DC Faisalabad</v>
      </c>
      <c r="B403" s="13" t="str">
        <f aca="false">IFERROR(__xludf.dummyfunction("""COMPUTED_VALUE"""),"e704339c-42c0-48de-92ab-39348129ef53")</f>
        <v>e704339c-42c0-48de-92ab-39348129ef53</v>
      </c>
      <c r="C403" s="13" t="str">
        <f aca="false">IFERROR(__xludf.dummyfunction("""COMPUTED_VALUE"""),"7up plastic 1L")</f>
        <v>7up plastic 1L</v>
      </c>
      <c r="D403" s="13" t="str">
        <f aca="false">IFERROR(__xludf.dummyfunction("""COMPUTED_VALUE"""),"7up")</f>
        <v>7up</v>
      </c>
      <c r="E403" s="13" t="str">
        <f aca="false">IFERROR(__xludf.dummyfunction("""COMPUTED_VALUE"""),"Beverages")</f>
        <v>Beverages</v>
      </c>
      <c r="F403" s="11" t="n">
        <f aca="false">IFERROR(__xludf.dummyfunction("""COMPUTED_VALUE"""),45150)</f>
        <v>45150</v>
      </c>
      <c r="G403" s="16" t="n">
        <f aca="false">IFERROR(__xludf.dummyfunction("""COMPUTED_VALUE"""),0.961012465279459)</f>
        <v>0.9610124653</v>
      </c>
      <c r="H403" s="13" t="str">
        <f aca="false">IFERROR(__xludf.dummyfunction("""COMPUTED_VALUE"""),"damaged stock")</f>
        <v>damaged stock</v>
      </c>
      <c r="I403" s="13" t="n">
        <f aca="false">IFERROR(__xludf.dummyfunction("""COMPUTED_VALUE"""),1)</f>
        <v>1</v>
      </c>
      <c r="J403" s="13" t="n">
        <f aca="false">IFERROR(__xludf.dummyfunction("""COMPUTED_VALUE"""),595)</f>
        <v>595</v>
      </c>
      <c r="K403" s="13" t="n">
        <f aca="false">IFERROR(__xludf.dummyfunction("""COMPUTED_VALUE"""),595)</f>
        <v>595</v>
      </c>
      <c r="L403" s="13" t="str">
        <f aca="false">IFERROR(__xludf.dummyfunction("""COMPUTED_VALUE"""),"[Code: 269GHK] TA: Found in loose conditon during sorting.")</f>
        <v>[Code: 269GHK] TA: Found in loose conditon during sorting.</v>
      </c>
      <c r="M403" s="13" t="str">
        <f aca="false">IFERROR(__xludf.dummyfunction("""COMPUTED_VALUE"""),"269GHK")</f>
        <v>269GHK</v>
      </c>
      <c r="N403" s="13"/>
      <c r="O403" s="13" t="str">
        <f aca="false">IFERROR(__xludf.dummyfunction("""COMPUTED_VALUE"""),"taufeeq.akhtar@tajir-app.com")</f>
        <v>taufeeq.akhtar@tajir-app.com</v>
      </c>
      <c r="P403" s="13" t="str">
        <f aca="false">IFERROR(__xludf.dummyfunction("""COMPUTED_VALUE"""),"Taufeeq Akhtar ")</f>
        <v>Taufeeq Akhtar </v>
      </c>
      <c r="Q403" s="13" t="str">
        <f aca="false">IF(L403="","",L403)</f>
        <v>[Code: 269GHK] TA: Found in loose conditon during sorting.</v>
      </c>
    </row>
    <row r="404" customFormat="false" ht="15.75" hidden="false" customHeight="false" outlineLevel="0" collapsed="false">
      <c r="A404" s="13" t="str">
        <f aca="false">IFERROR(__xludf.dummyfunction("""COMPUTED_VALUE"""),"Metro DC Faisalabad")</f>
        <v>Metro DC Faisalabad</v>
      </c>
      <c r="B404" s="13" t="str">
        <f aca="false">IFERROR(__xludf.dummyfunction("""COMPUTED_VALUE"""),"088cc1d0-50fe-4f10-a74d-f47f601ed3bc")</f>
        <v>088cc1d0-50fe-4f10-a74d-f47f601ed3bc</v>
      </c>
      <c r="C404" s="13" t="str">
        <f aca="false">IFERROR(__xludf.dummyfunction("""COMPUTED_VALUE"""),"Shahi Savory Mix Rs100")</f>
        <v>Shahi Savory Mix Rs100</v>
      </c>
      <c r="D404" s="13" t="str">
        <f aca="false">IFERROR(__xludf.dummyfunction("""COMPUTED_VALUE"""),"Shahi")</f>
        <v>Shahi</v>
      </c>
      <c r="E404" s="13" t="str">
        <f aca="false">IFERROR(__xludf.dummyfunction("""COMPUTED_VALUE"""),"Snacks")</f>
        <v>Snacks</v>
      </c>
      <c r="F404" s="11" t="n">
        <f aca="false">IFERROR(__xludf.dummyfunction("""COMPUTED_VALUE"""),45150)</f>
        <v>45150</v>
      </c>
      <c r="G404" s="16" t="n">
        <f aca="false">IFERROR(__xludf.dummyfunction("""COMPUTED_VALUE"""),0.960154120371928)</f>
        <v>0.9601541204</v>
      </c>
      <c r="H404" s="13" t="str">
        <f aca="false">IFERROR(__xludf.dummyfunction("""COMPUTED_VALUE"""),"damaged stock")</f>
        <v>damaged stock</v>
      </c>
      <c r="I404" s="13" t="n">
        <f aca="false">IFERROR(__xludf.dummyfunction("""COMPUTED_VALUE"""),1)</f>
        <v>1</v>
      </c>
      <c r="J404" s="13" t="n">
        <f aca="false">IFERROR(__xludf.dummyfunction("""COMPUTED_VALUE"""),70.91)</f>
        <v>70.91</v>
      </c>
      <c r="K404" s="13" t="n">
        <f aca="false">IFERROR(__xludf.dummyfunction("""COMPUTED_VALUE"""),70.91)</f>
        <v>70.91</v>
      </c>
      <c r="L404" s="13" t="str">
        <f aca="false">IFERROR(__xludf.dummyfunction("""COMPUTED_VALUE"""),"[Code: 335BBB] TA: Found damaged from box during display.")</f>
        <v>[Code: 335BBB] TA: Found damaged from box during display.</v>
      </c>
      <c r="M404" s="13" t="str">
        <f aca="false">IFERROR(__xludf.dummyfunction("""COMPUTED_VALUE"""),"335BBB")</f>
        <v>335BBB</v>
      </c>
      <c r="N404" s="13"/>
      <c r="O404" s="13" t="str">
        <f aca="false">IFERROR(__xludf.dummyfunction("""COMPUTED_VALUE"""),"taufeeq.akhtar@tajir-app.com")</f>
        <v>taufeeq.akhtar@tajir-app.com</v>
      </c>
      <c r="P404" s="13" t="str">
        <f aca="false">IFERROR(__xludf.dummyfunction("""COMPUTED_VALUE"""),"Taufeeq Akhtar ")</f>
        <v>Taufeeq Akhtar </v>
      </c>
      <c r="Q404" s="13" t="str">
        <f aca="false">IF(L404="","",L404)</f>
        <v>[Code: 335BBB] TA: Found damaged from box during display.</v>
      </c>
    </row>
    <row r="405" customFormat="false" ht="15.75" hidden="false" customHeight="false" outlineLevel="0" collapsed="false">
      <c r="A405" s="13" t="str">
        <f aca="false">IFERROR(__xludf.dummyfunction("""COMPUTED_VALUE"""),"Metro DC Faisalabad")</f>
        <v>Metro DC Faisalabad</v>
      </c>
      <c r="B405" s="13" t="str">
        <f aca="false">IFERROR(__xludf.dummyfunction("""COMPUTED_VALUE"""),"6bf8e4d8-b1ee-4416-8677-04c83525e4ce")</f>
        <v>6bf8e4d8-b1ee-4416-8677-04c83525e4ce</v>
      </c>
      <c r="C405" s="13" t="str">
        <f aca="false">IFERROR(__xludf.dummyfunction("""COMPUTED_VALUE"""),"Dummer Super Fine Atta 15kg")</f>
        <v>Dummer Super Fine Atta 15kg</v>
      </c>
      <c r="D405" s="13" t="str">
        <f aca="false">IFERROR(__xludf.dummyfunction("""COMPUTED_VALUE"""),"Dummer Atta")</f>
        <v>Dummer Atta</v>
      </c>
      <c r="E405" s="13" t="str">
        <f aca="false">IFERROR(__xludf.dummyfunction("""COMPUTED_VALUE"""),"Flour")</f>
        <v>Flour</v>
      </c>
      <c r="F405" s="11" t="n">
        <f aca="false">IFERROR(__xludf.dummyfunction("""COMPUTED_VALUE"""),45150)</f>
        <v>45150</v>
      </c>
      <c r="G405" s="16" t="n">
        <f aca="false">IFERROR(__xludf.dummyfunction("""COMPUTED_VALUE"""),0.639446134259777)</f>
        <v>0.6394461343</v>
      </c>
      <c r="H405" s="13" t="str">
        <f aca="false">IFERROR(__xludf.dummyfunction("""COMPUTED_VALUE"""),"damaged stock")</f>
        <v>damaged stock</v>
      </c>
      <c r="I405" s="13" t="n">
        <f aca="false">IFERROR(__xludf.dummyfunction("""COMPUTED_VALUE"""),59)</f>
        <v>59</v>
      </c>
      <c r="J405" s="13" t="n">
        <f aca="false">IFERROR(__xludf.dummyfunction("""COMPUTED_VALUE"""),2100)</f>
        <v>2100</v>
      </c>
      <c r="K405" s="13" t="n">
        <f aca="false">IFERROR(__xludf.dummyfunction("""COMPUTED_VALUE"""),123900)</f>
        <v>123900</v>
      </c>
      <c r="L405" s="13" t="str">
        <f aca="false">IFERROR(__xludf.dummyfunction("""COMPUTED_VALUE"""),"[Code: 2346AE] Content Spoiled (Quality Issue)")</f>
        <v>[Code: 2346AE] Content Spoiled (Quality Issue)</v>
      </c>
      <c r="M405" s="13" t="str">
        <f aca="false">IFERROR(__xludf.dummyfunction("""COMPUTED_VALUE"""),"2346AE")</f>
        <v>2346AE</v>
      </c>
      <c r="N405" s="13"/>
      <c r="O405" s="13" t="str">
        <f aca="false">IFERROR(__xludf.dummyfunction("""COMPUTED_VALUE"""),"ali.raza@tajir-app.com")</f>
        <v>ali.raza@tajir-app.com</v>
      </c>
      <c r="P405" s="13" t="str">
        <f aca="false">IFERROR(__xludf.dummyfunction("""COMPUTED_VALUE"""),"Ali Raza ")</f>
        <v>Ali Raza </v>
      </c>
      <c r="Q405" s="13" t="str">
        <f aca="false">IF(L405="","",L405)</f>
        <v>[Code: 2346AE] Content Spoiled (Quality Issue)</v>
      </c>
    </row>
    <row r="406" customFormat="false" ht="15.75" hidden="false" customHeight="false" outlineLevel="0" collapsed="false">
      <c r="A406" s="13" t="str">
        <f aca="false">IFERROR(__xludf.dummyfunction("""COMPUTED_VALUE"""),"Metro DC Faisalabad")</f>
        <v>Metro DC Faisalabad</v>
      </c>
      <c r="B406" s="13" t="str">
        <f aca="false">IFERROR(__xludf.dummyfunction("""COMPUTED_VALUE"""),"b4cfbd12-ad18-40f4-8008-44f022246aae")</f>
        <v>b4cfbd12-ad18-40f4-8008-44f022246aae</v>
      </c>
      <c r="C406" s="13" t="str">
        <f aca="false">IFERROR(__xludf.dummyfunction("""COMPUTED_VALUE"""),"Al-Munawar Besan 20kg")</f>
        <v>Al-Munawar Besan 20kg</v>
      </c>
      <c r="D406" s="13" t="str">
        <f aca="false">IFERROR(__xludf.dummyfunction("""COMPUTED_VALUE"""),"Al-Munawar")</f>
        <v>Al-Munawar</v>
      </c>
      <c r="E406" s="13" t="str">
        <f aca="false">IFERROR(__xludf.dummyfunction("""COMPUTED_VALUE"""),"Pulses")</f>
        <v>Pulses</v>
      </c>
      <c r="F406" s="11" t="n">
        <f aca="false">IFERROR(__xludf.dummyfunction("""COMPUTED_VALUE"""),45150)</f>
        <v>45150</v>
      </c>
      <c r="G406" s="16" t="n">
        <f aca="false">IFERROR(__xludf.dummyfunction("""COMPUTED_VALUE"""),0.375026423612884)</f>
        <v>0.3750264236</v>
      </c>
      <c r="H406" s="13" t="str">
        <f aca="false">IFERROR(__xludf.dummyfunction("""COMPUTED_VALUE"""),"damaged stock")</f>
        <v>damaged stock</v>
      </c>
      <c r="I406" s="13" t="n">
        <f aca="false">IFERROR(__xludf.dummyfunction("""COMPUTED_VALUE"""),4)</f>
        <v>4</v>
      </c>
      <c r="J406" s="13" t="n">
        <f aca="false">IFERROR(__xludf.dummyfunction("""COMPUTED_VALUE"""),4470)</f>
        <v>4470</v>
      </c>
      <c r="K406" s="13" t="n">
        <f aca="false">IFERROR(__xludf.dummyfunction("""COMPUTED_VALUE"""),17880)</f>
        <v>17880</v>
      </c>
      <c r="L406" s="13" t="str">
        <f aca="false">IFERROR(__xludf.dummyfunction("""COMPUTED_VALUE"""),"[Code: 9AADFF] 4 units found damaged due to quality issue")</f>
        <v>[Code: 9AADFF] 4 units found damaged due to quality issue</v>
      </c>
      <c r="M406" s="13" t="str">
        <f aca="false">IFERROR(__xludf.dummyfunction("""COMPUTED_VALUE"""),"9AADFF")</f>
        <v>9AADFF</v>
      </c>
      <c r="N406" s="13"/>
      <c r="O406" s="13" t="str">
        <f aca="false">IFERROR(__xludf.dummyfunction("""COMPUTED_VALUE"""),"ali.raza@tajir-app.com")</f>
        <v>ali.raza@tajir-app.com</v>
      </c>
      <c r="P406" s="13" t="str">
        <f aca="false">IFERROR(__xludf.dummyfunction("""COMPUTED_VALUE"""),"Ali Raza ")</f>
        <v>Ali Raza </v>
      </c>
      <c r="Q406" s="13" t="str">
        <f aca="false">IF(L406="","",L406)</f>
        <v>[Code: 9AADFF] 4 units found damaged due to quality issue</v>
      </c>
    </row>
    <row r="407" customFormat="false" ht="15.75" hidden="false" customHeight="false" outlineLevel="0" collapsed="false">
      <c r="A407" s="13" t="str">
        <f aca="false">IFERROR(__xludf.dummyfunction("""COMPUTED_VALUE"""),"Metro DC Faisalabad")</f>
        <v>Metro DC Faisalabad</v>
      </c>
      <c r="B407" s="13" t="str">
        <f aca="false">IFERROR(__xludf.dummyfunction("""COMPUTED_VALUE"""),"8518785f-79c2-459a-b06d-007dea8cd492")</f>
        <v>8518785f-79c2-459a-b06d-007dea8cd492</v>
      </c>
      <c r="C407" s="13" t="str">
        <f aca="false">IFERROR(__xludf.dummyfunction("""COMPUTED_VALUE"""),"Mirinda plastic 1L")</f>
        <v>Mirinda plastic 1L</v>
      </c>
      <c r="D407" s="13" t="str">
        <f aca="false">IFERROR(__xludf.dummyfunction("""COMPUTED_VALUE"""),"Mirinda")</f>
        <v>Mirinda</v>
      </c>
      <c r="E407" s="13" t="str">
        <f aca="false">IFERROR(__xludf.dummyfunction("""COMPUTED_VALUE"""),"Beverages")</f>
        <v>Beverages</v>
      </c>
      <c r="F407" s="11" t="n">
        <f aca="false">IFERROR(__xludf.dummyfunction("""COMPUTED_VALUE"""),45152)</f>
        <v>45152</v>
      </c>
      <c r="G407" s="16" t="n">
        <f aca="false">IFERROR(__xludf.dummyfunction("""COMPUTED_VALUE"""),0.970821666668046)</f>
        <v>0.9708216667</v>
      </c>
      <c r="H407" s="13" t="str">
        <f aca="false">IFERROR(__xludf.dummyfunction("""COMPUTED_VALUE"""),"damaged stock")</f>
        <v>damaged stock</v>
      </c>
      <c r="I407" s="13" t="n">
        <f aca="false">IFERROR(__xludf.dummyfunction("""COMPUTED_VALUE"""),1)</f>
        <v>1</v>
      </c>
      <c r="J407" s="13" t="n">
        <f aca="false">IFERROR(__xludf.dummyfunction("""COMPUTED_VALUE"""),595)</f>
        <v>595</v>
      </c>
      <c r="K407" s="13" t="n">
        <f aca="false">IFERROR(__xludf.dummyfunction("""COMPUTED_VALUE"""),595)</f>
        <v>595</v>
      </c>
      <c r="L407" s="13" t="str">
        <f aca="false">IFERROR(__xludf.dummyfunction("""COMPUTED_VALUE"""),"[Code: 223556] TA: Found loose bottels during sorting (Company end issue)")</f>
        <v>[Code: 223556] TA: Found loose bottels during sorting (Company end issue)</v>
      </c>
      <c r="M407" s="13" t="str">
        <f aca="false">IFERROR(__xludf.dummyfunction("""COMPUTED_VALUE"""),"223556")</f>
        <v>223556</v>
      </c>
      <c r="N407" s="13"/>
      <c r="O407" s="13" t="str">
        <f aca="false">IFERROR(__xludf.dummyfunction("""COMPUTED_VALUE"""),"taufeeq.akhtar@tajir-app.com")</f>
        <v>taufeeq.akhtar@tajir-app.com</v>
      </c>
      <c r="P407" s="13" t="str">
        <f aca="false">IFERROR(__xludf.dummyfunction("""COMPUTED_VALUE"""),"Taufeeq Akhtar ")</f>
        <v>Taufeeq Akhtar </v>
      </c>
      <c r="Q407" s="13" t="str">
        <f aca="false">IF(L407="","",L407)</f>
        <v>[Code: 223556] TA: Found loose bottels during sorting (Company end issue)</v>
      </c>
    </row>
    <row r="408" customFormat="false" ht="15.75" hidden="false" customHeight="false" outlineLevel="0" collapsed="false">
      <c r="A408" s="13" t="str">
        <f aca="false">IFERROR(__xludf.dummyfunction("""COMPUTED_VALUE"""),"Metro DC Faisalabad")</f>
        <v>Metro DC Faisalabad</v>
      </c>
      <c r="B408" s="13" t="str">
        <f aca="false">IFERROR(__xludf.dummyfunction("""COMPUTED_VALUE"""),"d833817f-cf3e-4c58-89b9-79905c414df1")</f>
        <v>d833817f-cf3e-4c58-89b9-79905c414df1</v>
      </c>
      <c r="C408" s="13" t="str">
        <f aca="false">IFERROR(__xludf.dummyfunction("""COMPUTED_VALUE"""),"Booster NR 250ml")</f>
        <v>Booster NR 250ml</v>
      </c>
      <c r="D408" s="13" t="str">
        <f aca="false">IFERROR(__xludf.dummyfunction("""COMPUTED_VALUE"""),"Booster")</f>
        <v>Booster</v>
      </c>
      <c r="E408" s="13" t="str">
        <f aca="false">IFERROR(__xludf.dummyfunction("""COMPUTED_VALUE"""),"Beverages")</f>
        <v>Beverages</v>
      </c>
      <c r="F408" s="11" t="n">
        <f aca="false">IFERROR(__xludf.dummyfunction("""COMPUTED_VALUE"""),45153)</f>
        <v>45153</v>
      </c>
      <c r="G408" s="16" t="n">
        <f aca="false">IFERROR(__xludf.dummyfunction("""COMPUTED_VALUE"""),0.870129282407046)</f>
        <v>0.8701292824</v>
      </c>
      <c r="H408" s="13" t="str">
        <f aca="false">IFERROR(__xludf.dummyfunction("""COMPUTED_VALUE"""),"damaged stock")</f>
        <v>damaged stock</v>
      </c>
      <c r="I408" s="13" t="n">
        <f aca="false">IFERROR(__xludf.dummyfunction("""COMPUTED_VALUE"""),1)</f>
        <v>1</v>
      </c>
      <c r="J408" s="13" t="n">
        <f aca="false">IFERROR(__xludf.dummyfunction("""COMPUTED_VALUE"""),669.6)</f>
        <v>669.6</v>
      </c>
      <c r="K408" s="13" t="n">
        <f aca="false">IFERROR(__xludf.dummyfunction("""COMPUTED_VALUE"""),669.6)</f>
        <v>669.6</v>
      </c>
      <c r="L408" s="13" t="str">
        <f aca="false">IFERROR(__xludf.dummyfunction("""COMPUTED_VALUE"""),"[Code: 256DEH] TA: found damaged during sorting....")</f>
        <v>[Code: 256DEH] TA: found damaged during sorting....</v>
      </c>
      <c r="M408" s="13" t="str">
        <f aca="false">IFERROR(__xludf.dummyfunction("""COMPUTED_VALUE"""),"256DEH")</f>
        <v>256DEH</v>
      </c>
      <c r="N408" s="13"/>
      <c r="O408" s="13" t="str">
        <f aca="false">IFERROR(__xludf.dummyfunction("""COMPUTED_VALUE"""),"taufeeq.akhtar@tajir-app.com")</f>
        <v>taufeeq.akhtar@tajir-app.com</v>
      </c>
      <c r="P408" s="13" t="str">
        <f aca="false">IFERROR(__xludf.dummyfunction("""COMPUTED_VALUE"""),"Taufeeq Akhtar ")</f>
        <v>Taufeeq Akhtar </v>
      </c>
      <c r="Q408" s="13" t="str">
        <f aca="false">IF(L408="","",L408)</f>
        <v>[Code: 256DEH] TA: found damaged during sorting....</v>
      </c>
    </row>
    <row r="409" customFormat="false" ht="15.75" hidden="false" customHeight="false" outlineLevel="0" collapsed="false">
      <c r="A409" s="13" t="str">
        <f aca="false">IFERROR(__xludf.dummyfunction("""COMPUTED_VALUE"""),"Metro DC Faisalabad")</f>
        <v>Metro DC Faisalabad</v>
      </c>
      <c r="B409" s="13" t="str">
        <f aca="false">IFERROR(__xludf.dummyfunction("""COMPUTED_VALUE"""),"38f91ed7-8c25-4061-b1cb-85ac528c02dc")</f>
        <v>38f91ed7-8c25-4061-b1cb-85ac528c02dc</v>
      </c>
      <c r="C409" s="13" t="str">
        <f aca="false">IFERROR(__xludf.dummyfunction("""COMPUTED_VALUE"""),"Shangrila Tomato Ketchup x6 Bundle 70g")</f>
        <v>Shangrila Tomato Ketchup x6 Bundle 70g</v>
      </c>
      <c r="D409" s="13" t="str">
        <f aca="false">IFERROR(__xludf.dummyfunction("""COMPUTED_VALUE"""),"Shangrila")</f>
        <v>Shangrila</v>
      </c>
      <c r="E409" s="13" t="str">
        <f aca="false">IFERROR(__xludf.dummyfunction("""COMPUTED_VALUE"""),"Sauces")</f>
        <v>Sauces</v>
      </c>
      <c r="F409" s="11" t="n">
        <f aca="false">IFERROR(__xludf.dummyfunction("""COMPUTED_VALUE"""),45153)</f>
        <v>45153</v>
      </c>
      <c r="G409" s="16" t="n">
        <f aca="false">IFERROR(__xludf.dummyfunction("""COMPUTED_VALUE"""),0.868468796295596)</f>
        <v>0.8684687963</v>
      </c>
      <c r="H409" s="13" t="str">
        <f aca="false">IFERROR(__xludf.dummyfunction("""COMPUTED_VALUE"""),"damaged stock")</f>
        <v>damaged stock</v>
      </c>
      <c r="I409" s="13" t="n">
        <f aca="false">IFERROR(__xludf.dummyfunction("""COMPUTED_VALUE"""),1)</f>
        <v>1</v>
      </c>
      <c r="J409" s="13" t="n">
        <f aca="false">IFERROR(__xludf.dummyfunction("""COMPUTED_VALUE"""),188.49)</f>
        <v>188.49</v>
      </c>
      <c r="K409" s="13" t="n">
        <f aca="false">IFERROR(__xludf.dummyfunction("""COMPUTED_VALUE"""),188.49)</f>
        <v>188.49</v>
      </c>
      <c r="L409" s="13" t="str">
        <f aca="false">IFERROR(__xludf.dummyfunction("""COMPUTED_VALUE"""),"[Code: 99EJKM] TA: found damaged from box during display(Company end issue )...")</f>
        <v>[Code: 99EJKM] TA: found damaged from box during display(Company end issue )...</v>
      </c>
      <c r="M409" s="13" t="str">
        <f aca="false">IFERROR(__xludf.dummyfunction("""COMPUTED_VALUE"""),"99EJKM")</f>
        <v>99EJKM</v>
      </c>
      <c r="N409" s="13"/>
      <c r="O409" s="13" t="str">
        <f aca="false">IFERROR(__xludf.dummyfunction("""COMPUTED_VALUE"""),"taufeeq.akhtar@tajir-app.com")</f>
        <v>taufeeq.akhtar@tajir-app.com</v>
      </c>
      <c r="P409" s="13" t="str">
        <f aca="false">IFERROR(__xludf.dummyfunction("""COMPUTED_VALUE"""),"Taufeeq Akhtar ")</f>
        <v>Taufeeq Akhtar </v>
      </c>
      <c r="Q409" s="13" t="str">
        <f aca="false">IF(L409="","",L409)</f>
        <v>[Code: 99EJKM] TA: found damaged from box during display(Company end issue )...</v>
      </c>
    </row>
    <row r="410" customFormat="false" ht="15.75" hidden="false" customHeight="false" outlineLevel="0" collapsed="false">
      <c r="A410" s="13" t="str">
        <f aca="false">IFERROR(__xludf.dummyfunction("""COMPUTED_VALUE"""),"Metro DC Faisalabad")</f>
        <v>Metro DC Faisalabad</v>
      </c>
      <c r="B410" s="13" t="str">
        <f aca="false">IFERROR(__xludf.dummyfunction("""COMPUTED_VALUE"""),"a5b76747-fa5b-49a3-ac19-3d6294d61b30")</f>
        <v>a5b76747-fa5b-49a3-ac19-3d6294d61b30</v>
      </c>
      <c r="C410" s="13" t="str">
        <f aca="false">IFERROR(__xludf.dummyfunction("""COMPUTED_VALUE"""),"Murree Brewery Bigg Apple Plastic x6 Crate 1.5L")</f>
        <v>Murree Brewery Bigg Apple Plastic x6 Crate 1.5L</v>
      </c>
      <c r="D410" s="13" t="str">
        <f aca="false">IFERROR(__xludf.dummyfunction("""COMPUTED_VALUE"""),"Murree Brewery")</f>
        <v>Murree Brewery</v>
      </c>
      <c r="E410" s="13" t="str">
        <f aca="false">IFERROR(__xludf.dummyfunction("""COMPUTED_VALUE"""),"Beverages")</f>
        <v>Beverages</v>
      </c>
      <c r="F410" s="11" t="n">
        <f aca="false">IFERROR(__xludf.dummyfunction("""COMPUTED_VALUE"""),45153)</f>
        <v>45153</v>
      </c>
      <c r="G410" s="16" t="n">
        <f aca="false">IFERROR(__xludf.dummyfunction("""COMPUTED_VALUE"""),0.866527997683762)</f>
        <v>0.8665279977</v>
      </c>
      <c r="H410" s="13" t="str">
        <f aca="false">IFERROR(__xludf.dummyfunction("""COMPUTED_VALUE"""),"damaged stock")</f>
        <v>damaged stock</v>
      </c>
      <c r="I410" s="13" t="n">
        <f aca="false">IFERROR(__xludf.dummyfunction("""COMPUTED_VALUE"""),1)</f>
        <v>1</v>
      </c>
      <c r="J410" s="13" t="n">
        <f aca="false">IFERROR(__xludf.dummyfunction("""COMPUTED_VALUE"""),726.75)</f>
        <v>726.75</v>
      </c>
      <c r="K410" s="13" t="n">
        <f aca="false">IFERROR(__xludf.dummyfunction("""COMPUTED_VALUE"""),726.75)</f>
        <v>726.75</v>
      </c>
      <c r="L410" s="13" t="str">
        <f aca="false">IFERROR(__xludf.dummyfunction("""COMPUTED_VALUE"""),"[Code: 4BEFFH] TA: found loose during sorting.(Company end issue)")</f>
        <v>[Code: 4BEFFH] TA: found loose during sorting.(Company end issue)</v>
      </c>
      <c r="M410" s="13" t="str">
        <f aca="false">IFERROR(__xludf.dummyfunction("""COMPUTED_VALUE"""),"4BEFFH")</f>
        <v>4BEFFH</v>
      </c>
      <c r="N410" s="13"/>
      <c r="O410" s="13" t="str">
        <f aca="false">IFERROR(__xludf.dummyfunction("""COMPUTED_VALUE"""),"taufeeq.akhtar@tajir-app.com")</f>
        <v>taufeeq.akhtar@tajir-app.com</v>
      </c>
      <c r="P410" s="13" t="str">
        <f aca="false">IFERROR(__xludf.dummyfunction("""COMPUTED_VALUE"""),"Taufeeq Akhtar ")</f>
        <v>Taufeeq Akhtar </v>
      </c>
      <c r="Q410" s="13" t="str">
        <f aca="false">IF(L410="","",L410)</f>
        <v>[Code: 4BEFFH] TA: found loose during sorting.(Company end issue)</v>
      </c>
    </row>
    <row r="411" customFormat="false" ht="15.75" hidden="false" customHeight="false" outlineLevel="0" collapsed="false">
      <c r="A411" s="13" t="str">
        <f aca="false">IFERROR(__xludf.dummyfunction("""COMPUTED_VALUE"""),"Metro DC Faisalabad")</f>
        <v>Metro DC Faisalabad</v>
      </c>
      <c r="B411" s="13" t="str">
        <f aca="false">IFERROR(__xludf.dummyfunction("""COMPUTED_VALUE"""),"14c0bac0-691e-447b-9bc6-6e81f589a8de")</f>
        <v>14c0bac0-691e-447b-9bc6-6e81f589a8de</v>
      </c>
      <c r="C411" s="13" t="str">
        <f aca="false">IFERROR(__xludf.dummyfunction("""COMPUTED_VALUE"""),"Rafhan Corn Flour 275g Rs160")</f>
        <v>Rafhan Corn Flour 275g Rs160</v>
      </c>
      <c r="D411" s="13" t="str">
        <f aca="false">IFERROR(__xludf.dummyfunction("""COMPUTED_VALUE"""),"Rafhan")</f>
        <v>Rafhan</v>
      </c>
      <c r="E411" s="13" t="str">
        <f aca="false">IFERROR(__xludf.dummyfunction("""COMPUTED_VALUE"""),"Grocery")</f>
        <v>Grocery</v>
      </c>
      <c r="F411" s="11" t="n">
        <f aca="false">IFERROR(__xludf.dummyfunction("""COMPUTED_VALUE"""),45154)</f>
        <v>45154</v>
      </c>
      <c r="G411" s="16" t="n">
        <f aca="false">IFERROR(__xludf.dummyfunction("""COMPUTED_VALUE"""),0.926411562499229)</f>
        <v>0.9264115625</v>
      </c>
      <c r="H411" s="13" t="str">
        <f aca="false">IFERROR(__xludf.dummyfunction("""COMPUTED_VALUE"""),"missing stock")</f>
        <v>missing stock</v>
      </c>
      <c r="I411" s="13" t="n">
        <f aca="false">IFERROR(__xludf.dummyfunction("""COMPUTED_VALUE"""),1)</f>
        <v>1</v>
      </c>
      <c r="J411" s="13" t="n">
        <f aca="false">IFERROR(__xludf.dummyfunction("""COMPUTED_VALUE"""),140)</f>
        <v>140</v>
      </c>
      <c r="K411" s="13" t="n">
        <f aca="false">IFERROR(__xludf.dummyfunction("""COMPUTED_VALUE"""),140)</f>
        <v>140</v>
      </c>
      <c r="L411" s="13" t="str">
        <f aca="false">IFERROR(__xludf.dummyfunction("""COMPUTED_VALUE""")," TA: Required Sku not Available.")</f>
        <v> TA: Required Sku not Available.</v>
      </c>
      <c r="M411" s="13"/>
      <c r="N411" s="13"/>
      <c r="O411" s="13" t="str">
        <f aca="false">IFERROR(__xludf.dummyfunction("""COMPUTED_VALUE"""),"taufeeq.akhtar@tajir-app.com")</f>
        <v>taufeeq.akhtar@tajir-app.com</v>
      </c>
      <c r="P411" s="13" t="str">
        <f aca="false">IFERROR(__xludf.dummyfunction("""COMPUTED_VALUE"""),"Taufeeq Akhtar ")</f>
        <v>Taufeeq Akhtar </v>
      </c>
      <c r="Q411" s="13" t="str">
        <f aca="false">IF(L411="","",L411)</f>
        <v> TA: Required Sku not Available.</v>
      </c>
    </row>
    <row r="412" customFormat="false" ht="15.75" hidden="false" customHeight="false" outlineLevel="0" collapsed="false">
      <c r="A412" s="13" t="str">
        <f aca="false">IFERROR(__xludf.dummyfunction("""COMPUTED_VALUE"""),"Metro DC Faisalabad")</f>
        <v>Metro DC Faisalabad</v>
      </c>
      <c r="B412" s="13" t="str">
        <f aca="false">IFERROR(__xludf.dummyfunction("""COMPUTED_VALUE"""),"bcd0395a-3af4-483a-860d-51d4eeee9e96")</f>
        <v>bcd0395a-3af4-483a-860d-51d4eeee9e96</v>
      </c>
      <c r="C412" s="13" t="str">
        <f aca="false">IFERROR(__xludf.dummyfunction("""COMPUTED_VALUE"""),"Ultra Pure Drain Opener 300ml Rs60")</f>
        <v>Ultra Pure Drain Opener 300ml Rs60</v>
      </c>
      <c r="D412" s="13" t="str">
        <f aca="false">IFERROR(__xludf.dummyfunction("""COMPUTED_VALUE"""),"Ultra Pure")</f>
        <v>Ultra Pure</v>
      </c>
      <c r="E412" s="13" t="str">
        <f aca="false">IFERROR(__xludf.dummyfunction("""COMPUTED_VALUE"""),"Home Care")</f>
        <v>Home Care</v>
      </c>
      <c r="F412" s="11" t="n">
        <f aca="false">IFERROR(__xludf.dummyfunction("""COMPUTED_VALUE"""),45154)</f>
        <v>45154</v>
      </c>
      <c r="G412" s="16" t="n">
        <f aca="false">IFERROR(__xludf.dummyfunction("""COMPUTED_VALUE"""),0.883958645831975)</f>
        <v>0.8839586458</v>
      </c>
      <c r="H412" s="13" t="str">
        <f aca="false">IFERROR(__xludf.dummyfunction("""COMPUTED_VALUE"""),"damaged stock")</f>
        <v>damaged stock</v>
      </c>
      <c r="I412" s="13" t="n">
        <f aca="false">IFERROR(__xludf.dummyfunction("""COMPUTED_VALUE"""),4)</f>
        <v>4</v>
      </c>
      <c r="J412" s="13" t="n">
        <f aca="false">IFERROR(__xludf.dummyfunction("""COMPUTED_VALUE"""),31)</f>
        <v>31</v>
      </c>
      <c r="K412" s="13" t="n">
        <f aca="false">IFERROR(__xludf.dummyfunction("""COMPUTED_VALUE"""),124)</f>
        <v>124</v>
      </c>
      <c r="L412" s="13" t="str">
        <f aca="false">IFERROR(__xludf.dummyfunction("""COMPUTED_VALUE"""),"[Code: 246AEF] T A ; 4 unit Damage found during Display  (coton sy damge mily hain )")</f>
        <v>[Code: 246AEF] T A ; 4 unit Damage found during Display  (coton sy damge mily hain )</v>
      </c>
      <c r="M412" s="13" t="str">
        <f aca="false">IFERROR(__xludf.dummyfunction("""COMPUTED_VALUE"""),"246AEF")</f>
        <v>246AEF</v>
      </c>
      <c r="N412" s="13"/>
      <c r="O412" s="13" t="str">
        <f aca="false">IFERROR(__xludf.dummyfunction("""COMPUTED_VALUE"""),"taufeeq.akhtar@tajir-app.com")</f>
        <v>taufeeq.akhtar@tajir-app.com</v>
      </c>
      <c r="P412" s="13" t="str">
        <f aca="false">IFERROR(__xludf.dummyfunction("""COMPUTED_VALUE"""),"Taufeeq Akhtar ")</f>
        <v>Taufeeq Akhtar </v>
      </c>
      <c r="Q412" s="13" t="str">
        <f aca="false">IF(L412="","",L412)</f>
        <v>[Code: 246AEF] T A ; 4 unit Damage found during Display  (coton sy damge mily hain )</v>
      </c>
    </row>
    <row r="413" customFormat="false" ht="15.75" hidden="false" customHeight="false" outlineLevel="0" collapsed="false">
      <c r="A413" s="13" t="str">
        <f aca="false">IFERROR(__xludf.dummyfunction("""COMPUTED_VALUE"""),"Metro DC Faisalabad")</f>
        <v>Metro DC Faisalabad</v>
      </c>
      <c r="B413" s="13" t="str">
        <f aca="false">IFERROR(__xludf.dummyfunction("""COMPUTED_VALUE"""),"cd68a607-af95-45cb-b9f4-2721224c85f8")</f>
        <v>cd68a607-af95-45cb-b9f4-2721224c85f8</v>
      </c>
      <c r="C413" s="13" t="str">
        <f aca="false">IFERROR(__xludf.dummyfunction("""COMPUTED_VALUE"""),"Coca Cola plastic 1.5L")</f>
        <v>Coca Cola plastic 1.5L</v>
      </c>
      <c r="D413" s="13" t="str">
        <f aca="false">IFERROR(__xludf.dummyfunction("""COMPUTED_VALUE"""),"Coca Cola")</f>
        <v>Coca Cola</v>
      </c>
      <c r="E413" s="13" t="str">
        <f aca="false">IFERROR(__xludf.dummyfunction("""COMPUTED_VALUE"""),"Beverages")</f>
        <v>Beverages</v>
      </c>
      <c r="F413" s="11" t="n">
        <f aca="false">IFERROR(__xludf.dummyfunction("""COMPUTED_VALUE"""),45156)</f>
        <v>45156</v>
      </c>
      <c r="G413" s="16" t="n">
        <f aca="false">IFERROR(__xludf.dummyfunction("""COMPUTED_VALUE"""),0.714865011574494)</f>
        <v>0.7148650116</v>
      </c>
      <c r="H413" s="13" t="str">
        <f aca="false">IFERROR(__xludf.dummyfunction("""COMPUTED_VALUE"""),"damaged stock")</f>
        <v>damaged stock</v>
      </c>
      <c r="I413" s="13" t="n">
        <f aca="false">IFERROR(__xludf.dummyfunction("""COMPUTED_VALUE"""),1)</f>
        <v>1</v>
      </c>
      <c r="J413" s="13" t="n">
        <f aca="false">IFERROR(__xludf.dummyfunction("""COMPUTED_VALUE"""),859.79)</f>
        <v>859.79</v>
      </c>
      <c r="K413" s="13" t="n">
        <f aca="false">IFERROR(__xludf.dummyfunction("""COMPUTED_VALUE"""),859.79)</f>
        <v>859.79</v>
      </c>
      <c r="L413" s="13" t="str">
        <f aca="false">IFERROR(__xludf.dummyfunction("""COMPUTED_VALUE"""),"[Code: 45779C] TA: found loose during sorting.")</f>
        <v>[Code: 45779C] TA: found loose during sorting.</v>
      </c>
      <c r="M413" s="13" t="str">
        <f aca="false">IFERROR(__xludf.dummyfunction("""COMPUTED_VALUE"""),"45779C")</f>
        <v>45779C</v>
      </c>
      <c r="N413" s="13"/>
      <c r="O413" s="13" t="str">
        <f aca="false">IFERROR(__xludf.dummyfunction("""COMPUTED_VALUE"""),"taufeeq.akhtar@tajir-app.com")</f>
        <v>taufeeq.akhtar@tajir-app.com</v>
      </c>
      <c r="P413" s="13" t="str">
        <f aca="false">IFERROR(__xludf.dummyfunction("""COMPUTED_VALUE"""),"Taufeeq Akhtar ")</f>
        <v>Taufeeq Akhtar </v>
      </c>
      <c r="Q413" s="13" t="str">
        <f aca="false">IF(L413="","",L413)</f>
        <v>[Code: 45779C] TA: found loose during sorting.</v>
      </c>
    </row>
    <row r="414" customFormat="false" ht="15.75" hidden="false" customHeight="false" outlineLevel="0" collapsed="false">
      <c r="A414" s="13" t="str">
        <f aca="false">IFERROR(__xludf.dummyfunction("""COMPUTED_VALUE"""),"Metro DC Faisalabad")</f>
        <v>Metro DC Faisalabad</v>
      </c>
      <c r="B414" s="13" t="str">
        <f aca="false">IFERROR(__xludf.dummyfunction("""COMPUTED_VALUE"""),"ad261b39-8236-46b3-b4b8-18de2ebb3efd")</f>
        <v>ad261b39-8236-46b3-b4b8-18de2ebb3efd</v>
      </c>
      <c r="C414" s="13" t="str">
        <f aca="false">IFERROR(__xludf.dummyfunction("""COMPUTED_VALUE"""),"Lipton yellow label tea 85g Rs270")</f>
        <v>Lipton yellow label tea 85g Rs270</v>
      </c>
      <c r="D414" s="13" t="str">
        <f aca="false">IFERROR(__xludf.dummyfunction("""COMPUTED_VALUE"""),"Lipton")</f>
        <v>Lipton</v>
      </c>
      <c r="E414" s="13" t="str">
        <f aca="false">IFERROR(__xludf.dummyfunction("""COMPUTED_VALUE"""),"Tea, Coffee")</f>
        <v>Tea, Coffee</v>
      </c>
      <c r="F414" s="11" t="n">
        <f aca="false">IFERROR(__xludf.dummyfunction("""COMPUTED_VALUE"""),45156)</f>
        <v>45156</v>
      </c>
      <c r="G414" s="16" t="n">
        <f aca="false">IFERROR(__xludf.dummyfunction("""COMPUTED_VALUE"""),0.701689895832536)</f>
        <v>0.7016898958</v>
      </c>
      <c r="H414" s="13" t="str">
        <f aca="false">IFERROR(__xludf.dummyfunction("""COMPUTED_VALUE"""),"damaged stock")</f>
        <v>damaged stock</v>
      </c>
      <c r="I414" s="13" t="n">
        <f aca="false">IFERROR(__xludf.dummyfunction("""COMPUTED_VALUE"""),1)</f>
        <v>1</v>
      </c>
      <c r="J414" s="13" t="n">
        <f aca="false">IFERROR(__xludf.dummyfunction("""COMPUTED_VALUE"""),247.42)</f>
        <v>247.42</v>
      </c>
      <c r="K414" s="13" t="n">
        <f aca="false">IFERROR(__xludf.dummyfunction("""COMPUTED_VALUE"""),247.42)</f>
        <v>247.42</v>
      </c>
      <c r="L414" s="13" t="str">
        <f aca="false">IFERROR(__xludf.dummyfunction("""COMPUTED_VALUE"""),"[Code: 68888C] TA: Found daamged from box.")</f>
        <v>[Code: 68888C] TA: Found daamged from box.</v>
      </c>
      <c r="M414" s="13" t="str">
        <f aca="false">IFERROR(__xludf.dummyfunction("""COMPUTED_VALUE"""),"68888C")</f>
        <v>68888C</v>
      </c>
      <c r="N414" s="13"/>
      <c r="O414" s="13" t="str">
        <f aca="false">IFERROR(__xludf.dummyfunction("""COMPUTED_VALUE"""),"taufeeq.akhtar@tajir-app.com")</f>
        <v>taufeeq.akhtar@tajir-app.com</v>
      </c>
      <c r="P414" s="13" t="str">
        <f aca="false">IFERROR(__xludf.dummyfunction("""COMPUTED_VALUE"""),"Taufeeq Akhtar ")</f>
        <v>Taufeeq Akhtar </v>
      </c>
      <c r="Q414" s="13" t="str">
        <f aca="false">IF(L414="","",L414)</f>
        <v>[Code: 68888C] TA: Found daamged from box.</v>
      </c>
    </row>
    <row r="415" customFormat="false" ht="15.75" hidden="false" customHeight="false" outlineLevel="0" collapsed="false">
      <c r="A415" s="13" t="str">
        <f aca="false">IFERROR(__xludf.dummyfunction("""COMPUTED_VALUE"""),"Metro DC Faisalabad")</f>
        <v>Metro DC Faisalabad</v>
      </c>
      <c r="B415" s="13" t="str">
        <f aca="false">IFERROR(__xludf.dummyfunction("""COMPUTED_VALUE"""),"2f4582c6-2964-4844-8b03-c3a586c876c9")</f>
        <v>2f4582c6-2964-4844-8b03-c3a586c876c9</v>
      </c>
      <c r="C415" s="13" t="str">
        <f aca="false">IFERROR(__xludf.dummyfunction("""COMPUTED_VALUE"""),"Hairx Herbal Shampoo 360ml Rs450")</f>
        <v>Hairx Herbal Shampoo 360ml Rs450</v>
      </c>
      <c r="D415" s="13" t="str">
        <f aca="false">IFERROR(__xludf.dummyfunction("""COMPUTED_VALUE"""),"Ultra Pure")</f>
        <v>Ultra Pure</v>
      </c>
      <c r="E415" s="13" t="str">
        <f aca="false">IFERROR(__xludf.dummyfunction("""COMPUTED_VALUE"""),"Shampoo")</f>
        <v>Shampoo</v>
      </c>
      <c r="F415" s="11" t="n">
        <f aca="false">IFERROR(__xludf.dummyfunction("""COMPUTED_VALUE"""),45157)</f>
        <v>45157</v>
      </c>
      <c r="G415" s="16" t="n">
        <f aca="false">IFERROR(__xludf.dummyfunction("""COMPUTED_VALUE"""),0.994865995369627)</f>
        <v>0.9948659954</v>
      </c>
      <c r="H415" s="13" t="str">
        <f aca="false">IFERROR(__xludf.dummyfunction("""COMPUTED_VALUE"""),"damaged stock")</f>
        <v>damaged stock</v>
      </c>
      <c r="I415" s="13" t="n">
        <f aca="false">IFERROR(__xludf.dummyfunction("""COMPUTED_VALUE"""),1)</f>
        <v>1</v>
      </c>
      <c r="J415" s="13" t="n">
        <f aca="false">IFERROR(__xludf.dummyfunction("""COMPUTED_VALUE"""),180)</f>
        <v>180</v>
      </c>
      <c r="K415" s="13" t="n">
        <f aca="false">IFERROR(__xludf.dummyfunction("""COMPUTED_VALUE"""),180)</f>
        <v>180</v>
      </c>
      <c r="L415" s="13" t="str">
        <f aca="false">IFERROR(__xludf.dummyfunction("""COMPUTED_VALUE"""),"[Code: 3577DE] TA: Found damaged from durring display .")</f>
        <v>[Code: 3577DE] TA: Found damaged from durring display .</v>
      </c>
      <c r="M415" s="13" t="str">
        <f aca="false">IFERROR(__xludf.dummyfunction("""COMPUTED_VALUE"""),"3577DE")</f>
        <v>3577DE</v>
      </c>
      <c r="N415" s="13"/>
      <c r="O415" s="13" t="str">
        <f aca="false">IFERROR(__xludf.dummyfunction("""COMPUTED_VALUE"""),"taufeeq.akhtar@tajir-app.com")</f>
        <v>taufeeq.akhtar@tajir-app.com</v>
      </c>
      <c r="P415" s="13" t="str">
        <f aca="false">IFERROR(__xludf.dummyfunction("""COMPUTED_VALUE"""),"Taufeeq Akhtar ")</f>
        <v>Taufeeq Akhtar </v>
      </c>
      <c r="Q415" s="13" t="str">
        <f aca="false">IF(L415="","",L415)</f>
        <v>[Code: 3577DE] TA: Found damaged from durring display .</v>
      </c>
    </row>
    <row r="416" customFormat="false" ht="15.75" hidden="false" customHeight="false" outlineLevel="0" collapsed="false">
      <c r="A416" s="13" t="str">
        <f aca="false">IFERROR(__xludf.dummyfunction("""COMPUTED_VALUE"""),"Metro DC Faisalabad")</f>
        <v>Metro DC Faisalabad</v>
      </c>
      <c r="B416" s="13" t="str">
        <f aca="false">IFERROR(__xludf.dummyfunction("""COMPUTED_VALUE"""),"6bf8e4d8-b1ee-4416-8677-04c83525e4ce")</f>
        <v>6bf8e4d8-b1ee-4416-8677-04c83525e4ce</v>
      </c>
      <c r="C416" s="13" t="str">
        <f aca="false">IFERROR(__xludf.dummyfunction("""COMPUTED_VALUE"""),"Dummer Super Fine Atta 15kg")</f>
        <v>Dummer Super Fine Atta 15kg</v>
      </c>
      <c r="D416" s="13" t="str">
        <f aca="false">IFERROR(__xludf.dummyfunction("""COMPUTED_VALUE"""),"Dummer Atta")</f>
        <v>Dummer Atta</v>
      </c>
      <c r="E416" s="13" t="str">
        <f aca="false">IFERROR(__xludf.dummyfunction("""COMPUTED_VALUE"""),"Flour")</f>
        <v>Flour</v>
      </c>
      <c r="F416" s="11" t="n">
        <f aca="false">IFERROR(__xludf.dummyfunction("""COMPUTED_VALUE"""),45157)</f>
        <v>45157</v>
      </c>
      <c r="G416" s="16" t="n">
        <f aca="false">IFERROR(__xludf.dummyfunction("""COMPUTED_VALUE"""),0.985899247686732)</f>
        <v>0.9858992477</v>
      </c>
      <c r="H416" s="13" t="str">
        <f aca="false">IFERROR(__xludf.dummyfunction("""COMPUTED_VALUE"""),"damaged stock")</f>
        <v>damaged stock</v>
      </c>
      <c r="I416" s="13" t="n">
        <f aca="false">IFERROR(__xludf.dummyfunction("""COMPUTED_VALUE"""),6)</f>
        <v>6</v>
      </c>
      <c r="J416" s="13" t="n">
        <f aca="false">IFERROR(__xludf.dummyfunction("""COMPUTED_VALUE"""),2050)</f>
        <v>2050</v>
      </c>
      <c r="K416" s="13" t="n">
        <f aca="false">IFERROR(__xludf.dummyfunction("""COMPUTED_VALUE"""),12300)</f>
        <v>12300</v>
      </c>
      <c r="L416" s="13" t="str">
        <f aca="false">IFERROR(__xludf.dummyfunction("""COMPUTED_VALUE"""),"[Code: 2358AD] TA: fungus(ulli) lagi hay atay may.")</f>
        <v>[Code: 2358AD] TA: fungus(ulli) lagi hay atay may.</v>
      </c>
      <c r="M416" s="13" t="str">
        <f aca="false">IFERROR(__xludf.dummyfunction("""COMPUTED_VALUE"""),"2358AD")</f>
        <v>2358AD</v>
      </c>
      <c r="N416" s="13"/>
      <c r="O416" s="13" t="str">
        <f aca="false">IFERROR(__xludf.dummyfunction("""COMPUTED_VALUE"""),"taufeeq.akhtar@tajir-app.com")</f>
        <v>taufeeq.akhtar@tajir-app.com</v>
      </c>
      <c r="P416" s="13" t="str">
        <f aca="false">IFERROR(__xludf.dummyfunction("""COMPUTED_VALUE"""),"Taufeeq Akhtar ")</f>
        <v>Taufeeq Akhtar </v>
      </c>
      <c r="Q416" s="13" t="str">
        <f aca="false">IF(L416="","",L416)</f>
        <v>[Code: 2358AD] TA: fungus(ulli) lagi hay atay may.</v>
      </c>
    </row>
    <row r="417" customFormat="false" ht="15.75" hidden="false" customHeight="false" outlineLevel="0" collapsed="false">
      <c r="A417" s="13" t="str">
        <f aca="false">IFERROR(__xludf.dummyfunction("""COMPUTED_VALUE"""),"Metro DC Faisalabad")</f>
        <v>Metro DC Faisalabad</v>
      </c>
      <c r="B417" s="13" t="str">
        <f aca="false">IFERROR(__xludf.dummyfunction("""COMPUTED_VALUE"""),"8af448e7-ff6d-4e39-a837-4e923e99504e")</f>
        <v>8af448e7-ff6d-4e39-a837-4e923e99504e</v>
      </c>
      <c r="C417" s="13" t="str">
        <f aca="false">IFERROR(__xludf.dummyfunction("""COMPUTED_VALUE"""),"Murree Brewery Bigg Apple Plastic x6 Crate 1L (One Liter)")</f>
        <v>Murree Brewery Bigg Apple Plastic x6 Crate 1L (One Liter)</v>
      </c>
      <c r="D417" s="13" t="str">
        <f aca="false">IFERROR(__xludf.dummyfunction("""COMPUTED_VALUE"""),"Murree Brewery")</f>
        <v>Murree Brewery</v>
      </c>
      <c r="E417" s="13" t="str">
        <f aca="false">IFERROR(__xludf.dummyfunction("""COMPUTED_VALUE"""),"Beverages")</f>
        <v>Beverages</v>
      </c>
      <c r="F417" s="11" t="n">
        <f aca="false">IFERROR(__xludf.dummyfunction("""COMPUTED_VALUE"""),45157)</f>
        <v>45157</v>
      </c>
      <c r="G417" s="16" t="n">
        <f aca="false">IFERROR(__xludf.dummyfunction("""COMPUTED_VALUE"""),0.983145520834875)</f>
        <v>0.9831455208</v>
      </c>
      <c r="H417" s="13" t="str">
        <f aca="false">IFERROR(__xludf.dummyfunction("""COMPUTED_VALUE"""),"damaged stock")</f>
        <v>damaged stock</v>
      </c>
      <c r="I417" s="13" t="n">
        <f aca="false">IFERROR(__xludf.dummyfunction("""COMPUTED_VALUE"""),1)</f>
        <v>1</v>
      </c>
      <c r="J417" s="13" t="n">
        <f aca="false">IFERROR(__xludf.dummyfunction("""COMPUTED_VALUE"""),456)</f>
        <v>456</v>
      </c>
      <c r="K417" s="13" t="n">
        <f aca="false">IFERROR(__xludf.dummyfunction("""COMPUTED_VALUE"""),456)</f>
        <v>456</v>
      </c>
      <c r="L417" s="13" t="str">
        <f aca="false">IFERROR(__xludf.dummyfunction("""COMPUTED_VALUE"""),"[Code: 33778E] TA: found loose bottels during sorting.")</f>
        <v>[Code: 33778E] TA: found loose bottels during sorting.</v>
      </c>
      <c r="M417" s="13" t="str">
        <f aca="false">IFERROR(__xludf.dummyfunction("""COMPUTED_VALUE"""),"33778E")</f>
        <v>33778E</v>
      </c>
      <c r="N417" s="13"/>
      <c r="O417" s="13" t="str">
        <f aca="false">IFERROR(__xludf.dummyfunction("""COMPUTED_VALUE"""),"taufeeq.akhtar@tajir-app.com")</f>
        <v>taufeeq.akhtar@tajir-app.com</v>
      </c>
      <c r="P417" s="13" t="str">
        <f aca="false">IFERROR(__xludf.dummyfunction("""COMPUTED_VALUE"""),"Taufeeq Akhtar ")</f>
        <v>Taufeeq Akhtar </v>
      </c>
      <c r="Q417" s="13" t="str">
        <f aca="false">IF(L417="","",L417)</f>
        <v>[Code: 33778E] TA: found loose bottels during sorting.</v>
      </c>
    </row>
    <row r="418" customFormat="false" ht="15.75" hidden="false" customHeight="false" outlineLevel="0" collapsed="false">
      <c r="A418" s="13" t="str">
        <f aca="false">IFERROR(__xludf.dummyfunction("""COMPUTED_VALUE"""),"Metro DC Faisalabad")</f>
        <v>Metro DC Faisalabad</v>
      </c>
      <c r="B418" s="13" t="str">
        <f aca="false">IFERROR(__xludf.dummyfunction("""COMPUTED_VALUE"""),"6bf8e4d8-b1ee-4416-8677-04c83525e4ce")</f>
        <v>6bf8e4d8-b1ee-4416-8677-04c83525e4ce</v>
      </c>
      <c r="C418" s="13" t="str">
        <f aca="false">IFERROR(__xludf.dummyfunction("""COMPUTED_VALUE"""),"Dummer Super Fine Atta 15kg")</f>
        <v>Dummer Super Fine Atta 15kg</v>
      </c>
      <c r="D418" s="13" t="str">
        <f aca="false">IFERROR(__xludf.dummyfunction("""COMPUTED_VALUE"""),"Dummer Atta")</f>
        <v>Dummer Atta</v>
      </c>
      <c r="E418" s="13" t="str">
        <f aca="false">IFERROR(__xludf.dummyfunction("""COMPUTED_VALUE"""),"Flour")</f>
        <v>Flour</v>
      </c>
      <c r="F418" s="11" t="n">
        <f aca="false">IFERROR(__xludf.dummyfunction("""COMPUTED_VALUE"""),45158)</f>
        <v>45158</v>
      </c>
      <c r="G418" s="16" t="n">
        <f aca="false">IFERROR(__xludf.dummyfunction("""COMPUTED_VALUE"""),0.961747500001148)</f>
        <v>0.9617475</v>
      </c>
      <c r="H418" s="13" t="str">
        <f aca="false">IFERROR(__xludf.dummyfunction("""COMPUTED_VALUE"""),"damaged stock")</f>
        <v>damaged stock</v>
      </c>
      <c r="I418" s="13" t="n">
        <f aca="false">IFERROR(__xludf.dummyfunction("""COMPUTED_VALUE"""),1)</f>
        <v>1</v>
      </c>
      <c r="J418" s="13" t="n">
        <f aca="false">IFERROR(__xludf.dummyfunction("""COMPUTED_VALUE"""),2050)</f>
        <v>2050</v>
      </c>
      <c r="K418" s="13" t="n">
        <f aca="false">IFERROR(__xludf.dummyfunction("""COMPUTED_VALUE"""),2050)</f>
        <v>2050</v>
      </c>
      <c r="L418" s="13" t="str">
        <f aca="false">IFERROR(__xludf.dummyfunction("""COMPUTED_VALUE"""),"[Code: 2346CC]  TA: fungus(ulli) lagi hay atay may.")</f>
        <v>[Code: 2346CC]  TA: fungus(ulli) lagi hay atay may.</v>
      </c>
      <c r="M418" s="13" t="str">
        <f aca="false">IFERROR(__xludf.dummyfunction("""COMPUTED_VALUE"""),"2346CC")</f>
        <v>2346CC</v>
      </c>
      <c r="N418" s="13"/>
      <c r="O418" s="13" t="str">
        <f aca="false">IFERROR(__xludf.dummyfunction("""COMPUTED_VALUE"""),"taufeeq.akhtar@tajir-app.com")</f>
        <v>taufeeq.akhtar@tajir-app.com</v>
      </c>
      <c r="P418" s="13" t="str">
        <f aca="false">IFERROR(__xludf.dummyfunction("""COMPUTED_VALUE"""),"Taufeeq Akhtar ")</f>
        <v>Taufeeq Akhtar </v>
      </c>
      <c r="Q418" s="13" t="str">
        <f aca="false">IF(L418="","",L418)</f>
        <v>[Code: 2346CC]  TA: fungus(ulli) lagi hay atay may.</v>
      </c>
    </row>
    <row r="419" customFormat="false" ht="15.75" hidden="false" customHeight="false" outlineLevel="0" collapsed="false">
      <c r="A419" s="13" t="str">
        <f aca="false">IFERROR(__xludf.dummyfunction("""COMPUTED_VALUE"""),"Metro DC Faisalabad")</f>
        <v>Metro DC Faisalabad</v>
      </c>
      <c r="B419" s="13" t="str">
        <f aca="false">IFERROR(__xludf.dummyfunction("""COMPUTED_VALUE"""),"f5d0fa7a-c3e6-4b73-a02d-50506e9dd23b")</f>
        <v>f5d0fa7a-c3e6-4b73-a02d-50506e9dd23b</v>
      </c>
      <c r="C419" s="13" t="str">
        <f aca="false">IFERROR(__xludf.dummyfunction("""COMPUTED_VALUE"""),"Ultra Pure Surf 1kg Rs350")</f>
        <v>Ultra Pure Surf 1kg Rs350</v>
      </c>
      <c r="D419" s="13" t="str">
        <f aca="false">IFERROR(__xludf.dummyfunction("""COMPUTED_VALUE"""),"Ultra Pure")</f>
        <v>Ultra Pure</v>
      </c>
      <c r="E419" s="13" t="str">
        <f aca="false">IFERROR(__xludf.dummyfunction("""COMPUTED_VALUE"""),"Surf, Bleach")</f>
        <v>Surf, Bleach</v>
      </c>
      <c r="F419" s="11" t="n">
        <f aca="false">IFERROR(__xludf.dummyfunction("""COMPUTED_VALUE"""),45158)</f>
        <v>45158</v>
      </c>
      <c r="G419" s="16" t="n">
        <f aca="false">IFERROR(__xludf.dummyfunction("""COMPUTED_VALUE"""),0.90817731481647)</f>
        <v>0.9081773148</v>
      </c>
      <c r="H419" s="13" t="str">
        <f aca="false">IFERROR(__xludf.dummyfunction("""COMPUTED_VALUE"""),"damaged stock")</f>
        <v>damaged stock</v>
      </c>
      <c r="I419" s="13" t="n">
        <f aca="false">IFERROR(__xludf.dummyfunction("""COMPUTED_VALUE"""),1)</f>
        <v>1</v>
      </c>
      <c r="J419" s="13" t="n">
        <f aca="false">IFERROR(__xludf.dummyfunction("""COMPUTED_VALUE"""),172)</f>
        <v>172</v>
      </c>
      <c r="K419" s="13" t="n">
        <f aca="false">IFERROR(__xludf.dummyfunction("""COMPUTED_VALUE"""),172)</f>
        <v>172</v>
      </c>
      <c r="L419" s="13" t="str">
        <f aca="false">IFERROR(__xludf.dummyfunction("""COMPUTED_VALUE"""),"[Code: BBDJKL]  TA: Found damaged from bag  during display .")</f>
        <v>[Code: BBDJKL]  TA: Found damaged from bag  during display .</v>
      </c>
      <c r="M419" s="13" t="str">
        <f aca="false">IFERROR(__xludf.dummyfunction("""COMPUTED_VALUE"""),"BBDJKL")</f>
        <v>BBDJKL</v>
      </c>
      <c r="N419" s="13"/>
      <c r="O419" s="13" t="str">
        <f aca="false">IFERROR(__xludf.dummyfunction("""COMPUTED_VALUE"""),"taufeeq.akhtar@tajir-app.com")</f>
        <v>taufeeq.akhtar@tajir-app.com</v>
      </c>
      <c r="P419" s="13" t="str">
        <f aca="false">IFERROR(__xludf.dummyfunction("""COMPUTED_VALUE"""),"Taufeeq Akhtar ")</f>
        <v>Taufeeq Akhtar </v>
      </c>
      <c r="Q419" s="13" t="str">
        <f aca="false">IF(L419="","",L419)</f>
        <v>[Code: BBDJKL]  TA: Found damaged from bag  during display .</v>
      </c>
    </row>
    <row r="420" customFormat="false" ht="15.75" hidden="false" customHeight="false" outlineLevel="0" collapsed="false">
      <c r="A420" s="13" t="str">
        <f aca="false">IFERROR(__xludf.dummyfunction("""COMPUTED_VALUE"""),"Metro DC Faisalabad")</f>
        <v>Metro DC Faisalabad</v>
      </c>
      <c r="B420" s="13" t="str">
        <f aca="false">IFERROR(__xludf.dummyfunction("""COMPUTED_VALUE"""),"d864c0cd-914b-4a54-96d5-8e894ba5f3b6")</f>
        <v>d864c0cd-914b-4a54-96d5-8e894ba5f3b6</v>
      </c>
      <c r="C420" s="13" t="str">
        <f aca="false">IFERROR(__xludf.dummyfunction("""COMPUTED_VALUE"""),"Surf Excel x6 bundle 20g Rs 10")</f>
        <v>Surf Excel x6 bundle 20g Rs 10</v>
      </c>
      <c r="D420" s="13" t="str">
        <f aca="false">IFERROR(__xludf.dummyfunction("""COMPUTED_VALUE"""),"Surf Excel")</f>
        <v>Surf Excel</v>
      </c>
      <c r="E420" s="13" t="str">
        <f aca="false">IFERROR(__xludf.dummyfunction("""COMPUTED_VALUE"""),"Surf, Bleach")</f>
        <v>Surf, Bleach</v>
      </c>
      <c r="F420" s="11" t="n">
        <f aca="false">IFERROR(__xludf.dummyfunction("""COMPUTED_VALUE"""),45158)</f>
        <v>45158</v>
      </c>
      <c r="G420" s="16" t="n">
        <f aca="false">IFERROR(__xludf.dummyfunction("""COMPUTED_VALUE"""),0.904656099538379)</f>
        <v>0.9046560995</v>
      </c>
      <c r="H420" s="13" t="str">
        <f aca="false">IFERROR(__xludf.dummyfunction("""COMPUTED_VALUE"""),"damaged stock")</f>
        <v>damaged stock</v>
      </c>
      <c r="I420" s="13" t="n">
        <f aca="false">IFERROR(__xludf.dummyfunction("""COMPUTED_VALUE"""),1)</f>
        <v>1</v>
      </c>
      <c r="J420" s="13" t="n">
        <f aca="false">IFERROR(__xludf.dummyfunction("""COMPUTED_VALUE"""),55.21)</f>
        <v>55.21</v>
      </c>
      <c r="K420" s="13" t="n">
        <f aca="false">IFERROR(__xludf.dummyfunction("""COMPUTED_VALUE"""),55.21)</f>
        <v>55.21</v>
      </c>
      <c r="L420" s="13" t="str">
        <f aca="false">IFERROR(__xludf.dummyfunction("""COMPUTED_VALUE"""),"[Code: 356689]   TA: Found damage from bag ")</f>
        <v>[Code: 356689]   TA: Found damage from bag </v>
      </c>
      <c r="M420" s="13" t="str">
        <f aca="false">IFERROR(__xludf.dummyfunction("""COMPUTED_VALUE"""),"356689")</f>
        <v>356689</v>
      </c>
      <c r="N420" s="13"/>
      <c r="O420" s="13" t="str">
        <f aca="false">IFERROR(__xludf.dummyfunction("""COMPUTED_VALUE"""),"taufeeq.akhtar@tajir-app.com")</f>
        <v>taufeeq.akhtar@tajir-app.com</v>
      </c>
      <c r="P420" s="13" t="str">
        <f aca="false">IFERROR(__xludf.dummyfunction("""COMPUTED_VALUE"""),"Taufeeq Akhtar ")</f>
        <v>Taufeeq Akhtar </v>
      </c>
      <c r="Q420" s="13" t="str">
        <f aca="false">IF(L420="","",L420)</f>
        <v>[Code: 356689]   TA: Found damage from bag </v>
      </c>
    </row>
    <row r="421" customFormat="false" ht="15.75" hidden="false" customHeight="false" outlineLevel="0" collapsed="false">
      <c r="A421" s="13" t="str">
        <f aca="false">IFERROR(__xludf.dummyfunction("""COMPUTED_VALUE"""),"Metro DC Faisalabad")</f>
        <v>Metro DC Faisalabad</v>
      </c>
      <c r="B421" s="13" t="str">
        <f aca="false">IFERROR(__xludf.dummyfunction("""COMPUTED_VALUE"""),"13e1aca6-1334-4628-8642-373185a2eeb7")</f>
        <v>13e1aca6-1334-4628-8642-373185a2eeb7</v>
      </c>
      <c r="C421" s="13" t="str">
        <f aca="false">IFERROR(__xludf.dummyfunction("""COMPUTED_VALUE"""),"Shangrila Tomato Ketchup x6 Bundle 225g")</f>
        <v>Shangrila Tomato Ketchup x6 Bundle 225g</v>
      </c>
      <c r="D421" s="13" t="str">
        <f aca="false">IFERROR(__xludf.dummyfunction("""COMPUTED_VALUE"""),"Shangrila")</f>
        <v>Shangrila</v>
      </c>
      <c r="E421" s="13" t="str">
        <f aca="false">IFERROR(__xludf.dummyfunction("""COMPUTED_VALUE"""),"Sauces")</f>
        <v>Sauces</v>
      </c>
      <c r="F421" s="11" t="n">
        <f aca="false">IFERROR(__xludf.dummyfunction("""COMPUTED_VALUE"""),45160)</f>
        <v>45160</v>
      </c>
      <c r="G421" s="16" t="n">
        <f aca="false">IFERROR(__xludf.dummyfunction("""COMPUTED_VALUE"""),0.930877499999482)</f>
        <v>0.9308775</v>
      </c>
      <c r="H421" s="13" t="str">
        <f aca="false">IFERROR(__xludf.dummyfunction("""COMPUTED_VALUE"""),"damaged stock")</f>
        <v>damaged stock</v>
      </c>
      <c r="I421" s="13" t="n">
        <f aca="false">IFERROR(__xludf.dummyfunction("""COMPUTED_VALUE"""),1)</f>
        <v>1</v>
      </c>
      <c r="J421" s="13" t="n">
        <f aca="false">IFERROR(__xludf.dummyfunction("""COMPUTED_VALUE"""),614.12)</f>
        <v>614.12</v>
      </c>
      <c r="K421" s="13" t="n">
        <f aca="false">IFERROR(__xludf.dummyfunction("""COMPUTED_VALUE"""),614.12)</f>
        <v>614.12</v>
      </c>
      <c r="L421" s="13" t="str">
        <f aca="false">IFERROR(__xludf.dummyfunction("""COMPUTED_VALUE"""),"[Code: 344566] TA: Found damaged from box during display.")</f>
        <v>[Code: 344566] TA: Found damaged from box during display.</v>
      </c>
      <c r="M421" s="13" t="str">
        <f aca="false">IFERROR(__xludf.dummyfunction("""COMPUTED_VALUE"""),"344566")</f>
        <v>344566</v>
      </c>
      <c r="N421" s="13"/>
      <c r="O421" s="13" t="str">
        <f aca="false">IFERROR(__xludf.dummyfunction("""COMPUTED_VALUE"""),"taufeeq.akhtar@tajir-app.com")</f>
        <v>taufeeq.akhtar@tajir-app.com</v>
      </c>
      <c r="P421" s="13" t="str">
        <f aca="false">IFERROR(__xludf.dummyfunction("""COMPUTED_VALUE"""),"Taufeeq Akhtar ")</f>
        <v>Taufeeq Akhtar </v>
      </c>
      <c r="Q421" s="13" t="str">
        <f aca="false">IF(L421="","",L421)</f>
        <v>[Code: 344566] TA: Found damaged from box during display.</v>
      </c>
    </row>
    <row r="422" customFormat="false" ht="15.75" hidden="false" customHeight="false" outlineLevel="0" collapsed="false">
      <c r="A422" s="13" t="str">
        <f aca="false">IFERROR(__xludf.dummyfunction("""COMPUTED_VALUE"""),"Metro DC Faisalabad")</f>
        <v>Metro DC Faisalabad</v>
      </c>
      <c r="B422" s="13" t="str">
        <f aca="false">IFERROR(__xludf.dummyfunction("""COMPUTED_VALUE"""),"717c11ae-c3bc-4378-a184-2154badcf63d")</f>
        <v>717c11ae-c3bc-4378-a184-2154badcf63d</v>
      </c>
      <c r="C422" s="13" t="str">
        <f aca="false">IFERROR(__xludf.dummyfunction("""COMPUTED_VALUE"""),"Quality Grains Daal Mash Wash 500g")</f>
        <v>Quality Grains Daal Mash Wash 500g</v>
      </c>
      <c r="D422" s="13" t="str">
        <f aca="false">IFERROR(__xludf.dummyfunction("""COMPUTED_VALUE"""),"Quality Grains")</f>
        <v>Quality Grains</v>
      </c>
      <c r="E422" s="13" t="str">
        <f aca="false">IFERROR(__xludf.dummyfunction("""COMPUTED_VALUE"""),"Pulses")</f>
        <v>Pulses</v>
      </c>
      <c r="F422" s="11" t="n">
        <f aca="false">IFERROR(__xludf.dummyfunction("""COMPUTED_VALUE"""),45160)</f>
        <v>45160</v>
      </c>
      <c r="G422" s="16" t="n">
        <f aca="false">IFERROR(__xludf.dummyfunction("""COMPUTED_VALUE"""),0.502580231481853)</f>
        <v>0.5025802315</v>
      </c>
      <c r="H422" s="13" t="str">
        <f aca="false">IFERROR(__xludf.dummyfunction("""COMPUTED_VALUE"""),"damaged stock")</f>
        <v>damaged stock</v>
      </c>
      <c r="I422" s="13" t="n">
        <f aca="false">IFERROR(__xludf.dummyfunction("""COMPUTED_VALUE"""),1)</f>
        <v>1</v>
      </c>
      <c r="J422" s="13" t="n">
        <f aca="false">IFERROR(__xludf.dummyfunction("""COMPUTED_VALUE"""),272)</f>
        <v>272</v>
      </c>
      <c r="K422" s="13" t="n">
        <f aca="false">IFERROR(__xludf.dummyfunction("""COMPUTED_VALUE"""),272)</f>
        <v>272</v>
      </c>
      <c r="L422" s="13" t="str">
        <f aca="false">IFERROR(__xludf.dummyfunction("""COMPUTED_VALUE"""),"[Code: 22366A] one unit found damaged due to fungus")</f>
        <v>[Code: 22366A] one unit found damaged due to fungus</v>
      </c>
      <c r="M422" s="13" t="str">
        <f aca="false">IFERROR(__xludf.dummyfunction("""COMPUTED_VALUE"""),"22366A")</f>
        <v>22366A</v>
      </c>
      <c r="N422" s="13"/>
      <c r="O422" s="13" t="str">
        <f aca="false">IFERROR(__xludf.dummyfunction("""COMPUTED_VALUE"""),"ali.raza@tajir-app.com")</f>
        <v>ali.raza@tajir-app.com</v>
      </c>
      <c r="P422" s="13" t="str">
        <f aca="false">IFERROR(__xludf.dummyfunction("""COMPUTED_VALUE"""),"Ali Raza ")</f>
        <v>Ali Raza </v>
      </c>
      <c r="Q422" s="13" t="str">
        <f aca="false">IF(L422="","",L422)</f>
        <v>[Code: 22366A] one unit found damaged due to fungus</v>
      </c>
    </row>
    <row r="423" customFormat="false" ht="15.75" hidden="false" customHeight="false" outlineLevel="0" collapsed="false">
      <c r="A423" s="13" t="str">
        <f aca="false">IFERROR(__xludf.dummyfunction("""COMPUTED_VALUE"""),"Metro DC Faisalabad")</f>
        <v>Metro DC Faisalabad</v>
      </c>
      <c r="B423" s="13" t="str">
        <f aca="false">IFERROR(__xludf.dummyfunction("""COMPUTED_VALUE"""),"eb5c71cb-609c-4f22-a442-ffab083be8ac")</f>
        <v>eb5c71cb-609c-4f22-a442-ffab083be8ac</v>
      </c>
      <c r="C423" s="13" t="str">
        <f aca="false">IFERROR(__xludf.dummyfunction("""COMPUTED_VALUE"""),"Sherdil Masar Desi 1kg")</f>
        <v>Sherdil Masar Desi 1kg</v>
      </c>
      <c r="D423" s="13" t="str">
        <f aca="false">IFERROR(__xludf.dummyfunction("""COMPUTED_VALUE"""),"Sherdil")</f>
        <v>Sherdil</v>
      </c>
      <c r="E423" s="13" t="str">
        <f aca="false">IFERROR(__xludf.dummyfunction("""COMPUTED_VALUE"""),"Pulses")</f>
        <v>Pulses</v>
      </c>
      <c r="F423" s="11" t="n">
        <f aca="false">IFERROR(__xludf.dummyfunction("""COMPUTED_VALUE"""),45161)</f>
        <v>45161</v>
      </c>
      <c r="G423" s="16" t="n">
        <f aca="false">IFERROR(__xludf.dummyfunction("""COMPUTED_VALUE"""),0.708107372684431)</f>
        <v>0.7081073727</v>
      </c>
      <c r="H423" s="13" t="str">
        <f aca="false">IFERROR(__xludf.dummyfunction("""COMPUTED_VALUE"""),"damaged stock")</f>
        <v>damaged stock</v>
      </c>
      <c r="I423" s="13" t="n">
        <f aca="false">IFERROR(__xludf.dummyfunction("""COMPUTED_VALUE"""),98)</f>
        <v>98</v>
      </c>
      <c r="J423" s="13" t="n">
        <f aca="false">IFERROR(__xludf.dummyfunction("""COMPUTED_VALUE"""),569)</f>
        <v>569</v>
      </c>
      <c r="K423" s="13" t="n">
        <f aca="false">IFERROR(__xludf.dummyfunction("""COMPUTED_VALUE"""),55762)</f>
        <v>55762</v>
      </c>
      <c r="L423" s="13" t="str">
        <f aca="false">IFERROR(__xludf.dummyfunction("""COMPUTED_VALUE"""),"[Code: 3AAEFL] 98 units return to vendor due to sale ")</f>
        <v>[Code: 3AAEFL] 98 units return to vendor due to sale </v>
      </c>
      <c r="M423" s="13" t="str">
        <f aca="false">IFERROR(__xludf.dummyfunction("""COMPUTED_VALUE"""),"3AAEFL")</f>
        <v>3AAEFL</v>
      </c>
      <c r="N423" s="13"/>
      <c r="O423" s="13" t="str">
        <f aca="false">IFERROR(__xludf.dummyfunction("""COMPUTED_VALUE"""),"ali.raza@tajir-app.com")</f>
        <v>ali.raza@tajir-app.com</v>
      </c>
      <c r="P423" s="13" t="str">
        <f aca="false">IFERROR(__xludf.dummyfunction("""COMPUTED_VALUE"""),"Ali Raza ")</f>
        <v>Ali Raza </v>
      </c>
      <c r="Q423" s="13" t="str">
        <f aca="false">IF(L423="","",L423)</f>
        <v>[Code: 3AAEFL] 98 units return to vendor due to sale </v>
      </c>
    </row>
    <row r="424" customFormat="false" ht="15.75" hidden="false" customHeight="false" outlineLevel="0" collapsed="false">
      <c r="A424" s="13" t="str">
        <f aca="false">IFERROR(__xludf.dummyfunction("""COMPUTED_VALUE"""),"Metro DC Faisalabad")</f>
        <v>Metro DC Faisalabad</v>
      </c>
      <c r="B424" s="13" t="str">
        <f aca="false">IFERROR(__xludf.dummyfunction("""COMPUTED_VALUE"""),"da91f26e-758a-4787-8d66-43e126813b36")</f>
        <v>da91f26e-758a-4787-8d66-43e126813b36</v>
      </c>
      <c r="C424" s="13" t="str">
        <f aca="false">IFERROR(__xludf.dummyfunction("""COMPUTED_VALUE"""),"Sherdil Masar Desi 500g")</f>
        <v>Sherdil Masar Desi 500g</v>
      </c>
      <c r="D424" s="13" t="str">
        <f aca="false">IFERROR(__xludf.dummyfunction("""COMPUTED_VALUE"""),"Sherdil")</f>
        <v>Sherdil</v>
      </c>
      <c r="E424" s="13" t="str">
        <f aca="false">IFERROR(__xludf.dummyfunction("""COMPUTED_VALUE"""),"Pulses")</f>
        <v>Pulses</v>
      </c>
      <c r="F424" s="11" t="n">
        <f aca="false">IFERROR(__xludf.dummyfunction("""COMPUTED_VALUE"""),45161)</f>
        <v>45161</v>
      </c>
      <c r="G424" s="16" t="n">
        <f aca="false">IFERROR(__xludf.dummyfunction("""COMPUTED_VALUE"""),0.7069285995368)</f>
        <v>0.7069285995</v>
      </c>
      <c r="H424" s="13" t="str">
        <f aca="false">IFERROR(__xludf.dummyfunction("""COMPUTED_VALUE"""),"damaged stock")</f>
        <v>damaged stock</v>
      </c>
      <c r="I424" s="13" t="n">
        <f aca="false">IFERROR(__xludf.dummyfunction("""COMPUTED_VALUE"""),289)</f>
        <v>289</v>
      </c>
      <c r="J424" s="13" t="n">
        <f aca="false">IFERROR(__xludf.dummyfunction("""COMPUTED_VALUE"""),293)</f>
        <v>293</v>
      </c>
      <c r="K424" s="13" t="n">
        <f aca="false">IFERROR(__xludf.dummyfunction("""COMPUTED_VALUE"""),84677)</f>
        <v>84677</v>
      </c>
      <c r="L424" s="13" t="str">
        <f aca="false">IFERROR(__xludf.dummyfunction("""COMPUTED_VALUE"""),"[Code: 46AGHH] 289 units return to vendor due to low sale")</f>
        <v>[Code: 46AGHH] 289 units return to vendor due to low sale</v>
      </c>
      <c r="M424" s="13" t="str">
        <f aca="false">IFERROR(__xludf.dummyfunction("""COMPUTED_VALUE"""),"46AGHH")</f>
        <v>46AGHH</v>
      </c>
      <c r="N424" s="13"/>
      <c r="O424" s="13" t="str">
        <f aca="false">IFERROR(__xludf.dummyfunction("""COMPUTED_VALUE"""),"ali.raza@tajir-app.com")</f>
        <v>ali.raza@tajir-app.com</v>
      </c>
      <c r="P424" s="13" t="str">
        <f aca="false">IFERROR(__xludf.dummyfunction("""COMPUTED_VALUE"""),"Ali Raza ")</f>
        <v>Ali Raza </v>
      </c>
      <c r="Q424" s="13" t="str">
        <f aca="false">IF(L424="","",L424)</f>
        <v>[Code: 46AGHH] 289 units return to vendor due to low sale</v>
      </c>
    </row>
    <row r="425" customFormat="false" ht="15.75" hidden="false" customHeight="false" outlineLevel="0" collapsed="false">
      <c r="A425" s="13" t="str">
        <f aca="false">IFERROR(__xludf.dummyfunction("""COMPUTED_VALUE"""),"Metro DC Faisalabad")</f>
        <v>Metro DC Faisalabad</v>
      </c>
      <c r="B425" s="13" t="str">
        <f aca="false">IFERROR(__xludf.dummyfunction("""COMPUTED_VALUE"""),"ef5292a1-b576-440d-a0a7-7557c23acc14")</f>
        <v>ef5292a1-b576-440d-a0a7-7557c23acc14</v>
      </c>
      <c r="C425" s="13" t="str">
        <f aca="false">IFERROR(__xludf.dummyfunction("""COMPUTED_VALUE"""),"Sherdil Masar Desi 5kg")</f>
        <v>Sherdil Masar Desi 5kg</v>
      </c>
      <c r="D425" s="13" t="str">
        <f aca="false">IFERROR(__xludf.dummyfunction("""COMPUTED_VALUE"""),"Sherdil")</f>
        <v>Sherdil</v>
      </c>
      <c r="E425" s="13" t="str">
        <f aca="false">IFERROR(__xludf.dummyfunction("""COMPUTED_VALUE"""),"Pulses")</f>
        <v>Pulses</v>
      </c>
      <c r="F425" s="11" t="n">
        <f aca="false">IFERROR(__xludf.dummyfunction("""COMPUTED_VALUE"""),45161)</f>
        <v>45161</v>
      </c>
      <c r="G425" s="16" t="n">
        <f aca="false">IFERROR(__xludf.dummyfunction("""COMPUTED_VALUE"""),0.699659097221818)</f>
        <v>0.6996590972</v>
      </c>
      <c r="H425" s="13" t="str">
        <f aca="false">IFERROR(__xludf.dummyfunction("""COMPUTED_VALUE"""),"damaged stock")</f>
        <v>damaged stock</v>
      </c>
      <c r="I425" s="13" t="n">
        <f aca="false">IFERROR(__xludf.dummyfunction("""COMPUTED_VALUE"""),11)</f>
        <v>11</v>
      </c>
      <c r="J425" s="13" t="n">
        <f aca="false">IFERROR(__xludf.dummyfunction("""COMPUTED_VALUE"""),2737)</f>
        <v>2737</v>
      </c>
      <c r="K425" s="13" t="n">
        <f aca="false">IFERROR(__xludf.dummyfunction("""COMPUTED_VALUE"""),30107)</f>
        <v>30107</v>
      </c>
      <c r="L425" s="13" t="str">
        <f aca="false">IFERROR(__xludf.dummyfunction("""COMPUTED_VALUE"""),"[Code: 25677C] 11 units have quality issue ")</f>
        <v>[Code: 25677C] 11 units have quality issue </v>
      </c>
      <c r="M425" s="13" t="str">
        <f aca="false">IFERROR(__xludf.dummyfunction("""COMPUTED_VALUE"""),"25677C")</f>
        <v>25677C</v>
      </c>
      <c r="N425" s="13"/>
      <c r="O425" s="13" t="str">
        <f aca="false">IFERROR(__xludf.dummyfunction("""COMPUTED_VALUE"""),"ali.raza@tajir-app.com")</f>
        <v>ali.raza@tajir-app.com</v>
      </c>
      <c r="P425" s="13" t="str">
        <f aca="false">IFERROR(__xludf.dummyfunction("""COMPUTED_VALUE"""),"Ali Raza ")</f>
        <v>Ali Raza </v>
      </c>
      <c r="Q425" s="13" t="str">
        <f aca="false">IF(L425="","",L425)</f>
        <v>[Code: 25677C] 11 units have quality issue </v>
      </c>
    </row>
    <row r="426" customFormat="false" ht="15.75" hidden="false" customHeight="false" outlineLevel="0" collapsed="false">
      <c r="A426" s="13" t="str">
        <f aca="false">IFERROR(__xludf.dummyfunction("""COMPUTED_VALUE"""),"Metro DC Faisalabad")</f>
        <v>Metro DC Faisalabad</v>
      </c>
      <c r="B426" s="13" t="str">
        <f aca="false">IFERROR(__xludf.dummyfunction("""COMPUTED_VALUE"""),"a9577abb-135c-47b0-ad5b-cf249da9f0f0")</f>
        <v>a9577abb-135c-47b0-ad5b-cf249da9f0f0</v>
      </c>
      <c r="C426" s="13" t="str">
        <f aca="false">IFERROR(__xludf.dummyfunction("""COMPUTED_VALUE"""),"Bisconni Double Vanilla Rollies Swiss Roll 8pcs Rs35")</f>
        <v>Bisconni Double Vanilla Rollies Swiss Roll 8pcs Rs35</v>
      </c>
      <c r="D426" s="13" t="str">
        <f aca="false">IFERROR(__xludf.dummyfunction("""COMPUTED_VALUE"""),"Bisconni")</f>
        <v>Bisconni</v>
      </c>
      <c r="E426" s="13" t="str">
        <f aca="false">IFERROR(__xludf.dummyfunction("""COMPUTED_VALUE"""),"Confectionary")</f>
        <v>Confectionary</v>
      </c>
      <c r="F426" s="11" t="n">
        <f aca="false">IFERROR(__xludf.dummyfunction("""COMPUTED_VALUE"""),45161)</f>
        <v>45161</v>
      </c>
      <c r="G426" s="16" t="n">
        <f aca="false">IFERROR(__xludf.dummyfunction("""COMPUTED_VALUE"""),0.486489907408695)</f>
        <v>0.4864899074</v>
      </c>
      <c r="H426" s="13" t="str">
        <f aca="false">IFERROR(__xludf.dummyfunction("""COMPUTED_VALUE"""),"expired stock")</f>
        <v>expired stock</v>
      </c>
      <c r="I426" s="13" t="n">
        <f aca="false">IFERROR(__xludf.dummyfunction("""COMPUTED_VALUE"""),16)</f>
        <v>16</v>
      </c>
      <c r="J426" s="13" t="n">
        <f aca="false">IFERROR(__xludf.dummyfunction("""COMPUTED_VALUE"""),243)</f>
        <v>243</v>
      </c>
      <c r="K426" s="13" t="n">
        <f aca="false">IFERROR(__xludf.dummyfunction("""COMPUTED_VALUE"""),3888)</f>
        <v>3888</v>
      </c>
      <c r="L426" s="13" t="str">
        <f aca="false">IFERROR(__xludf.dummyfunction("""COMPUTED_VALUE"""),"[Code: 33346B] [Expiry: 28 Aug, 2023] 16 units short expiry")</f>
        <v>[Code: 33346B] [Expiry: 28 Aug, 2023] 16 units short expiry</v>
      </c>
      <c r="M426" s="13" t="str">
        <f aca="false">IFERROR(__xludf.dummyfunction("""COMPUTED_VALUE"""),"33346B")</f>
        <v>33346B</v>
      </c>
      <c r="N426" s="13" t="str">
        <f aca="false">IFERROR(__xludf.dummyfunction("""COMPUTED_VALUE"""),"28 Aug, 2023")</f>
        <v>28 Aug, 2023</v>
      </c>
      <c r="O426" s="13" t="str">
        <f aca="false">IFERROR(__xludf.dummyfunction("""COMPUTED_VALUE"""),"ali.raza@tajir-app.com")</f>
        <v>ali.raza@tajir-app.com</v>
      </c>
      <c r="P426" s="13" t="str">
        <f aca="false">IFERROR(__xludf.dummyfunction("""COMPUTED_VALUE"""),"Ali Raza ")</f>
        <v>Ali Raza </v>
      </c>
      <c r="Q426" s="13" t="str">
        <f aca="false">IF(L426="","",L426)</f>
        <v>[Code: 33346B] [Expiry: 28 Aug, 2023] 16 units short expiry</v>
      </c>
    </row>
    <row r="427" customFormat="false" ht="15.75" hidden="false" customHeight="false" outlineLevel="0" collapsed="false">
      <c r="A427" s="13" t="str">
        <f aca="false">IFERROR(__xludf.dummyfunction("""COMPUTED_VALUE"""),"Metro DC Faisalabad")</f>
        <v>Metro DC Faisalabad</v>
      </c>
      <c r="B427" s="13" t="str">
        <f aca="false">IFERROR(__xludf.dummyfunction("""COMPUTED_VALUE"""),"09ff2b51-de1a-43dc-8e0b-d66ec9177555")</f>
        <v>09ff2b51-de1a-43dc-8e0b-d66ec9177555</v>
      </c>
      <c r="C427" s="13" t="str">
        <f aca="false">IFERROR(__xludf.dummyfunction("""COMPUTED_VALUE"""),"Aquafina Mineral Water 1.5L ")</f>
        <v>Aquafina Mineral Water 1.5L </v>
      </c>
      <c r="D427" s="13" t="str">
        <f aca="false">IFERROR(__xludf.dummyfunction("""COMPUTED_VALUE"""),"Aquafina")</f>
        <v>Aquafina</v>
      </c>
      <c r="E427" s="13" t="str">
        <f aca="false">IFERROR(__xludf.dummyfunction("""COMPUTED_VALUE"""),"Beverages")</f>
        <v>Beverages</v>
      </c>
      <c r="F427" s="11" t="n">
        <f aca="false">IFERROR(__xludf.dummyfunction("""COMPUTED_VALUE"""),45163)</f>
        <v>45163</v>
      </c>
      <c r="G427" s="16" t="n">
        <f aca="false">IFERROR(__xludf.dummyfunction("""COMPUTED_VALUE"""),0.752893402778441)</f>
        <v>0.7528934028</v>
      </c>
      <c r="H427" s="13" t="str">
        <f aca="false">IFERROR(__xludf.dummyfunction("""COMPUTED_VALUE"""),"damaged stock")</f>
        <v>damaged stock</v>
      </c>
      <c r="I427" s="13" t="n">
        <f aca="false">IFERROR(__xludf.dummyfunction("""COMPUTED_VALUE"""),1)</f>
        <v>1</v>
      </c>
      <c r="J427" s="13" t="n">
        <f aca="false">IFERROR(__xludf.dummyfunction("""COMPUTED_VALUE"""),425)</f>
        <v>425</v>
      </c>
      <c r="K427" s="13" t="n">
        <f aca="false">IFERROR(__xludf.dummyfunction("""COMPUTED_VALUE"""),425)</f>
        <v>425</v>
      </c>
      <c r="L427" s="13" t="str">
        <f aca="false">IFERROR(__xludf.dummyfunction("""COMPUTED_VALUE"""),"[Code: 57899E]  TA: Found damaged  during sorting.")</f>
        <v>[Code: 57899E]  TA: Found damaged  during sorting.</v>
      </c>
      <c r="M427" s="13" t="str">
        <f aca="false">IFERROR(__xludf.dummyfunction("""COMPUTED_VALUE"""),"57899E")</f>
        <v>57899E</v>
      </c>
      <c r="N427" s="13"/>
      <c r="O427" s="13" t="str">
        <f aca="false">IFERROR(__xludf.dummyfunction("""COMPUTED_VALUE"""),"taufeeq.akhtar@tajir-app.com")</f>
        <v>taufeeq.akhtar@tajir-app.com</v>
      </c>
      <c r="P427" s="13" t="str">
        <f aca="false">IFERROR(__xludf.dummyfunction("""COMPUTED_VALUE"""),"Taufeeq Akhtar ")</f>
        <v>Taufeeq Akhtar </v>
      </c>
      <c r="Q427" s="13" t="str">
        <f aca="false">IF(L427="","",L427)</f>
        <v>[Code: 57899E]  TA: Found damaged  during sorting.</v>
      </c>
    </row>
    <row r="428" customFormat="false" ht="15.75" hidden="false" customHeight="false" outlineLevel="0" collapsed="false">
      <c r="A428" s="13" t="str">
        <f aca="false">IFERROR(__xludf.dummyfunction("""COMPUTED_VALUE"""),"Metro DC Faisalabad")</f>
        <v>Metro DC Faisalabad</v>
      </c>
      <c r="B428" s="13" t="str">
        <f aca="false">IFERROR(__xludf.dummyfunction("""COMPUTED_VALUE"""),"a256ce9f-7f44-44e9-ae86-f3752981f2ee")</f>
        <v>a256ce9f-7f44-44e9-ae86-f3752981f2ee</v>
      </c>
      <c r="C428" s="13" t="str">
        <f aca="false">IFERROR(__xludf.dummyfunction("""COMPUTED_VALUE"""),"Juice Time Red Grape x24 200ml")</f>
        <v>Juice Time Red Grape x24 200ml</v>
      </c>
      <c r="D428" s="13" t="str">
        <f aca="false">IFERROR(__xludf.dummyfunction("""COMPUTED_VALUE"""),"Juice Time")</f>
        <v>Juice Time</v>
      </c>
      <c r="E428" s="13" t="str">
        <f aca="false">IFERROR(__xludf.dummyfunction("""COMPUTED_VALUE"""),"Juice, Syrup, Squash")</f>
        <v>Juice, Syrup, Squash</v>
      </c>
      <c r="F428" s="11" t="n">
        <f aca="false">IFERROR(__xludf.dummyfunction("""COMPUTED_VALUE"""),45163)</f>
        <v>45163</v>
      </c>
      <c r="G428" s="16" t="n">
        <f aca="false">IFERROR(__xludf.dummyfunction("""COMPUTED_VALUE"""),0.751580266204226)</f>
        <v>0.7515802662</v>
      </c>
      <c r="H428" s="13" t="str">
        <f aca="false">IFERROR(__xludf.dummyfunction("""COMPUTED_VALUE"""),"damaged stock")</f>
        <v>damaged stock</v>
      </c>
      <c r="I428" s="13" t="n">
        <f aca="false">IFERROR(__xludf.dummyfunction("""COMPUTED_VALUE"""),1)</f>
        <v>1</v>
      </c>
      <c r="J428" s="13" t="n">
        <f aca="false">IFERROR(__xludf.dummyfunction("""COMPUTED_VALUE"""),555)</f>
        <v>555</v>
      </c>
      <c r="K428" s="13" t="n">
        <f aca="false">IFERROR(__xludf.dummyfunction("""COMPUTED_VALUE"""),555)</f>
        <v>555</v>
      </c>
      <c r="L428" s="13" t="str">
        <f aca="false">IFERROR(__xludf.dummyfunction("""COMPUTED_VALUE"""),"[Code: 89EFFJ]   TA: Found damaged during display.")</f>
        <v>[Code: 89EFFJ]   TA: Found damaged during display.</v>
      </c>
      <c r="M428" s="13" t="str">
        <f aca="false">IFERROR(__xludf.dummyfunction("""COMPUTED_VALUE"""),"89EFFJ")</f>
        <v>89EFFJ</v>
      </c>
      <c r="N428" s="13"/>
      <c r="O428" s="13" t="str">
        <f aca="false">IFERROR(__xludf.dummyfunction("""COMPUTED_VALUE"""),"taufeeq.akhtar@tajir-app.com")</f>
        <v>taufeeq.akhtar@tajir-app.com</v>
      </c>
      <c r="P428" s="13" t="str">
        <f aca="false">IFERROR(__xludf.dummyfunction("""COMPUTED_VALUE"""),"Taufeeq Akhtar ")</f>
        <v>Taufeeq Akhtar </v>
      </c>
      <c r="Q428" s="13" t="str">
        <f aca="false">IF(L428="","",L428)</f>
        <v>[Code: 89EFFJ]   TA: Found damaged during display.</v>
      </c>
    </row>
    <row r="429" customFormat="false" ht="15.75" hidden="false" customHeight="false" outlineLevel="0" collapsed="false">
      <c r="A429" s="13" t="str">
        <f aca="false">IFERROR(__xludf.dummyfunction("""COMPUTED_VALUE"""),"Metro DC Faisalabad")</f>
        <v>Metro DC Faisalabad</v>
      </c>
      <c r="B429" s="13" t="str">
        <f aca="false">IFERROR(__xludf.dummyfunction("""COMPUTED_VALUE"""),"d864c0cd-914b-4a54-96d5-8e894ba5f3b6")</f>
        <v>d864c0cd-914b-4a54-96d5-8e894ba5f3b6</v>
      </c>
      <c r="C429" s="13" t="str">
        <f aca="false">IFERROR(__xludf.dummyfunction("""COMPUTED_VALUE"""),"Surf Excel x6 bundle 20g Rs 10")</f>
        <v>Surf Excel x6 bundle 20g Rs 10</v>
      </c>
      <c r="D429" s="13" t="str">
        <f aca="false">IFERROR(__xludf.dummyfunction("""COMPUTED_VALUE"""),"Surf Excel")</f>
        <v>Surf Excel</v>
      </c>
      <c r="E429" s="13" t="str">
        <f aca="false">IFERROR(__xludf.dummyfunction("""COMPUTED_VALUE"""),"Surf, Bleach")</f>
        <v>Surf, Bleach</v>
      </c>
      <c r="F429" s="11" t="n">
        <f aca="false">IFERROR(__xludf.dummyfunction("""COMPUTED_VALUE"""),45164)</f>
        <v>45164</v>
      </c>
      <c r="G429" s="16" t="n">
        <f aca="false">IFERROR(__xludf.dummyfunction("""COMPUTED_VALUE"""),0.980023252316151)</f>
        <v>0.9800232523</v>
      </c>
      <c r="H429" s="13" t="str">
        <f aca="false">IFERROR(__xludf.dummyfunction("""COMPUTED_VALUE"""),"damaged stock")</f>
        <v>damaged stock</v>
      </c>
      <c r="I429" s="13" t="n">
        <f aca="false">IFERROR(__xludf.dummyfunction("""COMPUTED_VALUE"""),2)</f>
        <v>2</v>
      </c>
      <c r="J429" s="13" t="n">
        <f aca="false">IFERROR(__xludf.dummyfunction("""COMPUTED_VALUE"""),55.21)</f>
        <v>55.21</v>
      </c>
      <c r="K429" s="13" t="n">
        <f aca="false">IFERROR(__xludf.dummyfunction("""COMPUTED_VALUE"""),110.42)</f>
        <v>110.42</v>
      </c>
      <c r="L429" s="13" t="str">
        <f aca="false">IFERROR(__xludf.dummyfunction("""COMPUTED_VALUE"""),"[Code: 69CDEF]  TA:Display krty time Bags sy damage mily hain")</f>
        <v>[Code: 69CDEF]  TA:Display krty time Bags sy damage mily hain</v>
      </c>
      <c r="M429" s="13" t="str">
        <f aca="false">IFERROR(__xludf.dummyfunction("""COMPUTED_VALUE"""),"69CDEF")</f>
        <v>69CDEF</v>
      </c>
      <c r="N429" s="13"/>
      <c r="O429" s="13" t="str">
        <f aca="false">IFERROR(__xludf.dummyfunction("""COMPUTED_VALUE"""),"taufeeq.akhtar@tajir-app.com")</f>
        <v>taufeeq.akhtar@tajir-app.com</v>
      </c>
      <c r="P429" s="13" t="str">
        <f aca="false">IFERROR(__xludf.dummyfunction("""COMPUTED_VALUE"""),"Taufeeq Akhtar ")</f>
        <v>Taufeeq Akhtar </v>
      </c>
      <c r="Q429" s="13" t="str">
        <f aca="false">IF(L429="","",L429)</f>
        <v>[Code: 69CDEF]  TA:Display krty time Bags sy damage mily hain</v>
      </c>
    </row>
    <row r="430" customFormat="false" ht="15.75" hidden="false" customHeight="false" outlineLevel="0" collapsed="false">
      <c r="A430" s="13" t="str">
        <f aca="false">IFERROR(__xludf.dummyfunction("""COMPUTED_VALUE"""),"Metro DC Faisalabad")</f>
        <v>Metro DC Faisalabad</v>
      </c>
      <c r="B430" s="13" t="str">
        <f aca="false">IFERROR(__xludf.dummyfunction("""COMPUTED_VALUE"""),"d35314e0-f3f4-47fe-90aa-af65dab10e9d")</f>
        <v>d35314e0-f3f4-47fe-90aa-af65dab10e9d</v>
      </c>
      <c r="C430" s="13" t="str">
        <f aca="false">IFERROR(__xludf.dummyfunction("""COMPUTED_VALUE"""),"Bonus tristar detergent x6 bundle 48g Rs10")</f>
        <v>Bonus tristar detergent x6 bundle 48g Rs10</v>
      </c>
      <c r="D430" s="13" t="str">
        <f aca="false">IFERROR(__xludf.dummyfunction("""COMPUTED_VALUE"""),"Bonus Surf")</f>
        <v>Bonus Surf</v>
      </c>
      <c r="E430" s="13" t="str">
        <f aca="false">IFERROR(__xludf.dummyfunction("""COMPUTED_VALUE"""),"Surf, Bleach")</f>
        <v>Surf, Bleach</v>
      </c>
      <c r="F430" s="11" t="n">
        <f aca="false">IFERROR(__xludf.dummyfunction("""COMPUTED_VALUE"""),45164)</f>
        <v>45164</v>
      </c>
      <c r="G430" s="16" t="n">
        <f aca="false">IFERROR(__xludf.dummyfunction("""COMPUTED_VALUE"""),0.976948449072409)</f>
        <v>0.9769484491</v>
      </c>
      <c r="H430" s="13" t="str">
        <f aca="false">IFERROR(__xludf.dummyfunction("""COMPUTED_VALUE"""),"damaged stock")</f>
        <v>damaged stock</v>
      </c>
      <c r="I430" s="13" t="n">
        <f aca="false">IFERROR(__xludf.dummyfunction("""COMPUTED_VALUE"""),1)</f>
        <v>1</v>
      </c>
      <c r="J430" s="13" t="n">
        <f aca="false">IFERROR(__xludf.dummyfunction("""COMPUTED_VALUE"""),55.25)</f>
        <v>55.25</v>
      </c>
      <c r="K430" s="13" t="n">
        <f aca="false">IFERROR(__xludf.dummyfunction("""COMPUTED_VALUE"""),55.25)</f>
        <v>55.25</v>
      </c>
      <c r="L430" s="13" t="str">
        <f aca="false">IFERROR(__xludf.dummyfunction("""COMPUTED_VALUE"""),"[Code: 2346AB]  TA: Damage Found during displa ")</f>
        <v>[Code: 2346AB]  TA: Damage Found during displa </v>
      </c>
      <c r="M430" s="13" t="str">
        <f aca="false">IFERROR(__xludf.dummyfunction("""COMPUTED_VALUE"""),"2346AB")</f>
        <v>2346AB</v>
      </c>
      <c r="N430" s="13"/>
      <c r="O430" s="13" t="str">
        <f aca="false">IFERROR(__xludf.dummyfunction("""COMPUTED_VALUE"""),"taufeeq.akhtar@tajir-app.com")</f>
        <v>taufeeq.akhtar@tajir-app.com</v>
      </c>
      <c r="P430" s="13" t="str">
        <f aca="false">IFERROR(__xludf.dummyfunction("""COMPUTED_VALUE"""),"Taufeeq Akhtar ")</f>
        <v>Taufeeq Akhtar </v>
      </c>
      <c r="Q430" s="13" t="str">
        <f aca="false">IF(L430="","",L430)</f>
        <v>[Code: 2346AB]  TA: Damage Found during displa </v>
      </c>
    </row>
    <row r="431" customFormat="false" ht="15.75" hidden="false" customHeight="false" outlineLevel="0" collapsed="false">
      <c r="A431" s="13" t="str">
        <f aca="false">IFERROR(__xludf.dummyfunction("""COMPUTED_VALUE"""),"Metro DC Faisalabad")</f>
        <v>Metro DC Faisalabad</v>
      </c>
      <c r="B431" s="13" t="str">
        <f aca="false">IFERROR(__xludf.dummyfunction("""COMPUTED_VALUE"""),"67c33ff3-e486-487d-844a-b17c396936ee")</f>
        <v>67c33ff3-e486-487d-844a-b17c396936ee</v>
      </c>
      <c r="C431" s="13" t="str">
        <f aca="false">IFERROR(__xludf.dummyfunction("""COMPUTED_VALUE"""),"Coca Cola plastic 1L")</f>
        <v>Coca Cola plastic 1L</v>
      </c>
      <c r="D431" s="13" t="str">
        <f aca="false">IFERROR(__xludf.dummyfunction("""COMPUTED_VALUE"""),"Coca Cola")</f>
        <v>Coca Cola</v>
      </c>
      <c r="E431" s="13" t="str">
        <f aca="false">IFERROR(__xludf.dummyfunction("""COMPUTED_VALUE"""),"Beverages")</f>
        <v>Beverages</v>
      </c>
      <c r="F431" s="11" t="n">
        <f aca="false">IFERROR(__xludf.dummyfunction("""COMPUTED_VALUE"""),45166)</f>
        <v>45166</v>
      </c>
      <c r="G431" s="16" t="n">
        <f aca="false">IFERROR(__xludf.dummyfunction("""COMPUTED_VALUE"""),0.909560659721128)</f>
        <v>0.9095606597</v>
      </c>
      <c r="H431" s="13" t="str">
        <f aca="false">IFERROR(__xludf.dummyfunction("""COMPUTED_VALUE"""),"damaged stock")</f>
        <v>damaged stock</v>
      </c>
      <c r="I431" s="13" t="n">
        <f aca="false">IFERROR(__xludf.dummyfunction("""COMPUTED_VALUE"""),1)</f>
        <v>1</v>
      </c>
      <c r="J431" s="13" t="n">
        <f aca="false">IFERROR(__xludf.dummyfunction("""COMPUTED_VALUE"""),724)</f>
        <v>724</v>
      </c>
      <c r="K431" s="13" t="n">
        <f aca="false">IFERROR(__xludf.dummyfunction("""COMPUTED_VALUE"""),724)</f>
        <v>724</v>
      </c>
      <c r="L431" s="13" t="str">
        <f aca="false">IFERROR(__xludf.dummyfunction("""COMPUTED_VALUE"""),"[Code: 349BEE] TA:Found loose during sorting.")</f>
        <v>[Code: 349BEE] TA:Found loose during sorting.</v>
      </c>
      <c r="M431" s="13" t="str">
        <f aca="false">IFERROR(__xludf.dummyfunction("""COMPUTED_VALUE"""),"349BEE")</f>
        <v>349BEE</v>
      </c>
      <c r="N431" s="13"/>
      <c r="O431" s="13" t="str">
        <f aca="false">IFERROR(__xludf.dummyfunction("""COMPUTED_VALUE"""),"taufeeq.akhtar@tajir-app.com")</f>
        <v>taufeeq.akhtar@tajir-app.com</v>
      </c>
      <c r="P431" s="13" t="str">
        <f aca="false">IFERROR(__xludf.dummyfunction("""COMPUTED_VALUE"""),"Taufeeq Akhtar ")</f>
        <v>Taufeeq Akhtar </v>
      </c>
      <c r="Q431" s="13" t="str">
        <f aca="false">IF(L431="","",L431)</f>
        <v>[Code: 349BEE] TA:Found loose during sorting.</v>
      </c>
    </row>
    <row r="432" customFormat="false" ht="15.75" hidden="false" customHeight="false" outlineLevel="0" collapsed="false">
      <c r="A432" s="13" t="str">
        <f aca="false">IFERROR(__xludf.dummyfunction("""COMPUTED_VALUE"""),"Metro DC Faisalabad")</f>
        <v>Metro DC Faisalabad</v>
      </c>
      <c r="B432" s="13" t="str">
        <f aca="false">IFERROR(__xludf.dummyfunction("""COMPUTED_VALUE"""),"9926975c-0c03-40ef-b99e-5c44dbf91072")</f>
        <v>9926975c-0c03-40ef-b99e-5c44dbf91072</v>
      </c>
      <c r="C432" s="13" t="str">
        <f aca="false">IFERROR(__xludf.dummyfunction("""COMPUTED_VALUE"""),"Pampers Skin Comfort Size 4 Maxi (7-12) KG 27 Diapers Rs1640")</f>
        <v>Pampers Skin Comfort Size 4 Maxi (7-12) KG 27 Diapers Rs1640</v>
      </c>
      <c r="D432" s="13" t="str">
        <f aca="false">IFERROR(__xludf.dummyfunction("""COMPUTED_VALUE"""),"Pampers")</f>
        <v>Pampers</v>
      </c>
      <c r="E432" s="13" t="str">
        <f aca="false">IFERROR(__xludf.dummyfunction("""COMPUTED_VALUE"""),"Pharmacy")</f>
        <v>Pharmacy</v>
      </c>
      <c r="F432" s="11" t="n">
        <f aca="false">IFERROR(__xludf.dummyfunction("""COMPUTED_VALUE"""),45166)</f>
        <v>45166</v>
      </c>
      <c r="G432" s="16" t="n">
        <f aca="false">IFERROR(__xludf.dummyfunction("""COMPUTED_VALUE"""),0.901442384257874)</f>
        <v>0.9014423843</v>
      </c>
      <c r="H432" s="13" t="str">
        <f aca="false">IFERROR(__xludf.dummyfunction("""COMPUTED_VALUE"""),"missing stock")</f>
        <v>missing stock</v>
      </c>
      <c r="I432" s="13" t="n">
        <f aca="false">IFERROR(__xludf.dummyfunction("""COMPUTED_VALUE"""),20)</f>
        <v>20</v>
      </c>
      <c r="J432" s="13" t="n">
        <f aca="false">IFERROR(__xludf.dummyfunction("""COMPUTED_VALUE"""),1445)</f>
        <v>1445</v>
      </c>
      <c r="K432" s="13" t="n">
        <f aca="false">IFERROR(__xludf.dummyfunction("""COMPUTED_VALUE"""),28900)</f>
        <v>28900</v>
      </c>
      <c r="L432" s="13" t="str">
        <f aca="false">IFERROR(__xludf.dummyfunction("""COMPUTED_VALUE"""),"TA; Mistakenly liveid (Required Sku lived in 27pc but we have 25pc available on floor)")</f>
        <v>TA; Mistakenly liveid (Required Sku lived in 27pc but we have 25pc available on floor)</v>
      </c>
      <c r="M432" s="13"/>
      <c r="N432" s="13"/>
      <c r="O432" s="13" t="str">
        <f aca="false">IFERROR(__xludf.dummyfunction("""COMPUTED_VALUE"""),"taufeeq.akhtar@tajir-app.com")</f>
        <v>taufeeq.akhtar@tajir-app.com</v>
      </c>
      <c r="P432" s="13" t="str">
        <f aca="false">IFERROR(__xludf.dummyfunction("""COMPUTED_VALUE"""),"Taufeeq Akhtar ")</f>
        <v>Taufeeq Akhtar </v>
      </c>
      <c r="Q432" s="13" t="str">
        <f aca="false">IF(L432="","",L432)</f>
        <v>TA; Mistakenly liveid (Required Sku lived in 27pc but we have 25pc available on floor)</v>
      </c>
    </row>
    <row r="433" customFormat="false" ht="15.75" hidden="false" customHeight="false" outlineLevel="0" collapsed="false">
      <c r="A433" s="13" t="str">
        <f aca="false">IFERROR(__xludf.dummyfunction("""COMPUTED_VALUE"""),"Metro DC Faisalabad")</f>
        <v>Metro DC Faisalabad</v>
      </c>
      <c r="B433" s="13" t="str">
        <f aca="false">IFERROR(__xludf.dummyfunction("""COMPUTED_VALUE"""),"6bf8e4d8-b1ee-4416-8677-04c83525e4ce")</f>
        <v>6bf8e4d8-b1ee-4416-8677-04c83525e4ce</v>
      </c>
      <c r="C433" s="13" t="str">
        <f aca="false">IFERROR(__xludf.dummyfunction("""COMPUTED_VALUE"""),"Dummer Super Fine Atta 15kg")</f>
        <v>Dummer Super Fine Atta 15kg</v>
      </c>
      <c r="D433" s="13" t="str">
        <f aca="false">IFERROR(__xludf.dummyfunction("""COMPUTED_VALUE"""),"Dummer Atta")</f>
        <v>Dummer Atta</v>
      </c>
      <c r="E433" s="13" t="str">
        <f aca="false">IFERROR(__xludf.dummyfunction("""COMPUTED_VALUE"""),"Flour")</f>
        <v>Flour</v>
      </c>
      <c r="F433" s="11" t="n">
        <f aca="false">IFERROR(__xludf.dummyfunction("""COMPUTED_VALUE"""),45166)</f>
        <v>45166</v>
      </c>
      <c r="G433" s="16" t="n">
        <f aca="false">IFERROR(__xludf.dummyfunction("""COMPUTED_VALUE"""),0.546367627315823)</f>
        <v>0.5463676273</v>
      </c>
      <c r="H433" s="13" t="str">
        <f aca="false">IFERROR(__xludf.dummyfunction("""COMPUTED_VALUE"""),"damaged stock")</f>
        <v>damaged stock</v>
      </c>
      <c r="I433" s="13" t="n">
        <f aca="false">IFERROR(__xludf.dummyfunction("""COMPUTED_VALUE"""),2)</f>
        <v>2</v>
      </c>
      <c r="J433" s="13" t="n">
        <f aca="false">IFERROR(__xludf.dummyfunction("""COMPUTED_VALUE"""),2050)</f>
        <v>2050</v>
      </c>
      <c r="K433" s="13" t="n">
        <f aca="false">IFERROR(__xludf.dummyfunction("""COMPUTED_VALUE"""),4100)</f>
        <v>4100</v>
      </c>
      <c r="L433" s="13" t="str">
        <f aca="false">IFERROR(__xludf.dummyfunction("""COMPUTED_VALUE"""),"[Code: 334AAF] 02 units found damaged")</f>
        <v>[Code: 334AAF] 02 units found damaged</v>
      </c>
      <c r="M433" s="13" t="str">
        <f aca="false">IFERROR(__xludf.dummyfunction("""COMPUTED_VALUE"""),"334AAF")</f>
        <v>334AAF</v>
      </c>
      <c r="N433" s="13"/>
      <c r="O433" s="13" t="str">
        <f aca="false">IFERROR(__xludf.dummyfunction("""COMPUTED_VALUE"""),"ali.raza@tajir-app.com")</f>
        <v>ali.raza@tajir-app.com</v>
      </c>
      <c r="P433" s="13" t="str">
        <f aca="false">IFERROR(__xludf.dummyfunction("""COMPUTED_VALUE"""),"Ali Raza ")</f>
        <v>Ali Raza </v>
      </c>
      <c r="Q433" s="13" t="str">
        <f aca="false">IF(L433="","",L433)</f>
        <v>[Code: 334AAF] 02 units found damaged</v>
      </c>
    </row>
    <row r="434" customFormat="false" ht="15.75" hidden="false" customHeight="false" outlineLevel="0" collapsed="false">
      <c r="A434" s="13" t="str">
        <f aca="false">IFERROR(__xludf.dummyfunction("""COMPUTED_VALUE"""),"Metro DC Faisalabad")</f>
        <v>Metro DC Faisalabad</v>
      </c>
      <c r="B434" s="13" t="str">
        <f aca="false">IFERROR(__xludf.dummyfunction("""COMPUTED_VALUE"""),"0ec2fbab-4de7-42eb-baaa-9d579f1547ab")</f>
        <v>0ec2fbab-4de7-42eb-baaa-9d579f1547ab</v>
      </c>
      <c r="C434" s="13" t="str">
        <f aca="false">IFERROR(__xludf.dummyfunction("""COMPUTED_VALUE"""),"Swadi Dharra Mirch 2kg")</f>
        <v>Swadi Dharra Mirch 2kg</v>
      </c>
      <c r="D434" s="13" t="str">
        <f aca="false">IFERROR(__xludf.dummyfunction("""COMPUTED_VALUE"""),"Swadi")</f>
        <v>Swadi</v>
      </c>
      <c r="E434" s="13" t="str">
        <f aca="false">IFERROR(__xludf.dummyfunction("""COMPUTED_VALUE"""),"Spices")</f>
        <v>Spices</v>
      </c>
      <c r="F434" s="11" t="n">
        <f aca="false">IFERROR(__xludf.dummyfunction("""COMPUTED_VALUE"""),45166)</f>
        <v>45166</v>
      </c>
      <c r="G434" s="16" t="n">
        <f aca="false">IFERROR(__xludf.dummyfunction("""COMPUTED_VALUE"""),0.47778817129662)</f>
        <v>0.4777881713</v>
      </c>
      <c r="H434" s="13" t="str">
        <f aca="false">IFERROR(__xludf.dummyfunction("""COMPUTED_VALUE"""),"damaged stock")</f>
        <v>damaged stock</v>
      </c>
      <c r="I434" s="13" t="n">
        <f aca="false">IFERROR(__xludf.dummyfunction("""COMPUTED_VALUE"""),9)</f>
        <v>9</v>
      </c>
      <c r="J434" s="13" t="n">
        <f aca="false">IFERROR(__xludf.dummyfunction("""COMPUTED_VALUE"""),1200)</f>
        <v>1200</v>
      </c>
      <c r="K434" s="13" t="n">
        <f aca="false">IFERROR(__xludf.dummyfunction("""COMPUTED_VALUE"""),10800)</f>
        <v>10800</v>
      </c>
      <c r="L434" s="13" t="str">
        <f aca="false">IFERROR(__xludf.dummyfunction("""COMPUTED_VALUE"""),"[Code: 245577] 09 units return to vendor due to quality issue in stock on 20-07-23 but not removed from the system")</f>
        <v>[Code: 245577] 09 units return to vendor due to quality issue in stock on 20-07-23 but not removed from the system</v>
      </c>
      <c r="M434" s="13" t="str">
        <f aca="false">IFERROR(__xludf.dummyfunction("""COMPUTED_VALUE"""),"245577")</f>
        <v>245577</v>
      </c>
      <c r="N434" s="13"/>
      <c r="O434" s="13" t="str">
        <f aca="false">IFERROR(__xludf.dummyfunction("""COMPUTED_VALUE"""),"ali.raza@tajir-app.com")</f>
        <v>ali.raza@tajir-app.com</v>
      </c>
      <c r="P434" s="13" t="str">
        <f aca="false">IFERROR(__xludf.dummyfunction("""COMPUTED_VALUE"""),"Ali Raza ")</f>
        <v>Ali Raza </v>
      </c>
      <c r="Q434" s="13" t="str">
        <f aca="false">IF(L434="","",L434)</f>
        <v>[Code: 245577] 09 units return to vendor due to quality issue in stock on 20-07-23 but not removed from the system</v>
      </c>
    </row>
    <row r="435" customFormat="false" ht="15.75" hidden="false" customHeight="false" outlineLevel="0" collapsed="false">
      <c r="A435" s="13" t="str">
        <f aca="false">IFERROR(__xludf.dummyfunction("""COMPUTED_VALUE"""),"Metro DC Faisalabad")</f>
        <v>Metro DC Faisalabad</v>
      </c>
      <c r="B435" s="13" t="str">
        <f aca="false">IFERROR(__xludf.dummyfunction("""COMPUTED_VALUE"""),"f2256bf0-42f2-4a1a-bf53-a26aa9aeaad3")</f>
        <v>f2256bf0-42f2-4a1a-bf53-a26aa9aeaad3</v>
      </c>
      <c r="C435" s="13" t="str">
        <f aca="false">IFERROR(__xludf.dummyfunction("""COMPUTED_VALUE"""),"Kolson Pasta Spaghetti 450g (Hard Box)")</f>
        <v>Kolson Pasta Spaghetti 450g (Hard Box)</v>
      </c>
      <c r="D435" s="13" t="str">
        <f aca="false">IFERROR(__xludf.dummyfunction("""COMPUTED_VALUE"""),"Kolson")</f>
        <v>Kolson</v>
      </c>
      <c r="E435" s="13" t="str">
        <f aca="false">IFERROR(__xludf.dummyfunction("""COMPUTED_VALUE"""),"Grocery")</f>
        <v>Grocery</v>
      </c>
      <c r="F435" s="11" t="n">
        <f aca="false">IFERROR(__xludf.dummyfunction("""COMPUTED_VALUE"""),45167)</f>
        <v>45167</v>
      </c>
      <c r="G435" s="16" t="n">
        <f aca="false">IFERROR(__xludf.dummyfunction("""COMPUTED_VALUE"""),0.954904641202928)</f>
        <v>0.9549046412</v>
      </c>
      <c r="H435" s="13" t="str">
        <f aca="false">IFERROR(__xludf.dummyfunction("""COMPUTED_VALUE"""),"missing stock")</f>
        <v>missing stock</v>
      </c>
      <c r="I435" s="13" t="n">
        <f aca="false">IFERROR(__xludf.dummyfunction("""COMPUTED_VALUE"""),1)</f>
        <v>1</v>
      </c>
      <c r="J435" s="13" t="n">
        <f aca="false">IFERROR(__xludf.dummyfunction("""COMPUTED_VALUE"""),151.68)</f>
        <v>151.68</v>
      </c>
      <c r="K435" s="13" t="n">
        <f aca="false">IFERROR(__xludf.dummyfunction("""COMPUTED_VALUE"""),151.68)</f>
        <v>151.68</v>
      </c>
      <c r="L435" s="13" t="str">
        <f aca="false">IFERROR(__xludf.dummyfunction("""COMPUTED_VALUE"""),"TA: found 250g spaghatti from box during display (brand exchange company end) .")</f>
        <v>TA: found 250g spaghatti from box during display (brand exchange company end) .</v>
      </c>
      <c r="M435" s="13"/>
      <c r="N435" s="13"/>
      <c r="O435" s="13" t="str">
        <f aca="false">IFERROR(__xludf.dummyfunction("""COMPUTED_VALUE"""),"taufeeq.akhtar@tajir-app.com")</f>
        <v>taufeeq.akhtar@tajir-app.com</v>
      </c>
      <c r="P435" s="13" t="str">
        <f aca="false">IFERROR(__xludf.dummyfunction("""COMPUTED_VALUE"""),"Taufeeq Akhtar ")</f>
        <v>Taufeeq Akhtar </v>
      </c>
      <c r="Q435" s="13" t="str">
        <f aca="false">IF(L435="","",L435)</f>
        <v>TA: found 250g spaghatti from box during display (brand exchange company end) .</v>
      </c>
    </row>
    <row r="436" customFormat="false" ht="15.75" hidden="false" customHeight="false" outlineLevel="0" collapsed="false">
      <c r="A436" s="13" t="str">
        <f aca="false">IFERROR(__xludf.dummyfunction("""COMPUTED_VALUE"""),"Metro DC Faisalabad")</f>
        <v>Metro DC Faisalabad</v>
      </c>
      <c r="B436" s="13" t="str">
        <f aca="false">IFERROR(__xludf.dummyfunction("""COMPUTED_VALUE"""),"5ba96b61-5a63-43cc-8b69-0fccc3cea590")</f>
        <v>5ba96b61-5a63-43cc-8b69-0fccc3cea590</v>
      </c>
      <c r="C436" s="13" t="str">
        <f aca="false">IFERROR(__xludf.dummyfunction("""COMPUTED_VALUE"""),"Express power 1kg Rs480")</f>
        <v>Express power 1kg Rs480</v>
      </c>
      <c r="D436" s="13" t="str">
        <f aca="false">IFERROR(__xludf.dummyfunction("""COMPUTED_VALUE"""),"Express Surf")</f>
        <v>Express Surf</v>
      </c>
      <c r="E436" s="13" t="str">
        <f aca="false">IFERROR(__xludf.dummyfunction("""COMPUTED_VALUE"""),"Surf, Bleach")</f>
        <v>Surf, Bleach</v>
      </c>
      <c r="F436" s="11" t="n">
        <f aca="false">IFERROR(__xludf.dummyfunction("""COMPUTED_VALUE"""),45167)</f>
        <v>45167</v>
      </c>
      <c r="G436" s="16" t="n">
        <f aca="false">IFERROR(__xludf.dummyfunction("""COMPUTED_VALUE"""),0.952495219907758)</f>
        <v>0.9524952199</v>
      </c>
      <c r="H436" s="13" t="str">
        <f aca="false">IFERROR(__xludf.dummyfunction("""COMPUTED_VALUE"""),"damaged stock")</f>
        <v>damaged stock</v>
      </c>
      <c r="I436" s="13" t="n">
        <f aca="false">IFERROR(__xludf.dummyfunction("""COMPUTED_VALUE"""),1)</f>
        <v>1</v>
      </c>
      <c r="J436" s="13" t="n">
        <f aca="false">IFERROR(__xludf.dummyfunction("""COMPUTED_VALUE"""),435.69)</f>
        <v>435.69</v>
      </c>
      <c r="K436" s="13" t="n">
        <f aca="false">IFERROR(__xludf.dummyfunction("""COMPUTED_VALUE"""),435.69)</f>
        <v>435.69</v>
      </c>
      <c r="L436" s="13" t="str">
        <f aca="false">IFERROR(__xludf.dummyfunction("""COMPUTED_VALUE"""),"[Code: 2367AACE] TA:found damaged during stock display...")</f>
        <v>[Code: 2367AACE] TA:found damaged during stock display...</v>
      </c>
      <c r="M436" s="13" t="str">
        <f aca="false">IFERROR(__xludf.dummyfunction("""COMPUTED_VALUE"""),"2367AACE")</f>
        <v>2367AACE</v>
      </c>
      <c r="N436" s="13"/>
      <c r="O436" s="13" t="str">
        <f aca="false">IFERROR(__xludf.dummyfunction("""COMPUTED_VALUE"""),"taufeeq.akhtar@tajir-app.com")</f>
        <v>taufeeq.akhtar@tajir-app.com</v>
      </c>
      <c r="P436" s="13" t="str">
        <f aca="false">IFERROR(__xludf.dummyfunction("""COMPUTED_VALUE"""),"Taufeeq Akhtar ")</f>
        <v>Taufeeq Akhtar </v>
      </c>
      <c r="Q436" s="13" t="str">
        <f aca="false">IF(L436="","",L436)</f>
        <v>[Code: 2367AACE] TA:found damaged during stock display...</v>
      </c>
    </row>
    <row r="437" customFormat="false" ht="15.75" hidden="false" customHeight="false" outlineLevel="0" collapsed="false">
      <c r="A437" s="13" t="str">
        <f aca="false">IFERROR(__xludf.dummyfunction("""COMPUTED_VALUE"""),"Metro DC Faisalabad")</f>
        <v>Metro DC Faisalabad</v>
      </c>
      <c r="B437" s="13" t="str">
        <f aca="false">IFERROR(__xludf.dummyfunction("""COMPUTED_VALUE"""),"a0341272-f530-40e9-97dd-e3c77f4a8a1c")</f>
        <v>a0341272-f530-40e9-97dd-e3c77f4a8a1c</v>
      </c>
      <c r="C437" s="13" t="str">
        <f aca="false">IFERROR(__xludf.dummyfunction("""COMPUTED_VALUE"""),"Murree Brewery Bigg Lychee Plastic x12 Crate 300ml")</f>
        <v>Murree Brewery Bigg Lychee Plastic x12 Crate 300ml</v>
      </c>
      <c r="D437" s="13" t="str">
        <f aca="false">IFERROR(__xludf.dummyfunction("""COMPUTED_VALUE"""),"Murree Brewery")</f>
        <v>Murree Brewery</v>
      </c>
      <c r="E437" s="13" t="str">
        <f aca="false">IFERROR(__xludf.dummyfunction("""COMPUTED_VALUE"""),"Beverages")</f>
        <v>Beverages</v>
      </c>
      <c r="F437" s="11" t="n">
        <f aca="false">IFERROR(__xludf.dummyfunction("""COMPUTED_VALUE"""),45168)</f>
        <v>45168</v>
      </c>
      <c r="G437" s="16" t="n">
        <f aca="false">IFERROR(__xludf.dummyfunction("""COMPUTED_VALUE"""),0.850621331018578)</f>
        <v>0.850621331</v>
      </c>
      <c r="H437" s="13" t="str">
        <f aca="false">IFERROR(__xludf.dummyfunction("""COMPUTED_VALUE"""),"damaged stock")</f>
        <v>damaged stock</v>
      </c>
      <c r="I437" s="13" t="n">
        <f aca="false">IFERROR(__xludf.dummyfunction("""COMPUTED_VALUE"""),1)</f>
        <v>1</v>
      </c>
      <c r="J437" s="13" t="n">
        <f aca="false">IFERROR(__xludf.dummyfunction("""COMPUTED_VALUE"""),394.25)</f>
        <v>394.25</v>
      </c>
      <c r="K437" s="13" t="n">
        <f aca="false">IFERROR(__xludf.dummyfunction("""COMPUTED_VALUE"""),394.25)</f>
        <v>394.25</v>
      </c>
      <c r="L437" s="13" t="str">
        <f aca="false">IFERROR(__xludf.dummyfunction("""COMPUTED_VALUE"""),"[Code: 2389AFGJ] TA:Found two bottels  loose and one bottel damaged during sorting ...")</f>
        <v>[Code: 2389AFGJ] TA:Found two bottels  loose and one bottel damaged during sorting ...</v>
      </c>
      <c r="M437" s="13" t="str">
        <f aca="false">IFERROR(__xludf.dummyfunction("""COMPUTED_VALUE"""),"2389AFGJ")</f>
        <v>2389AFGJ</v>
      </c>
      <c r="N437" s="13"/>
      <c r="O437" s="13" t="str">
        <f aca="false">IFERROR(__xludf.dummyfunction("""COMPUTED_VALUE"""),"daniyal.ahmad@tajir-app.com")</f>
        <v>daniyal.ahmad@tajir-app.com</v>
      </c>
      <c r="P437" s="13" t="str">
        <f aca="false">IFERROR(__xludf.dummyfunction("""COMPUTED_VALUE"""),"Daniyal Ahmad")</f>
        <v>Daniyal Ahmad</v>
      </c>
      <c r="Q437" s="13" t="str">
        <f aca="false">IF(L437="","",L437)</f>
        <v>[Code: 2389AFGJ] TA:Found two bottels  loose and one bottel damaged during sorting ...</v>
      </c>
    </row>
    <row r="438" customFormat="false" ht="15.75" hidden="false" customHeight="false" outlineLevel="0" collapsed="false">
      <c r="A438" s="13" t="str">
        <f aca="false">IFERROR(__xludf.dummyfunction("""COMPUTED_VALUE"""),"Metro DC Faisalabad")</f>
        <v>Metro DC Faisalabad</v>
      </c>
      <c r="B438" s="13" t="str">
        <f aca="false">IFERROR(__xludf.dummyfunction("""COMPUTED_VALUE"""),"67c33ff3-e486-487d-844a-b17c396936ee")</f>
        <v>67c33ff3-e486-487d-844a-b17c396936ee</v>
      </c>
      <c r="C438" s="13" t="str">
        <f aca="false">IFERROR(__xludf.dummyfunction("""COMPUTED_VALUE"""),"Coca Cola plastic 1L")</f>
        <v>Coca Cola plastic 1L</v>
      </c>
      <c r="D438" s="13" t="str">
        <f aca="false">IFERROR(__xludf.dummyfunction("""COMPUTED_VALUE"""),"Coca Cola")</f>
        <v>Coca Cola</v>
      </c>
      <c r="E438" s="13" t="str">
        <f aca="false">IFERROR(__xludf.dummyfunction("""COMPUTED_VALUE"""),"Beverages")</f>
        <v>Beverages</v>
      </c>
      <c r="F438" s="11" t="n">
        <f aca="false">IFERROR(__xludf.dummyfunction("""COMPUTED_VALUE"""),45168)</f>
        <v>45168</v>
      </c>
      <c r="G438" s="16" t="n">
        <f aca="false">IFERROR(__xludf.dummyfunction("""COMPUTED_VALUE"""),0.254027326389126)</f>
        <v>0.2540273264</v>
      </c>
      <c r="H438" s="13" t="str">
        <f aca="false">IFERROR(__xludf.dummyfunction("""COMPUTED_VALUE"""),"missing stock")</f>
        <v>missing stock</v>
      </c>
      <c r="I438" s="13" t="n">
        <f aca="false">IFERROR(__xludf.dummyfunction("""COMPUTED_VALUE"""),2)</f>
        <v>2</v>
      </c>
      <c r="J438" s="13" t="n">
        <f aca="false">IFERROR(__xludf.dummyfunction("""COMPUTED_VALUE"""),724)</f>
        <v>724</v>
      </c>
      <c r="K438" s="13" t="n">
        <f aca="false">IFERROR(__xludf.dummyfunction("""COMPUTED_VALUE"""),1448)</f>
        <v>1448</v>
      </c>
      <c r="L438" s="13" t="str">
        <f aca="false">IFERROR(__xludf.dummyfunction("""COMPUTED_VALUE"""),"full_in/missing")</f>
        <v>full_in/missing</v>
      </c>
      <c r="M438" s="13"/>
      <c r="N438" s="13"/>
      <c r="O438" s="13" t="str">
        <f aca="false">IFERROR(__xludf.dummyfunction("""COMPUTED_VALUE"""),"dev@tajir-app.com")</f>
        <v>dev@tajir-app.com</v>
      </c>
      <c r="P438" s="13" t="str">
        <f aca="false">IFERROR(__xludf.dummyfunction("""COMPUTED_VALUE"""),"Tajir Dev Retool")</f>
        <v>Tajir Dev Retool</v>
      </c>
      <c r="Q438" s="13" t="str">
        <f aca="false">IF(L438="","",L438)</f>
        <v>full_in/missing</v>
      </c>
    </row>
    <row r="439" customFormat="false" ht="15.75" hidden="false" customHeight="false" outlineLevel="0" collapsed="false">
      <c r="A439" s="13" t="str">
        <f aca="false">IFERROR(__xludf.dummyfunction("""COMPUTED_VALUE"""),"Metro DC Faisalabad")</f>
        <v>Metro DC Faisalabad</v>
      </c>
      <c r="B439" s="13" t="str">
        <f aca="false">IFERROR(__xludf.dummyfunction("""COMPUTED_VALUE"""),"671572b4-dd58-442e-8057-59bc8f59fb09")</f>
        <v>671572b4-dd58-442e-8057-59bc8f59fb09</v>
      </c>
      <c r="C439" s="13" t="str">
        <f aca="false">IFERROR(__xludf.dummyfunction("""COMPUTED_VALUE"""),"Quality Grains Daal Mash Wash 1kg")</f>
        <v>Quality Grains Daal Mash Wash 1kg</v>
      </c>
      <c r="D439" s="13" t="str">
        <f aca="false">IFERROR(__xludf.dummyfunction("""COMPUTED_VALUE"""),"Quality Grains")</f>
        <v>Quality Grains</v>
      </c>
      <c r="E439" s="13" t="str">
        <f aca="false">IFERROR(__xludf.dummyfunction("""COMPUTED_VALUE"""),"Pulses")</f>
        <v>Pulses</v>
      </c>
      <c r="F439" s="11" t="n">
        <f aca="false">IFERROR(__xludf.dummyfunction("""COMPUTED_VALUE"""),45169)</f>
        <v>45169</v>
      </c>
      <c r="G439" s="16" t="n">
        <f aca="false">IFERROR(__xludf.dummyfunction("""COMPUTED_VALUE"""),0.544576539351863)</f>
        <v>0.5445765394</v>
      </c>
      <c r="H439" s="13" t="str">
        <f aca="false">IFERROR(__xludf.dummyfunction("""COMPUTED_VALUE"""),"damaged stock")</f>
        <v>damaged stock</v>
      </c>
      <c r="I439" s="13" t="n">
        <f aca="false">IFERROR(__xludf.dummyfunction("""COMPUTED_VALUE"""),6)</f>
        <v>6</v>
      </c>
      <c r="J439" s="13" t="n">
        <f aca="false">IFERROR(__xludf.dummyfunction("""COMPUTED_VALUE"""),540)</f>
        <v>540</v>
      </c>
      <c r="K439" s="13" t="n">
        <f aca="false">IFERROR(__xludf.dummyfunction("""COMPUTED_VALUE"""),3240)</f>
        <v>3240</v>
      </c>
      <c r="L439" s="13" t="str">
        <f aca="false">IFERROR(__xludf.dummyfunction("""COMPUTED_VALUE"""),"[Code: 3355779B] 6 units found damaged due to fungus")</f>
        <v>[Code: 3355779B] 6 units found damaged due to fungus</v>
      </c>
      <c r="M439" s="13" t="str">
        <f aca="false">IFERROR(__xludf.dummyfunction("""COMPUTED_VALUE"""),"3355779B")</f>
        <v>3355779B</v>
      </c>
      <c r="N439" s="13"/>
      <c r="O439" s="13" t="str">
        <f aca="false">IFERROR(__xludf.dummyfunction("""COMPUTED_VALUE"""),"ali.raza@tajir-app.com")</f>
        <v>ali.raza@tajir-app.com</v>
      </c>
      <c r="P439" s="13" t="str">
        <f aca="false">IFERROR(__xludf.dummyfunction("""COMPUTED_VALUE"""),"Ali Raza ")</f>
        <v>Ali Raza </v>
      </c>
      <c r="Q439" s="13" t="str">
        <f aca="false">IF(L439="","",L439)</f>
        <v>[Code: 3355779B] 6 units found damaged due to fungus</v>
      </c>
    </row>
    <row r="440" customFormat="false" ht="15.75" hidden="false" customHeight="false" outlineLevel="0" collapsed="false">
      <c r="A440" s="13" t="str">
        <f aca="false">IFERROR(__xludf.dummyfunction("""COMPUTED_VALUE"""),"Metro DC Faisalabad")</f>
        <v>Metro DC Faisalabad</v>
      </c>
      <c r="B440" s="13" t="str">
        <f aca="false">IFERROR(__xludf.dummyfunction("""COMPUTED_VALUE"""),"717c11ae-c3bc-4378-a184-2154badcf63d")</f>
        <v>717c11ae-c3bc-4378-a184-2154badcf63d</v>
      </c>
      <c r="C440" s="13" t="str">
        <f aca="false">IFERROR(__xludf.dummyfunction("""COMPUTED_VALUE"""),"Quality Grains Daal Mash Wash 500g")</f>
        <v>Quality Grains Daal Mash Wash 500g</v>
      </c>
      <c r="D440" s="13" t="str">
        <f aca="false">IFERROR(__xludf.dummyfunction("""COMPUTED_VALUE"""),"Quality Grains")</f>
        <v>Quality Grains</v>
      </c>
      <c r="E440" s="13" t="str">
        <f aca="false">IFERROR(__xludf.dummyfunction("""COMPUTED_VALUE"""),"Pulses")</f>
        <v>Pulses</v>
      </c>
      <c r="F440" s="11" t="n">
        <f aca="false">IFERROR(__xludf.dummyfunction("""COMPUTED_VALUE"""),45169)</f>
        <v>45169</v>
      </c>
      <c r="G440" s="16" t="n">
        <f aca="false">IFERROR(__xludf.dummyfunction("""COMPUTED_VALUE"""),0.510526504629727)</f>
        <v>0.5105265046</v>
      </c>
      <c r="H440" s="13" t="str">
        <f aca="false">IFERROR(__xludf.dummyfunction("""COMPUTED_VALUE"""),"damaged stock")</f>
        <v>damaged stock</v>
      </c>
      <c r="I440" s="13" t="n">
        <f aca="false">IFERROR(__xludf.dummyfunction("""COMPUTED_VALUE"""),1)</f>
        <v>1</v>
      </c>
      <c r="J440" s="13" t="n">
        <f aca="false">IFERROR(__xludf.dummyfunction("""COMPUTED_VALUE"""),272)</f>
        <v>272</v>
      </c>
      <c r="K440" s="13" t="n">
        <f aca="false">IFERROR(__xludf.dummyfunction("""COMPUTED_VALUE"""),272)</f>
        <v>272</v>
      </c>
      <c r="L440" s="13" t="str">
        <f aca="false">IFERROR(__xludf.dummyfunction("""COMPUTED_VALUE"""),"[Code: 2458CDEH] 1 unit found damaged due to fungus")</f>
        <v>[Code: 2458CDEH] 1 unit found damaged due to fungus</v>
      </c>
      <c r="M440" s="13" t="str">
        <f aca="false">IFERROR(__xludf.dummyfunction("""COMPUTED_VALUE"""),"2458CDEH")</f>
        <v>2458CDEH</v>
      </c>
      <c r="N440" s="13"/>
      <c r="O440" s="13" t="str">
        <f aca="false">IFERROR(__xludf.dummyfunction("""COMPUTED_VALUE"""),"ali.raza@tajir-app.com")</f>
        <v>ali.raza@tajir-app.com</v>
      </c>
      <c r="P440" s="13" t="str">
        <f aca="false">IFERROR(__xludf.dummyfunction("""COMPUTED_VALUE"""),"Ali Raza ")</f>
        <v>Ali Raza </v>
      </c>
      <c r="Q440" s="13" t="str">
        <f aca="false">IF(L440="","",L440)</f>
        <v>[Code: 2458CDEH] 1 unit found damaged due to fungus</v>
      </c>
    </row>
    <row r="441" customFormat="false" ht="15.75" hidden="false" customHeight="false" outlineLevel="0" collapsed="false">
      <c r="A441" s="13" t="str">
        <f aca="false">IFERROR(__xludf.dummyfunction("""COMPUTED_VALUE"""),"Metro DC Faisalabad")</f>
        <v>Metro DC Faisalabad</v>
      </c>
      <c r="B441" s="13" t="str">
        <f aca="false">IFERROR(__xludf.dummyfunction("""COMPUTED_VALUE"""),"7f12f4f8-6be0-4afc-98a9-afca65a480b4")</f>
        <v>7f12f4f8-6be0-4afc-98a9-afca65a480b4</v>
      </c>
      <c r="C441" s="13" t="str">
        <f aca="false">IFERROR(__xludf.dummyfunction("""COMPUTED_VALUE"""),"Sherdil Daal Moong Wash 5kg")</f>
        <v>Sherdil Daal Moong Wash 5kg</v>
      </c>
      <c r="D441" s="13" t="str">
        <f aca="false">IFERROR(__xludf.dummyfunction("""COMPUTED_VALUE"""),"Sherdil")</f>
        <v>Sherdil</v>
      </c>
      <c r="E441" s="13" t="str">
        <f aca="false">IFERROR(__xludf.dummyfunction("""COMPUTED_VALUE"""),"Pulses")</f>
        <v>Pulses</v>
      </c>
      <c r="F441" s="11" t="n">
        <f aca="false">IFERROR(__xludf.dummyfunction("""COMPUTED_VALUE"""),45169)</f>
        <v>45169</v>
      </c>
      <c r="G441" s="16" t="n">
        <f aca="false">IFERROR(__xludf.dummyfunction("""COMPUTED_VALUE"""),0.506259085646693)</f>
        <v>0.5062590856</v>
      </c>
      <c r="H441" s="13" t="str">
        <f aca="false">IFERROR(__xludf.dummyfunction("""COMPUTED_VALUE"""),"damaged stock")</f>
        <v>damaged stock</v>
      </c>
      <c r="I441" s="13" t="n">
        <f aca="false">IFERROR(__xludf.dummyfunction("""COMPUTED_VALUE"""),1)</f>
        <v>1</v>
      </c>
      <c r="J441" s="13" t="n">
        <f aca="false">IFERROR(__xludf.dummyfunction("""COMPUTED_VALUE"""),1303)</f>
        <v>1303</v>
      </c>
      <c r="K441" s="13" t="n">
        <f aca="false">IFERROR(__xludf.dummyfunction("""COMPUTED_VALUE"""),1303)</f>
        <v>1303</v>
      </c>
      <c r="L441" s="13" t="str">
        <f aca="false">IFERROR(__xludf.dummyfunction("""COMPUTED_VALUE"""),"[Code: 2345588A] 1 unit found damaged due to quality issue.")</f>
        <v>[Code: 2345588A] 1 unit found damaged due to quality issue.</v>
      </c>
      <c r="M441" s="13" t="str">
        <f aca="false">IFERROR(__xludf.dummyfunction("""COMPUTED_VALUE"""),"2345588A")</f>
        <v>2345588A</v>
      </c>
      <c r="N441" s="13"/>
      <c r="O441" s="13" t="str">
        <f aca="false">IFERROR(__xludf.dummyfunction("""COMPUTED_VALUE"""),"ali.raza@tajir-app.com")</f>
        <v>ali.raza@tajir-app.com</v>
      </c>
      <c r="P441" s="13" t="str">
        <f aca="false">IFERROR(__xludf.dummyfunction("""COMPUTED_VALUE"""),"Ali Raza ")</f>
        <v>Ali Raza </v>
      </c>
      <c r="Q441" s="13" t="str">
        <f aca="false">IF(L441="","",L441)</f>
        <v>[Code: 2345588A] 1 unit found damaged due to quality issue.</v>
      </c>
    </row>
    <row r="442" customFormat="false" ht="15.75" hidden="false" customHeight="false" outlineLevel="0" collapsed="false">
      <c r="A442" s="13" t="str">
        <f aca="false">IFERROR(__xludf.dummyfunction("""COMPUTED_VALUE"""),"Metro DC Faisalabad")</f>
        <v>Metro DC Faisalabad</v>
      </c>
      <c r="B442" s="13" t="str">
        <f aca="false">IFERROR(__xludf.dummyfunction("""COMPUTED_VALUE"""),"c227111f-6b7d-4366-aa4b-32e58cf5a1f6")</f>
        <v>c227111f-6b7d-4366-aa4b-32e58cf5a1f6</v>
      </c>
      <c r="C442" s="13" t="str">
        <f aca="false">IFERROR(__xludf.dummyfunction("""COMPUTED_VALUE"""),"Sherdil White Chana Mota 500g")</f>
        <v>Sherdil White Chana Mota 500g</v>
      </c>
      <c r="D442" s="13" t="str">
        <f aca="false">IFERROR(__xludf.dummyfunction("""COMPUTED_VALUE"""),"Sherdil")</f>
        <v>Sherdil</v>
      </c>
      <c r="E442" s="13" t="str">
        <f aca="false">IFERROR(__xludf.dummyfunction("""COMPUTED_VALUE"""),"Pulses")</f>
        <v>Pulses</v>
      </c>
      <c r="F442" s="11" t="n">
        <f aca="false">IFERROR(__xludf.dummyfunction("""COMPUTED_VALUE"""),45169)</f>
        <v>45169</v>
      </c>
      <c r="G442" s="16" t="n">
        <f aca="false">IFERROR(__xludf.dummyfunction("""COMPUTED_VALUE"""),0.493712476853399)</f>
        <v>0.4937124769</v>
      </c>
      <c r="H442" s="13" t="str">
        <f aca="false">IFERROR(__xludf.dummyfunction("""COMPUTED_VALUE"""),"damaged stock")</f>
        <v>damaged stock</v>
      </c>
      <c r="I442" s="13" t="n">
        <f aca="false">IFERROR(__xludf.dummyfunction("""COMPUTED_VALUE"""),1)</f>
        <v>1</v>
      </c>
      <c r="J442" s="13" t="n">
        <f aca="false">IFERROR(__xludf.dummyfunction("""COMPUTED_VALUE"""),240)</f>
        <v>240</v>
      </c>
      <c r="K442" s="13" t="n">
        <f aca="false">IFERROR(__xludf.dummyfunction("""COMPUTED_VALUE"""),240)</f>
        <v>240</v>
      </c>
      <c r="L442" s="13" t="str">
        <f aca="false">IFERROR(__xludf.dummyfunction("""COMPUTED_VALUE"""),"[Code: 557ABCCJ] 1 unit found damaged having quality issue.")</f>
        <v>[Code: 557ABCCJ] 1 unit found damaged having quality issue.</v>
      </c>
      <c r="M442" s="13" t="str">
        <f aca="false">IFERROR(__xludf.dummyfunction("""COMPUTED_VALUE"""),"557ABCCJ")</f>
        <v>557ABCCJ</v>
      </c>
      <c r="N442" s="13"/>
      <c r="O442" s="13" t="str">
        <f aca="false">IFERROR(__xludf.dummyfunction("""COMPUTED_VALUE"""),"ali.raza@tajir-app.com")</f>
        <v>ali.raza@tajir-app.com</v>
      </c>
      <c r="P442" s="13" t="str">
        <f aca="false">IFERROR(__xludf.dummyfunction("""COMPUTED_VALUE"""),"Ali Raza ")</f>
        <v>Ali Raza </v>
      </c>
      <c r="Q442" s="13" t="str">
        <f aca="false">IF(L442="","",L442)</f>
        <v>[Code: 557ABCCJ] 1 unit found damaged having quality issue.</v>
      </c>
    </row>
    <row r="443" customFormat="false" ht="15.75" hidden="false" customHeight="false" outlineLevel="0" collapsed="false">
      <c r="A443" s="13" t="str">
        <f aca="false">IFERROR(__xludf.dummyfunction("""COMPUTED_VALUE"""),"Metro DC Faisalabad")</f>
        <v>Metro DC Faisalabad</v>
      </c>
      <c r="B443" s="13" t="str">
        <f aca="false">IFERROR(__xludf.dummyfunction("""COMPUTED_VALUE"""),"978a88b5-e0d1-4d9d-b7a1-90921ab8d4f0")</f>
        <v>978a88b5-e0d1-4d9d-b7a1-90921ab8d4f0</v>
      </c>
      <c r="C443" s="13" t="str">
        <f aca="false">IFERROR(__xludf.dummyfunction("""COMPUTED_VALUE"""),"Sherdil Daal Mash Wash 5kg")</f>
        <v>Sherdil Daal Mash Wash 5kg</v>
      </c>
      <c r="D443" s="13" t="str">
        <f aca="false">IFERROR(__xludf.dummyfunction("""COMPUTED_VALUE"""),"Sherdil")</f>
        <v>Sherdil</v>
      </c>
      <c r="E443" s="13" t="str">
        <f aca="false">IFERROR(__xludf.dummyfunction("""COMPUTED_VALUE"""),"Pulses")</f>
        <v>Pulses</v>
      </c>
      <c r="F443" s="11" t="n">
        <f aca="false">IFERROR(__xludf.dummyfunction("""COMPUTED_VALUE"""),45169)</f>
        <v>45169</v>
      </c>
      <c r="G443" s="16" t="n">
        <f aca="false">IFERROR(__xludf.dummyfunction("""COMPUTED_VALUE"""),0.490835092592544)</f>
        <v>0.4908350926</v>
      </c>
      <c r="H443" s="13" t="str">
        <f aca="false">IFERROR(__xludf.dummyfunction("""COMPUTED_VALUE"""),"damaged stock")</f>
        <v>damaged stock</v>
      </c>
      <c r="I443" s="13" t="n">
        <f aca="false">IFERROR(__xludf.dummyfunction("""COMPUTED_VALUE"""),4)</f>
        <v>4</v>
      </c>
      <c r="J443" s="13" t="n">
        <f aca="false">IFERROR(__xludf.dummyfunction("""COMPUTED_VALUE"""),2822)</f>
        <v>2822</v>
      </c>
      <c r="K443" s="13" t="n">
        <f aca="false">IFERROR(__xludf.dummyfunction("""COMPUTED_VALUE"""),11288)</f>
        <v>11288</v>
      </c>
      <c r="L443" s="13" t="str">
        <f aca="false">IFERROR(__xludf.dummyfunction("""COMPUTED_VALUE"""),"[Code: 25BBFGGH] 4 units found damaged due to fungus.")</f>
        <v>[Code: 25BBFGGH] 4 units found damaged due to fungus.</v>
      </c>
      <c r="M443" s="13" t="str">
        <f aca="false">IFERROR(__xludf.dummyfunction("""COMPUTED_VALUE"""),"25BBFGGH")</f>
        <v>25BBFGGH</v>
      </c>
      <c r="N443" s="13"/>
      <c r="O443" s="13" t="str">
        <f aca="false">IFERROR(__xludf.dummyfunction("""COMPUTED_VALUE"""),"ali.raza@tajir-app.com")</f>
        <v>ali.raza@tajir-app.com</v>
      </c>
      <c r="P443" s="13" t="str">
        <f aca="false">IFERROR(__xludf.dummyfunction("""COMPUTED_VALUE"""),"Ali Raza ")</f>
        <v>Ali Raza </v>
      </c>
      <c r="Q443" s="13" t="str">
        <f aca="false">IF(L443="","",L443)</f>
        <v>[Code: 25BBFGGH] 4 units found damaged due to fungus.</v>
      </c>
    </row>
    <row r="444" customFormat="false" ht="15.75" hidden="false" customHeight="false" outlineLevel="0" collapsed="false">
      <c r="A444" s="13" t="str">
        <f aca="false">IFERROR(__xludf.dummyfunction("""COMPUTED_VALUE"""),"Metro DC Faisalabad")</f>
        <v>Metro DC Faisalabad</v>
      </c>
      <c r="B444" s="13" t="str">
        <f aca="false">IFERROR(__xludf.dummyfunction("""COMPUTED_VALUE"""),"68e18f16-9746-430b-a32a-2b6c62dba9c3")</f>
        <v>68e18f16-9746-430b-a32a-2b6c62dba9c3</v>
      </c>
      <c r="C444" s="13" t="str">
        <f aca="false">IFERROR(__xludf.dummyfunction("""COMPUTED_VALUE"""),"Sherdil Daal Mash Chilka 5kg")</f>
        <v>Sherdil Daal Mash Chilka 5kg</v>
      </c>
      <c r="D444" s="13" t="str">
        <f aca="false">IFERROR(__xludf.dummyfunction("""COMPUTED_VALUE"""),"Sherdil")</f>
        <v>Sherdil</v>
      </c>
      <c r="E444" s="13" t="str">
        <f aca="false">IFERROR(__xludf.dummyfunction("""COMPUTED_VALUE"""),"Pulses")</f>
        <v>Pulses</v>
      </c>
      <c r="F444" s="11" t="n">
        <f aca="false">IFERROR(__xludf.dummyfunction("""COMPUTED_VALUE"""),45169)</f>
        <v>45169</v>
      </c>
      <c r="G444" s="16" t="n">
        <f aca="false">IFERROR(__xludf.dummyfunction("""COMPUTED_VALUE"""),0.489868969905645)</f>
        <v>0.4898689699</v>
      </c>
      <c r="H444" s="13" t="str">
        <f aca="false">IFERROR(__xludf.dummyfunction("""COMPUTED_VALUE"""),"damaged stock")</f>
        <v>damaged stock</v>
      </c>
      <c r="I444" s="13" t="n">
        <f aca="false">IFERROR(__xludf.dummyfunction("""COMPUTED_VALUE"""),2)</f>
        <v>2</v>
      </c>
      <c r="J444" s="13" t="n">
        <f aca="false">IFERROR(__xludf.dummyfunction("""COMPUTED_VALUE"""),2495)</f>
        <v>2495</v>
      </c>
      <c r="K444" s="13" t="n">
        <f aca="false">IFERROR(__xludf.dummyfunction("""COMPUTED_VALUE"""),4990)</f>
        <v>4990</v>
      </c>
      <c r="L444" s="13" t="str">
        <f aca="false">IFERROR(__xludf.dummyfunction("""COMPUTED_VALUE"""),"[Code: 499DEJJJ] 02 units was damaged and return to vendor.")</f>
        <v>[Code: 499DEJJJ] 02 units was damaged and return to vendor.</v>
      </c>
      <c r="M444" s="13" t="str">
        <f aca="false">IFERROR(__xludf.dummyfunction("""COMPUTED_VALUE"""),"499DEJJJ")</f>
        <v>499DEJJJ</v>
      </c>
      <c r="N444" s="13"/>
      <c r="O444" s="13" t="str">
        <f aca="false">IFERROR(__xludf.dummyfunction("""COMPUTED_VALUE"""),"ali.raza@tajir-app.com")</f>
        <v>ali.raza@tajir-app.com</v>
      </c>
      <c r="P444" s="13" t="str">
        <f aca="false">IFERROR(__xludf.dummyfunction("""COMPUTED_VALUE"""),"Ali Raza ")</f>
        <v>Ali Raza </v>
      </c>
      <c r="Q444" s="13" t="str">
        <f aca="false">IF(L444="","",L444)</f>
        <v>[Code: 499DEJJJ] 02 units was damaged and return to vendor.</v>
      </c>
    </row>
    <row r="445" customFormat="false" ht="15.75" hidden="false" customHeight="false" outlineLevel="0" collapsed="false">
      <c r="A445" s="13" t="str">
        <f aca="false">IFERROR(__xludf.dummyfunction("""COMPUTED_VALUE"""),"Metro DC Faisalabad")</f>
        <v>Metro DC Faisalabad</v>
      </c>
      <c r="B445" s="13" t="str">
        <f aca="false">IFERROR(__xludf.dummyfunction("""COMPUTED_VALUE"""),"d35314e0-f3f4-47fe-90aa-af65dab10e9d")</f>
        <v>d35314e0-f3f4-47fe-90aa-af65dab10e9d</v>
      </c>
      <c r="C445" s="13" t="str">
        <f aca="false">IFERROR(__xludf.dummyfunction("""COMPUTED_VALUE"""),"Bonus tristar detergent x6 bundle 48g Rs10")</f>
        <v>Bonus tristar detergent x6 bundle 48g Rs10</v>
      </c>
      <c r="D445" s="13" t="str">
        <f aca="false">IFERROR(__xludf.dummyfunction("""COMPUTED_VALUE"""),"Bonus Surf")</f>
        <v>Bonus Surf</v>
      </c>
      <c r="E445" s="13" t="str">
        <f aca="false">IFERROR(__xludf.dummyfunction("""COMPUTED_VALUE"""),"Surf, Bleach")</f>
        <v>Surf, Bleach</v>
      </c>
      <c r="F445" s="11" t="n">
        <f aca="false">IFERROR(__xludf.dummyfunction("""COMPUTED_VALUE"""),45170)</f>
        <v>45170</v>
      </c>
      <c r="G445" s="16" t="n">
        <f aca="false">IFERROR(__xludf.dummyfunction("""COMPUTED_VALUE"""),0.254559143519521)</f>
        <v>0.2545591435</v>
      </c>
      <c r="H445" s="13" t="str">
        <f aca="false">IFERROR(__xludf.dummyfunction("""COMPUTED_VALUE"""),"missing stock")</f>
        <v>missing stock</v>
      </c>
      <c r="I445" s="13" t="n">
        <f aca="false">IFERROR(__xludf.dummyfunction("""COMPUTED_VALUE"""),1)</f>
        <v>1</v>
      </c>
      <c r="J445" s="13" t="n">
        <f aca="false">IFERROR(__xludf.dummyfunction("""COMPUTED_VALUE"""),55.25)</f>
        <v>55.25</v>
      </c>
      <c r="K445" s="13" t="n">
        <f aca="false">IFERROR(__xludf.dummyfunction("""COMPUTED_VALUE"""),55.25)</f>
        <v>55.25</v>
      </c>
      <c r="L445" s="13" t="str">
        <f aca="false">IFERROR(__xludf.dummyfunction("""COMPUTED_VALUE"""),"full_in/missing")</f>
        <v>full_in/missing</v>
      </c>
      <c r="M445" s="13"/>
      <c r="N445" s="13"/>
      <c r="O445" s="13" t="str">
        <f aca="false">IFERROR(__xludf.dummyfunction("""COMPUTED_VALUE"""),"dev@tajir-app.com")</f>
        <v>dev@tajir-app.com</v>
      </c>
      <c r="P445" s="13" t="str">
        <f aca="false">IFERROR(__xludf.dummyfunction("""COMPUTED_VALUE"""),"Tajir Dev Retool")</f>
        <v>Tajir Dev Retool</v>
      </c>
      <c r="Q445" s="13" t="str">
        <f aca="false">IF(L445="","",L445)</f>
        <v>full_in/missing</v>
      </c>
    </row>
    <row r="446" customFormat="false" ht="15.75" hidden="false" customHeight="false" outlineLevel="0" collapsed="false">
      <c r="A446" s="13" t="str">
        <f aca="false">IFERROR(__xludf.dummyfunction("""COMPUTED_VALUE"""),"Metro DC Faisalabad")</f>
        <v>Metro DC Faisalabad</v>
      </c>
      <c r="B446" s="13" t="str">
        <f aca="false">IFERROR(__xludf.dummyfunction("""COMPUTED_VALUE"""),"f2256bf0-42f2-4a1a-bf53-a26aa9aeaad3")</f>
        <v>f2256bf0-42f2-4a1a-bf53-a26aa9aeaad3</v>
      </c>
      <c r="C446" s="13" t="str">
        <f aca="false">IFERROR(__xludf.dummyfunction("""COMPUTED_VALUE"""),"Kolson Pasta Spaghetti 450g (Hard Box)")</f>
        <v>Kolson Pasta Spaghetti 450g (Hard Box)</v>
      </c>
      <c r="D446" s="13" t="str">
        <f aca="false">IFERROR(__xludf.dummyfunction("""COMPUTED_VALUE"""),"Kolson")</f>
        <v>Kolson</v>
      </c>
      <c r="E446" s="13" t="str">
        <f aca="false">IFERROR(__xludf.dummyfunction("""COMPUTED_VALUE"""),"Grocery")</f>
        <v>Grocery</v>
      </c>
      <c r="F446" s="11" t="n">
        <f aca="false">IFERROR(__xludf.dummyfunction("""COMPUTED_VALUE"""),45171)</f>
        <v>45171</v>
      </c>
      <c r="G446" s="16" t="n">
        <f aca="false">IFERROR(__xludf.dummyfunction("""COMPUTED_VALUE"""),0.983034456017538)</f>
        <v>0.983034456</v>
      </c>
      <c r="H446" s="13" t="str">
        <f aca="false">IFERROR(__xludf.dummyfunction("""COMPUTED_VALUE"""),"damaged stock")</f>
        <v>damaged stock</v>
      </c>
      <c r="I446" s="13" t="n">
        <f aca="false">IFERROR(__xludf.dummyfunction("""COMPUTED_VALUE"""),1)</f>
        <v>1</v>
      </c>
      <c r="J446" s="13" t="n">
        <f aca="false">IFERROR(__xludf.dummyfunction("""COMPUTED_VALUE"""),151.69)</f>
        <v>151.69</v>
      </c>
      <c r="K446" s="13" t="n">
        <f aca="false">IFERROR(__xludf.dummyfunction("""COMPUTED_VALUE"""),151.69)</f>
        <v>151.69</v>
      </c>
      <c r="L446" s="13" t="str">
        <f aca="false">IFERROR(__xludf.dummyfunction("""COMPUTED_VALUE"""),"[Code: 689DFFFG] TA: Found kolson pasta spaghetti 250 grams from box During display(Company end brand exchange)")</f>
        <v>[Code: 689DFFFG] TA: Found kolson pasta spaghetti 250 grams from box During display(Company end brand exchange)</v>
      </c>
      <c r="M446" s="13" t="str">
        <f aca="false">IFERROR(__xludf.dummyfunction("""COMPUTED_VALUE"""),"689DFFFG")</f>
        <v>689DFFFG</v>
      </c>
      <c r="N446" s="13"/>
      <c r="O446" s="13" t="str">
        <f aca="false">IFERROR(__xludf.dummyfunction("""COMPUTED_VALUE"""),"taufeeq.akhtar@tajir-app.com")</f>
        <v>taufeeq.akhtar@tajir-app.com</v>
      </c>
      <c r="P446" s="13" t="str">
        <f aca="false">IFERROR(__xludf.dummyfunction("""COMPUTED_VALUE"""),"Taufeeq Akhtar ")</f>
        <v>Taufeeq Akhtar </v>
      </c>
      <c r="Q446" s="13" t="str">
        <f aca="false">IF(L446="","",L446)</f>
        <v>[Code: 689DFFFG] TA: Found kolson pasta spaghetti 250 grams from box During display(Company end brand exchange)</v>
      </c>
    </row>
    <row r="447" customFormat="false" ht="15.75" hidden="false" customHeight="false" outlineLevel="0" collapsed="false">
      <c r="A447" s="13" t="str">
        <f aca="false">IFERROR(__xludf.dummyfunction("""COMPUTED_VALUE"""),"Metro DC Faisalabad")</f>
        <v>Metro DC Faisalabad</v>
      </c>
      <c r="B447" s="13" t="str">
        <f aca="false">IFERROR(__xludf.dummyfunction("""COMPUTED_VALUE"""),"6bf8e4d8-b1ee-4416-8677-04c83525e4ce")</f>
        <v>6bf8e4d8-b1ee-4416-8677-04c83525e4ce</v>
      </c>
      <c r="C447" s="13" t="str">
        <f aca="false">IFERROR(__xludf.dummyfunction("""COMPUTED_VALUE"""),"Dummer Super Fine Atta 15kg")</f>
        <v>Dummer Super Fine Atta 15kg</v>
      </c>
      <c r="D447" s="13" t="str">
        <f aca="false">IFERROR(__xludf.dummyfunction("""COMPUTED_VALUE"""),"Dummer Atta")</f>
        <v>Dummer Atta</v>
      </c>
      <c r="E447" s="13" t="str">
        <f aca="false">IFERROR(__xludf.dummyfunction("""COMPUTED_VALUE"""),"Flour")</f>
        <v>Flour</v>
      </c>
      <c r="F447" s="11" t="n">
        <f aca="false">IFERROR(__xludf.dummyfunction("""COMPUTED_VALUE"""),45171)</f>
        <v>45171</v>
      </c>
      <c r="G447" s="16" t="n">
        <f aca="false">IFERROR(__xludf.dummyfunction("""COMPUTED_VALUE"""),0.980513101850407)</f>
        <v>0.9805131019</v>
      </c>
      <c r="H447" s="13" t="str">
        <f aca="false">IFERROR(__xludf.dummyfunction("""COMPUTED_VALUE"""),"damaged stock")</f>
        <v>damaged stock</v>
      </c>
      <c r="I447" s="13" t="n">
        <f aca="false">IFERROR(__xludf.dummyfunction("""COMPUTED_VALUE"""),1)</f>
        <v>1</v>
      </c>
      <c r="J447" s="13" t="n">
        <f aca="false">IFERROR(__xludf.dummyfunction("""COMPUTED_VALUE"""),2050)</f>
        <v>2050</v>
      </c>
      <c r="K447" s="13" t="n">
        <f aca="false">IFERROR(__xludf.dummyfunction("""COMPUTED_VALUE"""),2050)</f>
        <v>2050</v>
      </c>
      <c r="L447" s="13" t="str">
        <f aca="false">IFERROR(__xludf.dummyfunction("""COMPUTED_VALUE"""),"[Code: 23579CJP] TA: found damaged because of rabbit bite.")</f>
        <v>[Code: 23579CJP] TA: found damaged because of rabbit bite.</v>
      </c>
      <c r="M447" s="13" t="str">
        <f aca="false">IFERROR(__xludf.dummyfunction("""COMPUTED_VALUE"""),"23579CJP")</f>
        <v>23579CJP</v>
      </c>
      <c r="N447" s="13"/>
      <c r="O447" s="13" t="str">
        <f aca="false">IFERROR(__xludf.dummyfunction("""COMPUTED_VALUE"""),"taufeeq.akhtar@tajir-app.com")</f>
        <v>taufeeq.akhtar@tajir-app.com</v>
      </c>
      <c r="P447" s="13" t="str">
        <f aca="false">IFERROR(__xludf.dummyfunction("""COMPUTED_VALUE"""),"Taufeeq Akhtar ")</f>
        <v>Taufeeq Akhtar </v>
      </c>
      <c r="Q447" s="13" t="str">
        <f aca="false">IF(L447="","",L447)</f>
        <v>[Code: 23579CJP] TA: found damaged because of rabbit bite.</v>
      </c>
    </row>
    <row r="448" customFormat="false" ht="15.75" hidden="false" customHeight="false" outlineLevel="0" collapsed="false">
      <c r="A448" s="13" t="str">
        <f aca="false">IFERROR(__xludf.dummyfunction("""COMPUTED_VALUE"""),"Metro DC Faisalabad")</f>
        <v>Metro DC Faisalabad</v>
      </c>
      <c r="B448" s="13" t="str">
        <f aca="false">IFERROR(__xludf.dummyfunction("""COMPUTED_VALUE"""),"2f3a3c21-6a6d-491d-991e-e2a3e112a571")</f>
        <v>2f3a3c21-6a6d-491d-991e-e2a3e112a571</v>
      </c>
      <c r="C448" s="13" t="str">
        <f aca="false">IFERROR(__xludf.dummyfunction("""COMPUTED_VALUE"""),"Dettol Original Hand Wash Refill Pouch 150ml Rs225")</f>
        <v>Dettol Original Hand Wash Refill Pouch 150ml Rs225</v>
      </c>
      <c r="D448" s="13" t="str">
        <f aca="false">IFERROR(__xludf.dummyfunction("""COMPUTED_VALUE"""),"Dettol")</f>
        <v>Dettol</v>
      </c>
      <c r="E448" s="13" t="str">
        <f aca="false">IFERROR(__xludf.dummyfunction("""COMPUTED_VALUE"""),"Soap")</f>
        <v>Soap</v>
      </c>
      <c r="F448" s="11" t="n">
        <f aca="false">IFERROR(__xludf.dummyfunction("""COMPUTED_VALUE"""),45171)</f>
        <v>45171</v>
      </c>
      <c r="G448" s="16" t="n">
        <f aca="false">IFERROR(__xludf.dummyfunction("""COMPUTED_VALUE"""),0.927016944445188)</f>
        <v>0.9270169444</v>
      </c>
      <c r="H448" s="13" t="str">
        <f aca="false">IFERROR(__xludf.dummyfunction("""COMPUTED_VALUE"""),"damaged stock")</f>
        <v>damaged stock</v>
      </c>
      <c r="I448" s="13" t="n">
        <f aca="false">IFERROR(__xludf.dummyfunction("""COMPUTED_VALUE"""),1)</f>
        <v>1</v>
      </c>
      <c r="J448" s="13" t="n">
        <f aca="false">IFERROR(__xludf.dummyfunction("""COMPUTED_VALUE"""),180.67)</f>
        <v>180.67</v>
      </c>
      <c r="K448" s="13" t="n">
        <f aca="false">IFERROR(__xludf.dummyfunction("""COMPUTED_VALUE"""),180.67)</f>
        <v>180.67</v>
      </c>
      <c r="L448" s="13" t="str">
        <f aca="false">IFERROR(__xludf.dummyfunction("""COMPUTED_VALUE"""),"[Code: 78BCDDJM] TA: Found damaged from box during display.")</f>
        <v>[Code: 78BCDDJM] TA: Found damaged from box during display.</v>
      </c>
      <c r="M448" s="13" t="str">
        <f aca="false">IFERROR(__xludf.dummyfunction("""COMPUTED_VALUE"""),"78BCDDJM")</f>
        <v>78BCDDJM</v>
      </c>
      <c r="N448" s="13"/>
      <c r="O448" s="13" t="str">
        <f aca="false">IFERROR(__xludf.dummyfunction("""COMPUTED_VALUE"""),"taufeeq.akhtar@tajir-app.com")</f>
        <v>taufeeq.akhtar@tajir-app.com</v>
      </c>
      <c r="P448" s="13" t="str">
        <f aca="false">IFERROR(__xludf.dummyfunction("""COMPUTED_VALUE"""),"Taufeeq Akhtar ")</f>
        <v>Taufeeq Akhtar </v>
      </c>
      <c r="Q448" s="13" t="str">
        <f aca="false">IF(L448="","",L448)</f>
        <v>[Code: 78BCDDJM] TA: Found damaged from box during display.</v>
      </c>
    </row>
    <row r="449" customFormat="false" ht="15.75" hidden="false" customHeight="false" outlineLevel="0" collapsed="false">
      <c r="A449" s="13" t="str">
        <f aca="false">IFERROR(__xludf.dummyfunction("""COMPUTED_VALUE"""),"Metro DC Faisalabad")</f>
        <v>Metro DC Faisalabad</v>
      </c>
      <c r="B449" s="13" t="str">
        <f aca="false">IFERROR(__xludf.dummyfunction("""COMPUTED_VALUE"""),"cd68a607-af95-45cb-b9f4-2721224c85f8")</f>
        <v>cd68a607-af95-45cb-b9f4-2721224c85f8</v>
      </c>
      <c r="C449" s="13" t="str">
        <f aca="false">IFERROR(__xludf.dummyfunction("""COMPUTED_VALUE"""),"Coca Cola plastic 1.5L")</f>
        <v>Coca Cola plastic 1.5L</v>
      </c>
      <c r="D449" s="13" t="str">
        <f aca="false">IFERROR(__xludf.dummyfunction("""COMPUTED_VALUE"""),"Coca Cola")</f>
        <v>Coca Cola</v>
      </c>
      <c r="E449" s="13" t="str">
        <f aca="false">IFERROR(__xludf.dummyfunction("""COMPUTED_VALUE"""),"Beverages")</f>
        <v>Beverages</v>
      </c>
      <c r="F449" s="11" t="n">
        <f aca="false">IFERROR(__xludf.dummyfunction("""COMPUTED_VALUE"""),45171)</f>
        <v>45171</v>
      </c>
      <c r="G449" s="16" t="n">
        <f aca="false">IFERROR(__xludf.dummyfunction("""COMPUTED_VALUE"""),0.918378275461718)</f>
        <v>0.9183782755</v>
      </c>
      <c r="H449" s="13" t="str">
        <f aca="false">IFERROR(__xludf.dummyfunction("""COMPUTED_VALUE"""),"damaged stock")</f>
        <v>damaged stock</v>
      </c>
      <c r="I449" s="13" t="n">
        <f aca="false">IFERROR(__xludf.dummyfunction("""COMPUTED_VALUE"""),1)</f>
        <v>1</v>
      </c>
      <c r="J449" s="13" t="n">
        <f aca="false">IFERROR(__xludf.dummyfunction("""COMPUTED_VALUE"""),870)</f>
        <v>870</v>
      </c>
      <c r="K449" s="13" t="n">
        <f aca="false">IFERROR(__xludf.dummyfunction("""COMPUTED_VALUE"""),870)</f>
        <v>870</v>
      </c>
      <c r="L449" s="13" t="str">
        <f aca="false">IFERROR(__xludf.dummyfunction("""COMPUTED_VALUE"""),"[Code: 455666AA] TA: found two bottels empty and one bottel loose.")</f>
        <v>[Code: 455666AA] TA: found two bottels empty and one bottel loose.</v>
      </c>
      <c r="M449" s="13" t="str">
        <f aca="false">IFERROR(__xludf.dummyfunction("""COMPUTED_VALUE"""),"455666AA")</f>
        <v>455666AA</v>
      </c>
      <c r="N449" s="13"/>
      <c r="O449" s="13" t="str">
        <f aca="false">IFERROR(__xludf.dummyfunction("""COMPUTED_VALUE"""),"taufeeq.akhtar@tajir-app.com")</f>
        <v>taufeeq.akhtar@tajir-app.com</v>
      </c>
      <c r="P449" s="13" t="str">
        <f aca="false">IFERROR(__xludf.dummyfunction("""COMPUTED_VALUE"""),"Taufeeq Akhtar ")</f>
        <v>Taufeeq Akhtar </v>
      </c>
      <c r="Q449" s="13" t="str">
        <f aca="false">IF(L449="","",L449)</f>
        <v>[Code: 455666AA] TA: found two bottels empty and one bottel loose.</v>
      </c>
    </row>
    <row r="450" customFormat="false" ht="15.75" hidden="false" customHeight="false" outlineLevel="0" collapsed="false">
      <c r="A450" s="13" t="str">
        <f aca="false">IFERROR(__xludf.dummyfunction("""COMPUTED_VALUE"""),"Metro DC Faisalabad")</f>
        <v>Metro DC Faisalabad</v>
      </c>
      <c r="B450" s="13" t="str">
        <f aca="false">IFERROR(__xludf.dummyfunction("""COMPUTED_VALUE"""),"e704339c-42c0-48de-92ab-39348129ef53")</f>
        <v>e704339c-42c0-48de-92ab-39348129ef53</v>
      </c>
      <c r="C450" s="13" t="str">
        <f aca="false">IFERROR(__xludf.dummyfunction("""COMPUTED_VALUE"""),"7up plastic 1L")</f>
        <v>7up plastic 1L</v>
      </c>
      <c r="D450" s="13" t="str">
        <f aca="false">IFERROR(__xludf.dummyfunction("""COMPUTED_VALUE"""),"7up")</f>
        <v>7up</v>
      </c>
      <c r="E450" s="13" t="str">
        <f aca="false">IFERROR(__xludf.dummyfunction("""COMPUTED_VALUE"""),"Beverages")</f>
        <v>Beverages</v>
      </c>
      <c r="F450" s="11" t="n">
        <f aca="false">IFERROR(__xludf.dummyfunction("""COMPUTED_VALUE"""),45171)</f>
        <v>45171</v>
      </c>
      <c r="G450" s="16" t="n">
        <f aca="false">IFERROR(__xludf.dummyfunction("""COMPUTED_VALUE"""),0.916828946758332)</f>
        <v>0.9168289468</v>
      </c>
      <c r="H450" s="13" t="str">
        <f aca="false">IFERROR(__xludf.dummyfunction("""COMPUTED_VALUE"""),"damaged stock")</f>
        <v>damaged stock</v>
      </c>
      <c r="I450" s="13" t="n">
        <f aca="false">IFERROR(__xludf.dummyfunction("""COMPUTED_VALUE"""),1)</f>
        <v>1</v>
      </c>
      <c r="J450" s="13" t="n">
        <f aca="false">IFERROR(__xludf.dummyfunction("""COMPUTED_VALUE"""),595)</f>
        <v>595</v>
      </c>
      <c r="K450" s="13" t="n">
        <f aca="false">IFERROR(__xludf.dummyfunction("""COMPUTED_VALUE"""),595)</f>
        <v>595</v>
      </c>
      <c r="L450" s="13" t="str">
        <f aca="false">IFERROR(__xludf.dummyfunction("""COMPUTED_VALUE"""),"[Code: 3445FKMM] TA: Found two empty bottels during sorting.")</f>
        <v>[Code: 3445FKMM] TA: Found two empty bottels during sorting.</v>
      </c>
      <c r="M450" s="13" t="str">
        <f aca="false">IFERROR(__xludf.dummyfunction("""COMPUTED_VALUE"""),"3445FKMM")</f>
        <v>3445FKMM</v>
      </c>
      <c r="N450" s="13"/>
      <c r="O450" s="13" t="str">
        <f aca="false">IFERROR(__xludf.dummyfunction("""COMPUTED_VALUE"""),"taufeeq.akhtar@tajir-app.com")</f>
        <v>taufeeq.akhtar@tajir-app.com</v>
      </c>
      <c r="P450" s="13" t="str">
        <f aca="false">IFERROR(__xludf.dummyfunction("""COMPUTED_VALUE"""),"Taufeeq Akhtar ")</f>
        <v>Taufeeq Akhtar </v>
      </c>
      <c r="Q450" s="13" t="str">
        <f aca="false">IF(L450="","",L450)</f>
        <v>[Code: 3445FKMM] TA: Found two empty bottels during sorting.</v>
      </c>
    </row>
    <row r="451" customFormat="false" ht="15.75" hidden="false" customHeight="false" outlineLevel="0" collapsed="false">
      <c r="A451" s="13" t="str">
        <f aca="false">IFERROR(__xludf.dummyfunction("""COMPUTED_VALUE"""),"Metro DC Faisalabad")</f>
        <v>Metro DC Faisalabad</v>
      </c>
      <c r="B451" s="13" t="str">
        <f aca="false">IFERROR(__xludf.dummyfunction("""COMPUTED_VALUE"""),"c227111f-6b7d-4366-aa4b-32e58cf5a1f6")</f>
        <v>c227111f-6b7d-4366-aa4b-32e58cf5a1f6</v>
      </c>
      <c r="C451" s="13" t="str">
        <f aca="false">IFERROR(__xludf.dummyfunction("""COMPUTED_VALUE"""),"Sherdil White Chana Mota 500g")</f>
        <v>Sherdil White Chana Mota 500g</v>
      </c>
      <c r="D451" s="13" t="str">
        <f aca="false">IFERROR(__xludf.dummyfunction("""COMPUTED_VALUE"""),"Sherdil")</f>
        <v>Sherdil</v>
      </c>
      <c r="E451" s="13" t="str">
        <f aca="false">IFERROR(__xludf.dummyfunction("""COMPUTED_VALUE"""),"Pulses")</f>
        <v>Pulses</v>
      </c>
      <c r="F451" s="11" t="n">
        <f aca="false">IFERROR(__xludf.dummyfunction("""COMPUTED_VALUE"""),45171)</f>
        <v>45171</v>
      </c>
      <c r="G451" s="16" t="n">
        <f aca="false">IFERROR(__xludf.dummyfunction("""COMPUTED_VALUE"""),0.608912291667583)</f>
        <v>0.6089122917</v>
      </c>
      <c r="H451" s="13" t="str">
        <f aca="false">IFERROR(__xludf.dummyfunction("""COMPUTED_VALUE"""),"damaged stock")</f>
        <v>damaged stock</v>
      </c>
      <c r="I451" s="13" t="n">
        <f aca="false">IFERROR(__xludf.dummyfunction("""COMPUTED_VALUE"""),3)</f>
        <v>3</v>
      </c>
      <c r="J451" s="13" t="n">
        <f aca="false">IFERROR(__xludf.dummyfunction("""COMPUTED_VALUE"""),240)</f>
        <v>240</v>
      </c>
      <c r="K451" s="13" t="n">
        <f aca="false">IFERROR(__xludf.dummyfunction("""COMPUTED_VALUE"""),720)</f>
        <v>720</v>
      </c>
      <c r="L451" s="13" t="str">
        <f aca="false">IFERROR(__xludf.dummyfunction("""COMPUTED_VALUE"""),"[Code: 46ADDEHJ] 03 units found damaged due to quality issue")</f>
        <v>[Code: 46ADDEHJ] 03 units found damaged due to quality issue</v>
      </c>
      <c r="M451" s="13" t="str">
        <f aca="false">IFERROR(__xludf.dummyfunction("""COMPUTED_VALUE"""),"46ADDEHJ")</f>
        <v>46ADDEHJ</v>
      </c>
      <c r="N451" s="13"/>
      <c r="O451" s="13" t="str">
        <f aca="false">IFERROR(__xludf.dummyfunction("""COMPUTED_VALUE"""),"ali.raza@tajir-app.com")</f>
        <v>ali.raza@tajir-app.com</v>
      </c>
      <c r="P451" s="13" t="str">
        <f aca="false">IFERROR(__xludf.dummyfunction("""COMPUTED_VALUE"""),"Ali Raza ")</f>
        <v>Ali Raza </v>
      </c>
      <c r="Q451" s="13" t="str">
        <f aca="false">IF(L451="","",L451)</f>
        <v>[Code: 46ADDEHJ] 03 units found damaged due to quality issue</v>
      </c>
    </row>
    <row r="452" customFormat="false" ht="15.75" hidden="false" customHeight="false" outlineLevel="0" collapsed="false">
      <c r="A452" s="13" t="str">
        <f aca="false">IFERROR(__xludf.dummyfunction("""COMPUTED_VALUE"""),"Metro DC Faisalabad")</f>
        <v>Metro DC Faisalabad</v>
      </c>
      <c r="B452" s="13" t="str">
        <f aca="false">IFERROR(__xludf.dummyfunction("""COMPUTED_VALUE"""),"09ff2b51-de1a-43dc-8e0b-d66ec9177555")</f>
        <v>09ff2b51-de1a-43dc-8e0b-d66ec9177555</v>
      </c>
      <c r="C452" s="13" t="str">
        <f aca="false">IFERROR(__xludf.dummyfunction("""COMPUTED_VALUE"""),"Aquafina Mineral Water 1.5L ")</f>
        <v>Aquafina Mineral Water 1.5L </v>
      </c>
      <c r="D452" s="13" t="str">
        <f aca="false">IFERROR(__xludf.dummyfunction("""COMPUTED_VALUE"""),"Aquafina")</f>
        <v>Aquafina</v>
      </c>
      <c r="E452" s="13" t="str">
        <f aca="false">IFERROR(__xludf.dummyfunction("""COMPUTED_VALUE"""),"Beverages")</f>
        <v>Beverages</v>
      </c>
      <c r="F452" s="11" t="n">
        <f aca="false">IFERROR(__xludf.dummyfunction("""COMPUTED_VALUE"""),45172)</f>
        <v>45172</v>
      </c>
      <c r="G452" s="16" t="n">
        <f aca="false">IFERROR(__xludf.dummyfunction("""COMPUTED_VALUE"""),0.894938124998755)</f>
        <v>0.894938125</v>
      </c>
      <c r="H452" s="13" t="str">
        <f aca="false">IFERROR(__xludf.dummyfunction("""COMPUTED_VALUE"""),"damaged stock")</f>
        <v>damaged stock</v>
      </c>
      <c r="I452" s="13" t="n">
        <f aca="false">IFERROR(__xludf.dummyfunction("""COMPUTED_VALUE"""),1)</f>
        <v>1</v>
      </c>
      <c r="J452" s="13" t="n">
        <f aca="false">IFERROR(__xludf.dummyfunction("""COMPUTED_VALUE"""),425)</f>
        <v>425</v>
      </c>
      <c r="K452" s="13" t="n">
        <f aca="false">IFERROR(__xludf.dummyfunction("""COMPUTED_VALUE"""),425)</f>
        <v>425</v>
      </c>
      <c r="L452" s="13" t="str">
        <f aca="false">IFERROR(__xludf.dummyfunction("""COMPUTED_VALUE"""),"[Code: 2356899B] TA:Found three empty bottels during sorting.")</f>
        <v>[Code: 2356899B] TA:Found three empty bottels during sorting.</v>
      </c>
      <c r="M452" s="13" t="str">
        <f aca="false">IFERROR(__xludf.dummyfunction("""COMPUTED_VALUE"""),"2356899B")</f>
        <v>2356899B</v>
      </c>
      <c r="N452" s="13"/>
      <c r="O452" s="13" t="str">
        <f aca="false">IFERROR(__xludf.dummyfunction("""COMPUTED_VALUE"""),"taufeeq.akhtar@tajir-app.com")</f>
        <v>taufeeq.akhtar@tajir-app.com</v>
      </c>
      <c r="P452" s="13" t="str">
        <f aca="false">IFERROR(__xludf.dummyfunction("""COMPUTED_VALUE"""),"Taufeeq Akhtar ")</f>
        <v>Taufeeq Akhtar </v>
      </c>
      <c r="Q452" s="13" t="str">
        <f aca="false">IF(L452="","",L452)</f>
        <v>[Code: 2356899B] TA:Found three empty bottels during sorting.</v>
      </c>
    </row>
    <row r="453" customFormat="false" ht="15.75" hidden="false" customHeight="false" outlineLevel="0" collapsed="false">
      <c r="A453" s="13" t="str">
        <f aca="false">IFERROR(__xludf.dummyfunction("""COMPUTED_VALUE"""),"Metro DC Faisalabad")</f>
        <v>Metro DC Faisalabad</v>
      </c>
      <c r="B453" s="13" t="str">
        <f aca="false">IFERROR(__xludf.dummyfunction("""COMPUTED_VALUE"""),"67c33ff3-e486-487d-844a-b17c396936ee")</f>
        <v>67c33ff3-e486-487d-844a-b17c396936ee</v>
      </c>
      <c r="C453" s="13" t="str">
        <f aca="false">IFERROR(__xludf.dummyfunction("""COMPUTED_VALUE"""),"Coca Cola plastic 1L")</f>
        <v>Coca Cola plastic 1L</v>
      </c>
      <c r="D453" s="13" t="str">
        <f aca="false">IFERROR(__xludf.dummyfunction("""COMPUTED_VALUE"""),"Coca Cola")</f>
        <v>Coca Cola</v>
      </c>
      <c r="E453" s="13" t="str">
        <f aca="false">IFERROR(__xludf.dummyfunction("""COMPUTED_VALUE"""),"Beverages")</f>
        <v>Beverages</v>
      </c>
      <c r="F453" s="11" t="n">
        <f aca="false">IFERROR(__xludf.dummyfunction("""COMPUTED_VALUE"""),45172)</f>
        <v>45172</v>
      </c>
      <c r="G453" s="16" t="n">
        <f aca="false">IFERROR(__xludf.dummyfunction("""COMPUTED_VALUE"""),0.892515821760073)</f>
        <v>0.8925158218</v>
      </c>
      <c r="H453" s="13" t="str">
        <f aca="false">IFERROR(__xludf.dummyfunction("""COMPUTED_VALUE"""),"damaged stock")</f>
        <v>damaged stock</v>
      </c>
      <c r="I453" s="13" t="n">
        <f aca="false">IFERROR(__xludf.dummyfunction("""COMPUTED_VALUE"""),1)</f>
        <v>1</v>
      </c>
      <c r="J453" s="13" t="n">
        <f aca="false">IFERROR(__xludf.dummyfunction("""COMPUTED_VALUE"""),724)</f>
        <v>724</v>
      </c>
      <c r="K453" s="13" t="n">
        <f aca="false">IFERROR(__xludf.dummyfunction("""COMPUTED_VALUE"""),724)</f>
        <v>724</v>
      </c>
      <c r="L453" s="13" t="str">
        <f aca="false">IFERROR(__xludf.dummyfunction("""COMPUTED_VALUE"""),"[Code: 57ABCCFH] TA: Found three bottel loose and three empty bottels during sorting.")</f>
        <v>[Code: 57ABCCFH] TA: Found three bottel loose and three empty bottels during sorting.</v>
      </c>
      <c r="M453" s="13" t="str">
        <f aca="false">IFERROR(__xludf.dummyfunction("""COMPUTED_VALUE"""),"57ABCCFH")</f>
        <v>57ABCCFH</v>
      </c>
      <c r="N453" s="13"/>
      <c r="O453" s="13" t="str">
        <f aca="false">IFERROR(__xludf.dummyfunction("""COMPUTED_VALUE"""),"taufeeq.akhtar@tajir-app.com")</f>
        <v>taufeeq.akhtar@tajir-app.com</v>
      </c>
      <c r="P453" s="13" t="str">
        <f aca="false">IFERROR(__xludf.dummyfunction("""COMPUTED_VALUE"""),"Taufeeq Akhtar ")</f>
        <v>Taufeeq Akhtar </v>
      </c>
      <c r="Q453" s="13" t="str">
        <f aca="false">IF(L453="","",L453)</f>
        <v>[Code: 57ABCCFH] TA: Found three bottel loose and three empty bottels during sorting.</v>
      </c>
    </row>
    <row r="454" customFormat="false" ht="15.75" hidden="false" customHeight="false" outlineLevel="0" collapsed="false">
      <c r="A454" s="13" t="str">
        <f aca="false">IFERROR(__xludf.dummyfunction("""COMPUTED_VALUE"""),"Metro DC Faisalabad")</f>
        <v>Metro DC Faisalabad</v>
      </c>
      <c r="B454" s="13" t="str">
        <f aca="false">IFERROR(__xludf.dummyfunction("""COMPUTED_VALUE"""),"67c33ff3-e486-487d-844a-b17c396936ee")</f>
        <v>67c33ff3-e486-487d-844a-b17c396936ee</v>
      </c>
      <c r="C454" s="13" t="str">
        <f aca="false">IFERROR(__xludf.dummyfunction("""COMPUTED_VALUE"""),"Coca Cola plastic 1L")</f>
        <v>Coca Cola plastic 1L</v>
      </c>
      <c r="D454" s="13" t="str">
        <f aca="false">IFERROR(__xludf.dummyfunction("""COMPUTED_VALUE"""),"Coca Cola")</f>
        <v>Coca Cola</v>
      </c>
      <c r="E454" s="13" t="str">
        <f aca="false">IFERROR(__xludf.dummyfunction("""COMPUTED_VALUE"""),"Beverages")</f>
        <v>Beverages</v>
      </c>
      <c r="F454" s="11" t="n">
        <f aca="false">IFERROR(__xludf.dummyfunction("""COMPUTED_VALUE"""),45173)</f>
        <v>45173</v>
      </c>
      <c r="G454" s="16" t="n">
        <f aca="false">IFERROR(__xludf.dummyfunction("""COMPUTED_VALUE"""),0.932382789350176)</f>
        <v>0.9323827894</v>
      </c>
      <c r="H454" s="13" t="str">
        <f aca="false">IFERROR(__xludf.dummyfunction("""COMPUTED_VALUE"""),"damaged stock")</f>
        <v>damaged stock</v>
      </c>
      <c r="I454" s="13" t="n">
        <f aca="false">IFERROR(__xludf.dummyfunction("""COMPUTED_VALUE"""),1)</f>
        <v>1</v>
      </c>
      <c r="J454" s="13" t="n">
        <f aca="false">IFERROR(__xludf.dummyfunction("""COMPUTED_VALUE"""),724)</f>
        <v>724</v>
      </c>
      <c r="K454" s="13" t="n">
        <f aca="false">IFERROR(__xludf.dummyfunction("""COMPUTED_VALUE"""),724)</f>
        <v>724</v>
      </c>
      <c r="L454" s="13" t="str">
        <f aca="false">IFERROR(__xludf.dummyfunction("""COMPUTED_VALUE"""),"[Code: BCCCDGJJ] TA: Found foure bottels in loose conditon.(company end issue)")</f>
        <v>[Code: BCCCDGJJ] TA: Found foure bottels in loose conditon.(company end issue)</v>
      </c>
      <c r="M454" s="13" t="str">
        <f aca="false">IFERROR(__xludf.dummyfunction("""COMPUTED_VALUE"""),"BCCCDGJJ")</f>
        <v>BCCCDGJJ</v>
      </c>
      <c r="N454" s="13"/>
      <c r="O454" s="13" t="str">
        <f aca="false">IFERROR(__xludf.dummyfunction("""COMPUTED_VALUE"""),"taufeeq.akhtar@tajir-app.com")</f>
        <v>taufeeq.akhtar@tajir-app.com</v>
      </c>
      <c r="P454" s="13" t="str">
        <f aca="false">IFERROR(__xludf.dummyfunction("""COMPUTED_VALUE"""),"Taufeeq Akhtar ")</f>
        <v>Taufeeq Akhtar </v>
      </c>
      <c r="Q454" s="13" t="str">
        <f aca="false">IF(L454="","",L454)</f>
        <v>[Code: BCCCDGJJ] TA: Found foure bottels in loose conditon.(company end issue)</v>
      </c>
    </row>
    <row r="455" customFormat="false" ht="15.75" hidden="false" customHeight="false" outlineLevel="0" collapsed="false">
      <c r="A455" s="13" t="str">
        <f aca="false">IFERROR(__xludf.dummyfunction("""COMPUTED_VALUE"""),"Metro DC Faisalabad")</f>
        <v>Metro DC Faisalabad</v>
      </c>
      <c r="B455" s="13" t="str">
        <f aca="false">IFERROR(__xludf.dummyfunction("""COMPUTED_VALUE"""),"c0c43530-de56-4449-abff-170fdb3fc048")</f>
        <v>c0c43530-de56-4449-abff-170fdb3fc048</v>
      </c>
      <c r="C455" s="13" t="str">
        <f aca="false">IFERROR(__xludf.dummyfunction("""COMPUTED_VALUE"""),"Lemon Max Dishwash Liquid 275ml Rs170 (Yellow)")</f>
        <v>Lemon Max Dishwash Liquid 275ml Rs170 (Yellow)</v>
      </c>
      <c r="D455" s="13" t="str">
        <f aca="false">IFERROR(__xludf.dummyfunction("""COMPUTED_VALUE"""),"Lemon Max")</f>
        <v>Lemon Max</v>
      </c>
      <c r="E455" s="13" t="str">
        <f aca="false">IFERROR(__xludf.dummyfunction("""COMPUTED_VALUE"""),"Home Care")</f>
        <v>Home Care</v>
      </c>
      <c r="F455" s="11" t="n">
        <f aca="false">IFERROR(__xludf.dummyfunction("""COMPUTED_VALUE"""),45174)</f>
        <v>45174</v>
      </c>
      <c r="G455" s="16" t="n">
        <f aca="false">IFERROR(__xludf.dummyfunction("""COMPUTED_VALUE"""),0.930618020835139)</f>
        <v>0.9306180208</v>
      </c>
      <c r="H455" s="13" t="str">
        <f aca="false">IFERROR(__xludf.dummyfunction("""COMPUTED_VALUE"""),"damaged stock")</f>
        <v>damaged stock</v>
      </c>
      <c r="I455" s="13" t="n">
        <f aca="false">IFERROR(__xludf.dummyfunction("""COMPUTED_VALUE"""),1)</f>
        <v>1</v>
      </c>
      <c r="J455" s="13" t="n">
        <f aca="false">IFERROR(__xludf.dummyfunction("""COMPUTED_VALUE"""),156.7)</f>
        <v>156.7</v>
      </c>
      <c r="K455" s="13" t="n">
        <f aca="false">IFERROR(__xludf.dummyfunction("""COMPUTED_VALUE"""),156.7)</f>
        <v>156.7</v>
      </c>
      <c r="L455" s="13" t="str">
        <f aca="false">IFERROR(__xludf.dummyfunction("""COMPUTED_VALUE"""),"[Code: 5588AABH] TA: 1unit damage found  (cotton sy damage mila hy)")</f>
        <v>[Code: 5588AABH] TA: 1unit damage found  (cotton sy damage mila hy)</v>
      </c>
      <c r="M455" s="13" t="str">
        <f aca="false">IFERROR(__xludf.dummyfunction("""COMPUTED_VALUE"""),"5588AABH")</f>
        <v>5588AABH</v>
      </c>
      <c r="N455" s="13"/>
      <c r="O455" s="13" t="str">
        <f aca="false">IFERROR(__xludf.dummyfunction("""COMPUTED_VALUE"""),"taufeeq.akhtar@tajir-app.com")</f>
        <v>taufeeq.akhtar@tajir-app.com</v>
      </c>
      <c r="P455" s="13" t="str">
        <f aca="false">IFERROR(__xludf.dummyfunction("""COMPUTED_VALUE"""),"Taufeeq Akhtar ")</f>
        <v>Taufeeq Akhtar </v>
      </c>
      <c r="Q455" s="13" t="str">
        <f aca="false">IF(L455="","",L455)</f>
        <v>[Code: 5588AABH] TA: 1unit damage found  (cotton sy damage mila hy)</v>
      </c>
    </row>
    <row r="456" customFormat="false" ht="15.75" hidden="false" customHeight="false" outlineLevel="0" collapsed="false">
      <c r="A456" s="13" t="str">
        <f aca="false">IFERROR(__xludf.dummyfunction("""COMPUTED_VALUE"""),"Metro DC Faisalabad")</f>
        <v>Metro DC Faisalabad</v>
      </c>
      <c r="B456" s="13" t="str">
        <f aca="false">IFERROR(__xludf.dummyfunction("""COMPUTED_VALUE"""),"61b64cf5-8ce8-47c7-8293-6e04fbebd722")</f>
        <v>61b64cf5-8ce8-47c7-8293-6e04fbebd722</v>
      </c>
      <c r="C456" s="13" t="str">
        <f aca="false">IFERROR(__xludf.dummyfunction("""COMPUTED_VALUE"""),"Lemon Max Liquid Regular Bottle 475ml Rs260")</f>
        <v>Lemon Max Liquid Regular Bottle 475ml Rs260</v>
      </c>
      <c r="D456" s="13" t="str">
        <f aca="false">IFERROR(__xludf.dummyfunction("""COMPUTED_VALUE"""),"Lemon Max")</f>
        <v>Lemon Max</v>
      </c>
      <c r="E456" s="13" t="str">
        <f aca="false">IFERROR(__xludf.dummyfunction("""COMPUTED_VALUE"""),"Home Care")</f>
        <v>Home Care</v>
      </c>
      <c r="F456" s="11" t="n">
        <f aca="false">IFERROR(__xludf.dummyfunction("""COMPUTED_VALUE"""),45174)</f>
        <v>45174</v>
      </c>
      <c r="G456" s="16" t="n">
        <f aca="false">IFERROR(__xludf.dummyfunction("""COMPUTED_VALUE"""),0.92895069444591)</f>
        <v>0.9289506944</v>
      </c>
      <c r="H456" s="13" t="str">
        <f aca="false">IFERROR(__xludf.dummyfunction("""COMPUTED_VALUE"""),"damaged stock")</f>
        <v>damaged stock</v>
      </c>
      <c r="I456" s="13" t="n">
        <f aca="false">IFERROR(__xludf.dummyfunction("""COMPUTED_VALUE"""),1)</f>
        <v>1</v>
      </c>
      <c r="J456" s="13" t="n">
        <f aca="false">IFERROR(__xludf.dummyfunction("""COMPUTED_VALUE"""),239.66)</f>
        <v>239.66</v>
      </c>
      <c r="K456" s="13" t="n">
        <f aca="false">IFERROR(__xludf.dummyfunction("""COMPUTED_VALUE"""),239.66)</f>
        <v>239.66</v>
      </c>
      <c r="L456" s="13" t="str">
        <f aca="false">IFERROR(__xludf.dummyfunction("""COMPUTED_VALUE"""),"[Code: 2368CEKM] TA: 1unit damage found  (coton sy damage mila hy)")</f>
        <v>[Code: 2368CEKM] TA: 1unit damage found  (coton sy damage mila hy)</v>
      </c>
      <c r="M456" s="13" t="str">
        <f aca="false">IFERROR(__xludf.dummyfunction("""COMPUTED_VALUE"""),"2368CEKM")</f>
        <v>2368CEKM</v>
      </c>
      <c r="N456" s="13"/>
      <c r="O456" s="13" t="str">
        <f aca="false">IFERROR(__xludf.dummyfunction("""COMPUTED_VALUE"""),"taufeeq.akhtar@tajir-app.com")</f>
        <v>taufeeq.akhtar@tajir-app.com</v>
      </c>
      <c r="P456" s="13" t="str">
        <f aca="false">IFERROR(__xludf.dummyfunction("""COMPUTED_VALUE"""),"Taufeeq Akhtar ")</f>
        <v>Taufeeq Akhtar </v>
      </c>
      <c r="Q456" s="13" t="str">
        <f aca="false">IF(L456="","",L456)</f>
        <v>[Code: 2368CEKM] TA: 1unit damage found  (coton sy damage mila hy)</v>
      </c>
    </row>
    <row r="457" customFormat="false" ht="15.75" hidden="false" customHeight="false" outlineLevel="0" collapsed="false">
      <c r="A457" s="13" t="str">
        <f aca="false">IFERROR(__xludf.dummyfunction("""COMPUTED_VALUE"""),"Metro DC Faisalabad")</f>
        <v>Metro DC Faisalabad</v>
      </c>
      <c r="B457" s="13" t="str">
        <f aca="false">IFERROR(__xludf.dummyfunction("""COMPUTED_VALUE"""),"38f91ed7-8c25-4061-b1cb-85ac528c02dc")</f>
        <v>38f91ed7-8c25-4061-b1cb-85ac528c02dc</v>
      </c>
      <c r="C457" s="13" t="str">
        <f aca="false">IFERROR(__xludf.dummyfunction("""COMPUTED_VALUE"""),"Shangrila Tomato Ketchup x6 Bundle 70g")</f>
        <v>Shangrila Tomato Ketchup x6 Bundle 70g</v>
      </c>
      <c r="D457" s="13" t="str">
        <f aca="false">IFERROR(__xludf.dummyfunction("""COMPUTED_VALUE"""),"Shangrila")</f>
        <v>Shangrila</v>
      </c>
      <c r="E457" s="13" t="str">
        <f aca="false">IFERROR(__xludf.dummyfunction("""COMPUTED_VALUE"""),"Sauces")</f>
        <v>Sauces</v>
      </c>
      <c r="F457" s="11" t="n">
        <f aca="false">IFERROR(__xludf.dummyfunction("""COMPUTED_VALUE"""),45174)</f>
        <v>45174</v>
      </c>
      <c r="G457" s="16" t="n">
        <f aca="false">IFERROR(__xludf.dummyfunction("""COMPUTED_VALUE"""),0.926688645832013)</f>
        <v>0.9266886458</v>
      </c>
      <c r="H457" s="13" t="str">
        <f aca="false">IFERROR(__xludf.dummyfunction("""COMPUTED_VALUE"""),"damaged stock")</f>
        <v>damaged stock</v>
      </c>
      <c r="I457" s="13" t="n">
        <f aca="false">IFERROR(__xludf.dummyfunction("""COMPUTED_VALUE"""),1)</f>
        <v>1</v>
      </c>
      <c r="J457" s="13" t="n">
        <f aca="false">IFERROR(__xludf.dummyfunction("""COMPUTED_VALUE"""),188.49)</f>
        <v>188.49</v>
      </c>
      <c r="K457" s="13" t="n">
        <f aca="false">IFERROR(__xludf.dummyfunction("""COMPUTED_VALUE"""),188.49)</f>
        <v>188.49</v>
      </c>
      <c r="L457" s="13" t="str">
        <f aca="false">IFERROR(__xludf.dummyfunction("""COMPUTED_VALUE"""),"[Code: 489ACDDH] TA:1unit (damage found durring display)")</f>
        <v>[Code: 489ACDDH] TA:1unit (damage found durring display)</v>
      </c>
      <c r="M457" s="13" t="str">
        <f aca="false">IFERROR(__xludf.dummyfunction("""COMPUTED_VALUE"""),"489ACDDH")</f>
        <v>489ACDDH</v>
      </c>
      <c r="N457" s="13"/>
      <c r="O457" s="13" t="str">
        <f aca="false">IFERROR(__xludf.dummyfunction("""COMPUTED_VALUE"""),"taufeeq.akhtar@tajir-app.com")</f>
        <v>taufeeq.akhtar@tajir-app.com</v>
      </c>
      <c r="P457" s="13" t="str">
        <f aca="false">IFERROR(__xludf.dummyfunction("""COMPUTED_VALUE"""),"Taufeeq Akhtar ")</f>
        <v>Taufeeq Akhtar </v>
      </c>
      <c r="Q457" s="13" t="str">
        <f aca="false">IF(L457="","",L457)</f>
        <v>[Code: 489ACDDH] TA:1unit (damage found durring display)</v>
      </c>
    </row>
    <row r="458" customFormat="false" ht="15.75" hidden="false" customHeight="false" outlineLevel="0" collapsed="false">
      <c r="A458" s="13" t="str">
        <f aca="false">IFERROR(__xludf.dummyfunction("""COMPUTED_VALUE"""),"Metro DC Faisalabad")</f>
        <v>Metro DC Faisalabad</v>
      </c>
      <c r="B458" s="13" t="str">
        <f aca="false">IFERROR(__xludf.dummyfunction("""COMPUTED_VALUE"""),"640b3d13-fe80-4e07-8c7f-6e8b80a71337")</f>
        <v>640b3d13-fe80-4e07-8c7f-6e8b80a71337</v>
      </c>
      <c r="C458" s="13" t="str">
        <f aca="false">IFERROR(__xludf.dummyfunction("""COMPUTED_VALUE"""),"Swadi Besan 5kg")</f>
        <v>Swadi Besan 5kg</v>
      </c>
      <c r="D458" s="13" t="str">
        <f aca="false">IFERROR(__xludf.dummyfunction("""COMPUTED_VALUE"""),"Swadi")</f>
        <v>Swadi</v>
      </c>
      <c r="E458" s="13" t="str">
        <f aca="false">IFERROR(__xludf.dummyfunction("""COMPUTED_VALUE"""),"Pulses")</f>
        <v>Pulses</v>
      </c>
      <c r="F458" s="11" t="n">
        <f aca="false">IFERROR(__xludf.dummyfunction("""COMPUTED_VALUE"""),45175)</f>
        <v>45175</v>
      </c>
      <c r="G458" s="16" t="n">
        <f aca="false">IFERROR(__xludf.dummyfunction("""COMPUTED_VALUE"""),0.55630405092729)</f>
        <v>0.5563040509</v>
      </c>
      <c r="H458" s="13" t="str">
        <f aca="false">IFERROR(__xludf.dummyfunction("""COMPUTED_VALUE"""),"damaged stock")</f>
        <v>damaged stock</v>
      </c>
      <c r="I458" s="13" t="n">
        <f aca="false">IFERROR(__xludf.dummyfunction("""COMPUTED_VALUE"""),12)</f>
        <v>12</v>
      </c>
      <c r="J458" s="13" t="n">
        <f aca="false">IFERROR(__xludf.dummyfunction("""COMPUTED_VALUE"""),1050)</f>
        <v>1050</v>
      </c>
      <c r="K458" s="13" t="n">
        <f aca="false">IFERROR(__xludf.dummyfunction("""COMPUTED_VALUE"""),12600)</f>
        <v>12600</v>
      </c>
      <c r="L458" s="13" t="str">
        <f aca="false">IFERROR(__xludf.dummyfunction("""COMPUTED_VALUE"""),"[Code: 899BBDFJ] 12 units found damaged due to susri ")</f>
        <v>[Code: 899BBDFJ] 12 units found damaged due to susri </v>
      </c>
      <c r="M458" s="13" t="str">
        <f aca="false">IFERROR(__xludf.dummyfunction("""COMPUTED_VALUE"""),"899BBDFJ")</f>
        <v>899BBDFJ</v>
      </c>
      <c r="N458" s="13"/>
      <c r="O458" s="13" t="str">
        <f aca="false">IFERROR(__xludf.dummyfunction("""COMPUTED_VALUE"""),"ali.raza@tajir-app.com")</f>
        <v>ali.raza@tajir-app.com</v>
      </c>
      <c r="P458" s="13" t="str">
        <f aca="false">IFERROR(__xludf.dummyfunction("""COMPUTED_VALUE"""),"Ali Raza ")</f>
        <v>Ali Raza </v>
      </c>
      <c r="Q458" s="13" t="str">
        <f aca="false">IF(L458="","",L458)</f>
        <v>[Code: 899BBDFJ] 12 units found damaged due to susri </v>
      </c>
    </row>
    <row r="459" customFormat="false" ht="15.75" hidden="false" customHeight="false" outlineLevel="0" collapsed="false">
      <c r="A459" s="13" t="str">
        <f aca="false">IFERROR(__xludf.dummyfunction("""COMPUTED_VALUE"""),"Metro DC Faisalabad")</f>
        <v>Metro DC Faisalabad</v>
      </c>
      <c r="B459" s="13" t="str">
        <f aca="false">IFERROR(__xludf.dummyfunction("""COMPUTED_VALUE"""),"bce89ad4-9a48-440a-9e92-b6c4600eb026")</f>
        <v>bce89ad4-9a48-440a-9e92-b6c4600eb026</v>
      </c>
      <c r="C459" s="13" t="str">
        <f aca="false">IFERROR(__xludf.dummyfunction("""COMPUTED_VALUE"""),"Sunlight Green Clean and Fresh 330g Rs99")</f>
        <v>Sunlight Green Clean and Fresh 330g Rs99</v>
      </c>
      <c r="D459" s="13" t="str">
        <f aca="false">IFERROR(__xludf.dummyfunction("""COMPUTED_VALUE"""),"Sunlight")</f>
        <v>Sunlight</v>
      </c>
      <c r="E459" s="13" t="str">
        <f aca="false">IFERROR(__xludf.dummyfunction("""COMPUTED_VALUE"""),"Surf, Bleach")</f>
        <v>Surf, Bleach</v>
      </c>
      <c r="F459" s="11" t="n">
        <f aca="false">IFERROR(__xludf.dummyfunction("""COMPUTED_VALUE"""),45177)</f>
        <v>45177</v>
      </c>
      <c r="G459" s="16" t="n">
        <f aca="false">IFERROR(__xludf.dummyfunction("""COMPUTED_VALUE"""),0.254519965277939)</f>
        <v>0.2545199653</v>
      </c>
      <c r="H459" s="13" t="str">
        <f aca="false">IFERROR(__xludf.dummyfunction("""COMPUTED_VALUE"""),"missing stock")</f>
        <v>missing stock</v>
      </c>
      <c r="I459" s="13" t="n">
        <f aca="false">IFERROR(__xludf.dummyfunction("""COMPUTED_VALUE"""),1)</f>
        <v>1</v>
      </c>
      <c r="J459" s="13" t="n">
        <f aca="false">IFERROR(__xludf.dummyfunction("""COMPUTED_VALUE"""),87.5)</f>
        <v>87.5</v>
      </c>
      <c r="K459" s="13" t="n">
        <f aca="false">IFERROR(__xludf.dummyfunction("""COMPUTED_VALUE"""),87.5)</f>
        <v>87.5</v>
      </c>
      <c r="L459" s="13" t="str">
        <f aca="false">IFERROR(__xludf.dummyfunction("""COMPUTED_VALUE"""),"full_in/missing")</f>
        <v>full_in/missing</v>
      </c>
      <c r="M459" s="13"/>
      <c r="N459" s="13"/>
      <c r="O459" s="13" t="str">
        <f aca="false">IFERROR(__xludf.dummyfunction("""COMPUTED_VALUE"""),"dev@tajir-app.com")</f>
        <v>dev@tajir-app.com</v>
      </c>
      <c r="P459" s="13" t="str">
        <f aca="false">IFERROR(__xludf.dummyfunction("""COMPUTED_VALUE"""),"Tajir Dev Retool")</f>
        <v>Tajir Dev Retool</v>
      </c>
      <c r="Q459" s="13" t="str">
        <f aca="false">IF(L459="","",L459)</f>
        <v>full_in/missing</v>
      </c>
    </row>
    <row r="460" customFormat="false" ht="15.75" hidden="false" customHeight="false" outlineLevel="0" collapsed="false">
      <c r="A460" s="13" t="str">
        <f aca="false">IFERROR(__xludf.dummyfunction("""COMPUTED_VALUE"""),"Metro DC Faisalabad")</f>
        <v>Metro DC Faisalabad</v>
      </c>
      <c r="B460" s="13" t="str">
        <f aca="false">IFERROR(__xludf.dummyfunction("""COMPUTED_VALUE"""),"138f860f-6230-442e-9fbc-5d3c54065f1e")</f>
        <v>138f860f-6230-442e-9fbc-5d3c54065f1e</v>
      </c>
      <c r="C460" s="13" t="str">
        <f aca="false">IFERROR(__xludf.dummyfunction("""COMPUTED_VALUE"""),"Pepsi plastic 1L")</f>
        <v>Pepsi plastic 1L</v>
      </c>
      <c r="D460" s="13" t="str">
        <f aca="false">IFERROR(__xludf.dummyfunction("""COMPUTED_VALUE"""),"Pepsi")</f>
        <v>Pepsi</v>
      </c>
      <c r="E460" s="13" t="str">
        <f aca="false">IFERROR(__xludf.dummyfunction("""COMPUTED_VALUE"""),"Beverages")</f>
        <v>Beverages</v>
      </c>
      <c r="F460" s="11" t="n">
        <f aca="false">IFERROR(__xludf.dummyfunction("""COMPUTED_VALUE"""),45179)</f>
        <v>45179</v>
      </c>
      <c r="G460" s="16" t="n">
        <f aca="false">IFERROR(__xludf.dummyfunction("""COMPUTED_VALUE"""),0.948927662037166)</f>
        <v>0.948927662</v>
      </c>
      <c r="H460" s="13" t="str">
        <f aca="false">IFERROR(__xludf.dummyfunction("""COMPUTED_VALUE"""),"damaged stock")</f>
        <v>damaged stock</v>
      </c>
      <c r="I460" s="13" t="n">
        <f aca="false">IFERROR(__xludf.dummyfunction("""COMPUTED_VALUE"""),1)</f>
        <v>1</v>
      </c>
      <c r="J460" s="13" t="n">
        <f aca="false">IFERROR(__xludf.dummyfunction("""COMPUTED_VALUE"""),595)</f>
        <v>595</v>
      </c>
      <c r="K460" s="13" t="n">
        <f aca="false">IFERROR(__xludf.dummyfunction("""COMPUTED_VALUE"""),595)</f>
        <v>595</v>
      </c>
      <c r="L460" s="13" t="str">
        <f aca="false">IFERROR(__xludf.dummyfunction("""COMPUTED_VALUE"""),"[Code: 228BCCFG] TA: 1unit damage found (2bottle lose hain)")</f>
        <v>[Code: 228BCCFG] TA: 1unit damage found (2bottle lose hain)</v>
      </c>
      <c r="M460" s="13" t="str">
        <f aca="false">IFERROR(__xludf.dummyfunction("""COMPUTED_VALUE"""),"228BCCFG")</f>
        <v>228BCCFG</v>
      </c>
      <c r="N460" s="13"/>
      <c r="O460" s="13" t="str">
        <f aca="false">IFERROR(__xludf.dummyfunction("""COMPUTED_VALUE"""),"taufeeq.akhtar@tajir-app.com")</f>
        <v>taufeeq.akhtar@tajir-app.com</v>
      </c>
      <c r="P460" s="13" t="str">
        <f aca="false">IFERROR(__xludf.dummyfunction("""COMPUTED_VALUE"""),"Taufeeq Akhtar ")</f>
        <v>Taufeeq Akhtar </v>
      </c>
      <c r="Q460" s="13" t="str">
        <f aca="false">IF(L460="","",L460)</f>
        <v>[Code: 228BCCFG] TA: 1unit damage found (2bottle lose hain)</v>
      </c>
    </row>
    <row r="461" customFormat="false" ht="15.75" hidden="false" customHeight="false" outlineLevel="0" collapsed="false">
      <c r="A461" s="13" t="str">
        <f aca="false">IFERROR(__xludf.dummyfunction("""COMPUTED_VALUE"""),"Metro DC Faisalabad")</f>
        <v>Metro DC Faisalabad</v>
      </c>
      <c r="B461" s="13" t="str">
        <f aca="false">IFERROR(__xludf.dummyfunction("""COMPUTED_VALUE"""),"cd68a607-af95-45cb-b9f4-2721224c85f8")</f>
        <v>cd68a607-af95-45cb-b9f4-2721224c85f8</v>
      </c>
      <c r="C461" s="13" t="str">
        <f aca="false">IFERROR(__xludf.dummyfunction("""COMPUTED_VALUE"""),"Coca Cola plastic 1.5L")</f>
        <v>Coca Cola plastic 1.5L</v>
      </c>
      <c r="D461" s="13" t="str">
        <f aca="false">IFERROR(__xludf.dummyfunction("""COMPUTED_VALUE"""),"Coca Cola")</f>
        <v>Coca Cola</v>
      </c>
      <c r="E461" s="13" t="str">
        <f aca="false">IFERROR(__xludf.dummyfunction("""COMPUTED_VALUE"""),"Beverages")</f>
        <v>Beverages</v>
      </c>
      <c r="F461" s="11" t="n">
        <f aca="false">IFERROR(__xludf.dummyfunction("""COMPUTED_VALUE"""),45179)</f>
        <v>45179</v>
      </c>
      <c r="G461" s="16" t="n">
        <f aca="false">IFERROR(__xludf.dummyfunction("""COMPUTED_VALUE"""),0.946898576388479)</f>
        <v>0.9468985764</v>
      </c>
      <c r="H461" s="13" t="str">
        <f aca="false">IFERROR(__xludf.dummyfunction("""COMPUTED_VALUE"""),"damaged stock")</f>
        <v>damaged stock</v>
      </c>
      <c r="I461" s="13" t="n">
        <f aca="false">IFERROR(__xludf.dummyfunction("""COMPUTED_VALUE"""),1)</f>
        <v>1</v>
      </c>
      <c r="J461" s="13" t="n">
        <f aca="false">IFERROR(__xludf.dummyfunction("""COMPUTED_VALUE"""),870)</f>
        <v>870</v>
      </c>
      <c r="K461" s="13" t="n">
        <f aca="false">IFERROR(__xludf.dummyfunction("""COMPUTED_VALUE"""),870)</f>
        <v>870</v>
      </c>
      <c r="L461" s="13" t="str">
        <f aca="false">IFERROR(__xludf.dummyfunction("""COMPUTED_VALUE"""),"[Code: 3458BEEJ] TA: 1unit damage found (2bottle lose hain)")</f>
        <v>[Code: 3458BEEJ] TA: 1unit damage found (2bottle lose hain)</v>
      </c>
      <c r="M461" s="13" t="str">
        <f aca="false">IFERROR(__xludf.dummyfunction("""COMPUTED_VALUE"""),"3458BEEJ")</f>
        <v>3458BEEJ</v>
      </c>
      <c r="N461" s="13"/>
      <c r="O461" s="13" t="str">
        <f aca="false">IFERROR(__xludf.dummyfunction("""COMPUTED_VALUE"""),"taufeeq.akhtar@tajir-app.com")</f>
        <v>taufeeq.akhtar@tajir-app.com</v>
      </c>
      <c r="P461" s="13" t="str">
        <f aca="false">IFERROR(__xludf.dummyfunction("""COMPUTED_VALUE"""),"Taufeeq Akhtar ")</f>
        <v>Taufeeq Akhtar </v>
      </c>
      <c r="Q461" s="13" t="str">
        <f aca="false">IF(L461="","",L461)</f>
        <v>[Code: 3458BEEJ] TA: 1unit damage found (2bottle lose hain)</v>
      </c>
    </row>
    <row r="462" customFormat="false" ht="15.75" hidden="false" customHeight="false" outlineLevel="0" collapsed="false">
      <c r="A462" s="13" t="str">
        <f aca="false">IFERROR(__xludf.dummyfunction("""COMPUTED_VALUE"""),"Metro DC Faisalabad")</f>
        <v>Metro DC Faisalabad</v>
      </c>
      <c r="B462" s="13" t="str">
        <f aca="false">IFERROR(__xludf.dummyfunction("""COMPUTED_VALUE"""),"68a117a6-3f98-4eb1-aef6-df85a7f8e4ba")</f>
        <v>68a117a6-3f98-4eb1-aef6-df85a7f8e4ba</v>
      </c>
      <c r="C462" s="13" t="str">
        <f aca="false">IFERROR(__xludf.dummyfunction("""COMPUTED_VALUE"""),"Aish Water 1500ml")</f>
        <v>Aish Water 1500ml</v>
      </c>
      <c r="D462" s="13" t="str">
        <f aca="false">IFERROR(__xludf.dummyfunction("""COMPUTED_VALUE"""),"Aish Water")</f>
        <v>Aish Water</v>
      </c>
      <c r="E462" s="13" t="str">
        <f aca="false">IFERROR(__xludf.dummyfunction("""COMPUTED_VALUE"""),"Beverages")</f>
        <v>Beverages</v>
      </c>
      <c r="F462" s="11" t="n">
        <f aca="false">IFERROR(__xludf.dummyfunction("""COMPUTED_VALUE"""),45179)</f>
        <v>45179</v>
      </c>
      <c r="G462" s="16" t="n">
        <f aca="false">IFERROR(__xludf.dummyfunction("""COMPUTED_VALUE"""),0.0229926504629468)</f>
        <v>0.02299265046</v>
      </c>
      <c r="H462" s="13" t="str">
        <f aca="false">IFERROR(__xludf.dummyfunction("""COMPUTED_VALUE"""),"damaged stock")</f>
        <v>damaged stock</v>
      </c>
      <c r="I462" s="13" t="n">
        <f aca="false">IFERROR(__xludf.dummyfunction("""COMPUTED_VALUE"""),1)</f>
        <v>1</v>
      </c>
      <c r="J462" s="13" t="n">
        <f aca="false">IFERROR(__xludf.dummyfunction("""COMPUTED_VALUE"""),190)</f>
        <v>190</v>
      </c>
      <c r="K462" s="13" t="n">
        <f aca="false">IFERROR(__xludf.dummyfunction("""COMPUTED_VALUE"""),190)</f>
        <v>190</v>
      </c>
      <c r="L462" s="13" t="str">
        <f aca="false">IFERROR(__xludf.dummyfunction("""COMPUTED_VALUE"""),"[Code: 237999BG] TA: Found two bottels loose and one empty bottel during sorting.")</f>
        <v>[Code: 237999BG] TA: Found two bottels loose and one empty bottel during sorting.</v>
      </c>
      <c r="M462" s="13" t="str">
        <f aca="false">IFERROR(__xludf.dummyfunction("""COMPUTED_VALUE"""),"237999BG")</f>
        <v>237999BG</v>
      </c>
      <c r="N462" s="13"/>
      <c r="O462" s="13" t="str">
        <f aca="false">IFERROR(__xludf.dummyfunction("""COMPUTED_VALUE"""),"taufeeq.akhtar@tajir-app.com")</f>
        <v>taufeeq.akhtar@tajir-app.com</v>
      </c>
      <c r="P462" s="13" t="str">
        <f aca="false">IFERROR(__xludf.dummyfunction("""COMPUTED_VALUE"""),"Taufeeq Akhtar ")</f>
        <v>Taufeeq Akhtar </v>
      </c>
      <c r="Q462" s="13" t="str">
        <f aca="false">IF(L462="","",L462)</f>
        <v>[Code: 237999BG] TA: Found two bottels loose and one empty bottel during sorting.</v>
      </c>
    </row>
    <row r="463" customFormat="false" ht="15.75" hidden="false" customHeight="false" outlineLevel="0" collapsed="false">
      <c r="A463" s="13" t="str">
        <f aca="false">IFERROR(__xludf.dummyfunction("""COMPUTED_VALUE"""),"Metro DC Faisalabad")</f>
        <v>Metro DC Faisalabad</v>
      </c>
      <c r="B463" s="13" t="str">
        <f aca="false">IFERROR(__xludf.dummyfunction("""COMPUTED_VALUE"""),"708ebf9b-2966-4d18-920f-9dbfee0aea89")</f>
        <v>708ebf9b-2966-4d18-920f-9dbfee0aea89</v>
      </c>
      <c r="C463" s="13" t="str">
        <f aca="false">IFERROR(__xludf.dummyfunction("""COMPUTED_VALUE"""),"Sunlight Pink Clean and Jasmine Fresh 330g Rs99")</f>
        <v>Sunlight Pink Clean and Jasmine Fresh 330g Rs99</v>
      </c>
      <c r="D463" s="13" t="str">
        <f aca="false">IFERROR(__xludf.dummyfunction("""COMPUTED_VALUE"""),"Sunlight")</f>
        <v>Sunlight</v>
      </c>
      <c r="E463" s="13" t="str">
        <f aca="false">IFERROR(__xludf.dummyfunction("""COMPUTED_VALUE"""),"Surf, Bleach")</f>
        <v>Surf, Bleach</v>
      </c>
      <c r="F463" s="11" t="n">
        <f aca="false">IFERROR(__xludf.dummyfunction("""COMPUTED_VALUE"""),45179)</f>
        <v>45179</v>
      </c>
      <c r="G463" s="16" t="n">
        <f aca="false">IFERROR(__xludf.dummyfunction("""COMPUTED_VALUE"""),0.0199965162050727)</f>
        <v>0.01999651621</v>
      </c>
      <c r="H463" s="13" t="str">
        <f aca="false">IFERROR(__xludf.dummyfunction("""COMPUTED_VALUE"""),"damaged stock")</f>
        <v>damaged stock</v>
      </c>
      <c r="I463" s="13" t="n">
        <f aca="false">IFERROR(__xludf.dummyfunction("""COMPUTED_VALUE"""),2)</f>
        <v>2</v>
      </c>
      <c r="J463" s="13" t="n">
        <f aca="false">IFERROR(__xludf.dummyfunction("""COMPUTED_VALUE"""),87.5)</f>
        <v>87.5</v>
      </c>
      <c r="K463" s="13" t="n">
        <f aca="false">IFERROR(__xludf.dummyfunction("""COMPUTED_VALUE"""),175)</f>
        <v>175</v>
      </c>
      <c r="L463" s="13" t="str">
        <f aca="false">IFERROR(__xludf.dummyfunction("""COMPUTED_VALUE"""),"[Code: ACHHJMNQ] TA: 2 units damaged found (bag main sy damage mila hy)")</f>
        <v>[Code: ACHHJMNQ] TA: 2 units damaged found (bag main sy damage mila hy)</v>
      </c>
      <c r="M463" s="13" t="str">
        <f aca="false">IFERROR(__xludf.dummyfunction("""COMPUTED_VALUE"""),"ACHHJMNQ")</f>
        <v>ACHHJMNQ</v>
      </c>
      <c r="N463" s="13"/>
      <c r="O463" s="13" t="str">
        <f aca="false">IFERROR(__xludf.dummyfunction("""COMPUTED_VALUE"""),"taufeeq.akhtar@tajir-app.com")</f>
        <v>taufeeq.akhtar@tajir-app.com</v>
      </c>
      <c r="P463" s="13" t="str">
        <f aca="false">IFERROR(__xludf.dummyfunction("""COMPUTED_VALUE"""),"Taufeeq Akhtar ")</f>
        <v>Taufeeq Akhtar </v>
      </c>
      <c r="Q463" s="13" t="str">
        <f aca="false">IF(L463="","",L463)</f>
        <v>[Code: ACHHJMNQ] TA: 2 units damaged found (bag main sy damage mila hy)</v>
      </c>
    </row>
    <row r="464" customFormat="false" ht="15.75" hidden="false" customHeight="false" outlineLevel="0" collapsed="false">
      <c r="A464" s="13" t="str">
        <f aca="false">IFERROR(__xludf.dummyfunction("""COMPUTED_VALUE"""),"Metro DC Faisalabad")</f>
        <v>Metro DC Faisalabad</v>
      </c>
      <c r="B464" s="13" t="str">
        <f aca="false">IFERROR(__xludf.dummyfunction("""COMPUTED_VALUE"""),"2078dcd4-3c88-45e1-bc7b-363dde84c6e8")</f>
        <v>2078dcd4-3c88-45e1-bc7b-363dde84c6e8</v>
      </c>
      <c r="C464" s="13" t="str">
        <f aca="false">IFERROR(__xludf.dummyfunction("""COMPUTED_VALUE"""),"Special Wooden Phool Jharoo")</f>
        <v>Special Wooden Phool Jharoo</v>
      </c>
      <c r="D464" s="13" t="str">
        <f aca="false">IFERROR(__xludf.dummyfunction("""COMPUTED_VALUE"""),"Jharoo")</f>
        <v>Jharoo</v>
      </c>
      <c r="E464" s="13" t="str">
        <f aca="false">IFERROR(__xludf.dummyfunction("""COMPUTED_VALUE"""),"Home Care")</f>
        <v>Home Care</v>
      </c>
      <c r="F464" s="11" t="n">
        <f aca="false">IFERROR(__xludf.dummyfunction("""COMPUTED_VALUE"""),45180)</f>
        <v>45180</v>
      </c>
      <c r="G464" s="16" t="n">
        <f aca="false">IFERROR(__xludf.dummyfunction("""COMPUTED_VALUE"""),0.972206423609742)</f>
        <v>0.9722064236</v>
      </c>
      <c r="H464" s="13" t="str">
        <f aca="false">IFERROR(__xludf.dummyfunction("""COMPUTED_VALUE"""),"damaged stock")</f>
        <v>damaged stock</v>
      </c>
      <c r="I464" s="13" t="n">
        <f aca="false">IFERROR(__xludf.dummyfunction("""COMPUTED_VALUE"""),1)</f>
        <v>1</v>
      </c>
      <c r="J464" s="13" t="n">
        <f aca="false">IFERROR(__xludf.dummyfunction("""COMPUTED_VALUE"""),135)</f>
        <v>135</v>
      </c>
      <c r="K464" s="13" t="n">
        <f aca="false">IFERROR(__xludf.dummyfunction("""COMPUTED_VALUE"""),135)</f>
        <v>135</v>
      </c>
      <c r="L464" s="13" t="str">
        <f aca="false">IFERROR(__xludf.dummyfunction("""COMPUTED_VALUE"""),"[Code: 36ABCFGM] TA: Found damaged during sorting .")</f>
        <v>[Code: 36ABCFGM] TA: Found damaged during sorting .</v>
      </c>
      <c r="M464" s="13" t="str">
        <f aca="false">IFERROR(__xludf.dummyfunction("""COMPUTED_VALUE"""),"36ABCFGM")</f>
        <v>36ABCFGM</v>
      </c>
      <c r="N464" s="13"/>
      <c r="O464" s="13" t="str">
        <f aca="false">IFERROR(__xludf.dummyfunction("""COMPUTED_VALUE"""),"taufeeq.akhtar@tajir-app.com")</f>
        <v>taufeeq.akhtar@tajir-app.com</v>
      </c>
      <c r="P464" s="13" t="str">
        <f aca="false">IFERROR(__xludf.dummyfunction("""COMPUTED_VALUE"""),"Taufeeq Akhtar ")</f>
        <v>Taufeeq Akhtar </v>
      </c>
      <c r="Q464" s="13" t="str">
        <f aca="false">IF(L464="","",L464)</f>
        <v>[Code: 36ABCFGM] TA: Found damaged during sorting .</v>
      </c>
    </row>
    <row r="465" customFormat="false" ht="15.75" hidden="false" customHeight="false" outlineLevel="0" collapsed="false">
      <c r="A465" s="13" t="str">
        <f aca="false">IFERROR(__xludf.dummyfunction("""COMPUTED_VALUE"""),"Metro DC Faisalabad")</f>
        <v>Metro DC Faisalabad</v>
      </c>
      <c r="B465" s="13" t="str">
        <f aca="false">IFERROR(__xludf.dummyfunction("""COMPUTED_VALUE"""),"71a58108-1e40-41a1-9cfc-dc09c29fdf09")</f>
        <v>71a58108-1e40-41a1-9cfc-dc09c29fdf09</v>
      </c>
      <c r="C465" s="13" t="str">
        <f aca="false">IFERROR(__xludf.dummyfunction("""COMPUTED_VALUE"""),"Sunridge Maida 1kg")</f>
        <v>Sunridge Maida 1kg</v>
      </c>
      <c r="D465" s="13" t="str">
        <f aca="false">IFERROR(__xludf.dummyfunction("""COMPUTED_VALUE"""),"Sunridge")</f>
        <v>Sunridge</v>
      </c>
      <c r="E465" s="13" t="str">
        <f aca="false">IFERROR(__xludf.dummyfunction("""COMPUTED_VALUE"""),"Flour")</f>
        <v>Flour</v>
      </c>
      <c r="F465" s="11" t="n">
        <f aca="false">IFERROR(__xludf.dummyfunction("""COMPUTED_VALUE"""),45180)</f>
        <v>45180</v>
      </c>
      <c r="G465" s="16" t="n">
        <f aca="false">IFERROR(__xludf.dummyfunction("""COMPUTED_VALUE"""),0.970802106480156)</f>
        <v>0.9708021065</v>
      </c>
      <c r="H465" s="13" t="str">
        <f aca="false">IFERROR(__xludf.dummyfunction("""COMPUTED_VALUE"""),"damaged stock")</f>
        <v>damaged stock</v>
      </c>
      <c r="I465" s="13" t="n">
        <f aca="false">IFERROR(__xludf.dummyfunction("""COMPUTED_VALUE"""),1)</f>
        <v>1</v>
      </c>
      <c r="J465" s="13" t="n">
        <f aca="false">IFERROR(__xludf.dummyfunction("""COMPUTED_VALUE"""),176.7)</f>
        <v>176.7</v>
      </c>
      <c r="K465" s="13" t="n">
        <f aca="false">IFERROR(__xludf.dummyfunction("""COMPUTED_VALUE"""),176.7)</f>
        <v>176.7</v>
      </c>
      <c r="L465" s="13" t="str">
        <f aca="false">IFERROR(__xludf.dummyfunction("""COMPUTED_VALUE"""),"[Code: 2247AABD] TA: Found damaged from box and the qality also bad(susri lagi hain.)")</f>
        <v>[Code: 2247AABD] TA: Found damaged from box and the qality also bad(susri lagi hain.)</v>
      </c>
      <c r="M465" s="13" t="str">
        <f aca="false">IFERROR(__xludf.dummyfunction("""COMPUTED_VALUE"""),"2247AABD")</f>
        <v>2247AABD</v>
      </c>
      <c r="N465" s="13"/>
      <c r="O465" s="13" t="str">
        <f aca="false">IFERROR(__xludf.dummyfunction("""COMPUTED_VALUE"""),"taufeeq.akhtar@tajir-app.com")</f>
        <v>taufeeq.akhtar@tajir-app.com</v>
      </c>
      <c r="P465" s="13" t="str">
        <f aca="false">IFERROR(__xludf.dummyfunction("""COMPUTED_VALUE"""),"Taufeeq Akhtar ")</f>
        <v>Taufeeq Akhtar </v>
      </c>
      <c r="Q465" s="13" t="str">
        <f aca="false">IF(L465="","",L465)</f>
        <v>[Code: 2247AABD] TA: Found damaged from box and the qality also bad(susri lagi hain.)</v>
      </c>
    </row>
    <row r="466" customFormat="false" ht="15.75" hidden="false" customHeight="false" outlineLevel="0" collapsed="false">
      <c r="A466" s="13" t="str">
        <f aca="false">IFERROR(__xludf.dummyfunction("""COMPUTED_VALUE"""),"Metro DC Faisalabad")</f>
        <v>Metro DC Faisalabad</v>
      </c>
      <c r="B466" s="13" t="str">
        <f aca="false">IFERROR(__xludf.dummyfunction("""COMPUTED_VALUE"""),"52258fdc-8b0c-4343-9884-310c160a213d")</f>
        <v>52258fdc-8b0c-4343-9884-310c160a213d</v>
      </c>
      <c r="C466" s="13" t="str">
        <f aca="false">IFERROR(__xludf.dummyfunction("""COMPUTED_VALUE"""),"Sunridge Fortified Chakki Atta 5kg")</f>
        <v>Sunridge Fortified Chakki Atta 5kg</v>
      </c>
      <c r="D466" s="13" t="str">
        <f aca="false">IFERROR(__xludf.dummyfunction("""COMPUTED_VALUE"""),"Sunridge")</f>
        <v>Sunridge</v>
      </c>
      <c r="E466" s="13" t="str">
        <f aca="false">IFERROR(__xludf.dummyfunction("""COMPUTED_VALUE"""),"Flour")</f>
        <v>Flour</v>
      </c>
      <c r="F466" s="11" t="n">
        <f aca="false">IFERROR(__xludf.dummyfunction("""COMPUTED_VALUE"""),45180)</f>
        <v>45180</v>
      </c>
      <c r="G466" s="16" t="n">
        <f aca="false">IFERROR(__xludf.dummyfunction("""COMPUTED_VALUE"""),0.969106412038169)</f>
        <v>0.969106412</v>
      </c>
      <c r="H466" s="13" t="str">
        <f aca="false">IFERROR(__xludf.dummyfunction("""COMPUTED_VALUE"""),"damaged stock")</f>
        <v>damaged stock</v>
      </c>
      <c r="I466" s="13" t="n">
        <f aca="false">IFERROR(__xludf.dummyfunction("""COMPUTED_VALUE"""),1)</f>
        <v>1</v>
      </c>
      <c r="J466" s="13" t="n">
        <f aca="false">IFERROR(__xludf.dummyfunction("""COMPUTED_VALUE"""),864.9)</f>
        <v>864.9</v>
      </c>
      <c r="K466" s="13" t="n">
        <f aca="false">IFERROR(__xludf.dummyfunction("""COMPUTED_VALUE"""),864.9)</f>
        <v>864.9</v>
      </c>
      <c r="L466" s="13" t="str">
        <f aca="false">IFERROR(__xludf.dummyfunction("""COMPUTED_VALUE"""),"[Code: 2356789A] TA: Found damaged (bitten by mouse)")</f>
        <v>[Code: 2356789A] TA: Found damaged (bitten by mouse)</v>
      </c>
      <c r="M466" s="13" t="str">
        <f aca="false">IFERROR(__xludf.dummyfunction("""COMPUTED_VALUE"""),"2356789A")</f>
        <v>2356789A</v>
      </c>
      <c r="N466" s="13"/>
      <c r="O466" s="13" t="str">
        <f aca="false">IFERROR(__xludf.dummyfunction("""COMPUTED_VALUE"""),"taufeeq.akhtar@tajir-app.com")</f>
        <v>taufeeq.akhtar@tajir-app.com</v>
      </c>
      <c r="P466" s="13" t="str">
        <f aca="false">IFERROR(__xludf.dummyfunction("""COMPUTED_VALUE"""),"Taufeeq Akhtar ")</f>
        <v>Taufeeq Akhtar </v>
      </c>
      <c r="Q466" s="13" t="str">
        <f aca="false">IF(L466="","",L466)</f>
        <v>[Code: 2356789A] TA: Found damaged (bitten by mouse)</v>
      </c>
    </row>
    <row r="467" customFormat="false" ht="15.75" hidden="false" customHeight="false" outlineLevel="0" collapsed="false">
      <c r="A467" s="13" t="str">
        <f aca="false">IFERROR(__xludf.dummyfunction("""COMPUTED_VALUE"""),"Metro DC Faisalabad")</f>
        <v>Metro DC Faisalabad</v>
      </c>
      <c r="B467" s="13" t="str">
        <f aca="false">IFERROR(__xludf.dummyfunction("""COMPUTED_VALUE"""),"76cbd286-ec03-4842-a510-1302d929540b")</f>
        <v>76cbd286-ec03-4842-a510-1302d929540b</v>
      </c>
      <c r="C467" s="13" t="str">
        <f aca="false">IFERROR(__xludf.dummyfunction("""COMPUTED_VALUE"""),"A One Fine Atta 15kg")</f>
        <v>A One Fine Atta 15kg</v>
      </c>
      <c r="D467" s="13" t="str">
        <f aca="false">IFERROR(__xludf.dummyfunction("""COMPUTED_VALUE"""),"A One Atta")</f>
        <v>A One Atta</v>
      </c>
      <c r="E467" s="13" t="str">
        <f aca="false">IFERROR(__xludf.dummyfunction("""COMPUTED_VALUE"""),"Flour")</f>
        <v>Flour</v>
      </c>
      <c r="F467" s="11" t="n">
        <f aca="false">IFERROR(__xludf.dummyfunction("""COMPUTED_VALUE"""),45180)</f>
        <v>45180</v>
      </c>
      <c r="G467" s="16" t="n">
        <f aca="false">IFERROR(__xludf.dummyfunction("""COMPUTED_VALUE"""),0.966274791666111)</f>
        <v>0.9662747917</v>
      </c>
      <c r="H467" s="13" t="str">
        <f aca="false">IFERROR(__xludf.dummyfunction("""COMPUTED_VALUE"""),"damaged stock")</f>
        <v>damaged stock</v>
      </c>
      <c r="I467" s="13" t="n">
        <f aca="false">IFERROR(__xludf.dummyfunction("""COMPUTED_VALUE"""),3)</f>
        <v>3</v>
      </c>
      <c r="J467" s="13" t="n">
        <f aca="false">IFERROR(__xludf.dummyfunction("""COMPUTED_VALUE"""),2050)</f>
        <v>2050</v>
      </c>
      <c r="K467" s="13" t="n">
        <f aca="false">IFERROR(__xludf.dummyfunction("""COMPUTED_VALUE"""),6150)</f>
        <v>6150</v>
      </c>
      <c r="L467" s="13" t="str">
        <f aca="false">IFERROR(__xludf.dummyfunction("""COMPUTED_VALUE"""),"[Code: 288AEFFF] TA: quality sahi nahi hay(fungus lagi hui haiy.)")</f>
        <v>[Code: 288AEFFF] TA: quality sahi nahi hay(fungus lagi hui haiy.)</v>
      </c>
      <c r="M467" s="13" t="str">
        <f aca="false">IFERROR(__xludf.dummyfunction("""COMPUTED_VALUE"""),"288AEFFF")</f>
        <v>288AEFFF</v>
      </c>
      <c r="N467" s="13"/>
      <c r="O467" s="13" t="str">
        <f aca="false">IFERROR(__xludf.dummyfunction("""COMPUTED_VALUE"""),"taufeeq.akhtar@tajir-app.com")</f>
        <v>taufeeq.akhtar@tajir-app.com</v>
      </c>
      <c r="P467" s="13" t="str">
        <f aca="false">IFERROR(__xludf.dummyfunction("""COMPUTED_VALUE"""),"Taufeeq Akhtar ")</f>
        <v>Taufeeq Akhtar </v>
      </c>
      <c r="Q467" s="13" t="str">
        <f aca="false">IF(L467="","",L467)</f>
        <v>[Code: 288AEFFF] TA: quality sahi nahi hay(fungus lagi hui haiy.)</v>
      </c>
    </row>
    <row r="468" customFormat="false" ht="15.75" hidden="false" customHeight="false" outlineLevel="0" collapsed="false">
      <c r="A468" s="13" t="str">
        <f aca="false">IFERROR(__xludf.dummyfunction("""COMPUTED_VALUE"""),"Metro DC Faisalabad")</f>
        <v>Metro DC Faisalabad</v>
      </c>
      <c r="B468" s="13" t="str">
        <f aca="false">IFERROR(__xludf.dummyfunction("""COMPUTED_VALUE"""),"4d1285d2-648d-4238-afa2-0eb99ebcc41c")</f>
        <v>4d1285d2-648d-4238-afa2-0eb99ebcc41c</v>
      </c>
      <c r="C468" s="13" t="str">
        <f aca="false">IFERROR(__xludf.dummyfunction("""COMPUTED_VALUE"""),"Lifebuoy Soft And Silky Shampoo 175ml Rs340")</f>
        <v>Lifebuoy Soft And Silky Shampoo 175ml Rs340</v>
      </c>
      <c r="D468" s="13" t="str">
        <f aca="false">IFERROR(__xludf.dummyfunction("""COMPUTED_VALUE"""),"Lifebuoy")</f>
        <v>Lifebuoy</v>
      </c>
      <c r="E468" s="13" t="str">
        <f aca="false">IFERROR(__xludf.dummyfunction("""COMPUTED_VALUE"""),"Shampoo")</f>
        <v>Shampoo</v>
      </c>
      <c r="F468" s="11" t="n">
        <f aca="false">IFERROR(__xludf.dummyfunction("""COMPUTED_VALUE"""),45180)</f>
        <v>45180</v>
      </c>
      <c r="G468" s="16" t="n">
        <f aca="false">IFERROR(__xludf.dummyfunction("""COMPUTED_VALUE"""),0.253596655090949)</f>
        <v>0.2535966551</v>
      </c>
      <c r="H468" s="13" t="str">
        <f aca="false">IFERROR(__xludf.dummyfunction("""COMPUTED_VALUE"""),"missing stock")</f>
        <v>missing stock</v>
      </c>
      <c r="I468" s="13" t="n">
        <f aca="false">IFERROR(__xludf.dummyfunction("""COMPUTED_VALUE"""),1)</f>
        <v>1</v>
      </c>
      <c r="J468" s="13" t="n">
        <f aca="false">IFERROR(__xludf.dummyfunction("""COMPUTED_VALUE"""),295)</f>
        <v>295</v>
      </c>
      <c r="K468" s="13" t="n">
        <f aca="false">IFERROR(__xludf.dummyfunction("""COMPUTED_VALUE"""),295)</f>
        <v>295</v>
      </c>
      <c r="L468" s="13" t="str">
        <f aca="false">IFERROR(__xludf.dummyfunction("""COMPUTED_VALUE"""),"full_in/missing")</f>
        <v>full_in/missing</v>
      </c>
      <c r="M468" s="13"/>
      <c r="N468" s="13"/>
      <c r="O468" s="13" t="str">
        <f aca="false">IFERROR(__xludf.dummyfunction("""COMPUTED_VALUE"""),"dev@tajir-app.com")</f>
        <v>dev@tajir-app.com</v>
      </c>
      <c r="P468" s="13" t="str">
        <f aca="false">IFERROR(__xludf.dummyfunction("""COMPUTED_VALUE"""),"Tajir Dev Retool")</f>
        <v>Tajir Dev Retool</v>
      </c>
      <c r="Q468" s="13" t="str">
        <f aca="false">IF(L468="","",L468)</f>
        <v>full_in/missing</v>
      </c>
    </row>
    <row r="469" customFormat="false" ht="15.75" hidden="false" customHeight="false" outlineLevel="0" collapsed="false">
      <c r="A469" s="13" t="str">
        <f aca="false">IFERROR(__xludf.dummyfunction("""COMPUTED_VALUE"""),"Metro DC Faisalabad")</f>
        <v>Metro DC Faisalabad</v>
      </c>
      <c r="B469" s="13" t="str">
        <f aca="false">IFERROR(__xludf.dummyfunction("""COMPUTED_VALUE"""),"4ad074b7-ddf4-49c4-bd12-d77c14e891f1")</f>
        <v>4ad074b7-ddf4-49c4-bd12-d77c14e891f1</v>
      </c>
      <c r="C469" s="13" t="str">
        <f aca="false">IFERROR(__xludf.dummyfunction("""COMPUTED_VALUE"""),"Lifebuoy Herbal Strong Shampoo 175ml Rs340")</f>
        <v>Lifebuoy Herbal Strong Shampoo 175ml Rs340</v>
      </c>
      <c r="D469" s="13" t="str">
        <f aca="false">IFERROR(__xludf.dummyfunction("""COMPUTED_VALUE"""),"Lifebuoy")</f>
        <v>Lifebuoy</v>
      </c>
      <c r="E469" s="13" t="str">
        <f aca="false">IFERROR(__xludf.dummyfunction("""COMPUTED_VALUE"""),"Shampoo")</f>
        <v>Shampoo</v>
      </c>
      <c r="F469" s="11" t="n">
        <f aca="false">IFERROR(__xludf.dummyfunction("""COMPUTED_VALUE"""),45180)</f>
        <v>45180</v>
      </c>
      <c r="G469" s="16" t="n">
        <f aca="false">IFERROR(__xludf.dummyfunction("""COMPUTED_VALUE"""),0.253596655090949)</f>
        <v>0.2535966551</v>
      </c>
      <c r="H469" s="13" t="str">
        <f aca="false">IFERROR(__xludf.dummyfunction("""COMPUTED_VALUE"""),"missing stock")</f>
        <v>missing stock</v>
      </c>
      <c r="I469" s="13" t="n">
        <f aca="false">IFERROR(__xludf.dummyfunction("""COMPUTED_VALUE"""),1)</f>
        <v>1</v>
      </c>
      <c r="J469" s="13" t="n">
        <f aca="false">IFERROR(__xludf.dummyfunction("""COMPUTED_VALUE"""),295)</f>
        <v>295</v>
      </c>
      <c r="K469" s="13" t="n">
        <f aca="false">IFERROR(__xludf.dummyfunction("""COMPUTED_VALUE"""),295)</f>
        <v>295</v>
      </c>
      <c r="L469" s="13" t="str">
        <f aca="false">IFERROR(__xludf.dummyfunction("""COMPUTED_VALUE"""),"full_in/missing")</f>
        <v>full_in/missing</v>
      </c>
      <c r="M469" s="13"/>
      <c r="N469" s="13"/>
      <c r="O469" s="13" t="str">
        <f aca="false">IFERROR(__xludf.dummyfunction("""COMPUTED_VALUE"""),"dev@tajir-app.com")</f>
        <v>dev@tajir-app.com</v>
      </c>
      <c r="P469" s="13" t="str">
        <f aca="false">IFERROR(__xludf.dummyfunction("""COMPUTED_VALUE"""),"Tajir Dev Retool")</f>
        <v>Tajir Dev Retool</v>
      </c>
      <c r="Q469" s="13" t="str">
        <f aca="false">IF(L469="","",L469)</f>
        <v>full_in/missing</v>
      </c>
    </row>
    <row r="470" customFormat="false" ht="15.75" hidden="false" customHeight="false" outlineLevel="0" collapsed="false">
      <c r="A470" s="13" t="str">
        <f aca="false">IFERROR(__xludf.dummyfunction("""COMPUTED_VALUE"""),"Metro DC Faisalabad")</f>
        <v>Metro DC Faisalabad</v>
      </c>
      <c r="B470" s="13" t="str">
        <f aca="false">IFERROR(__xludf.dummyfunction("""COMPUTED_VALUE"""),"09ff2b51-de1a-43dc-8e0b-d66ec9177555")</f>
        <v>09ff2b51-de1a-43dc-8e0b-d66ec9177555</v>
      </c>
      <c r="C470" s="13" t="str">
        <f aca="false">IFERROR(__xludf.dummyfunction("""COMPUTED_VALUE"""),"Aquafina Mineral Water 1.5L ")</f>
        <v>Aquafina Mineral Water 1.5L </v>
      </c>
      <c r="D470" s="13" t="str">
        <f aca="false">IFERROR(__xludf.dummyfunction("""COMPUTED_VALUE"""),"Aquafina")</f>
        <v>Aquafina</v>
      </c>
      <c r="E470" s="13" t="str">
        <f aca="false">IFERROR(__xludf.dummyfunction("""COMPUTED_VALUE"""),"Beverages")</f>
        <v>Beverages</v>
      </c>
      <c r="F470" s="11" t="n">
        <f aca="false">IFERROR(__xludf.dummyfunction("""COMPUTED_VALUE"""),45181)</f>
        <v>45181</v>
      </c>
      <c r="G470" s="16" t="n">
        <f aca="false">IFERROR(__xludf.dummyfunction("""COMPUTED_VALUE"""),0.965589525463782)</f>
        <v>0.9655895255</v>
      </c>
      <c r="H470" s="13" t="str">
        <f aca="false">IFERROR(__xludf.dummyfunction("""COMPUTED_VALUE"""),"damaged stock")</f>
        <v>damaged stock</v>
      </c>
      <c r="I470" s="13" t="n">
        <f aca="false">IFERROR(__xludf.dummyfunction("""COMPUTED_VALUE"""),1)</f>
        <v>1</v>
      </c>
      <c r="J470" s="13" t="n">
        <f aca="false">IFERROR(__xludf.dummyfunction("""COMPUTED_VALUE"""),425)</f>
        <v>425</v>
      </c>
      <c r="K470" s="13" t="n">
        <f aca="false">IFERROR(__xludf.dummyfunction("""COMPUTED_VALUE"""),425)</f>
        <v>425</v>
      </c>
      <c r="L470" s="13" t="str">
        <f aca="false">IFERROR(__xludf.dummyfunction("""COMPUTED_VALUE"""),"[Code: 24EFJNNP] TA: 1 unit damaged found (sorting ky doran damage mila hy)")</f>
        <v>[Code: 24EFJNNP] TA: 1 unit damaged found (sorting ky doran damage mila hy)</v>
      </c>
      <c r="M470" s="13" t="str">
        <f aca="false">IFERROR(__xludf.dummyfunction("""COMPUTED_VALUE"""),"24EFJNNP")</f>
        <v>24EFJNNP</v>
      </c>
      <c r="N470" s="13"/>
      <c r="O470" s="13" t="str">
        <f aca="false">IFERROR(__xludf.dummyfunction("""COMPUTED_VALUE"""),"taufeeq.akhtar@tajir-app.com")</f>
        <v>taufeeq.akhtar@tajir-app.com</v>
      </c>
      <c r="P470" s="13" t="str">
        <f aca="false">IFERROR(__xludf.dummyfunction("""COMPUTED_VALUE"""),"Taufeeq Akhtar ")</f>
        <v>Taufeeq Akhtar </v>
      </c>
      <c r="Q470" s="13" t="str">
        <f aca="false">IF(L470="","",L470)</f>
        <v>[Code: 24EFJNNP] TA: 1 unit damaged found (sorting ky doran damage mila hy)</v>
      </c>
    </row>
    <row r="471" customFormat="false" ht="15.75" hidden="false" customHeight="false" outlineLevel="0" collapsed="false">
      <c r="A471" s="13" t="str">
        <f aca="false">IFERROR(__xludf.dummyfunction("""COMPUTED_VALUE"""),"Metro DC Faisalabad")</f>
        <v>Metro DC Faisalabad</v>
      </c>
      <c r="B471" s="13" t="str">
        <f aca="false">IFERROR(__xludf.dummyfunction("""COMPUTED_VALUE"""),"698bcc4f-3133-4d6c-9eb4-4b6886ad40b3")</f>
        <v>698bcc4f-3133-4d6c-9eb4-4b6886ad40b3</v>
      </c>
      <c r="C471" s="13" t="str">
        <f aca="false">IFERROR(__xludf.dummyfunction("""COMPUTED_VALUE"""),"Kolson Pasta Large Shell 400g")</f>
        <v>Kolson Pasta Large Shell 400g</v>
      </c>
      <c r="D471" s="13" t="str">
        <f aca="false">IFERROR(__xludf.dummyfunction("""COMPUTED_VALUE"""),"Kolson")</f>
        <v>Kolson</v>
      </c>
      <c r="E471" s="13" t="str">
        <f aca="false">IFERROR(__xludf.dummyfunction("""COMPUTED_VALUE"""),"Grocery")</f>
        <v>Grocery</v>
      </c>
      <c r="F471" s="11" t="n">
        <f aca="false">IFERROR(__xludf.dummyfunction("""COMPUTED_VALUE"""),45181)</f>
        <v>45181</v>
      </c>
      <c r="G471" s="16" t="n">
        <f aca="false">IFERROR(__xludf.dummyfunction("""COMPUTED_VALUE"""),0.466776736110481)</f>
        <v>0.4667767361</v>
      </c>
      <c r="H471" s="13" t="str">
        <f aca="false">IFERROR(__xludf.dummyfunction("""COMPUTED_VALUE"""),"expired stock")</f>
        <v>expired stock</v>
      </c>
      <c r="I471" s="13" t="n">
        <f aca="false">IFERROR(__xludf.dummyfunction("""COMPUTED_VALUE"""),20)</f>
        <v>20</v>
      </c>
      <c r="J471" s="13" t="n">
        <f aca="false">IFERROR(__xludf.dummyfunction("""COMPUTED_VALUE"""),142.78)</f>
        <v>142.78</v>
      </c>
      <c r="K471" s="13" t="n">
        <f aca="false">IFERROR(__xludf.dummyfunction("""COMPUTED_VALUE"""),2855.6)</f>
        <v>2855.6</v>
      </c>
      <c r="L471" s="13" t="str">
        <f aca="false">IFERROR(__xludf.dummyfunction("""COMPUTED_VALUE"""),"[Code: 22448ACF] [Expiry: 23 Sep, 2023] 1 ctn have short expiry")</f>
        <v>[Code: 22448ACF] [Expiry: 23 Sep, 2023] 1 ctn have short expiry</v>
      </c>
      <c r="M471" s="13" t="str">
        <f aca="false">IFERROR(__xludf.dummyfunction("""COMPUTED_VALUE"""),"22448ACF")</f>
        <v>22448ACF</v>
      </c>
      <c r="N471" s="13" t="str">
        <f aca="false">IFERROR(__xludf.dummyfunction("""COMPUTED_VALUE"""),"23 Sep, 2023")</f>
        <v>23 Sep, 2023</v>
      </c>
      <c r="O471" s="13" t="str">
        <f aca="false">IFERROR(__xludf.dummyfunction("""COMPUTED_VALUE"""),"ali.raza@tajir-app.com")</f>
        <v>ali.raza@tajir-app.com</v>
      </c>
      <c r="P471" s="13" t="str">
        <f aca="false">IFERROR(__xludf.dummyfunction("""COMPUTED_VALUE"""),"Ali Raza ")</f>
        <v>Ali Raza </v>
      </c>
      <c r="Q471" s="13" t="str">
        <f aca="false">IF(L471="","",L471)</f>
        <v>[Code: 22448ACF] [Expiry: 23 Sep, 2023] 1 ctn have short expiry</v>
      </c>
    </row>
    <row r="472" customFormat="false" ht="15.75" hidden="false" customHeight="false" outlineLevel="0" collapsed="false">
      <c r="A472" s="13" t="str">
        <f aca="false">IFERROR(__xludf.dummyfunction("""COMPUTED_VALUE"""),"Metro DC Faisalabad")</f>
        <v>Metro DC Faisalabad</v>
      </c>
      <c r="B472" s="13" t="str">
        <f aca="false">IFERROR(__xludf.dummyfunction("""COMPUTED_VALUE"""),"375dbb10-803f-4f4b-8e93-abdc4dfc14fd")</f>
        <v>375dbb10-803f-4f4b-8e93-abdc4dfc14fd</v>
      </c>
      <c r="C472" s="13" t="str">
        <f aca="false">IFERROR(__xludf.dummyfunction("""COMPUTED_VALUE"""),"Chenab Garden Fortified Chakki Atta 5kg")</f>
        <v>Chenab Garden Fortified Chakki Atta 5kg</v>
      </c>
      <c r="D472" s="13" t="str">
        <f aca="false">IFERROR(__xludf.dummyfunction("""COMPUTED_VALUE"""),"Chenab Garden")</f>
        <v>Chenab Garden</v>
      </c>
      <c r="E472" s="13" t="str">
        <f aca="false">IFERROR(__xludf.dummyfunction("""COMPUTED_VALUE"""),"Flour")</f>
        <v>Flour</v>
      </c>
      <c r="F472" s="11" t="n">
        <f aca="false">IFERROR(__xludf.dummyfunction("""COMPUTED_VALUE"""),45182)</f>
        <v>45182</v>
      </c>
      <c r="G472" s="16" t="n">
        <f aca="false">IFERROR(__xludf.dummyfunction("""COMPUTED_VALUE"""),0.992185717593525)</f>
        <v>0.9921857176</v>
      </c>
      <c r="H472" s="13" t="str">
        <f aca="false">IFERROR(__xludf.dummyfunction("""COMPUTED_VALUE"""),"damaged stock")</f>
        <v>damaged stock</v>
      </c>
      <c r="I472" s="13" t="n">
        <f aca="false">IFERROR(__xludf.dummyfunction("""COMPUTED_VALUE"""),1)</f>
        <v>1</v>
      </c>
      <c r="J472" s="13" t="n">
        <f aca="false">IFERROR(__xludf.dummyfunction("""COMPUTED_VALUE"""),750)</f>
        <v>750</v>
      </c>
      <c r="K472" s="13" t="n">
        <f aca="false">IFERROR(__xludf.dummyfunction("""COMPUTED_VALUE"""),750)</f>
        <v>750</v>
      </c>
      <c r="L472" s="13" t="str">
        <f aca="false">IFERROR(__xludf.dummyfunction("""COMPUTED_VALUE"""),"[Code: 4568BDGG] TA: found in damaged condition during sorting (Company end issue)")</f>
        <v>[Code: 4568BDGG] TA: found in damaged condition during sorting (Company end issue)</v>
      </c>
      <c r="M472" s="13" t="str">
        <f aca="false">IFERROR(__xludf.dummyfunction("""COMPUTED_VALUE"""),"4568BDGG")</f>
        <v>4568BDGG</v>
      </c>
      <c r="N472" s="13"/>
      <c r="O472" s="13" t="str">
        <f aca="false">IFERROR(__xludf.dummyfunction("""COMPUTED_VALUE"""),"taufeeq.akhtar@tajir-app.com")</f>
        <v>taufeeq.akhtar@tajir-app.com</v>
      </c>
      <c r="P472" s="13" t="str">
        <f aca="false">IFERROR(__xludf.dummyfunction("""COMPUTED_VALUE"""),"Taufeeq Akhtar ")</f>
        <v>Taufeeq Akhtar </v>
      </c>
      <c r="Q472" s="13" t="str">
        <f aca="false">IF(L472="","",L472)</f>
        <v>[Code: 4568BDGG] TA: found in damaged condition during sorting (Company end issue)</v>
      </c>
    </row>
    <row r="473" customFormat="false" ht="15.75" hidden="false" customHeight="false" outlineLevel="0" collapsed="false">
      <c r="A473" s="13" t="str">
        <f aca="false">IFERROR(__xludf.dummyfunction("""COMPUTED_VALUE"""),"Metro DC Faisalabad")</f>
        <v>Metro DC Faisalabad</v>
      </c>
      <c r="B473" s="13" t="str">
        <f aca="false">IFERROR(__xludf.dummyfunction("""COMPUTED_VALUE"""),"5c0cedf5-3a7f-4dd7-b7d5-727edd227cfc")</f>
        <v>5c0cedf5-3a7f-4dd7-b7d5-727edd227cfc</v>
      </c>
      <c r="C473" s="13" t="str">
        <f aca="false">IFERROR(__xludf.dummyfunction("""COMPUTED_VALUE"""),"Colgate Extra Clean Tooth Brush Medium Rs85")</f>
        <v>Colgate Extra Clean Tooth Brush Medium Rs85</v>
      </c>
      <c r="D473" s="13" t="str">
        <f aca="false">IFERROR(__xludf.dummyfunction("""COMPUTED_VALUE"""),"Colgate")</f>
        <v>Colgate</v>
      </c>
      <c r="E473" s="13" t="str">
        <f aca="false">IFERROR(__xludf.dummyfunction("""COMPUTED_VALUE"""),"Personal Care")</f>
        <v>Personal Care</v>
      </c>
      <c r="F473" s="11" t="n">
        <f aca="false">IFERROR(__xludf.dummyfunction("""COMPUTED_VALUE"""),45182)</f>
        <v>45182</v>
      </c>
      <c r="G473" s="16" t="n">
        <f aca="false">IFERROR(__xludf.dummyfunction("""COMPUTED_VALUE"""),0.985978483794954)</f>
        <v>0.9859784838</v>
      </c>
      <c r="H473" s="13" t="str">
        <f aca="false">IFERROR(__xludf.dummyfunction("""COMPUTED_VALUE"""),"damaged stock")</f>
        <v>damaged stock</v>
      </c>
      <c r="I473" s="13" t="n">
        <f aca="false">IFERROR(__xludf.dummyfunction("""COMPUTED_VALUE"""),1)</f>
        <v>1</v>
      </c>
      <c r="J473" s="13" t="n">
        <f aca="false">IFERROR(__xludf.dummyfunction("""COMPUTED_VALUE"""),52.99)</f>
        <v>52.99</v>
      </c>
      <c r="K473" s="13" t="n">
        <f aca="false">IFERROR(__xludf.dummyfunction("""COMPUTED_VALUE"""),52.99)</f>
        <v>52.99</v>
      </c>
      <c r="L473" s="13" t="str">
        <f aca="false">IFERROR(__xludf.dummyfunction("""COMPUTED_VALUE"""),"[Code: 3567CCCD] TA: 1 unit damage found (Khali packet mila brush missing hay.)")</f>
        <v>[Code: 3567CCCD] TA: 1 unit damage found (Khali packet mila brush missing hay.)</v>
      </c>
      <c r="M473" s="13" t="str">
        <f aca="false">IFERROR(__xludf.dummyfunction("""COMPUTED_VALUE"""),"3567CCCD")</f>
        <v>3567CCCD</v>
      </c>
      <c r="N473" s="13"/>
      <c r="O473" s="13" t="str">
        <f aca="false">IFERROR(__xludf.dummyfunction("""COMPUTED_VALUE"""),"taufeeq.akhtar@tajir-app.com")</f>
        <v>taufeeq.akhtar@tajir-app.com</v>
      </c>
      <c r="P473" s="13" t="str">
        <f aca="false">IFERROR(__xludf.dummyfunction("""COMPUTED_VALUE"""),"Taufeeq Akhtar ")</f>
        <v>Taufeeq Akhtar </v>
      </c>
      <c r="Q473" s="13" t="str">
        <f aca="false">IF(L473="","",L473)</f>
        <v>[Code: 3567CCCD] TA: 1 unit damage found (Khali packet mila brush missing hay.)</v>
      </c>
    </row>
    <row r="474" customFormat="false" ht="15.75" hidden="false" customHeight="false" outlineLevel="0" collapsed="false">
      <c r="A474" s="13" t="str">
        <f aca="false">IFERROR(__xludf.dummyfunction("""COMPUTED_VALUE"""),"Metro DC Faisalabad")</f>
        <v>Metro DC Faisalabad</v>
      </c>
      <c r="B474" s="13" t="str">
        <f aca="false">IFERROR(__xludf.dummyfunction("""COMPUTED_VALUE"""),"09ff2b51-de1a-43dc-8e0b-d66ec9177555")</f>
        <v>09ff2b51-de1a-43dc-8e0b-d66ec9177555</v>
      </c>
      <c r="C474" s="13" t="str">
        <f aca="false">IFERROR(__xludf.dummyfunction("""COMPUTED_VALUE"""),"Aquafina Mineral Water 1.5L ")</f>
        <v>Aquafina Mineral Water 1.5L </v>
      </c>
      <c r="D474" s="13" t="str">
        <f aca="false">IFERROR(__xludf.dummyfunction("""COMPUTED_VALUE"""),"Aquafina")</f>
        <v>Aquafina</v>
      </c>
      <c r="E474" s="13" t="str">
        <f aca="false">IFERROR(__xludf.dummyfunction("""COMPUTED_VALUE"""),"Beverages")</f>
        <v>Beverages</v>
      </c>
      <c r="F474" s="11" t="n">
        <f aca="false">IFERROR(__xludf.dummyfunction("""COMPUTED_VALUE"""),45183)</f>
        <v>45183</v>
      </c>
      <c r="G474" s="16" t="n">
        <f aca="false">IFERROR(__xludf.dummyfunction("""COMPUTED_VALUE"""),0.574059409723009)</f>
        <v>0.5740594097</v>
      </c>
      <c r="H474" s="13" t="str">
        <f aca="false">IFERROR(__xludf.dummyfunction("""COMPUTED_VALUE"""),"damaged stock")</f>
        <v>damaged stock</v>
      </c>
      <c r="I474" s="13" t="n">
        <f aca="false">IFERROR(__xludf.dummyfunction("""COMPUTED_VALUE"""),1)</f>
        <v>1</v>
      </c>
      <c r="J474" s="13" t="n">
        <f aca="false">IFERROR(__xludf.dummyfunction("""COMPUTED_VALUE"""),425)</f>
        <v>425</v>
      </c>
      <c r="K474" s="13" t="n">
        <f aca="false">IFERROR(__xludf.dummyfunction("""COMPUTED_VALUE"""),425)</f>
        <v>425</v>
      </c>
      <c r="L474" s="13" t="str">
        <f aca="false">IFERROR(__xludf.dummyfunction("""COMPUTED_VALUE"""),"[Code: 24456678] 01 unit found damaged leak (quality issue)")</f>
        <v>[Code: 24456678] 01 unit found damaged leak (quality issue)</v>
      </c>
      <c r="M474" s="13" t="str">
        <f aca="false">IFERROR(__xludf.dummyfunction("""COMPUTED_VALUE"""),"24456678")</f>
        <v>24456678</v>
      </c>
      <c r="N474" s="13"/>
      <c r="O474" s="13" t="str">
        <f aca="false">IFERROR(__xludf.dummyfunction("""COMPUTED_VALUE"""),"ali.raza@tajir-app.com")</f>
        <v>ali.raza@tajir-app.com</v>
      </c>
      <c r="P474" s="13" t="str">
        <f aca="false">IFERROR(__xludf.dummyfunction("""COMPUTED_VALUE"""),"Ali Raza ")</f>
        <v>Ali Raza </v>
      </c>
      <c r="Q474" s="13" t="str">
        <f aca="false">IF(L474="","",L474)</f>
        <v>[Code: 24456678] 01 unit found damaged leak (quality issue)</v>
      </c>
    </row>
    <row r="475" customFormat="false" ht="15.75" hidden="false" customHeight="false" outlineLevel="0" collapsed="false">
      <c r="A475" s="13" t="str">
        <f aca="false">IFERROR(__xludf.dummyfunction("""COMPUTED_VALUE"""),"Metro DC Faisalabad")</f>
        <v>Metro DC Faisalabad</v>
      </c>
      <c r="B475" s="13" t="str">
        <f aca="false">IFERROR(__xludf.dummyfunction("""COMPUTED_VALUE"""),"9a3b2b7b-5df5-42db-9664-fb5f26aef9b0")</f>
        <v>9a3b2b7b-5df5-42db-9664-fb5f26aef9b0</v>
      </c>
      <c r="C475" s="13" t="str">
        <f aca="false">IFERROR(__xludf.dummyfunction("""COMPUTED_VALUE"""),"Quality Grains Daal Mash Chilka 500g")</f>
        <v>Quality Grains Daal Mash Chilka 500g</v>
      </c>
      <c r="D475" s="13" t="str">
        <f aca="false">IFERROR(__xludf.dummyfunction("""COMPUTED_VALUE"""),"Quality Grains")</f>
        <v>Quality Grains</v>
      </c>
      <c r="E475" s="13" t="str">
        <f aca="false">IFERROR(__xludf.dummyfunction("""COMPUTED_VALUE"""),"Pulses")</f>
        <v>Pulses</v>
      </c>
      <c r="F475" s="11" t="n">
        <f aca="false">IFERROR(__xludf.dummyfunction("""COMPUTED_VALUE"""),45183)</f>
        <v>45183</v>
      </c>
      <c r="G475" s="16" t="n">
        <f aca="false">IFERROR(__xludf.dummyfunction("""COMPUTED_VALUE"""),0.523091666665535)</f>
        <v>0.5230916667</v>
      </c>
      <c r="H475" s="13" t="str">
        <f aca="false">IFERROR(__xludf.dummyfunction("""COMPUTED_VALUE"""),"damaged stock")</f>
        <v>damaged stock</v>
      </c>
      <c r="I475" s="13" t="n">
        <f aca="false">IFERROR(__xludf.dummyfunction("""COMPUTED_VALUE"""),1)</f>
        <v>1</v>
      </c>
      <c r="J475" s="13" t="n">
        <f aca="false">IFERROR(__xludf.dummyfunction("""COMPUTED_VALUE"""),238)</f>
        <v>238</v>
      </c>
      <c r="K475" s="13" t="n">
        <f aca="false">IFERROR(__xludf.dummyfunction("""COMPUTED_VALUE"""),238)</f>
        <v>238</v>
      </c>
      <c r="L475" s="13" t="str">
        <f aca="false">IFERROR(__xludf.dummyfunction("""COMPUTED_VALUE"""),"[Code: 2FGGJLMN] 01 unit found damaged due to fungus (Quality Issue)")</f>
        <v>[Code: 2FGGJLMN] 01 unit found damaged due to fungus (Quality Issue)</v>
      </c>
      <c r="M475" s="13" t="str">
        <f aca="false">IFERROR(__xludf.dummyfunction("""COMPUTED_VALUE"""),"2FGGJLMN")</f>
        <v>2FGGJLMN</v>
      </c>
      <c r="N475" s="13"/>
      <c r="O475" s="13" t="str">
        <f aca="false">IFERROR(__xludf.dummyfunction("""COMPUTED_VALUE"""),"ali.raza@tajir-app.com")</f>
        <v>ali.raza@tajir-app.com</v>
      </c>
      <c r="P475" s="13" t="str">
        <f aca="false">IFERROR(__xludf.dummyfunction("""COMPUTED_VALUE"""),"Ali Raza ")</f>
        <v>Ali Raza </v>
      </c>
      <c r="Q475" s="13" t="str">
        <f aca="false">IF(L475="","",L475)</f>
        <v>[Code: 2FGGJLMN] 01 unit found damaged due to fungus (Quality Issue)</v>
      </c>
    </row>
    <row r="476" customFormat="false" ht="15.75" hidden="false" customHeight="false" outlineLevel="0" collapsed="false">
      <c r="A476" s="13" t="str">
        <f aca="false">IFERROR(__xludf.dummyfunction("""COMPUTED_VALUE"""),"Metro DC Faisalabad")</f>
        <v>Metro DC Faisalabad</v>
      </c>
      <c r="B476" s="13" t="str">
        <f aca="false">IFERROR(__xludf.dummyfunction("""COMPUTED_VALUE"""),"ce4bf3f0-b935-479c-8e3f-b8fe379a8db4")</f>
        <v>ce4bf3f0-b935-479c-8e3f-b8fe379a8db4</v>
      </c>
      <c r="C476" s="13" t="str">
        <f aca="false">IFERROR(__xludf.dummyfunction("""COMPUTED_VALUE"""),"Sherdil Shakar 500g")</f>
        <v>Sherdil Shakar 500g</v>
      </c>
      <c r="D476" s="13" t="str">
        <f aca="false">IFERROR(__xludf.dummyfunction("""COMPUTED_VALUE"""),"Sherdil")</f>
        <v>Sherdil</v>
      </c>
      <c r="E476" s="13" t="str">
        <f aca="false">IFERROR(__xludf.dummyfunction("""COMPUTED_VALUE"""),"Spices")</f>
        <v>Spices</v>
      </c>
      <c r="F476" s="11" t="n">
        <f aca="false">IFERROR(__xludf.dummyfunction("""COMPUTED_VALUE"""),45183)</f>
        <v>45183</v>
      </c>
      <c r="G476" s="16" t="n">
        <f aca="false">IFERROR(__xludf.dummyfunction("""COMPUTED_VALUE"""),0.522258923611629)</f>
        <v>0.5222589236</v>
      </c>
      <c r="H476" s="13" t="str">
        <f aca="false">IFERROR(__xludf.dummyfunction("""COMPUTED_VALUE"""),"damaged stock")</f>
        <v>damaged stock</v>
      </c>
      <c r="I476" s="13" t="n">
        <f aca="false">IFERROR(__xludf.dummyfunction("""COMPUTED_VALUE"""),7)</f>
        <v>7</v>
      </c>
      <c r="J476" s="13" t="n">
        <f aca="false">IFERROR(__xludf.dummyfunction("""COMPUTED_VALUE"""),150)</f>
        <v>150</v>
      </c>
      <c r="K476" s="13" t="n">
        <f aca="false">IFERROR(__xludf.dummyfunction("""COMPUTED_VALUE"""),1050)</f>
        <v>1050</v>
      </c>
      <c r="L476" s="13" t="str">
        <f aca="false">IFERROR(__xludf.dummyfunction("""COMPUTED_VALUE"""),"[Code: 34479BFJ] 07 units found damaged due to fungus (Quality Issue)")</f>
        <v>[Code: 34479BFJ] 07 units found damaged due to fungus (Quality Issue)</v>
      </c>
      <c r="M476" s="13" t="str">
        <f aca="false">IFERROR(__xludf.dummyfunction("""COMPUTED_VALUE"""),"34479BFJ")</f>
        <v>34479BFJ</v>
      </c>
      <c r="N476" s="13"/>
      <c r="O476" s="13" t="str">
        <f aca="false">IFERROR(__xludf.dummyfunction("""COMPUTED_VALUE"""),"ali.raza@tajir-app.com")</f>
        <v>ali.raza@tajir-app.com</v>
      </c>
      <c r="P476" s="13" t="str">
        <f aca="false">IFERROR(__xludf.dummyfunction("""COMPUTED_VALUE"""),"Ali Raza ")</f>
        <v>Ali Raza </v>
      </c>
      <c r="Q476" s="13" t="str">
        <f aca="false">IF(L476="","",L476)</f>
        <v>[Code: 34479BFJ] 07 units found damaged due to fungus (Quality Issue)</v>
      </c>
    </row>
    <row r="477" customFormat="false" ht="15.75" hidden="false" customHeight="false" outlineLevel="0" collapsed="false">
      <c r="A477" s="13" t="str">
        <f aca="false">IFERROR(__xludf.dummyfunction("""COMPUTED_VALUE"""),"Metro DC Faisalabad")</f>
        <v>Metro DC Faisalabad</v>
      </c>
      <c r="B477" s="13" t="str">
        <f aca="false">IFERROR(__xludf.dummyfunction("""COMPUTED_VALUE"""),"cd68a607-af95-45cb-b9f4-2721224c85f8")</f>
        <v>cd68a607-af95-45cb-b9f4-2721224c85f8</v>
      </c>
      <c r="C477" s="13" t="str">
        <f aca="false">IFERROR(__xludf.dummyfunction("""COMPUTED_VALUE"""),"Coca Cola plastic 1.5L")</f>
        <v>Coca Cola plastic 1.5L</v>
      </c>
      <c r="D477" s="13" t="str">
        <f aca="false">IFERROR(__xludf.dummyfunction("""COMPUTED_VALUE"""),"Coca Cola")</f>
        <v>Coca Cola</v>
      </c>
      <c r="E477" s="13" t="str">
        <f aca="false">IFERROR(__xludf.dummyfunction("""COMPUTED_VALUE"""),"Beverages")</f>
        <v>Beverages</v>
      </c>
      <c r="F477" s="11" t="n">
        <f aca="false">IFERROR(__xludf.dummyfunction("""COMPUTED_VALUE"""),45184)</f>
        <v>45184</v>
      </c>
      <c r="G477" s="16" t="n">
        <f aca="false">IFERROR(__xludf.dummyfunction("""COMPUTED_VALUE"""),0.773164016204253)</f>
        <v>0.7731640162</v>
      </c>
      <c r="H477" s="13" t="str">
        <f aca="false">IFERROR(__xludf.dummyfunction("""COMPUTED_VALUE"""),"damaged stock")</f>
        <v>damaged stock</v>
      </c>
      <c r="I477" s="13" t="n">
        <f aca="false">IFERROR(__xludf.dummyfunction("""COMPUTED_VALUE"""),1)</f>
        <v>1</v>
      </c>
      <c r="J477" s="13" t="n">
        <f aca="false">IFERROR(__xludf.dummyfunction("""COMPUTED_VALUE"""),870)</f>
        <v>870</v>
      </c>
      <c r="K477" s="13" t="n">
        <f aca="false">IFERROR(__xludf.dummyfunction("""COMPUTED_VALUE"""),870)</f>
        <v>870</v>
      </c>
      <c r="L477" s="13" t="str">
        <f aca="false">IFERROR(__xludf.dummyfunction("""COMPUTED_VALUE"""),"[Code: 24569BCE] TA: 1 unit damage found (sorting ky doran 2 bottle khali nikle hain or 1 bottle loose hain)")</f>
        <v>[Code: 24569BCE] TA: 1 unit damage found (sorting ky doran 2 bottle khali nikle hain or 1 bottle loose hain)</v>
      </c>
      <c r="M477" s="13" t="str">
        <f aca="false">IFERROR(__xludf.dummyfunction("""COMPUTED_VALUE"""),"24569BCE")</f>
        <v>24569BCE</v>
      </c>
      <c r="N477" s="13"/>
      <c r="O477" s="13" t="str">
        <f aca="false">IFERROR(__xludf.dummyfunction("""COMPUTED_VALUE"""),"taufeeq.akhtar@tajir-app.com")</f>
        <v>taufeeq.akhtar@tajir-app.com</v>
      </c>
      <c r="P477" s="13" t="str">
        <f aca="false">IFERROR(__xludf.dummyfunction("""COMPUTED_VALUE"""),"Taufeeq Akhtar ")</f>
        <v>Taufeeq Akhtar </v>
      </c>
      <c r="Q477" s="13" t="str">
        <f aca="false">IF(L477="","",L477)</f>
        <v>[Code: 24569BCE] TA: 1 unit damage found (sorting ky doran 2 bottle khali nikle hain or 1 bottle loose hain)</v>
      </c>
    </row>
    <row r="478" customFormat="false" ht="15.75" hidden="false" customHeight="false" outlineLevel="0" collapsed="false">
      <c r="A478" s="13" t="str">
        <f aca="false">IFERROR(__xludf.dummyfunction("""COMPUTED_VALUE"""),"Metro DC Faisalabad")</f>
        <v>Metro DC Faisalabad</v>
      </c>
      <c r="B478" s="13" t="str">
        <f aca="false">IFERROR(__xludf.dummyfunction("""COMPUTED_VALUE"""),"ce4bf3f0-b935-479c-8e3f-b8fe379a8db4")</f>
        <v>ce4bf3f0-b935-479c-8e3f-b8fe379a8db4</v>
      </c>
      <c r="C478" s="13" t="str">
        <f aca="false">IFERROR(__xludf.dummyfunction("""COMPUTED_VALUE"""),"Sherdil Shakar 500g")</f>
        <v>Sherdil Shakar 500g</v>
      </c>
      <c r="D478" s="13" t="str">
        <f aca="false">IFERROR(__xludf.dummyfunction("""COMPUTED_VALUE"""),"Sherdil")</f>
        <v>Sherdil</v>
      </c>
      <c r="E478" s="13" t="str">
        <f aca="false">IFERROR(__xludf.dummyfunction("""COMPUTED_VALUE"""),"Spices")</f>
        <v>Spices</v>
      </c>
      <c r="F478" s="11" t="n">
        <f aca="false">IFERROR(__xludf.dummyfunction("""COMPUTED_VALUE"""),45185)</f>
        <v>45185</v>
      </c>
      <c r="G478" s="16" t="n">
        <f aca="false">IFERROR(__xludf.dummyfunction("""COMPUTED_VALUE"""),0.555879548610594)</f>
        <v>0.5558795486</v>
      </c>
      <c r="H478" s="13" t="str">
        <f aca="false">IFERROR(__xludf.dummyfunction("""COMPUTED_VALUE"""),"damaged stock")</f>
        <v>damaged stock</v>
      </c>
      <c r="I478" s="13" t="n">
        <f aca="false">IFERROR(__xludf.dummyfunction("""COMPUTED_VALUE"""),33)</f>
        <v>33</v>
      </c>
      <c r="J478" s="13" t="n">
        <f aca="false">IFERROR(__xludf.dummyfunction("""COMPUTED_VALUE"""),150)</f>
        <v>150</v>
      </c>
      <c r="K478" s="13" t="n">
        <f aca="false">IFERROR(__xludf.dummyfunction("""COMPUTED_VALUE"""),4950)</f>
        <v>4950</v>
      </c>
      <c r="L478" s="13" t="str">
        <f aca="false">IFERROR(__xludf.dummyfunction("""COMPUTED_VALUE"""),"[Code: 7CCEFJKP] AR: Stock Removed due to Bad Quality ")</f>
        <v>[Code: 7CCEFJKP] AR: Stock Removed due to Bad Quality </v>
      </c>
      <c r="M478" s="13" t="str">
        <f aca="false">IFERROR(__xludf.dummyfunction("""COMPUTED_VALUE"""),"7CCEFJKP")</f>
        <v>7CCEFJKP</v>
      </c>
      <c r="N478" s="13"/>
      <c r="O478" s="13" t="str">
        <f aca="false">IFERROR(__xludf.dummyfunction("""COMPUTED_VALUE"""),"ali.raza@tajir-app.com")</f>
        <v>ali.raza@tajir-app.com</v>
      </c>
      <c r="P478" s="13" t="str">
        <f aca="false">IFERROR(__xludf.dummyfunction("""COMPUTED_VALUE"""),"Ali Raza ")</f>
        <v>Ali Raza </v>
      </c>
      <c r="Q478" s="13" t="str">
        <f aca="false">IF(L478="","",L478)</f>
        <v>[Code: 7CCEFJKP] AR: Stock Removed due to Bad Quality </v>
      </c>
    </row>
    <row r="479" customFormat="false" ht="15.75" hidden="false" customHeight="false" outlineLevel="0" collapsed="false">
      <c r="A479" s="13" t="str">
        <f aca="false">IFERROR(__xludf.dummyfunction("""COMPUTED_VALUE"""),"Metro DC Faisalabad")</f>
        <v>Metro DC Faisalabad</v>
      </c>
      <c r="B479" s="13" t="str">
        <f aca="false">IFERROR(__xludf.dummyfunction("""COMPUTED_VALUE"""),"1c7a8681-ae87-4ae9-b5e7-2388779ba232")</f>
        <v>1c7a8681-ae87-4ae9-b5e7-2388779ba232</v>
      </c>
      <c r="C479" s="13" t="str">
        <f aca="false">IFERROR(__xludf.dummyfunction("""COMPUTED_VALUE"""),"LU Gala Biscuits Snack Pack 6pcs Rs30")</f>
        <v>LU Gala Biscuits Snack Pack 6pcs Rs30</v>
      </c>
      <c r="D479" s="13" t="str">
        <f aca="false">IFERROR(__xludf.dummyfunction("""COMPUTED_VALUE"""),"LU")</f>
        <v>LU</v>
      </c>
      <c r="E479" s="13" t="str">
        <f aca="false">IFERROR(__xludf.dummyfunction("""COMPUTED_VALUE"""),"Biscuits, Wafers")</f>
        <v>Biscuits, Wafers</v>
      </c>
      <c r="F479" s="11" t="n">
        <f aca="false">IFERROR(__xludf.dummyfunction("""COMPUTED_VALUE"""),45186)</f>
        <v>45186</v>
      </c>
      <c r="G479" s="16" t="n">
        <f aca="false">IFERROR(__xludf.dummyfunction("""COMPUTED_VALUE"""),0.943372731481692)</f>
        <v>0.9433727315</v>
      </c>
      <c r="H479" s="13" t="str">
        <f aca="false">IFERROR(__xludf.dummyfunction("""COMPUTED_VALUE"""),"missing stock")</f>
        <v>missing stock</v>
      </c>
      <c r="I479" s="13" t="n">
        <f aca="false">IFERROR(__xludf.dummyfunction("""COMPUTED_VALUE"""),5)</f>
        <v>5</v>
      </c>
      <c r="J479" s="13" t="n">
        <f aca="false">IFERROR(__xludf.dummyfunction("""COMPUTED_VALUE"""),158.83)</f>
        <v>158.83</v>
      </c>
      <c r="K479" s="13" t="n">
        <f aca="false">IFERROR(__xludf.dummyfunction("""COMPUTED_VALUE"""),794.15)</f>
        <v>794.15</v>
      </c>
      <c r="L479" s="13" t="str">
        <f aca="false">IFERROR(__xludf.dummyfunction("""COMPUTED_VALUE"""),"TA; the requird sku not available ")</f>
        <v>TA; the requird sku not available </v>
      </c>
      <c r="M479" s="13"/>
      <c r="N479" s="13"/>
      <c r="O479" s="13" t="str">
        <f aca="false">IFERROR(__xludf.dummyfunction("""COMPUTED_VALUE"""),"taufeeq.akhtar@tajir-app.com")</f>
        <v>taufeeq.akhtar@tajir-app.com</v>
      </c>
      <c r="P479" s="13" t="str">
        <f aca="false">IFERROR(__xludf.dummyfunction("""COMPUTED_VALUE"""),"Taufeeq Akhtar ")</f>
        <v>Taufeeq Akhtar </v>
      </c>
      <c r="Q479" s="13" t="str">
        <f aca="false">IF(L479="","",L479)</f>
        <v>TA; the requird sku not available </v>
      </c>
    </row>
    <row r="480" customFormat="false" ht="15.75" hidden="false" customHeight="false" outlineLevel="0" collapsed="false">
      <c r="A480" s="13" t="str">
        <f aca="false">IFERROR(__xludf.dummyfunction("""COMPUTED_VALUE"""),"Metro DC Faisalabad")</f>
        <v>Metro DC Faisalabad</v>
      </c>
      <c r="B480" s="13" t="str">
        <f aca="false">IFERROR(__xludf.dummyfunction("""COMPUTED_VALUE"""),"8ded4cb0-1035-47a1-acf2-f1350da673c3")</f>
        <v>8ded4cb0-1035-47a1-acf2-f1350da673c3</v>
      </c>
      <c r="C480" s="13" t="str">
        <f aca="false">IFERROR(__xludf.dummyfunction("""COMPUTED_VALUE"""),"LU Candi Biscuits Snack Pack 6pcs Rs40")</f>
        <v>LU Candi Biscuits Snack Pack 6pcs Rs40</v>
      </c>
      <c r="D480" s="13" t="str">
        <f aca="false">IFERROR(__xludf.dummyfunction("""COMPUTED_VALUE"""),"LU")</f>
        <v>LU</v>
      </c>
      <c r="E480" s="13" t="str">
        <f aca="false">IFERROR(__xludf.dummyfunction("""COMPUTED_VALUE"""),"Biscuits, Wafers")</f>
        <v>Biscuits, Wafers</v>
      </c>
      <c r="F480" s="11" t="n">
        <f aca="false">IFERROR(__xludf.dummyfunction("""COMPUTED_VALUE"""),45186)</f>
        <v>45186</v>
      </c>
      <c r="G480" s="16" t="n">
        <f aca="false">IFERROR(__xludf.dummyfunction("""COMPUTED_VALUE"""),0.937344351850354)</f>
        <v>0.9373443519</v>
      </c>
      <c r="H480" s="13" t="str">
        <f aca="false">IFERROR(__xludf.dummyfunction("""COMPUTED_VALUE"""),"damaged stock")</f>
        <v>damaged stock</v>
      </c>
      <c r="I480" s="13" t="n">
        <f aca="false">IFERROR(__xludf.dummyfunction("""COMPUTED_VALUE"""),1)</f>
        <v>1</v>
      </c>
      <c r="J480" s="13" t="n">
        <f aca="false">IFERROR(__xludf.dummyfunction("""COMPUTED_VALUE"""),210.74)</f>
        <v>210.74</v>
      </c>
      <c r="K480" s="13" t="n">
        <f aca="false">IFERROR(__xludf.dummyfunction("""COMPUTED_VALUE"""),210.74)</f>
        <v>210.74</v>
      </c>
      <c r="L480" s="13" t="str">
        <f aca="false">IFERROR(__xludf.dummyfunction("""COMPUTED_VALUE"""),"[Code: 4458ADEH] TA: one unit damaged found from box during display(two packet missing from box)")</f>
        <v>[Code: 4458ADEH] TA: one unit damaged found from box during display(two packet missing from box)</v>
      </c>
      <c r="M480" s="13" t="str">
        <f aca="false">IFERROR(__xludf.dummyfunction("""COMPUTED_VALUE"""),"4458ADEH")</f>
        <v>4458ADEH</v>
      </c>
      <c r="N480" s="13"/>
      <c r="O480" s="13" t="str">
        <f aca="false">IFERROR(__xludf.dummyfunction("""COMPUTED_VALUE"""),"taufeeq.akhtar@tajir-app.com")</f>
        <v>taufeeq.akhtar@tajir-app.com</v>
      </c>
      <c r="P480" s="13" t="str">
        <f aca="false">IFERROR(__xludf.dummyfunction("""COMPUTED_VALUE"""),"Taufeeq Akhtar ")</f>
        <v>Taufeeq Akhtar </v>
      </c>
      <c r="Q480" s="13" t="str">
        <f aca="false">IF(L480="","",L480)</f>
        <v>[Code: 4458ADEH] TA: one unit damaged found from box during display(two packet missing from box)</v>
      </c>
    </row>
    <row r="481" customFormat="false" ht="15.75" hidden="false" customHeight="false" outlineLevel="0" collapsed="false">
      <c r="A481" s="13" t="str">
        <f aca="false">IFERROR(__xludf.dummyfunction("""COMPUTED_VALUE"""),"Metro DC Faisalabad")</f>
        <v>Metro DC Faisalabad</v>
      </c>
      <c r="B481" s="13" t="str">
        <f aca="false">IFERROR(__xludf.dummyfunction("""COMPUTED_VALUE"""),"d35314e0-f3f4-47fe-90aa-af65dab10e9d")</f>
        <v>d35314e0-f3f4-47fe-90aa-af65dab10e9d</v>
      </c>
      <c r="C481" s="13" t="str">
        <f aca="false">IFERROR(__xludf.dummyfunction("""COMPUTED_VALUE"""),"Bonus tristar detergent x6 bundle 48g Rs10")</f>
        <v>Bonus tristar detergent x6 bundle 48g Rs10</v>
      </c>
      <c r="D481" s="13" t="str">
        <f aca="false">IFERROR(__xludf.dummyfunction("""COMPUTED_VALUE"""),"Bonus Surf")</f>
        <v>Bonus Surf</v>
      </c>
      <c r="E481" s="13" t="str">
        <f aca="false">IFERROR(__xludf.dummyfunction("""COMPUTED_VALUE"""),"Surf, Bleach")</f>
        <v>Surf, Bleach</v>
      </c>
      <c r="F481" s="11" t="n">
        <f aca="false">IFERROR(__xludf.dummyfunction("""COMPUTED_VALUE"""),45186)</f>
        <v>45186</v>
      </c>
      <c r="G481" s="16" t="n">
        <f aca="false">IFERROR(__xludf.dummyfunction("""COMPUTED_VALUE"""),0.891609074074855)</f>
        <v>0.8916090741</v>
      </c>
      <c r="H481" s="13" t="str">
        <f aca="false">IFERROR(__xludf.dummyfunction("""COMPUTED_VALUE"""),"damaged stock")</f>
        <v>damaged stock</v>
      </c>
      <c r="I481" s="13" t="n">
        <f aca="false">IFERROR(__xludf.dummyfunction("""COMPUTED_VALUE"""),1)</f>
        <v>1</v>
      </c>
      <c r="J481" s="13" t="n">
        <f aca="false">IFERROR(__xludf.dummyfunction("""COMPUTED_VALUE"""),55.38)</f>
        <v>55.38</v>
      </c>
      <c r="K481" s="13" t="n">
        <f aca="false">IFERROR(__xludf.dummyfunction("""COMPUTED_VALUE"""),55.38)</f>
        <v>55.38</v>
      </c>
      <c r="L481" s="13" t="str">
        <f aca="false">IFERROR(__xludf.dummyfunction("""COMPUTED_VALUE"""),"[Code: 2256666B] TA: 1 unit damage found (bag main sy damage mila hy)")</f>
        <v>[Code: 2256666B] TA: 1 unit damage found (bag main sy damage mila hy)</v>
      </c>
      <c r="M481" s="13" t="str">
        <f aca="false">IFERROR(__xludf.dummyfunction("""COMPUTED_VALUE"""),"2256666B")</f>
        <v>2256666B</v>
      </c>
      <c r="N481" s="13"/>
      <c r="O481" s="13" t="str">
        <f aca="false">IFERROR(__xludf.dummyfunction("""COMPUTED_VALUE"""),"taufeeq.akhtar@tajir-app.com")</f>
        <v>taufeeq.akhtar@tajir-app.com</v>
      </c>
      <c r="P481" s="13" t="str">
        <f aca="false">IFERROR(__xludf.dummyfunction("""COMPUTED_VALUE"""),"Taufeeq Akhtar ")</f>
        <v>Taufeeq Akhtar </v>
      </c>
      <c r="Q481" s="13" t="str">
        <f aca="false">IF(L481="","",L481)</f>
        <v>[Code: 2256666B] TA: 1 unit damage found (bag main sy damage mila hy)</v>
      </c>
    </row>
    <row r="482" customFormat="false" ht="15.75" hidden="false" customHeight="false" outlineLevel="0" collapsed="false">
      <c r="A482" s="13" t="str">
        <f aca="false">IFERROR(__xludf.dummyfunction("""COMPUTED_VALUE"""),"Metro DC Faisalabad")</f>
        <v>Metro DC Faisalabad</v>
      </c>
      <c r="B482" s="13" t="str">
        <f aca="false">IFERROR(__xludf.dummyfunction("""COMPUTED_VALUE"""),"a2bf441a-dee5-4e28-b50d-2c54a3ca16ee")</f>
        <v>a2bf441a-dee5-4e28-b50d-2c54a3ca16ee</v>
      </c>
      <c r="C482" s="13" t="str">
        <f aca="false">IFERROR(__xludf.dummyfunction("""COMPUTED_VALUE"""),"Lemon Max Dishwash Liquid 170ml Rs110 (Yellow)")</f>
        <v>Lemon Max Dishwash Liquid 170ml Rs110 (Yellow)</v>
      </c>
      <c r="D482" s="13" t="str">
        <f aca="false">IFERROR(__xludf.dummyfunction("""COMPUTED_VALUE"""),"Lemon Max")</f>
        <v>Lemon Max</v>
      </c>
      <c r="E482" s="13" t="str">
        <f aca="false">IFERROR(__xludf.dummyfunction("""COMPUTED_VALUE"""),"Home Care")</f>
        <v>Home Care</v>
      </c>
      <c r="F482" s="11" t="n">
        <f aca="false">IFERROR(__xludf.dummyfunction("""COMPUTED_VALUE"""),45186)</f>
        <v>45186</v>
      </c>
      <c r="G482" s="16" t="n">
        <f aca="false">IFERROR(__xludf.dummyfunction("""COMPUTED_VALUE"""),0.890302962963604)</f>
        <v>0.890302963</v>
      </c>
      <c r="H482" s="13" t="str">
        <f aca="false">IFERROR(__xludf.dummyfunction("""COMPUTED_VALUE"""),"damaged stock")</f>
        <v>damaged stock</v>
      </c>
      <c r="I482" s="13" t="n">
        <f aca="false">IFERROR(__xludf.dummyfunction("""COMPUTED_VALUE"""),1)</f>
        <v>1</v>
      </c>
      <c r="J482" s="13" t="n">
        <f aca="false">IFERROR(__xludf.dummyfunction("""COMPUTED_VALUE"""),101.38)</f>
        <v>101.38</v>
      </c>
      <c r="K482" s="13" t="n">
        <f aca="false">IFERROR(__xludf.dummyfunction("""COMPUTED_VALUE"""),101.38)</f>
        <v>101.38</v>
      </c>
      <c r="L482" s="13" t="str">
        <f aca="false">IFERROR(__xludf.dummyfunction("""COMPUTED_VALUE"""),"[Code: 3346DEFF] TA: 1 unit damage found from box (box main sy damage mila hy es ka cap ni hy)")</f>
        <v>[Code: 3346DEFF] TA: 1 unit damage found from box (box main sy damage mila hy es ka cap ni hy)</v>
      </c>
      <c r="M482" s="13" t="str">
        <f aca="false">IFERROR(__xludf.dummyfunction("""COMPUTED_VALUE"""),"3346DEFF")</f>
        <v>3346DEFF</v>
      </c>
      <c r="N482" s="13"/>
      <c r="O482" s="13" t="str">
        <f aca="false">IFERROR(__xludf.dummyfunction("""COMPUTED_VALUE"""),"taufeeq.akhtar@tajir-app.com")</f>
        <v>taufeeq.akhtar@tajir-app.com</v>
      </c>
      <c r="P482" s="13" t="str">
        <f aca="false">IFERROR(__xludf.dummyfunction("""COMPUTED_VALUE"""),"Taufeeq Akhtar ")</f>
        <v>Taufeeq Akhtar </v>
      </c>
      <c r="Q482" s="13" t="str">
        <f aca="false">IF(L482="","",L482)</f>
        <v>[Code: 3346DEFF] TA: 1 unit damage found from box (box main sy damage mila hy es ka cap ni hy)</v>
      </c>
    </row>
    <row r="483" customFormat="false" ht="15.75" hidden="false" customHeight="false" outlineLevel="0" collapsed="false">
      <c r="A483" s="13" t="str">
        <f aca="false">IFERROR(__xludf.dummyfunction("""COMPUTED_VALUE"""),"Metro DC Faisalabad")</f>
        <v>Metro DC Faisalabad</v>
      </c>
      <c r="B483" s="13" t="str">
        <f aca="false">IFERROR(__xludf.dummyfunction("""COMPUTED_VALUE"""),"d229259f-76d5-45b8-a773-a8eba64d12cf")</f>
        <v>d229259f-76d5-45b8-a773-a8eba64d12cf</v>
      </c>
      <c r="C483" s="13" t="str">
        <f aca="false">IFERROR(__xludf.dummyfunction("""COMPUTED_VALUE"""),"Pepsi plastic 500ml (Other city stock)")</f>
        <v>Pepsi plastic 500ml (Other city stock)</v>
      </c>
      <c r="D483" s="13" t="str">
        <f aca="false">IFERROR(__xludf.dummyfunction("""COMPUTED_VALUE"""),"Pepsi")</f>
        <v>Pepsi</v>
      </c>
      <c r="E483" s="13" t="str">
        <f aca="false">IFERROR(__xludf.dummyfunction("""COMPUTED_VALUE"""),"Beverages")</f>
        <v>Beverages</v>
      </c>
      <c r="F483" s="11" t="n">
        <f aca="false">IFERROR(__xludf.dummyfunction("""COMPUTED_VALUE"""),45186)</f>
        <v>45186</v>
      </c>
      <c r="G483" s="16" t="n">
        <f aca="false">IFERROR(__xludf.dummyfunction("""COMPUTED_VALUE"""),0.887206770832838)</f>
        <v>0.8872067708</v>
      </c>
      <c r="H483" s="13" t="str">
        <f aca="false">IFERROR(__xludf.dummyfunction("""COMPUTED_VALUE"""),"damaged stock")</f>
        <v>damaged stock</v>
      </c>
      <c r="I483" s="13" t="n">
        <f aca="false">IFERROR(__xludf.dummyfunction("""COMPUTED_VALUE"""),1)</f>
        <v>1</v>
      </c>
      <c r="J483" s="13" t="n">
        <f aca="false">IFERROR(__xludf.dummyfunction("""COMPUTED_VALUE"""),796)</f>
        <v>796</v>
      </c>
      <c r="K483" s="13" t="n">
        <f aca="false">IFERROR(__xludf.dummyfunction("""COMPUTED_VALUE"""),796)</f>
        <v>796</v>
      </c>
      <c r="L483" s="13" t="str">
        <f aca="false">IFERROR(__xludf.dummyfunction("""COMPUTED_VALUE"""),"[Code: 567AEGHK] TA: 1unit damage found (4 bottle khali hain )")</f>
        <v>[Code: 567AEGHK] TA: 1unit damage found (4 bottle khali hain )</v>
      </c>
      <c r="M483" s="13" t="str">
        <f aca="false">IFERROR(__xludf.dummyfunction("""COMPUTED_VALUE"""),"567AEGHK")</f>
        <v>567AEGHK</v>
      </c>
      <c r="N483" s="13"/>
      <c r="O483" s="13" t="str">
        <f aca="false">IFERROR(__xludf.dummyfunction("""COMPUTED_VALUE"""),"taufeeq.akhtar@tajir-app.com")</f>
        <v>taufeeq.akhtar@tajir-app.com</v>
      </c>
      <c r="P483" s="13" t="str">
        <f aca="false">IFERROR(__xludf.dummyfunction("""COMPUTED_VALUE"""),"Taufeeq Akhtar ")</f>
        <v>Taufeeq Akhtar </v>
      </c>
      <c r="Q483" s="13" t="str">
        <f aca="false">IF(L483="","",L483)</f>
        <v>[Code: 567AEGHK] TA: 1unit damage found (4 bottle khali hain )</v>
      </c>
    </row>
    <row r="484" customFormat="false" ht="15.75" hidden="false" customHeight="false" outlineLevel="0" collapsed="false">
      <c r="A484" s="13" t="str">
        <f aca="false">IFERROR(__xludf.dummyfunction("""COMPUTED_VALUE"""),"Metro DC Faisalabad")</f>
        <v>Metro DC Faisalabad</v>
      </c>
      <c r="B484" s="13" t="str">
        <f aca="false">IFERROR(__xludf.dummyfunction("""COMPUTED_VALUE"""),"cd68a607-af95-45cb-b9f4-2721224c85f8")</f>
        <v>cd68a607-af95-45cb-b9f4-2721224c85f8</v>
      </c>
      <c r="C484" s="13" t="str">
        <f aca="false">IFERROR(__xludf.dummyfunction("""COMPUTED_VALUE"""),"Coca Cola plastic 1.5L")</f>
        <v>Coca Cola plastic 1.5L</v>
      </c>
      <c r="D484" s="13" t="str">
        <f aca="false">IFERROR(__xludf.dummyfunction("""COMPUTED_VALUE"""),"Coca Cola")</f>
        <v>Coca Cola</v>
      </c>
      <c r="E484" s="13" t="str">
        <f aca="false">IFERROR(__xludf.dummyfunction("""COMPUTED_VALUE"""),"Beverages")</f>
        <v>Beverages</v>
      </c>
      <c r="F484" s="11" t="n">
        <f aca="false">IFERROR(__xludf.dummyfunction("""COMPUTED_VALUE"""),45186)</f>
        <v>45186</v>
      </c>
      <c r="G484" s="16" t="n">
        <f aca="false">IFERROR(__xludf.dummyfunction("""COMPUTED_VALUE"""),0.884504432868845)</f>
        <v>0.8845044329</v>
      </c>
      <c r="H484" s="13" t="str">
        <f aca="false">IFERROR(__xludf.dummyfunction("""COMPUTED_VALUE"""),"damaged stock")</f>
        <v>damaged stock</v>
      </c>
      <c r="I484" s="13" t="n">
        <f aca="false">IFERROR(__xludf.dummyfunction("""COMPUTED_VALUE"""),1)</f>
        <v>1</v>
      </c>
      <c r="J484" s="13" t="n">
        <f aca="false">IFERROR(__xludf.dummyfunction("""COMPUTED_VALUE"""),900)</f>
        <v>900</v>
      </c>
      <c r="K484" s="13" t="n">
        <f aca="false">IFERROR(__xludf.dummyfunction("""COMPUTED_VALUE"""),900)</f>
        <v>900</v>
      </c>
      <c r="L484" s="13" t="str">
        <f aca="false">IFERROR(__xludf.dummyfunction("""COMPUTED_VALUE"""),"[Code: 34BCCFGJ] TA: 1 unit damage found (5 bottle khali hain)")</f>
        <v>[Code: 34BCCFGJ] TA: 1 unit damage found (5 bottle khali hain)</v>
      </c>
      <c r="M484" s="13" t="str">
        <f aca="false">IFERROR(__xludf.dummyfunction("""COMPUTED_VALUE"""),"34BCCFGJ")</f>
        <v>34BCCFGJ</v>
      </c>
      <c r="N484" s="13"/>
      <c r="O484" s="13" t="str">
        <f aca="false">IFERROR(__xludf.dummyfunction("""COMPUTED_VALUE"""),"taufeeq.akhtar@tajir-app.com")</f>
        <v>taufeeq.akhtar@tajir-app.com</v>
      </c>
      <c r="P484" s="13" t="str">
        <f aca="false">IFERROR(__xludf.dummyfunction("""COMPUTED_VALUE"""),"Taufeeq Akhtar ")</f>
        <v>Taufeeq Akhtar </v>
      </c>
      <c r="Q484" s="13" t="str">
        <f aca="false">IF(L484="","",L484)</f>
        <v>[Code: 34BCCFGJ] TA: 1 unit damage found (5 bottle khali hain)</v>
      </c>
    </row>
    <row r="485" customFormat="false" ht="15.75" hidden="false" customHeight="false" outlineLevel="0" collapsed="false">
      <c r="A485" s="13" t="str">
        <f aca="false">IFERROR(__xludf.dummyfunction("""COMPUTED_VALUE"""),"Metro DC Faisalabad")</f>
        <v>Metro DC Faisalabad</v>
      </c>
      <c r="B485" s="13" t="str">
        <f aca="false">IFERROR(__xludf.dummyfunction("""COMPUTED_VALUE"""),"dfd6b040-ad74-42ea-ab82-4d22c45a2040")</f>
        <v>dfd6b040-ad74-42ea-ab82-4d22c45a2040</v>
      </c>
      <c r="C485" s="13" t="str">
        <f aca="false">IFERROR(__xludf.dummyfunction("""COMPUTED_VALUE"""),"Sting Berry Blast plastic 500ml (Other city stock)")</f>
        <v>Sting Berry Blast plastic 500ml (Other city stock)</v>
      </c>
      <c r="D485" s="13" t="str">
        <f aca="false">IFERROR(__xludf.dummyfunction("""COMPUTED_VALUE"""),"Sting")</f>
        <v>Sting</v>
      </c>
      <c r="E485" s="13" t="str">
        <f aca="false">IFERROR(__xludf.dummyfunction("""COMPUTED_VALUE"""),"Beverages")</f>
        <v>Beverages</v>
      </c>
      <c r="F485" s="11" t="n">
        <f aca="false">IFERROR(__xludf.dummyfunction("""COMPUTED_VALUE"""),45186)</f>
        <v>45186</v>
      </c>
      <c r="G485" s="16" t="n">
        <f aca="false">IFERROR(__xludf.dummyfunction("""COMPUTED_VALUE"""),0.0212942361099146)</f>
        <v>0.02129423611</v>
      </c>
      <c r="H485" s="13" t="str">
        <f aca="false">IFERROR(__xludf.dummyfunction("""COMPUTED_VALUE"""),"damaged stock")</f>
        <v>damaged stock</v>
      </c>
      <c r="I485" s="13" t="n">
        <f aca="false">IFERROR(__xludf.dummyfunction("""COMPUTED_VALUE"""),1)</f>
        <v>1</v>
      </c>
      <c r="J485" s="13" t="n">
        <f aca="false">IFERROR(__xludf.dummyfunction("""COMPUTED_VALUE"""),972)</f>
        <v>972</v>
      </c>
      <c r="K485" s="13" t="n">
        <f aca="false">IFERROR(__xludf.dummyfunction("""COMPUTED_VALUE"""),972)</f>
        <v>972</v>
      </c>
      <c r="L485" s="13" t="str">
        <f aca="false">IFERROR(__xludf.dummyfunction("""COMPUTED_VALUE"""),"[Code: 2456DFLN] TA; 1 unit damaged found during sorting")</f>
        <v>[Code: 2456DFLN] TA; 1 unit damaged found during sorting</v>
      </c>
      <c r="M485" s="13" t="str">
        <f aca="false">IFERROR(__xludf.dummyfunction("""COMPUTED_VALUE"""),"2456DFLN")</f>
        <v>2456DFLN</v>
      </c>
      <c r="N485" s="13"/>
      <c r="O485" s="13" t="str">
        <f aca="false">IFERROR(__xludf.dummyfunction("""COMPUTED_VALUE"""),"taufeeq.akhtar@tajir-app.com")</f>
        <v>taufeeq.akhtar@tajir-app.com</v>
      </c>
      <c r="P485" s="13" t="str">
        <f aca="false">IFERROR(__xludf.dummyfunction("""COMPUTED_VALUE"""),"Taufeeq Akhtar ")</f>
        <v>Taufeeq Akhtar </v>
      </c>
      <c r="Q485" s="13" t="str">
        <f aca="false">IF(L485="","",L485)</f>
        <v>[Code: 2456DFLN] TA; 1 unit damaged found during sorting</v>
      </c>
    </row>
    <row r="486" customFormat="false" ht="15.75" hidden="false" customHeight="false" outlineLevel="0" collapsed="false">
      <c r="A486" s="13" t="str">
        <f aca="false">IFERROR(__xludf.dummyfunction("""COMPUTED_VALUE"""),"Metro DC Faisalabad")</f>
        <v>Metro DC Faisalabad</v>
      </c>
      <c r="B486" s="13" t="str">
        <f aca="false">IFERROR(__xludf.dummyfunction("""COMPUTED_VALUE"""),"4df466f2-5062-4b23-a5b8-e471d0f47b18")</f>
        <v>4df466f2-5062-4b23-a5b8-e471d0f47b18</v>
      </c>
      <c r="C486" s="13" t="str">
        <f aca="false">IFERROR(__xludf.dummyfunction("""COMPUTED_VALUE"""),"Engro Tarang Liquid Tea Whitener x24 Crate 175ml")</f>
        <v>Engro Tarang Liquid Tea Whitener x24 Crate 175ml</v>
      </c>
      <c r="D486" s="13" t="str">
        <f aca="false">IFERROR(__xludf.dummyfunction("""COMPUTED_VALUE"""),"Tarang")</f>
        <v>Tarang</v>
      </c>
      <c r="E486" s="13" t="str">
        <f aca="false">IFERROR(__xludf.dummyfunction("""COMPUTED_VALUE"""),"Dairy")</f>
        <v>Dairy</v>
      </c>
      <c r="F486" s="11" t="n">
        <f aca="false">IFERROR(__xludf.dummyfunction("""COMPUTED_VALUE"""),45186)</f>
        <v>45186</v>
      </c>
      <c r="G486" s="16" t="n">
        <f aca="false">IFERROR(__xludf.dummyfunction("""COMPUTED_VALUE"""),0.0196978472223677)</f>
        <v>0.01969784722</v>
      </c>
      <c r="H486" s="13" t="str">
        <f aca="false">IFERROR(__xludf.dummyfunction("""COMPUTED_VALUE"""),"damaged stock")</f>
        <v>damaged stock</v>
      </c>
      <c r="I486" s="13" t="n">
        <f aca="false">IFERROR(__xludf.dummyfunction("""COMPUTED_VALUE"""),1)</f>
        <v>1</v>
      </c>
      <c r="J486" s="13" t="n">
        <f aca="false">IFERROR(__xludf.dummyfunction("""COMPUTED_VALUE"""),980)</f>
        <v>980</v>
      </c>
      <c r="K486" s="13" t="n">
        <f aca="false">IFERROR(__xludf.dummyfunction("""COMPUTED_VALUE"""),980)</f>
        <v>980</v>
      </c>
      <c r="L486" s="13" t="str">
        <f aca="false">IFERROR(__xludf.dummyfunction("""COMPUTED_VALUE"""),"[Code: 258BCDJK]  01 unit found damaged ( leak quality issue)")</f>
        <v>[Code: 258BCDJK]  01 unit found damaged ( leak quality issue)</v>
      </c>
      <c r="M486" s="13" t="str">
        <f aca="false">IFERROR(__xludf.dummyfunction("""COMPUTED_VALUE"""),"258BCDJK")</f>
        <v>258BCDJK</v>
      </c>
      <c r="N486" s="13"/>
      <c r="O486" s="13" t="str">
        <f aca="false">IFERROR(__xludf.dummyfunction("""COMPUTED_VALUE"""),"taufeeq.akhtar@tajir-app.com")</f>
        <v>taufeeq.akhtar@tajir-app.com</v>
      </c>
      <c r="P486" s="13" t="str">
        <f aca="false">IFERROR(__xludf.dummyfunction("""COMPUTED_VALUE"""),"Taufeeq Akhtar ")</f>
        <v>Taufeeq Akhtar </v>
      </c>
      <c r="Q486" s="13" t="str">
        <f aca="false">IF(L486="","",L486)</f>
        <v>[Code: 258BCDJK]  01 unit found damaged ( leak quality issue)</v>
      </c>
    </row>
    <row r="487" customFormat="false" ht="15.75" hidden="false" customHeight="false" outlineLevel="0" collapsed="false">
      <c r="A487" s="13" t="str">
        <f aca="false">IFERROR(__xludf.dummyfunction("""COMPUTED_VALUE"""),"Metro DC Faisalabad")</f>
        <v>Metro DC Faisalabad</v>
      </c>
      <c r="B487" s="13" t="str">
        <f aca="false">IFERROR(__xludf.dummyfunction("""COMPUTED_VALUE"""),"40a1c407-6dda-44ab-82f5-2dff4e4d6e55")</f>
        <v>40a1c407-6dda-44ab-82f5-2dff4e4d6e55</v>
      </c>
      <c r="C487" s="13" t="str">
        <f aca="false">IFERROR(__xludf.dummyfunction("""COMPUTED_VALUE"""),"Elaine Secret Ecstasy Deodrant Body Spray 150ml (Orange)")</f>
        <v>Elaine Secret Ecstasy Deodrant Body Spray 150ml (Orange)</v>
      </c>
      <c r="D487" s="13" t="str">
        <f aca="false">IFERROR(__xludf.dummyfunction("""COMPUTED_VALUE"""),"Elaine")</f>
        <v>Elaine</v>
      </c>
      <c r="E487" s="13" t="str">
        <f aca="false">IFERROR(__xludf.dummyfunction("""COMPUTED_VALUE"""),"Personal Care")</f>
        <v>Personal Care</v>
      </c>
      <c r="F487" s="11" t="n">
        <f aca="false">IFERROR(__xludf.dummyfunction("""COMPUTED_VALUE"""),45186)</f>
        <v>45186</v>
      </c>
      <c r="G487" s="16" t="n">
        <f aca="false">IFERROR(__xludf.dummyfunction("""COMPUTED_VALUE"""),0.0138861689803928)</f>
        <v>0.01388616898</v>
      </c>
      <c r="H487" s="13" t="str">
        <f aca="false">IFERROR(__xludf.dummyfunction("""COMPUTED_VALUE"""),"missing stock")</f>
        <v>missing stock</v>
      </c>
      <c r="I487" s="13" t="n">
        <f aca="false">IFERROR(__xludf.dummyfunction("""COMPUTED_VALUE"""),1)</f>
        <v>1</v>
      </c>
      <c r="J487" s="13" t="n">
        <f aca="false">IFERROR(__xludf.dummyfunction("""COMPUTED_VALUE"""),268.48)</f>
        <v>268.48</v>
      </c>
      <c r="K487" s="13" t="n">
        <f aca="false">IFERROR(__xludf.dummyfunction("""COMPUTED_VALUE"""),268.48)</f>
        <v>268.48</v>
      </c>
      <c r="L487" s="13" t="str">
        <f aca="false">IFERROR(__xludf.dummyfunction("""COMPUTED_VALUE"""),"TA; the requird sku not available ")</f>
        <v>TA; the requird sku not available </v>
      </c>
      <c r="M487" s="13"/>
      <c r="N487" s="13"/>
      <c r="O487" s="13" t="str">
        <f aca="false">IFERROR(__xludf.dummyfunction("""COMPUTED_VALUE"""),"taufeeq.akhtar@tajir-app.com")</f>
        <v>taufeeq.akhtar@tajir-app.com</v>
      </c>
      <c r="P487" s="13" t="str">
        <f aca="false">IFERROR(__xludf.dummyfunction("""COMPUTED_VALUE"""),"Taufeeq Akhtar ")</f>
        <v>Taufeeq Akhtar </v>
      </c>
      <c r="Q487" s="13" t="str">
        <f aca="false">IF(L487="","",L487)</f>
        <v>TA; the requird sku not available </v>
      </c>
    </row>
    <row r="488" customFormat="false" ht="15.75" hidden="false" customHeight="false" outlineLevel="0" collapsed="false">
      <c r="A488" s="13" t="str">
        <f aca="false">IFERROR(__xludf.dummyfunction("""COMPUTED_VALUE"""),"Metro DC Faisalabad")</f>
        <v>Metro DC Faisalabad</v>
      </c>
      <c r="B488" s="13" t="str">
        <f aca="false">IFERROR(__xludf.dummyfunction("""COMPUTED_VALUE"""),"cd68a607-af95-45cb-b9f4-2721224c85f8")</f>
        <v>cd68a607-af95-45cb-b9f4-2721224c85f8</v>
      </c>
      <c r="C488" s="13" t="str">
        <f aca="false">IFERROR(__xludf.dummyfunction("""COMPUTED_VALUE"""),"Coca Cola plastic 1.5L")</f>
        <v>Coca Cola plastic 1.5L</v>
      </c>
      <c r="D488" s="13" t="str">
        <f aca="false">IFERROR(__xludf.dummyfunction("""COMPUTED_VALUE"""),"Coca Cola")</f>
        <v>Coca Cola</v>
      </c>
      <c r="E488" s="13" t="str">
        <f aca="false">IFERROR(__xludf.dummyfunction("""COMPUTED_VALUE"""),"Beverages")</f>
        <v>Beverages</v>
      </c>
      <c r="F488" s="11" t="n">
        <f aca="false">IFERROR(__xludf.dummyfunction("""COMPUTED_VALUE"""),45187)</f>
        <v>45187</v>
      </c>
      <c r="G488" s="16" t="n">
        <f aca="false">IFERROR(__xludf.dummyfunction("""COMPUTED_VALUE"""),0.908592407408237)</f>
        <v>0.9085924074</v>
      </c>
      <c r="H488" s="13" t="str">
        <f aca="false">IFERROR(__xludf.dummyfunction("""COMPUTED_VALUE"""),"damaged stock")</f>
        <v>damaged stock</v>
      </c>
      <c r="I488" s="13" t="n">
        <f aca="false">IFERROR(__xludf.dummyfunction("""COMPUTED_VALUE"""),1)</f>
        <v>1</v>
      </c>
      <c r="J488" s="13" t="n">
        <f aca="false">IFERROR(__xludf.dummyfunction("""COMPUTED_VALUE"""),900)</f>
        <v>900</v>
      </c>
      <c r="K488" s="13" t="n">
        <f aca="false">IFERROR(__xludf.dummyfunction("""COMPUTED_VALUE"""),900)</f>
        <v>900</v>
      </c>
      <c r="L488" s="13" t="str">
        <f aca="false">IFERROR(__xludf.dummyfunction("""COMPUTED_VALUE"""),"[Code: 2577BCHJ] TA: two bottels found empty during sorting.")</f>
        <v>[Code: 2577BCHJ] TA: two bottels found empty during sorting.</v>
      </c>
      <c r="M488" s="13" t="str">
        <f aca="false">IFERROR(__xludf.dummyfunction("""COMPUTED_VALUE"""),"2577BCHJ")</f>
        <v>2577BCHJ</v>
      </c>
      <c r="N488" s="13"/>
      <c r="O488" s="13" t="str">
        <f aca="false">IFERROR(__xludf.dummyfunction("""COMPUTED_VALUE"""),"taufeeq.akhtar@tajir-app.com")</f>
        <v>taufeeq.akhtar@tajir-app.com</v>
      </c>
      <c r="P488" s="13" t="str">
        <f aca="false">IFERROR(__xludf.dummyfunction("""COMPUTED_VALUE"""),"Taufeeq Akhtar ")</f>
        <v>Taufeeq Akhtar </v>
      </c>
      <c r="Q488" s="13" t="str">
        <f aca="false">IF(L488="","",L488)</f>
        <v>[Code: 2577BCHJ] TA: two bottels found empty during sorting.</v>
      </c>
    </row>
    <row r="489" customFormat="false" ht="15.75" hidden="false" customHeight="false" outlineLevel="0" collapsed="false">
      <c r="A489" s="13" t="str">
        <f aca="false">IFERROR(__xludf.dummyfunction("""COMPUTED_VALUE"""),"Metro DC Faisalabad")</f>
        <v>Metro DC Faisalabad</v>
      </c>
      <c r="B489" s="13" t="str">
        <f aca="false">IFERROR(__xludf.dummyfunction("""COMPUTED_VALUE"""),"53e21ee3-610d-4ef2-b927-5e8331670cb0")</f>
        <v>53e21ee3-610d-4ef2-b927-5e8331670cb0</v>
      </c>
      <c r="C489" s="13" t="str">
        <f aca="false">IFERROR(__xludf.dummyfunction("""COMPUTED_VALUE"""),"Nestle Cerelac 3 Fruits and Wheat x8 Bundle 25g")</f>
        <v>Nestle Cerelac 3 Fruits and Wheat x8 Bundle 25g</v>
      </c>
      <c r="D489" s="13" t="str">
        <f aca="false">IFERROR(__xludf.dummyfunction("""COMPUTED_VALUE"""),"Cerelac")</f>
        <v>Cerelac</v>
      </c>
      <c r="E489" s="13" t="str">
        <f aca="false">IFERROR(__xludf.dummyfunction("""COMPUTED_VALUE"""),"Dairy")</f>
        <v>Dairy</v>
      </c>
      <c r="F489" s="11" t="n">
        <f aca="false">IFERROR(__xludf.dummyfunction("""COMPUTED_VALUE"""),45187)</f>
        <v>45187</v>
      </c>
      <c r="G489" s="16" t="n">
        <f aca="false">IFERROR(__xludf.dummyfunction("""COMPUTED_VALUE"""),0.253564525464116)</f>
        <v>0.2535645255</v>
      </c>
      <c r="H489" s="13" t="str">
        <f aca="false">IFERROR(__xludf.dummyfunction("""COMPUTED_VALUE"""),"missing stock")</f>
        <v>missing stock</v>
      </c>
      <c r="I489" s="13" t="n">
        <f aca="false">IFERROR(__xludf.dummyfunction("""COMPUTED_VALUE"""),1)</f>
        <v>1</v>
      </c>
      <c r="J489" s="13" t="n">
        <f aca="false">IFERROR(__xludf.dummyfunction("""COMPUTED_VALUE"""),299.06)</f>
        <v>299.06</v>
      </c>
      <c r="K489" s="13" t="n">
        <f aca="false">IFERROR(__xludf.dummyfunction("""COMPUTED_VALUE"""),299.06)</f>
        <v>299.06</v>
      </c>
      <c r="L489" s="13" t="str">
        <f aca="false">IFERROR(__xludf.dummyfunction("""COMPUTED_VALUE"""),"full_in/missing")</f>
        <v>full_in/missing</v>
      </c>
      <c r="M489" s="13"/>
      <c r="N489" s="13"/>
      <c r="O489" s="13" t="str">
        <f aca="false">IFERROR(__xludf.dummyfunction("""COMPUTED_VALUE"""),"ali.ahmad@tajir-app.com")</f>
        <v>ali.ahmad@tajir-app.com</v>
      </c>
      <c r="P489" s="13" t="str">
        <f aca="false">IFERROR(__xludf.dummyfunction("""COMPUTED_VALUE"""),"Ali Ahmad")</f>
        <v>Ali Ahmad</v>
      </c>
      <c r="Q489" s="13" t="str">
        <f aca="false">IF(L489="","",L489)</f>
        <v>full_in/missing</v>
      </c>
    </row>
    <row r="490" customFormat="false" ht="15.75" hidden="false" customHeight="false" outlineLevel="0" collapsed="false">
      <c r="A490" s="13" t="str">
        <f aca="false">IFERROR(__xludf.dummyfunction("""COMPUTED_VALUE"""),"Metro DC Faisalabad")</f>
        <v>Metro DC Faisalabad</v>
      </c>
      <c r="B490" s="13" t="str">
        <f aca="false">IFERROR(__xludf.dummyfunction("""COMPUTED_VALUE"""),"078a3f2f-ce1c-4f45-a2ab-80e3ebbdc2f7")</f>
        <v>078a3f2f-ce1c-4f45-a2ab-80e3ebbdc2f7</v>
      </c>
      <c r="C490" s="13" t="str">
        <f aca="false">IFERROR(__xludf.dummyfunction("""COMPUTED_VALUE"""),"Mountain Dew plastic 1L")</f>
        <v>Mountain Dew plastic 1L</v>
      </c>
      <c r="D490" s="13" t="str">
        <f aca="false">IFERROR(__xludf.dummyfunction("""COMPUTED_VALUE"""),"Mountain Dew")</f>
        <v>Mountain Dew</v>
      </c>
      <c r="E490" s="13" t="str">
        <f aca="false">IFERROR(__xludf.dummyfunction("""COMPUTED_VALUE"""),"Beverages")</f>
        <v>Beverages</v>
      </c>
      <c r="F490" s="11" t="n">
        <f aca="false">IFERROR(__xludf.dummyfunction("""COMPUTED_VALUE"""),45188)</f>
        <v>45188</v>
      </c>
      <c r="G490" s="16" t="n">
        <f aca="false">IFERROR(__xludf.dummyfunction("""COMPUTED_VALUE"""),0.872998969908642)</f>
        <v>0.8729989699</v>
      </c>
      <c r="H490" s="13" t="str">
        <f aca="false">IFERROR(__xludf.dummyfunction("""COMPUTED_VALUE"""),"damaged stock")</f>
        <v>damaged stock</v>
      </c>
      <c r="I490" s="13" t="n">
        <f aca="false">IFERROR(__xludf.dummyfunction("""COMPUTED_VALUE"""),1)</f>
        <v>1</v>
      </c>
      <c r="J490" s="13" t="n">
        <f aca="false">IFERROR(__xludf.dummyfunction("""COMPUTED_VALUE"""),595)</f>
        <v>595</v>
      </c>
      <c r="K490" s="13" t="n">
        <f aca="false">IFERROR(__xludf.dummyfunction("""COMPUTED_VALUE"""),595)</f>
        <v>595</v>
      </c>
      <c r="L490" s="13" t="str">
        <f aca="false">IFERROR(__xludf.dummyfunction("""COMPUTED_VALUE"""),"[Code: 78AABDFF] TA; 1 unit damage found in stock {4 bottels lose mili hain unit sy} ")</f>
        <v>[Code: 78AABDFF] TA; 1 unit damage found in stock {4 bottels lose mili hain unit sy} </v>
      </c>
      <c r="M490" s="13" t="str">
        <f aca="false">IFERROR(__xludf.dummyfunction("""COMPUTED_VALUE"""),"78AABDFF")</f>
        <v>78AABDFF</v>
      </c>
      <c r="N490" s="13"/>
      <c r="O490" s="13" t="str">
        <f aca="false">IFERROR(__xludf.dummyfunction("""COMPUTED_VALUE"""),"taufeeq.akhtar@tajir-app.com")</f>
        <v>taufeeq.akhtar@tajir-app.com</v>
      </c>
      <c r="P490" s="13" t="str">
        <f aca="false">IFERROR(__xludf.dummyfunction("""COMPUTED_VALUE"""),"Taufeeq Akhtar ")</f>
        <v>Taufeeq Akhtar </v>
      </c>
      <c r="Q490" s="13" t="str">
        <f aca="false">IF(L490="","",L490)</f>
        <v>[Code: 78AABDFF] TA; 1 unit damage found in stock {4 bottels lose mili hain unit sy} </v>
      </c>
    </row>
    <row r="491" customFormat="false" ht="15.75" hidden="false" customHeight="false" outlineLevel="0" collapsed="false">
      <c r="A491" s="13" t="str">
        <f aca="false">IFERROR(__xludf.dummyfunction("""COMPUTED_VALUE"""),"Metro DC Faisalabad")</f>
        <v>Metro DC Faisalabad</v>
      </c>
      <c r="B491" s="13" t="str">
        <f aca="false">IFERROR(__xludf.dummyfunction("""COMPUTED_VALUE"""),"13e1aca6-1334-4628-8642-373185a2eeb7")</f>
        <v>13e1aca6-1334-4628-8642-373185a2eeb7</v>
      </c>
      <c r="C491" s="13" t="str">
        <f aca="false">IFERROR(__xludf.dummyfunction("""COMPUTED_VALUE"""),"Shangrila Tomato Ketchup x6 Bundle 225g")</f>
        <v>Shangrila Tomato Ketchup x6 Bundle 225g</v>
      </c>
      <c r="D491" s="13" t="str">
        <f aca="false">IFERROR(__xludf.dummyfunction("""COMPUTED_VALUE"""),"Shangrila")</f>
        <v>Shangrila</v>
      </c>
      <c r="E491" s="13" t="str">
        <f aca="false">IFERROR(__xludf.dummyfunction("""COMPUTED_VALUE"""),"Sauces")</f>
        <v>Sauces</v>
      </c>
      <c r="F491" s="11" t="n">
        <f aca="false">IFERROR(__xludf.dummyfunction("""COMPUTED_VALUE"""),45188)</f>
        <v>45188</v>
      </c>
      <c r="G491" s="16" t="n">
        <f aca="false">IFERROR(__xludf.dummyfunction("""COMPUTED_VALUE"""),0.871999027776457)</f>
        <v>0.8719990278</v>
      </c>
      <c r="H491" s="13" t="str">
        <f aca="false">IFERROR(__xludf.dummyfunction("""COMPUTED_VALUE"""),"damaged stock")</f>
        <v>damaged stock</v>
      </c>
      <c r="I491" s="13" t="n">
        <f aca="false">IFERROR(__xludf.dummyfunction("""COMPUTED_VALUE"""),1)</f>
        <v>1</v>
      </c>
      <c r="J491" s="13" t="n">
        <f aca="false">IFERROR(__xludf.dummyfunction("""COMPUTED_VALUE"""),614.12)</f>
        <v>614.12</v>
      </c>
      <c r="K491" s="13" t="n">
        <f aca="false">IFERROR(__xludf.dummyfunction("""COMPUTED_VALUE"""),614.12)</f>
        <v>614.12</v>
      </c>
      <c r="L491" s="13" t="str">
        <f aca="false">IFERROR(__xludf.dummyfunction("""COMPUTED_VALUE"""),"[Code: 44678ABD] TA; 1unit damage found during display {cotton sy damage mila he}")</f>
        <v>[Code: 44678ABD] TA; 1unit damage found during display {cotton sy damage mila he}</v>
      </c>
      <c r="M491" s="13" t="str">
        <f aca="false">IFERROR(__xludf.dummyfunction("""COMPUTED_VALUE"""),"44678ABD")</f>
        <v>44678ABD</v>
      </c>
      <c r="N491" s="13"/>
      <c r="O491" s="13" t="str">
        <f aca="false">IFERROR(__xludf.dummyfunction("""COMPUTED_VALUE"""),"taufeeq.akhtar@tajir-app.com")</f>
        <v>taufeeq.akhtar@tajir-app.com</v>
      </c>
      <c r="P491" s="13" t="str">
        <f aca="false">IFERROR(__xludf.dummyfunction("""COMPUTED_VALUE"""),"Taufeeq Akhtar ")</f>
        <v>Taufeeq Akhtar </v>
      </c>
      <c r="Q491" s="13" t="str">
        <f aca="false">IF(L491="","",L491)</f>
        <v>[Code: 44678ABD] TA; 1unit damage found during display {cotton sy damage mila he}</v>
      </c>
    </row>
    <row r="492" customFormat="false" ht="15.75" hidden="false" customHeight="false" outlineLevel="0" collapsed="false">
      <c r="A492" s="13" t="str">
        <f aca="false">IFERROR(__xludf.dummyfunction("""COMPUTED_VALUE"""),"Metro DC Faisalabad")</f>
        <v>Metro DC Faisalabad</v>
      </c>
      <c r="B492" s="13" t="str">
        <f aca="false">IFERROR(__xludf.dummyfunction("""COMPUTED_VALUE"""),"708ebf9b-2966-4d18-920f-9dbfee0aea89")</f>
        <v>708ebf9b-2966-4d18-920f-9dbfee0aea89</v>
      </c>
      <c r="C492" s="13" t="str">
        <f aca="false">IFERROR(__xludf.dummyfunction("""COMPUTED_VALUE"""),"Sunlight Pink Clean and Jasmine Fresh 330g Rs99")</f>
        <v>Sunlight Pink Clean and Jasmine Fresh 330g Rs99</v>
      </c>
      <c r="D492" s="13" t="str">
        <f aca="false">IFERROR(__xludf.dummyfunction("""COMPUTED_VALUE"""),"Sunlight")</f>
        <v>Sunlight</v>
      </c>
      <c r="E492" s="13" t="str">
        <f aca="false">IFERROR(__xludf.dummyfunction("""COMPUTED_VALUE"""),"Surf, Bleach")</f>
        <v>Surf, Bleach</v>
      </c>
      <c r="F492" s="11" t="n">
        <f aca="false">IFERROR(__xludf.dummyfunction("""COMPUTED_VALUE"""),45189)</f>
        <v>45189</v>
      </c>
      <c r="G492" s="16" t="n">
        <f aca="false">IFERROR(__xludf.dummyfunction("""COMPUTED_VALUE"""),0.918882789353237)</f>
        <v>0.9188827894</v>
      </c>
      <c r="H492" s="13" t="str">
        <f aca="false">IFERROR(__xludf.dummyfunction("""COMPUTED_VALUE"""),"damaged stock")</f>
        <v>damaged stock</v>
      </c>
      <c r="I492" s="13" t="n">
        <f aca="false">IFERROR(__xludf.dummyfunction("""COMPUTED_VALUE"""),1)</f>
        <v>1</v>
      </c>
      <c r="J492" s="13" t="n">
        <f aca="false">IFERROR(__xludf.dummyfunction("""COMPUTED_VALUE"""),87.5)</f>
        <v>87.5</v>
      </c>
      <c r="K492" s="13" t="n">
        <f aca="false">IFERROR(__xludf.dummyfunction("""COMPUTED_VALUE"""),87.5)</f>
        <v>87.5</v>
      </c>
      <c r="L492" s="13" t="str">
        <f aca="false">IFERROR(__xludf.dummyfunction("""COMPUTED_VALUE"""),"[Code: 478AAFFG]   TA; 1 unit damage found during sorting  {bag sy damage mila he}")</f>
        <v>[Code: 478AAFFG]   TA; 1 unit damage found during sorting  {bag sy damage mila he}</v>
      </c>
      <c r="M492" s="13" t="str">
        <f aca="false">IFERROR(__xludf.dummyfunction("""COMPUTED_VALUE"""),"478AAFFG")</f>
        <v>478AAFFG</v>
      </c>
      <c r="N492" s="13"/>
      <c r="O492" s="13" t="str">
        <f aca="false">IFERROR(__xludf.dummyfunction("""COMPUTED_VALUE"""),"taufeeq.akhtar@tajir-app.com")</f>
        <v>taufeeq.akhtar@tajir-app.com</v>
      </c>
      <c r="P492" s="13" t="str">
        <f aca="false">IFERROR(__xludf.dummyfunction("""COMPUTED_VALUE"""),"Taufeeq Akhtar ")</f>
        <v>Taufeeq Akhtar </v>
      </c>
      <c r="Q492" s="13" t="str">
        <f aca="false">IF(L492="","",L492)</f>
        <v>[Code: 478AAFFG]   TA; 1 unit damage found during sorting  {bag sy damage mila he}</v>
      </c>
    </row>
    <row r="493" customFormat="false" ht="15.75" hidden="false" customHeight="false" outlineLevel="0" collapsed="false">
      <c r="A493" s="13" t="str">
        <f aca="false">IFERROR(__xludf.dummyfunction("""COMPUTED_VALUE"""),"Metro DC Faisalabad")</f>
        <v>Metro DC Faisalabad</v>
      </c>
      <c r="B493" s="13" t="str">
        <f aca="false">IFERROR(__xludf.dummyfunction("""COMPUTED_VALUE"""),"738b3bdb-3b9e-4c0a-a6fa-18a670c5bcba")</f>
        <v>738b3bdb-3b9e-4c0a-a6fa-18a670c5bcba</v>
      </c>
      <c r="C493" s="13" t="str">
        <f aca="false">IFERROR(__xludf.dummyfunction("""COMPUTED_VALUE"""),"Bonus tristar yellow surf 240g Rs50")</f>
        <v>Bonus tristar yellow surf 240g Rs50</v>
      </c>
      <c r="D493" s="13" t="str">
        <f aca="false">IFERROR(__xludf.dummyfunction("""COMPUTED_VALUE"""),"Bonus Surf")</f>
        <v>Bonus Surf</v>
      </c>
      <c r="E493" s="13" t="str">
        <f aca="false">IFERROR(__xludf.dummyfunction("""COMPUTED_VALUE"""),"Surf, Bleach")</f>
        <v>Surf, Bleach</v>
      </c>
      <c r="F493" s="11" t="n">
        <f aca="false">IFERROR(__xludf.dummyfunction("""COMPUTED_VALUE"""),45189)</f>
        <v>45189</v>
      </c>
      <c r="G493" s="16" t="n">
        <f aca="false">IFERROR(__xludf.dummyfunction("""COMPUTED_VALUE"""),0.917632824074295)</f>
        <v>0.9176328241</v>
      </c>
      <c r="H493" s="13" t="str">
        <f aca="false">IFERROR(__xludf.dummyfunction("""COMPUTED_VALUE"""),"damaged stock")</f>
        <v>damaged stock</v>
      </c>
      <c r="I493" s="13" t="n">
        <f aca="false">IFERROR(__xludf.dummyfunction("""COMPUTED_VALUE"""),1)</f>
        <v>1</v>
      </c>
      <c r="J493" s="13" t="n">
        <f aca="false">IFERROR(__xludf.dummyfunction("""COMPUTED_VALUE"""),45.59)</f>
        <v>45.59</v>
      </c>
      <c r="K493" s="13" t="n">
        <f aca="false">IFERROR(__xludf.dummyfunction("""COMPUTED_VALUE"""),45.59)</f>
        <v>45.59</v>
      </c>
      <c r="L493" s="13" t="str">
        <f aca="false">IFERROR(__xludf.dummyfunction("""COMPUTED_VALUE"""),"[Code: 257CFKMP]  TA; 1 unit damage found during display  {bag sy damage mila he}")</f>
        <v>[Code: 257CFKMP]  TA; 1 unit damage found during display  {bag sy damage mila he}</v>
      </c>
      <c r="M493" s="13" t="str">
        <f aca="false">IFERROR(__xludf.dummyfunction("""COMPUTED_VALUE"""),"257CFKMP")</f>
        <v>257CFKMP</v>
      </c>
      <c r="N493" s="13"/>
      <c r="O493" s="13" t="str">
        <f aca="false">IFERROR(__xludf.dummyfunction("""COMPUTED_VALUE"""),"taufeeq.akhtar@tajir-app.com")</f>
        <v>taufeeq.akhtar@tajir-app.com</v>
      </c>
      <c r="P493" s="13" t="str">
        <f aca="false">IFERROR(__xludf.dummyfunction("""COMPUTED_VALUE"""),"Taufeeq Akhtar ")</f>
        <v>Taufeeq Akhtar </v>
      </c>
      <c r="Q493" s="13" t="str">
        <f aca="false">IF(L493="","",L493)</f>
        <v>[Code: 257CFKMP]  TA; 1 unit damage found during display  {bag sy damage mila he}</v>
      </c>
    </row>
    <row r="494" customFormat="false" ht="15.75" hidden="false" customHeight="false" outlineLevel="0" collapsed="false">
      <c r="A494" s="13" t="str">
        <f aca="false">IFERROR(__xludf.dummyfunction("""COMPUTED_VALUE"""),"Metro DC Faisalabad")</f>
        <v>Metro DC Faisalabad</v>
      </c>
      <c r="B494" s="13" t="str">
        <f aca="false">IFERROR(__xludf.dummyfunction("""COMPUTED_VALUE"""),"5c5c14c0-1835-4730-97c8-c60574b0a2d5")</f>
        <v>5c5c14c0-1835-4730-97c8-c60574b0a2d5</v>
      </c>
      <c r="C494" s="13" t="str">
        <f aca="false">IFERROR(__xludf.dummyfunction("""COMPUTED_VALUE"""),"Surf Excel x6 bundle 95g Rs50")</f>
        <v>Surf Excel x6 bundle 95g Rs50</v>
      </c>
      <c r="D494" s="13" t="str">
        <f aca="false">IFERROR(__xludf.dummyfunction("""COMPUTED_VALUE"""),"Surf Excel")</f>
        <v>Surf Excel</v>
      </c>
      <c r="E494" s="13" t="str">
        <f aca="false">IFERROR(__xludf.dummyfunction("""COMPUTED_VALUE"""),"Surf, Bleach")</f>
        <v>Surf, Bleach</v>
      </c>
      <c r="F494" s="11" t="n">
        <f aca="false">IFERROR(__xludf.dummyfunction("""COMPUTED_VALUE"""),45189)</f>
        <v>45189</v>
      </c>
      <c r="G494" s="16" t="n">
        <f aca="false">IFERROR(__xludf.dummyfunction("""COMPUTED_VALUE"""),0.916394618057318)</f>
        <v>0.9163946181</v>
      </c>
      <c r="H494" s="13" t="str">
        <f aca="false">IFERROR(__xludf.dummyfunction("""COMPUTED_VALUE"""),"damaged stock")</f>
        <v>damaged stock</v>
      </c>
      <c r="I494" s="13" t="n">
        <f aca="false">IFERROR(__xludf.dummyfunction("""COMPUTED_VALUE"""),1)</f>
        <v>1</v>
      </c>
      <c r="J494" s="13" t="n">
        <f aca="false">IFERROR(__xludf.dummyfunction("""COMPUTED_VALUE"""),275)</f>
        <v>275</v>
      </c>
      <c r="K494" s="13" t="n">
        <f aca="false">IFERROR(__xludf.dummyfunction("""COMPUTED_VALUE"""),275)</f>
        <v>275</v>
      </c>
      <c r="L494" s="13" t="str">
        <f aca="false">IFERROR(__xludf.dummyfunction("""COMPUTED_VALUE"""),"[Code: 79CFGLMN] TA; 1 unit damage found during display  {bag sy damage mila he}")</f>
        <v>[Code: 79CFGLMN] TA; 1 unit damage found during display  {bag sy damage mila he}</v>
      </c>
      <c r="M494" s="13" t="str">
        <f aca="false">IFERROR(__xludf.dummyfunction("""COMPUTED_VALUE"""),"79CFGLMN")</f>
        <v>79CFGLMN</v>
      </c>
      <c r="N494" s="13"/>
      <c r="O494" s="13" t="str">
        <f aca="false">IFERROR(__xludf.dummyfunction("""COMPUTED_VALUE"""),"taufeeq.akhtar@tajir-app.com")</f>
        <v>taufeeq.akhtar@tajir-app.com</v>
      </c>
      <c r="P494" s="13" t="str">
        <f aca="false">IFERROR(__xludf.dummyfunction("""COMPUTED_VALUE"""),"Taufeeq Akhtar ")</f>
        <v>Taufeeq Akhtar </v>
      </c>
      <c r="Q494" s="13" t="str">
        <f aca="false">IF(L494="","",L494)</f>
        <v>[Code: 79CFGLMN] TA; 1 unit damage found during display  {bag sy damage mila he}</v>
      </c>
    </row>
    <row r="495" customFormat="false" ht="15.75" hidden="false" customHeight="false" outlineLevel="0" collapsed="false">
      <c r="A495" s="13" t="str">
        <f aca="false">IFERROR(__xludf.dummyfunction("""COMPUTED_VALUE"""),"Metro DC Faisalabad")</f>
        <v>Metro DC Faisalabad</v>
      </c>
      <c r="B495" s="13" t="str">
        <f aca="false">IFERROR(__xludf.dummyfunction("""COMPUTED_VALUE"""),"717c11ae-c3bc-4378-a184-2154badcf63d")</f>
        <v>717c11ae-c3bc-4378-a184-2154badcf63d</v>
      </c>
      <c r="C495" s="13" t="str">
        <f aca="false">IFERROR(__xludf.dummyfunction("""COMPUTED_VALUE"""),"Quality Grains Daal Mash Wash 500g")</f>
        <v>Quality Grains Daal Mash Wash 500g</v>
      </c>
      <c r="D495" s="13" t="str">
        <f aca="false">IFERROR(__xludf.dummyfunction("""COMPUTED_VALUE"""),"Quality Grains")</f>
        <v>Quality Grains</v>
      </c>
      <c r="E495" s="13" t="str">
        <f aca="false">IFERROR(__xludf.dummyfunction("""COMPUTED_VALUE"""),"Pulses")</f>
        <v>Pulses</v>
      </c>
      <c r="F495" s="11" t="n">
        <f aca="false">IFERROR(__xludf.dummyfunction("""COMPUTED_VALUE"""),45189)</f>
        <v>45189</v>
      </c>
      <c r="G495" s="16" t="n">
        <f aca="false">IFERROR(__xludf.dummyfunction("""COMPUTED_VALUE"""),0.887335636574236)</f>
        <v>0.8873356366</v>
      </c>
      <c r="H495" s="13" t="str">
        <f aca="false">IFERROR(__xludf.dummyfunction("""COMPUTED_VALUE"""),"damaged stock")</f>
        <v>damaged stock</v>
      </c>
      <c r="I495" s="13" t="n">
        <f aca="false">IFERROR(__xludf.dummyfunction("""COMPUTED_VALUE"""),1)</f>
        <v>1</v>
      </c>
      <c r="J495" s="13" t="n">
        <f aca="false">IFERROR(__xludf.dummyfunction("""COMPUTED_VALUE"""),283)</f>
        <v>283</v>
      </c>
      <c r="K495" s="13" t="n">
        <f aca="false">IFERROR(__xludf.dummyfunction("""COMPUTED_VALUE"""),283)</f>
        <v>283</v>
      </c>
      <c r="L495" s="13" t="str">
        <f aca="false">IFERROR(__xludf.dummyfunction("""COMPUTED_VALUE"""),"[Code: 236CDFJK] TA: Qaulity sahi nahi hay (Fungus lagi hui haiy)")</f>
        <v>[Code: 236CDFJK] TA: Qaulity sahi nahi hay (Fungus lagi hui haiy)</v>
      </c>
      <c r="M495" s="13" t="str">
        <f aca="false">IFERROR(__xludf.dummyfunction("""COMPUTED_VALUE"""),"236CDFJK")</f>
        <v>236CDFJK</v>
      </c>
      <c r="N495" s="13"/>
      <c r="O495" s="13" t="str">
        <f aca="false">IFERROR(__xludf.dummyfunction("""COMPUTED_VALUE"""),"taufeeq.akhtar@tajir-app.com")</f>
        <v>taufeeq.akhtar@tajir-app.com</v>
      </c>
      <c r="P495" s="13" t="str">
        <f aca="false">IFERROR(__xludf.dummyfunction("""COMPUTED_VALUE"""),"Taufeeq Akhtar ")</f>
        <v>Taufeeq Akhtar </v>
      </c>
      <c r="Q495" s="13" t="str">
        <f aca="false">IF(L495="","",L495)</f>
        <v>[Code: 236CDFJK] TA: Qaulity sahi nahi hay (Fungus lagi hui haiy)</v>
      </c>
    </row>
    <row r="496" customFormat="false" ht="15.75" hidden="false" customHeight="false" outlineLevel="0" collapsed="false">
      <c r="A496" s="13" t="str">
        <f aca="false">IFERROR(__xludf.dummyfunction("""COMPUTED_VALUE"""),"Metro DC Faisalabad")</f>
        <v>Metro DC Faisalabad</v>
      </c>
      <c r="B496" s="13" t="str">
        <f aca="false">IFERROR(__xludf.dummyfunction("""COMPUTED_VALUE"""),"cd68a607-af95-45cb-b9f4-2721224c85f8")</f>
        <v>cd68a607-af95-45cb-b9f4-2721224c85f8</v>
      </c>
      <c r="C496" s="13" t="str">
        <f aca="false">IFERROR(__xludf.dummyfunction("""COMPUTED_VALUE"""),"Coca Cola plastic 1.5L")</f>
        <v>Coca Cola plastic 1.5L</v>
      </c>
      <c r="D496" s="13" t="str">
        <f aca="false">IFERROR(__xludf.dummyfunction("""COMPUTED_VALUE"""),"Coca Cola")</f>
        <v>Coca Cola</v>
      </c>
      <c r="E496" s="13" t="str">
        <f aca="false">IFERROR(__xludf.dummyfunction("""COMPUTED_VALUE"""),"Beverages")</f>
        <v>Beverages</v>
      </c>
      <c r="F496" s="11" t="n">
        <f aca="false">IFERROR(__xludf.dummyfunction("""COMPUTED_VALUE"""),45191)</f>
        <v>45191</v>
      </c>
      <c r="G496" s="16" t="n">
        <f aca="false">IFERROR(__xludf.dummyfunction("""COMPUTED_VALUE"""),0.7802394097206)</f>
        <v>0.7802394097</v>
      </c>
      <c r="H496" s="13" t="str">
        <f aca="false">IFERROR(__xludf.dummyfunction("""COMPUTED_VALUE"""),"damaged stock")</f>
        <v>damaged stock</v>
      </c>
      <c r="I496" s="13" t="n">
        <f aca="false">IFERROR(__xludf.dummyfunction("""COMPUTED_VALUE"""),1)</f>
        <v>1</v>
      </c>
      <c r="J496" s="13" t="n">
        <f aca="false">IFERROR(__xludf.dummyfunction("""COMPUTED_VALUE"""),900)</f>
        <v>900</v>
      </c>
      <c r="K496" s="13" t="n">
        <f aca="false">IFERROR(__xludf.dummyfunction("""COMPUTED_VALUE"""),900)</f>
        <v>900</v>
      </c>
      <c r="L496" s="13" t="str">
        <f aca="false">IFERROR(__xludf.dummyfunction("""COMPUTED_VALUE"""),"[Code: 489ABCFG] TA: 1 unit damage found (2bottle khali hain 1 lose hay )")</f>
        <v>[Code: 489ABCFG] TA: 1 unit damage found (2bottle khali hain 1 lose hay )</v>
      </c>
      <c r="M496" s="13" t="str">
        <f aca="false">IFERROR(__xludf.dummyfunction("""COMPUTED_VALUE"""),"489ABCFG")</f>
        <v>489ABCFG</v>
      </c>
      <c r="N496" s="13"/>
      <c r="O496" s="13" t="str">
        <f aca="false">IFERROR(__xludf.dummyfunction("""COMPUTED_VALUE"""),"taufeeq.akhtar@tajir-app.com")</f>
        <v>taufeeq.akhtar@tajir-app.com</v>
      </c>
      <c r="P496" s="13" t="str">
        <f aca="false">IFERROR(__xludf.dummyfunction("""COMPUTED_VALUE"""),"Taufeeq Akhtar ")</f>
        <v>Taufeeq Akhtar </v>
      </c>
      <c r="Q496" s="13" t="str">
        <f aca="false">IF(L496="","",L496)</f>
        <v>[Code: 489ABCFG] TA: 1 unit damage found (2bottle khali hain 1 lose hay )</v>
      </c>
    </row>
    <row r="497" customFormat="false" ht="15.75" hidden="false" customHeight="false" outlineLevel="0" collapsed="false">
      <c r="A497" s="13" t="str">
        <f aca="false">IFERROR(__xludf.dummyfunction("""COMPUTED_VALUE"""),"Metro DC Faisalabad")</f>
        <v>Metro DC Faisalabad</v>
      </c>
      <c r="B497" s="13" t="str">
        <f aca="false">IFERROR(__xludf.dummyfunction("""COMPUTED_VALUE"""),"1b684534-854d-487b-87b4-d26502505afa")</f>
        <v>1b684534-854d-487b-87b4-d26502505afa</v>
      </c>
      <c r="C497" s="13" t="str">
        <f aca="false">IFERROR(__xludf.dummyfunction("""COMPUTED_VALUE"""),"Jan Mango 1L")</f>
        <v>Jan Mango 1L</v>
      </c>
      <c r="D497" s="13" t="str">
        <f aca="false">IFERROR(__xludf.dummyfunction("""COMPUTED_VALUE"""),"Jan")</f>
        <v>Jan</v>
      </c>
      <c r="E497" s="13" t="str">
        <f aca="false">IFERROR(__xludf.dummyfunction("""COMPUTED_VALUE"""),"Juice, Syrup, Squash")</f>
        <v>Juice, Syrup, Squash</v>
      </c>
      <c r="F497" s="11" t="n">
        <f aca="false">IFERROR(__xludf.dummyfunction("""COMPUTED_VALUE"""),45191)</f>
        <v>45191</v>
      </c>
      <c r="G497" s="16" t="n">
        <f aca="false">IFERROR(__xludf.dummyfunction("""COMPUTED_VALUE"""),0.775750659722211)</f>
        <v>0.7757506597</v>
      </c>
      <c r="H497" s="13" t="str">
        <f aca="false">IFERROR(__xludf.dummyfunction("""COMPUTED_VALUE"""),"damaged stock")</f>
        <v>damaged stock</v>
      </c>
      <c r="I497" s="13" t="n">
        <f aca="false">IFERROR(__xludf.dummyfunction("""COMPUTED_VALUE"""),2)</f>
        <v>2</v>
      </c>
      <c r="J497" s="13" t="n">
        <f aca="false">IFERROR(__xludf.dummyfunction("""COMPUTED_VALUE"""),130.83)</f>
        <v>130.83</v>
      </c>
      <c r="K497" s="13" t="n">
        <f aca="false">IFERROR(__xludf.dummyfunction("""COMPUTED_VALUE"""),261.66)</f>
        <v>261.66</v>
      </c>
      <c r="L497" s="13" t="str">
        <f aca="false">IFERROR(__xludf.dummyfunction("""COMPUTED_VALUE"""),"[Code: 22578AEF]   TA; 1 unit damage found during sorting  {box sy damage mily hain}")</f>
        <v>[Code: 22578AEF]   TA; 1 unit damage found during sorting  {box sy damage mily hain}</v>
      </c>
      <c r="M497" s="13" t="str">
        <f aca="false">IFERROR(__xludf.dummyfunction("""COMPUTED_VALUE"""),"22578AEF")</f>
        <v>22578AEF</v>
      </c>
      <c r="N497" s="13"/>
      <c r="O497" s="13" t="str">
        <f aca="false">IFERROR(__xludf.dummyfunction("""COMPUTED_VALUE"""),"taufeeq.akhtar@tajir-app.com")</f>
        <v>taufeeq.akhtar@tajir-app.com</v>
      </c>
      <c r="P497" s="13" t="str">
        <f aca="false">IFERROR(__xludf.dummyfunction("""COMPUTED_VALUE"""),"Taufeeq Akhtar ")</f>
        <v>Taufeeq Akhtar </v>
      </c>
      <c r="Q497" s="13" t="str">
        <f aca="false">IF(L497="","",L497)</f>
        <v>[Code: 22578AEF]   TA; 1 unit damage found during sorting  {box sy damage mily hain}</v>
      </c>
    </row>
    <row r="498" customFormat="false" ht="15.75" hidden="false" customHeight="false" outlineLevel="0" collapsed="false">
      <c r="A498" s="13" t="str">
        <f aca="false">IFERROR(__xludf.dummyfunction("""COMPUTED_VALUE"""),"Metro DC Faisalabad")</f>
        <v>Metro DC Faisalabad</v>
      </c>
      <c r="B498" s="13" t="str">
        <f aca="false">IFERROR(__xludf.dummyfunction("""COMPUTED_VALUE"""),"a3fd9ae4-01a1-4cf0-82bb-221e4c8cf42d")</f>
        <v>a3fd9ae4-01a1-4cf0-82bb-221e4c8cf42d</v>
      </c>
      <c r="C498" s="13" t="str">
        <f aca="false">IFERROR(__xludf.dummyfunction("""COMPUTED_VALUE"""),"Lifebuoy Herbal Strong 9ml 16pcs Rs.10")</f>
        <v>Lifebuoy Herbal Strong 9ml 16pcs Rs.10</v>
      </c>
      <c r="D498" s="13" t="str">
        <f aca="false">IFERROR(__xludf.dummyfunction("""COMPUTED_VALUE"""),"Lifebuoy")</f>
        <v>Lifebuoy</v>
      </c>
      <c r="E498" s="13" t="str">
        <f aca="false">IFERROR(__xludf.dummyfunction("""COMPUTED_VALUE"""),"Shampoo")</f>
        <v>Shampoo</v>
      </c>
      <c r="F498" s="11" t="n">
        <f aca="false">IFERROR(__xludf.dummyfunction("""COMPUTED_VALUE"""),45192)</f>
        <v>45192</v>
      </c>
      <c r="G498" s="16" t="n">
        <f aca="false">IFERROR(__xludf.dummyfunction("""COMPUTED_VALUE"""),0.96500881944459)</f>
        <v>0.9650088194</v>
      </c>
      <c r="H498" s="13" t="str">
        <f aca="false">IFERROR(__xludf.dummyfunction("""COMPUTED_VALUE"""),"damaged stock")</f>
        <v>damaged stock</v>
      </c>
      <c r="I498" s="13" t="n">
        <f aca="false">IFERROR(__xludf.dummyfunction("""COMPUTED_VALUE"""),2)</f>
        <v>2</v>
      </c>
      <c r="J498" s="13" t="n">
        <f aca="false">IFERROR(__xludf.dummyfunction("""COMPUTED_VALUE"""),142.5)</f>
        <v>142.5</v>
      </c>
      <c r="K498" s="13" t="n">
        <f aca="false">IFERROR(__xludf.dummyfunction("""COMPUTED_VALUE"""),285)</f>
        <v>285</v>
      </c>
      <c r="L498" s="13" t="str">
        <f aca="false">IFERROR(__xludf.dummyfunction("""COMPUTED_VALUE"""),"[Code: 22357788] TA: Quantity kam hain sachet may.")</f>
        <v>[Code: 22357788] TA: Quantity kam hain sachet may.</v>
      </c>
      <c r="M498" s="13" t="str">
        <f aca="false">IFERROR(__xludf.dummyfunction("""COMPUTED_VALUE"""),"22357788")</f>
        <v>22357788</v>
      </c>
      <c r="N498" s="13"/>
      <c r="O498" s="13" t="str">
        <f aca="false">IFERROR(__xludf.dummyfunction("""COMPUTED_VALUE"""),"taufeeq.akhtar@tajir-app.com")</f>
        <v>taufeeq.akhtar@tajir-app.com</v>
      </c>
      <c r="P498" s="13" t="str">
        <f aca="false">IFERROR(__xludf.dummyfunction("""COMPUTED_VALUE"""),"Taufeeq Akhtar ")</f>
        <v>Taufeeq Akhtar </v>
      </c>
      <c r="Q498" s="13" t="str">
        <f aca="false">IF(L498="","",L498)</f>
        <v>[Code: 22357788] TA: Quantity kam hain sachet may.</v>
      </c>
    </row>
    <row r="499" customFormat="false" ht="15.75" hidden="false" customHeight="false" outlineLevel="0" collapsed="false">
      <c r="A499" s="13" t="str">
        <f aca="false">IFERROR(__xludf.dummyfunction("""COMPUTED_VALUE"""),"Metro DC Faisalabad")</f>
        <v>Metro DC Faisalabad</v>
      </c>
      <c r="B499" s="13" t="str">
        <f aca="false">IFERROR(__xludf.dummyfunction("""COMPUTED_VALUE"""),"d108dc59-da93-451f-9024-d773dad3e97a")</f>
        <v>d108dc59-da93-451f-9024-d773dad3e97a</v>
      </c>
      <c r="C499" s="13" t="str">
        <f aca="false">IFERROR(__xludf.dummyfunction("""COMPUTED_VALUE"""),"Sprite plastic 1.5L")</f>
        <v>Sprite plastic 1.5L</v>
      </c>
      <c r="D499" s="13" t="str">
        <f aca="false">IFERROR(__xludf.dummyfunction("""COMPUTED_VALUE"""),"Sprite")</f>
        <v>Sprite</v>
      </c>
      <c r="E499" s="13" t="str">
        <f aca="false">IFERROR(__xludf.dummyfunction("""COMPUTED_VALUE"""),"Beverages")</f>
        <v>Beverages</v>
      </c>
      <c r="F499" s="11" t="n">
        <f aca="false">IFERROR(__xludf.dummyfunction("""COMPUTED_VALUE"""),45193)</f>
        <v>45193</v>
      </c>
      <c r="G499" s="16" t="n">
        <f aca="false">IFERROR(__xludf.dummyfunction("""COMPUTED_VALUE"""),0.940833333334012)</f>
        <v>0.9408333333</v>
      </c>
      <c r="H499" s="13" t="str">
        <f aca="false">IFERROR(__xludf.dummyfunction("""COMPUTED_VALUE"""),"damaged stock")</f>
        <v>damaged stock</v>
      </c>
      <c r="I499" s="13" t="n">
        <f aca="false">IFERROR(__xludf.dummyfunction("""COMPUTED_VALUE"""),1)</f>
        <v>1</v>
      </c>
      <c r="J499" s="13" t="n">
        <f aca="false">IFERROR(__xludf.dummyfunction("""COMPUTED_VALUE"""),870)</f>
        <v>870</v>
      </c>
      <c r="K499" s="13" t="n">
        <f aca="false">IFERROR(__xludf.dummyfunction("""COMPUTED_VALUE"""),870)</f>
        <v>870</v>
      </c>
      <c r="L499" s="13" t="str">
        <f aca="false">IFERROR(__xludf.dummyfunction("""COMPUTED_VALUE"""),"[Code: 2469CDDF]  TA: 1 unit damage found (2bottle khali hain 1 lose hay )")</f>
        <v>[Code: 2469CDDF]  TA: 1 unit damage found (2bottle khali hain 1 lose hay )</v>
      </c>
      <c r="M499" s="13" t="str">
        <f aca="false">IFERROR(__xludf.dummyfunction("""COMPUTED_VALUE"""),"2469CDDF")</f>
        <v>2469CDDF</v>
      </c>
      <c r="N499" s="13"/>
      <c r="O499" s="13" t="str">
        <f aca="false">IFERROR(__xludf.dummyfunction("""COMPUTED_VALUE"""),"taufeeq.akhtar@tajir-app.com")</f>
        <v>taufeeq.akhtar@tajir-app.com</v>
      </c>
      <c r="P499" s="13" t="str">
        <f aca="false">IFERROR(__xludf.dummyfunction("""COMPUTED_VALUE"""),"Taufeeq Akhtar ")</f>
        <v>Taufeeq Akhtar </v>
      </c>
      <c r="Q499" s="13" t="str">
        <f aca="false">IF(L499="","",L499)</f>
        <v>[Code: 2469CDDF]  TA: 1 unit damage found (2bottle khali hain 1 lose hay )</v>
      </c>
    </row>
    <row r="500" customFormat="false" ht="15.75" hidden="false" customHeight="false" outlineLevel="0" collapsed="false">
      <c r="A500" s="13" t="str">
        <f aca="false">IFERROR(__xludf.dummyfunction("""COMPUTED_VALUE"""),"Metro DC Faisalabad")</f>
        <v>Metro DC Faisalabad</v>
      </c>
      <c r="B500" s="13" t="str">
        <f aca="false">IFERROR(__xludf.dummyfunction("""COMPUTED_VALUE"""),"0df8c120-7502-4f37-945a-fd2e8e7e3829")</f>
        <v>0df8c120-7502-4f37-945a-fd2e8e7e3829</v>
      </c>
      <c r="C500" s="13" t="str">
        <f aca="false">IFERROR(__xludf.dummyfunction("""COMPUTED_VALUE"""),"Star Millions Chew Strawberry Box 30pcs Rs5")</f>
        <v>Star Millions Chew Strawberry Box 30pcs Rs5</v>
      </c>
      <c r="D500" s="13" t="str">
        <f aca="false">IFERROR(__xludf.dummyfunction("""COMPUTED_VALUE"""),"Star")</f>
        <v>Star</v>
      </c>
      <c r="E500" s="13" t="str">
        <f aca="false">IFERROR(__xludf.dummyfunction("""COMPUTED_VALUE"""),"Confectionary")</f>
        <v>Confectionary</v>
      </c>
      <c r="F500" s="11" t="n">
        <f aca="false">IFERROR(__xludf.dummyfunction("""COMPUTED_VALUE"""),45195)</f>
        <v>45195</v>
      </c>
      <c r="G500" s="16" t="n">
        <f aca="false">IFERROR(__xludf.dummyfunction("""COMPUTED_VALUE"""),0.933269837962251)</f>
        <v>0.933269838</v>
      </c>
      <c r="H500" s="13" t="str">
        <f aca="false">IFERROR(__xludf.dummyfunction("""COMPUTED_VALUE"""),"missing stock")</f>
        <v>missing stock</v>
      </c>
      <c r="I500" s="13" t="n">
        <f aca="false">IFERROR(__xludf.dummyfunction("""COMPUTED_VALUE"""),1)</f>
        <v>1</v>
      </c>
      <c r="J500" s="13" t="n">
        <f aca="false">IFERROR(__xludf.dummyfunction("""COMPUTED_VALUE"""),120.9)</f>
        <v>120.9</v>
      </c>
      <c r="K500" s="13" t="n">
        <f aca="false">IFERROR(__xludf.dummyfunction("""COMPUTED_VALUE"""),120.9)</f>
        <v>120.9</v>
      </c>
      <c r="L500" s="13" t="str">
        <f aca="false">IFERROR(__xludf.dummyfunction("""COMPUTED_VALUE"""),"TA: one unit was less in box(company end issue) ...")</f>
        <v>TA: one unit was less in box(company end issue) ...</v>
      </c>
      <c r="M500" s="13"/>
      <c r="N500" s="13"/>
      <c r="O500" s="13" t="str">
        <f aca="false">IFERROR(__xludf.dummyfunction("""COMPUTED_VALUE"""),"taufeeq.akhtar@tajir-app.com")</f>
        <v>taufeeq.akhtar@tajir-app.com</v>
      </c>
      <c r="P500" s="13" t="str">
        <f aca="false">IFERROR(__xludf.dummyfunction("""COMPUTED_VALUE"""),"Taufeeq Akhtar ")</f>
        <v>Taufeeq Akhtar </v>
      </c>
      <c r="Q500" s="13" t="str">
        <f aca="false">IF(L500="","",L500)</f>
        <v>TA: one unit was less in box(company end issue) ...</v>
      </c>
    </row>
    <row r="501" customFormat="false" ht="15.75" hidden="false" customHeight="false" outlineLevel="0" collapsed="false">
      <c r="A501" s="13" t="str">
        <f aca="false">IFERROR(__xludf.dummyfunction("""COMPUTED_VALUE"""),"Metro DC Faisalabad")</f>
        <v>Metro DC Faisalabad</v>
      </c>
      <c r="B501" s="13" t="str">
        <f aca="false">IFERROR(__xludf.dummyfunction("""COMPUTED_VALUE"""),"52f96a76-cd7f-4425-b619-57b7c2eacaaf")</f>
        <v>52f96a76-cd7f-4425-b619-57b7c2eacaaf</v>
      </c>
      <c r="C501" s="13" t="str">
        <f aca="false">IFERROR(__xludf.dummyfunction("""COMPUTED_VALUE"""),"Aala Quality 2 Pari Broken Rice 25kg")</f>
        <v>Aala Quality 2 Pari Broken Rice 25kg</v>
      </c>
      <c r="D501" s="13" t="str">
        <f aca="false">IFERROR(__xludf.dummyfunction("""COMPUTED_VALUE"""),"2 Pari Rice")</f>
        <v>2 Pari Rice</v>
      </c>
      <c r="E501" s="13" t="str">
        <f aca="false">IFERROR(__xludf.dummyfunction("""COMPUTED_VALUE"""),"Rice")</f>
        <v>Rice</v>
      </c>
      <c r="F501" s="11" t="n">
        <f aca="false">IFERROR(__xludf.dummyfunction("""COMPUTED_VALUE"""),45195)</f>
        <v>45195</v>
      </c>
      <c r="G501" s="16" t="n">
        <f aca="false">IFERROR(__xludf.dummyfunction("""COMPUTED_VALUE"""),0.931369155092)</f>
        <v>0.9313691551</v>
      </c>
      <c r="H501" s="13" t="str">
        <f aca="false">IFERROR(__xludf.dummyfunction("""COMPUTED_VALUE"""),"damaged stock")</f>
        <v>damaged stock</v>
      </c>
      <c r="I501" s="13" t="n">
        <f aca="false">IFERROR(__xludf.dummyfunction("""COMPUTED_VALUE"""),1)</f>
        <v>1</v>
      </c>
      <c r="J501" s="13" t="n">
        <f aca="false">IFERROR(__xludf.dummyfunction("""COMPUTED_VALUE"""),4535)</f>
        <v>4535</v>
      </c>
      <c r="K501" s="13" t="n">
        <f aca="false">IFERROR(__xludf.dummyfunction("""COMPUTED_VALUE"""),4535)</f>
        <v>4535</v>
      </c>
      <c r="L501" s="13" t="str">
        <f aca="false">IFERROR(__xludf.dummyfunction("""COMPUTED_VALUE"""),"[Code: 4568GHJJ] TA: susri lagi hay ...qality kharab hain.")</f>
        <v>[Code: 4568GHJJ] TA: susri lagi hay ...qality kharab hain.</v>
      </c>
      <c r="M501" s="13" t="str">
        <f aca="false">IFERROR(__xludf.dummyfunction("""COMPUTED_VALUE"""),"4568GHJJ")</f>
        <v>4568GHJJ</v>
      </c>
      <c r="N501" s="13"/>
      <c r="O501" s="13" t="str">
        <f aca="false">IFERROR(__xludf.dummyfunction("""COMPUTED_VALUE"""),"taufeeq.akhtar@tajir-app.com")</f>
        <v>taufeeq.akhtar@tajir-app.com</v>
      </c>
      <c r="P501" s="13" t="str">
        <f aca="false">IFERROR(__xludf.dummyfunction("""COMPUTED_VALUE"""),"Taufeeq Akhtar ")</f>
        <v>Taufeeq Akhtar </v>
      </c>
      <c r="Q501" s="13" t="str">
        <f aca="false">IF(L501="","",L501)</f>
        <v>[Code: 4568GHJJ] TA: susri lagi hay ...qality kharab hain.</v>
      </c>
    </row>
    <row r="502" customFormat="false" ht="15.75" hidden="false" customHeight="false" outlineLevel="0" collapsed="false">
      <c r="A502" s="13" t="str">
        <f aca="false">IFERROR(__xludf.dummyfunction("""COMPUTED_VALUE"""),"Metro DC Faisalabad")</f>
        <v>Metro DC Faisalabad</v>
      </c>
      <c r="B502" s="13" t="str">
        <f aca="false">IFERROR(__xludf.dummyfunction("""COMPUTED_VALUE"""),"abcf8988-e2e3-45c6-9460-b69fac4fd0e1")</f>
        <v>abcf8988-e2e3-45c6-9460-b69fac4fd0e1</v>
      </c>
      <c r="C502" s="13" t="str">
        <f aca="false">IFERROR(__xludf.dummyfunction("""COMPUTED_VALUE"""),"Bonus tristar yellow surf 1kg Rs220")</f>
        <v>Bonus tristar yellow surf 1kg Rs220</v>
      </c>
      <c r="D502" s="13" t="str">
        <f aca="false">IFERROR(__xludf.dummyfunction("""COMPUTED_VALUE"""),"Bonus Surf")</f>
        <v>Bonus Surf</v>
      </c>
      <c r="E502" s="13" t="str">
        <f aca="false">IFERROR(__xludf.dummyfunction("""COMPUTED_VALUE"""),"Surf, Bleach")</f>
        <v>Surf, Bleach</v>
      </c>
      <c r="F502" s="11" t="n">
        <f aca="false">IFERROR(__xludf.dummyfunction("""COMPUTED_VALUE"""),45195)</f>
        <v>45195</v>
      </c>
      <c r="G502" s="16" t="n">
        <f aca="false">IFERROR(__xludf.dummyfunction("""COMPUTED_VALUE"""),0.930137951389837)</f>
        <v>0.9301379514</v>
      </c>
      <c r="H502" s="13" t="str">
        <f aca="false">IFERROR(__xludf.dummyfunction("""COMPUTED_VALUE"""),"damaged stock")</f>
        <v>damaged stock</v>
      </c>
      <c r="I502" s="13" t="n">
        <f aca="false">IFERROR(__xludf.dummyfunction("""COMPUTED_VALUE"""),1)</f>
        <v>1</v>
      </c>
      <c r="J502" s="13" t="n">
        <f aca="false">IFERROR(__xludf.dummyfunction("""COMPUTED_VALUE"""),201.18)</f>
        <v>201.18</v>
      </c>
      <c r="K502" s="13" t="n">
        <f aca="false">IFERROR(__xludf.dummyfunction("""COMPUTED_VALUE"""),201.18)</f>
        <v>201.18</v>
      </c>
      <c r="L502" s="13" t="str">
        <f aca="false">IFERROR(__xludf.dummyfunction("""COMPUTED_VALUE"""),"[Code: 5688CJLM] TA: found damaged from bag during display ...")</f>
        <v>[Code: 5688CJLM] TA: found damaged from bag during display ...</v>
      </c>
      <c r="M502" s="13" t="str">
        <f aca="false">IFERROR(__xludf.dummyfunction("""COMPUTED_VALUE"""),"5688CJLM")</f>
        <v>5688CJLM</v>
      </c>
      <c r="N502" s="13"/>
      <c r="O502" s="13" t="str">
        <f aca="false">IFERROR(__xludf.dummyfunction("""COMPUTED_VALUE"""),"taufeeq.akhtar@tajir-app.com")</f>
        <v>taufeeq.akhtar@tajir-app.com</v>
      </c>
      <c r="P502" s="13" t="str">
        <f aca="false">IFERROR(__xludf.dummyfunction("""COMPUTED_VALUE"""),"Taufeeq Akhtar ")</f>
        <v>Taufeeq Akhtar </v>
      </c>
      <c r="Q502" s="13" t="str">
        <f aca="false">IF(L502="","",L502)</f>
        <v>[Code: 5688CJLM] TA: found damaged from bag during display ...</v>
      </c>
    </row>
    <row r="503" customFormat="false" ht="15.75" hidden="false" customHeight="false" outlineLevel="0" collapsed="false">
      <c r="A503" s="13" t="str">
        <f aca="false">IFERROR(__xludf.dummyfunction("""COMPUTED_VALUE"""),"Metro DC Faisalabad")</f>
        <v>Metro DC Faisalabad</v>
      </c>
      <c r="B503" s="13" t="str">
        <f aca="false">IFERROR(__xludf.dummyfunction("""COMPUTED_VALUE"""),"63888977-140e-48ab-be06-54a2810ec1fe")</f>
        <v>63888977-140e-48ab-be06-54a2810ec1fe</v>
      </c>
      <c r="C503" s="13" t="str">
        <f aca="false">IFERROR(__xludf.dummyfunction("""COMPUTED_VALUE"""),"Anne French Hair Removing Cream Rose 14g Rs35")</f>
        <v>Anne French Hair Removing Cream Rose 14g Rs35</v>
      </c>
      <c r="D503" s="13" t="str">
        <f aca="false">IFERROR(__xludf.dummyfunction("""COMPUTED_VALUE"""),"Anne French")</f>
        <v>Anne French</v>
      </c>
      <c r="E503" s="13" t="str">
        <f aca="false">IFERROR(__xludf.dummyfunction("""COMPUTED_VALUE"""),"Personal Care")</f>
        <v>Personal Care</v>
      </c>
      <c r="F503" s="11" t="n">
        <f aca="false">IFERROR(__xludf.dummyfunction("""COMPUTED_VALUE"""),45195)</f>
        <v>45195</v>
      </c>
      <c r="G503" s="16" t="n">
        <f aca="false">IFERROR(__xludf.dummyfunction("""COMPUTED_VALUE"""),0.929177604164969)</f>
        <v>0.9291776042</v>
      </c>
      <c r="H503" s="13" t="str">
        <f aca="false">IFERROR(__xludf.dummyfunction("""COMPUTED_VALUE"""),"damaged stock")</f>
        <v>damaged stock</v>
      </c>
      <c r="I503" s="13" t="n">
        <f aca="false">IFERROR(__xludf.dummyfunction("""COMPUTED_VALUE"""),1)</f>
        <v>1</v>
      </c>
      <c r="J503" s="13" t="n">
        <f aca="false">IFERROR(__xludf.dummyfunction("""COMPUTED_VALUE"""),33.35)</f>
        <v>33.35</v>
      </c>
      <c r="K503" s="13" t="n">
        <f aca="false">IFERROR(__xludf.dummyfunction("""COMPUTED_VALUE"""),33.35)</f>
        <v>33.35</v>
      </c>
      <c r="L503" s="13" t="str">
        <f aca="false">IFERROR(__xludf.dummyfunction("""COMPUTED_VALUE"""),"[Code: 6678ABCE] TA: Found damaged during display..")</f>
        <v>[Code: 6678ABCE] TA: Found damaged during display..</v>
      </c>
      <c r="M503" s="13" t="str">
        <f aca="false">IFERROR(__xludf.dummyfunction("""COMPUTED_VALUE"""),"6678ABCE")</f>
        <v>6678ABCE</v>
      </c>
      <c r="N503" s="13"/>
      <c r="O503" s="13" t="str">
        <f aca="false">IFERROR(__xludf.dummyfunction("""COMPUTED_VALUE"""),"taufeeq.akhtar@tajir-app.com")</f>
        <v>taufeeq.akhtar@tajir-app.com</v>
      </c>
      <c r="P503" s="13" t="str">
        <f aca="false">IFERROR(__xludf.dummyfunction("""COMPUTED_VALUE"""),"Taufeeq Akhtar ")</f>
        <v>Taufeeq Akhtar </v>
      </c>
      <c r="Q503" s="13" t="str">
        <f aca="false">IF(L503="","",L503)</f>
        <v>[Code: 6678ABCE] TA: Found damaged during display..</v>
      </c>
    </row>
    <row r="504" customFormat="false" ht="15.75" hidden="false" customHeight="false" outlineLevel="0" collapsed="false">
      <c r="A504" s="13" t="str">
        <f aca="false">IFERROR(__xludf.dummyfunction("""COMPUTED_VALUE"""),"Metro DC Faisalabad")</f>
        <v>Metro DC Faisalabad</v>
      </c>
      <c r="B504" s="13" t="str">
        <f aca="false">IFERROR(__xludf.dummyfunction("""COMPUTED_VALUE"""),"a6c17001-899f-47b8-a847-a7e9a37c9429")</f>
        <v>a6c17001-899f-47b8-a847-a7e9a37c9429</v>
      </c>
      <c r="C504" s="13" t="str">
        <f aca="false">IFERROR(__xludf.dummyfunction("""COMPUTED_VALUE"""),"Gibs Cake Time Plain Cake Rs10")</f>
        <v>Gibs Cake Time Plain Cake Rs10</v>
      </c>
      <c r="D504" s="13" t="str">
        <f aca="false">IFERROR(__xludf.dummyfunction("""COMPUTED_VALUE"""),"Gibs")</f>
        <v>Gibs</v>
      </c>
      <c r="E504" s="13" t="str">
        <f aca="false">IFERROR(__xludf.dummyfunction("""COMPUTED_VALUE"""),"Confectionary")</f>
        <v>Confectionary</v>
      </c>
      <c r="F504" s="11" t="n">
        <f aca="false">IFERROR(__xludf.dummyfunction("""COMPUTED_VALUE"""),45196)</f>
        <v>45196</v>
      </c>
      <c r="G504" s="16" t="n">
        <f aca="false">IFERROR(__xludf.dummyfunction("""COMPUTED_VALUE"""),0.954195173612642)</f>
        <v>0.9541951736</v>
      </c>
      <c r="H504" s="13" t="str">
        <f aca="false">IFERROR(__xludf.dummyfunction("""COMPUTED_VALUE"""),"damaged stock")</f>
        <v>damaged stock</v>
      </c>
      <c r="I504" s="13" t="n">
        <f aca="false">IFERROR(__xludf.dummyfunction("""COMPUTED_VALUE"""),1)</f>
        <v>1</v>
      </c>
      <c r="J504" s="13" t="n">
        <f aca="false">IFERROR(__xludf.dummyfunction("""COMPUTED_VALUE"""),130)</f>
        <v>130</v>
      </c>
      <c r="K504" s="13" t="n">
        <f aca="false">IFERROR(__xludf.dummyfunction("""COMPUTED_VALUE"""),130)</f>
        <v>130</v>
      </c>
      <c r="L504" s="13" t="str">
        <f aca="false">IFERROR(__xludf.dummyfunction("""COMPUTED_VALUE"""),"[Code: 33679EGG] TA: Found damaged from box during display (Company end issue)")</f>
        <v>[Code: 33679EGG] TA: Found damaged from box during display (Company end issue)</v>
      </c>
      <c r="M504" s="13" t="str">
        <f aca="false">IFERROR(__xludf.dummyfunction("""COMPUTED_VALUE"""),"33679EGG")</f>
        <v>33679EGG</v>
      </c>
      <c r="N504" s="13"/>
      <c r="O504" s="13" t="str">
        <f aca="false">IFERROR(__xludf.dummyfunction("""COMPUTED_VALUE"""),"taufeeq.akhtar@tajir-app.com")</f>
        <v>taufeeq.akhtar@tajir-app.com</v>
      </c>
      <c r="P504" s="13" t="str">
        <f aca="false">IFERROR(__xludf.dummyfunction("""COMPUTED_VALUE"""),"Taufeeq Akhtar ")</f>
        <v>Taufeeq Akhtar </v>
      </c>
      <c r="Q504" s="13" t="str">
        <f aca="false">IF(L504="","",L504)</f>
        <v>[Code: 33679EGG] TA: Found damaged from box during display (Company end issue)</v>
      </c>
    </row>
    <row r="505" customFormat="false" ht="15.75" hidden="false" customHeight="false" outlineLevel="0" collapsed="false">
      <c r="A505" s="13" t="str">
        <f aca="false">IFERROR(__xludf.dummyfunction("""COMPUTED_VALUE"""),"Metro DC Faisalabad")</f>
        <v>Metro DC Faisalabad</v>
      </c>
      <c r="B505" s="13" t="str">
        <f aca="false">IFERROR(__xludf.dummyfunction("""COMPUTED_VALUE"""),"f4a7c642-7555-4dfd-8198-642b8dbed45d")</f>
        <v>f4a7c642-7555-4dfd-8198-642b8dbed45d</v>
      </c>
      <c r="C505" s="13" t="str">
        <f aca="false">IFERROR(__xludf.dummyfunction("""COMPUTED_VALUE"""),"Bonus tristar yellow surf 1kg Rs230")</f>
        <v>Bonus tristar yellow surf 1kg Rs230</v>
      </c>
      <c r="D505" s="13" t="str">
        <f aca="false">IFERROR(__xludf.dummyfunction("""COMPUTED_VALUE"""),"Bonus Surf")</f>
        <v>Bonus Surf</v>
      </c>
      <c r="E505" s="13" t="str">
        <f aca="false">IFERROR(__xludf.dummyfunction("""COMPUTED_VALUE"""),"Surf, Bleach")</f>
        <v>Surf, Bleach</v>
      </c>
      <c r="F505" s="11" t="n">
        <f aca="false">IFERROR(__xludf.dummyfunction("""COMPUTED_VALUE"""),45196)</f>
        <v>45196</v>
      </c>
      <c r="G505" s="16" t="n">
        <f aca="false">IFERROR(__xludf.dummyfunction("""COMPUTED_VALUE"""),0.719611932870494)</f>
        <v>0.7196119329</v>
      </c>
      <c r="H505" s="13" t="str">
        <f aca="false">IFERROR(__xludf.dummyfunction("""COMPUTED_VALUE"""),"damaged stock")</f>
        <v>damaged stock</v>
      </c>
      <c r="I505" s="13" t="n">
        <f aca="false">IFERROR(__xludf.dummyfunction("""COMPUTED_VALUE"""),1)</f>
        <v>1</v>
      </c>
      <c r="J505" s="13" t="n">
        <f aca="false">IFERROR(__xludf.dummyfunction("""COMPUTED_VALUE"""),210.36)</f>
        <v>210.36</v>
      </c>
      <c r="K505" s="13" t="n">
        <f aca="false">IFERROR(__xludf.dummyfunction("""COMPUTED_VALUE"""),210.36)</f>
        <v>210.36</v>
      </c>
      <c r="L505" s="13" t="str">
        <f aca="false">IFERROR(__xludf.dummyfunction("""COMPUTED_VALUE"""),"[Code: 23357CFG] 1 unit found damaged")</f>
        <v>[Code: 23357CFG] 1 unit found damaged</v>
      </c>
      <c r="M505" s="13" t="str">
        <f aca="false">IFERROR(__xludf.dummyfunction("""COMPUTED_VALUE"""),"23357CFG")</f>
        <v>23357CFG</v>
      </c>
      <c r="N505" s="13"/>
      <c r="O505" s="13" t="str">
        <f aca="false">IFERROR(__xludf.dummyfunction("""COMPUTED_VALUE"""),"ali.raza@tajir-app.com")</f>
        <v>ali.raza@tajir-app.com</v>
      </c>
      <c r="P505" s="13" t="str">
        <f aca="false">IFERROR(__xludf.dummyfunction("""COMPUTED_VALUE"""),"Ali Raza ")</f>
        <v>Ali Raza </v>
      </c>
      <c r="Q505" s="13" t="str">
        <f aca="false">IF(L505="","",L505)</f>
        <v>[Code: 23357CFG] 1 unit found damaged</v>
      </c>
    </row>
    <row r="506" customFormat="false" ht="15.75" hidden="false" customHeight="false" outlineLevel="0" collapsed="false">
      <c r="A506" s="13" t="str">
        <f aca="false">IFERROR(__xludf.dummyfunction("""COMPUTED_VALUE"""),"Metro DC Faisalabad")</f>
        <v>Metro DC Faisalabad</v>
      </c>
      <c r="B506" s="13" t="str">
        <f aca="false">IFERROR(__xludf.dummyfunction("""COMPUTED_VALUE"""),"abcf8988-e2e3-45c6-9460-b69fac4fd0e1")</f>
        <v>abcf8988-e2e3-45c6-9460-b69fac4fd0e1</v>
      </c>
      <c r="C506" s="13" t="str">
        <f aca="false">IFERROR(__xludf.dummyfunction("""COMPUTED_VALUE"""),"Bonus tristar yellow surf 1kg Rs220")</f>
        <v>Bonus tristar yellow surf 1kg Rs220</v>
      </c>
      <c r="D506" s="13" t="str">
        <f aca="false">IFERROR(__xludf.dummyfunction("""COMPUTED_VALUE"""),"Bonus Surf")</f>
        <v>Bonus Surf</v>
      </c>
      <c r="E506" s="13" t="str">
        <f aca="false">IFERROR(__xludf.dummyfunction("""COMPUTED_VALUE"""),"Surf, Bleach")</f>
        <v>Surf, Bleach</v>
      </c>
      <c r="F506" s="11" t="n">
        <f aca="false">IFERROR(__xludf.dummyfunction("""COMPUTED_VALUE"""),45196)</f>
        <v>45196</v>
      </c>
      <c r="G506" s="16" t="n">
        <f aca="false">IFERROR(__xludf.dummyfunction("""COMPUTED_VALUE"""),0.718906388887682)</f>
        <v>0.7189063889</v>
      </c>
      <c r="H506" s="13" t="str">
        <f aca="false">IFERROR(__xludf.dummyfunction("""COMPUTED_VALUE"""),"damaged stock")</f>
        <v>damaged stock</v>
      </c>
      <c r="I506" s="13" t="n">
        <f aca="false">IFERROR(__xludf.dummyfunction("""COMPUTED_VALUE"""),2)</f>
        <v>2</v>
      </c>
      <c r="J506" s="13" t="n">
        <f aca="false">IFERROR(__xludf.dummyfunction("""COMPUTED_VALUE"""),201.18)</f>
        <v>201.18</v>
      </c>
      <c r="K506" s="13" t="n">
        <f aca="false">IFERROR(__xludf.dummyfunction("""COMPUTED_VALUE"""),402.36)</f>
        <v>402.36</v>
      </c>
      <c r="L506" s="13" t="str">
        <f aca="false">IFERROR(__xludf.dummyfunction("""COMPUTED_VALUE"""),"[Code: 259DEFKM] 2 unit found damaged ")</f>
        <v>[Code: 259DEFKM] 2 unit found damaged </v>
      </c>
      <c r="M506" s="13" t="str">
        <f aca="false">IFERROR(__xludf.dummyfunction("""COMPUTED_VALUE"""),"259DEFKM")</f>
        <v>259DEFKM</v>
      </c>
      <c r="N506" s="13"/>
      <c r="O506" s="13" t="str">
        <f aca="false">IFERROR(__xludf.dummyfunction("""COMPUTED_VALUE"""),"ali.raza@tajir-app.com")</f>
        <v>ali.raza@tajir-app.com</v>
      </c>
      <c r="P506" s="13" t="str">
        <f aca="false">IFERROR(__xludf.dummyfunction("""COMPUTED_VALUE"""),"Ali Raza ")</f>
        <v>Ali Raza </v>
      </c>
      <c r="Q506" s="13" t="str">
        <f aca="false">IF(L506="","",L506)</f>
        <v>[Code: 259DEFKM] 2 unit found damaged </v>
      </c>
    </row>
    <row r="507" customFormat="false" ht="15.75" hidden="false" customHeight="false" outlineLevel="0" collapsed="false">
      <c r="A507" s="13" t="str">
        <f aca="false">IFERROR(__xludf.dummyfunction("""COMPUTED_VALUE"""),"Metro DC Faisalabad")</f>
        <v>Metro DC Faisalabad</v>
      </c>
      <c r="B507" s="13" t="str">
        <f aca="false">IFERROR(__xludf.dummyfunction("""COMPUTED_VALUE"""),"52f96a76-cd7f-4425-b619-57b7c2eacaaf")</f>
        <v>52f96a76-cd7f-4425-b619-57b7c2eacaaf</v>
      </c>
      <c r="C507" s="13" t="str">
        <f aca="false">IFERROR(__xludf.dummyfunction("""COMPUTED_VALUE"""),"Aala Quality 2 Pari Broken Rice 25kg")</f>
        <v>Aala Quality 2 Pari Broken Rice 25kg</v>
      </c>
      <c r="D507" s="13" t="str">
        <f aca="false">IFERROR(__xludf.dummyfunction("""COMPUTED_VALUE"""),"2 Pari Rice")</f>
        <v>2 Pari Rice</v>
      </c>
      <c r="E507" s="13" t="str">
        <f aca="false">IFERROR(__xludf.dummyfunction("""COMPUTED_VALUE"""),"Rice")</f>
        <v>Rice</v>
      </c>
      <c r="F507" s="11" t="n">
        <f aca="false">IFERROR(__xludf.dummyfunction("""COMPUTED_VALUE"""),45196)</f>
        <v>45196</v>
      </c>
      <c r="G507" s="16" t="n">
        <f aca="false">IFERROR(__xludf.dummyfunction("""COMPUTED_VALUE"""),0.702875740739426)</f>
        <v>0.7028757407</v>
      </c>
      <c r="H507" s="13" t="str">
        <f aca="false">IFERROR(__xludf.dummyfunction("""COMPUTED_VALUE"""),"damaged stock")</f>
        <v>damaged stock</v>
      </c>
      <c r="I507" s="13" t="n">
        <f aca="false">IFERROR(__xludf.dummyfunction("""COMPUTED_VALUE"""),24)</f>
        <v>24</v>
      </c>
      <c r="J507" s="13" t="n">
        <f aca="false">IFERROR(__xludf.dummyfunction("""COMPUTED_VALUE"""),4535)</f>
        <v>4535</v>
      </c>
      <c r="K507" s="13" t="n">
        <f aca="false">IFERROR(__xludf.dummyfunction("""COMPUTED_VALUE"""),108840)</f>
        <v>108840</v>
      </c>
      <c r="L507" s="13" t="str">
        <f aca="false">IFERROR(__xludf.dummyfunction("""COMPUTED_VALUE"""),"[Code: 229CDFGJ] 24 units having quality issue.")</f>
        <v>[Code: 229CDFGJ] 24 units having quality issue.</v>
      </c>
      <c r="M507" s="13" t="str">
        <f aca="false">IFERROR(__xludf.dummyfunction("""COMPUTED_VALUE"""),"229CDFGJ")</f>
        <v>229CDFGJ</v>
      </c>
      <c r="N507" s="13"/>
      <c r="O507" s="13" t="str">
        <f aca="false">IFERROR(__xludf.dummyfunction("""COMPUTED_VALUE"""),"ali.raza@tajir-app.com")</f>
        <v>ali.raza@tajir-app.com</v>
      </c>
      <c r="P507" s="13" t="str">
        <f aca="false">IFERROR(__xludf.dummyfunction("""COMPUTED_VALUE"""),"Ali Raza ")</f>
        <v>Ali Raza </v>
      </c>
      <c r="Q507" s="13" t="str">
        <f aca="false">IF(L507="","",L507)</f>
        <v>[Code: 229CDFGJ] 24 units having quality issue.</v>
      </c>
    </row>
    <row r="508" customFormat="false" ht="15.75" hidden="false" customHeight="false" outlineLevel="0" collapsed="false">
      <c r="A508" s="13" t="str">
        <f aca="false">IFERROR(__xludf.dummyfunction("""COMPUTED_VALUE"""),"Metro DC Faisalabad")</f>
        <v>Metro DC Faisalabad</v>
      </c>
      <c r="B508" s="13" t="str">
        <f aca="false">IFERROR(__xludf.dummyfunction("""COMPUTED_VALUE"""),"6bf8e4d8-b1ee-4416-8677-04c83525e4ce")</f>
        <v>6bf8e4d8-b1ee-4416-8677-04c83525e4ce</v>
      </c>
      <c r="C508" s="13" t="str">
        <f aca="false">IFERROR(__xludf.dummyfunction("""COMPUTED_VALUE"""),"Dummer Super Fine Atta 15kg")</f>
        <v>Dummer Super Fine Atta 15kg</v>
      </c>
      <c r="D508" s="13" t="str">
        <f aca="false">IFERROR(__xludf.dummyfunction("""COMPUTED_VALUE"""),"Dummer Atta")</f>
        <v>Dummer Atta</v>
      </c>
      <c r="E508" s="13" t="str">
        <f aca="false">IFERROR(__xludf.dummyfunction("""COMPUTED_VALUE"""),"Flour")</f>
        <v>Flour</v>
      </c>
      <c r="F508" s="11" t="n">
        <f aca="false">IFERROR(__xludf.dummyfunction("""COMPUTED_VALUE"""),45198)</f>
        <v>45198</v>
      </c>
      <c r="G508" s="16" t="n">
        <f aca="false">IFERROR(__xludf.dummyfunction("""COMPUTED_VALUE"""),0.814173900463302)</f>
        <v>0.8141739005</v>
      </c>
      <c r="H508" s="13" t="str">
        <f aca="false">IFERROR(__xludf.dummyfunction("""COMPUTED_VALUE"""),"missing stock")</f>
        <v>missing stock</v>
      </c>
      <c r="I508" s="13" t="n">
        <f aca="false">IFERROR(__xludf.dummyfunction("""COMPUTED_VALUE"""),1)</f>
        <v>1</v>
      </c>
      <c r="J508" s="13" t="n">
        <f aca="false">IFERROR(__xludf.dummyfunction("""COMPUTED_VALUE"""),2100)</f>
        <v>2100</v>
      </c>
      <c r="K508" s="13" t="n">
        <f aca="false">IFERROR(__xludf.dummyfunction("""COMPUTED_VALUE"""),2100)</f>
        <v>2100</v>
      </c>
      <c r="L508" s="13" t="str">
        <f aca="false">IFERROR(__xludf.dummyfunction("""COMPUTED_VALUE"""),"TA: 1unit not Available  (Mistakenly lived by Bizop)")</f>
        <v>TA: 1unit not Available  (Mistakenly lived by Bizop)</v>
      </c>
      <c r="M508" s="13"/>
      <c r="N508" s="13"/>
      <c r="O508" s="13" t="str">
        <f aca="false">IFERROR(__xludf.dummyfunction("""COMPUTED_VALUE"""),"taufeeq.akhtar@tajir-app.com")</f>
        <v>taufeeq.akhtar@tajir-app.com</v>
      </c>
      <c r="P508" s="13" t="str">
        <f aca="false">IFERROR(__xludf.dummyfunction("""COMPUTED_VALUE"""),"Taufeeq Akhtar ")</f>
        <v>Taufeeq Akhtar </v>
      </c>
      <c r="Q508" s="13" t="str">
        <f aca="false">IF(L508="","",L508)</f>
        <v>TA: 1unit not Available  (Mistakenly lived by Bizop)</v>
      </c>
    </row>
    <row r="509" customFormat="false" ht="15.75" hidden="false" customHeight="false" outlineLevel="0" collapsed="false">
      <c r="A509" s="13" t="str">
        <f aca="false">IFERROR(__xludf.dummyfunction("""COMPUTED_VALUE"""),"Metro DC Faisalabad")</f>
        <v>Metro DC Faisalabad</v>
      </c>
      <c r="B509" s="13" t="str">
        <f aca="false">IFERROR(__xludf.dummyfunction("""COMPUTED_VALUE"""),"2d1d70db-c6f7-4c4e-9a22-476f6301175b")</f>
        <v>2d1d70db-c6f7-4c4e-9a22-476f6301175b</v>
      </c>
      <c r="C509" s="13" t="str">
        <f aca="false">IFERROR(__xludf.dummyfunction("""COMPUTED_VALUE"""),"Murree Brewery Bigg Apple Plastic x12 Crate 300ml")</f>
        <v>Murree Brewery Bigg Apple Plastic x12 Crate 300ml</v>
      </c>
      <c r="D509" s="13" t="str">
        <f aca="false">IFERROR(__xludf.dummyfunction("""COMPUTED_VALUE"""),"Murree Brewery")</f>
        <v>Murree Brewery</v>
      </c>
      <c r="E509" s="13" t="str">
        <f aca="false">IFERROR(__xludf.dummyfunction("""COMPUTED_VALUE"""),"Beverages")</f>
        <v>Beverages</v>
      </c>
      <c r="F509" s="11" t="n">
        <f aca="false">IFERROR(__xludf.dummyfunction("""COMPUTED_VALUE"""),45199)</f>
        <v>45199</v>
      </c>
      <c r="G509" s="16" t="n">
        <f aca="false">IFERROR(__xludf.dummyfunction("""COMPUTED_VALUE"""),0.857349085648542)</f>
        <v>0.8573490856</v>
      </c>
      <c r="H509" s="13" t="str">
        <f aca="false">IFERROR(__xludf.dummyfunction("""COMPUTED_VALUE"""),"damaged stock")</f>
        <v>damaged stock</v>
      </c>
      <c r="I509" s="13" t="n">
        <f aca="false">IFERROR(__xludf.dummyfunction("""COMPUTED_VALUE"""),1)</f>
        <v>1</v>
      </c>
      <c r="J509" s="13" t="n">
        <f aca="false">IFERROR(__xludf.dummyfunction("""COMPUTED_VALUE"""),394.25)</f>
        <v>394.25</v>
      </c>
      <c r="K509" s="13" t="n">
        <f aca="false">IFERROR(__xludf.dummyfunction("""COMPUTED_VALUE"""),394.25)</f>
        <v>394.25</v>
      </c>
      <c r="L509" s="13" t="str">
        <f aca="false">IFERROR(__xludf.dummyfunction("""COMPUTED_VALUE"""),"[Code: 344569AB]  TA; 1unit found damage during sorting (unit sy 4bottles lose mili hain)")</f>
        <v>[Code: 344569AB]  TA; 1unit found damage during sorting (unit sy 4bottles lose mili hain)</v>
      </c>
      <c r="M509" s="13" t="str">
        <f aca="false">IFERROR(__xludf.dummyfunction("""COMPUTED_VALUE"""),"344569AB")</f>
        <v>344569AB</v>
      </c>
      <c r="N509" s="13"/>
      <c r="O509" s="13" t="str">
        <f aca="false">IFERROR(__xludf.dummyfunction("""COMPUTED_VALUE"""),"taufeeq.akhtar@tajir-app.com")</f>
        <v>taufeeq.akhtar@tajir-app.com</v>
      </c>
      <c r="P509" s="13" t="str">
        <f aca="false">IFERROR(__xludf.dummyfunction("""COMPUTED_VALUE"""),"Taufeeq Akhtar ")</f>
        <v>Taufeeq Akhtar </v>
      </c>
      <c r="Q509" s="13" t="str">
        <f aca="false">IF(L509="","",L509)</f>
        <v>[Code: 344569AB]  TA; 1unit found damage during sorting (unit sy 4bottles lose mili hain)</v>
      </c>
    </row>
    <row r="510" customFormat="false" ht="15.75" hidden="false" customHeight="false" outlineLevel="0" collapsed="false">
      <c r="A510" s="13" t="str">
        <f aca="false">IFERROR(__xludf.dummyfunction("""COMPUTED_VALUE"""),"Metro DC Faisalabad")</f>
        <v>Metro DC Faisalabad</v>
      </c>
      <c r="B510" s="13" t="str">
        <f aca="false">IFERROR(__xludf.dummyfunction("""COMPUTED_VALUE"""),"cd68a607-af95-45cb-b9f4-2721224c85f8")</f>
        <v>cd68a607-af95-45cb-b9f4-2721224c85f8</v>
      </c>
      <c r="C510" s="13" t="str">
        <f aca="false">IFERROR(__xludf.dummyfunction("""COMPUTED_VALUE"""),"Coca Cola plastic 1.5L")</f>
        <v>Coca Cola plastic 1.5L</v>
      </c>
      <c r="D510" s="13" t="str">
        <f aca="false">IFERROR(__xludf.dummyfunction("""COMPUTED_VALUE"""),"Coca Cola")</f>
        <v>Coca Cola</v>
      </c>
      <c r="E510" s="13" t="str">
        <f aca="false">IFERROR(__xludf.dummyfunction("""COMPUTED_VALUE"""),"Beverages")</f>
        <v>Beverages</v>
      </c>
      <c r="F510" s="11" t="n">
        <f aca="false">IFERROR(__xludf.dummyfunction("""COMPUTED_VALUE"""),45199)</f>
        <v>45199</v>
      </c>
      <c r="G510" s="16" t="n">
        <f aca="false">IFERROR(__xludf.dummyfunction("""COMPUTED_VALUE"""),0.856793750001493)</f>
        <v>0.85679375</v>
      </c>
      <c r="H510" s="13" t="str">
        <f aca="false">IFERROR(__xludf.dummyfunction("""COMPUTED_VALUE"""),"damaged stock")</f>
        <v>damaged stock</v>
      </c>
      <c r="I510" s="13" t="n">
        <f aca="false">IFERROR(__xludf.dummyfunction("""COMPUTED_VALUE"""),1)</f>
        <v>1</v>
      </c>
      <c r="J510" s="13" t="n">
        <f aca="false">IFERROR(__xludf.dummyfunction("""COMPUTED_VALUE"""),914.68)</f>
        <v>914.68</v>
      </c>
      <c r="K510" s="13" t="n">
        <f aca="false">IFERROR(__xludf.dummyfunction("""COMPUTED_VALUE"""),914.68)</f>
        <v>914.68</v>
      </c>
      <c r="L510" s="13" t="str">
        <f aca="false">IFERROR(__xludf.dummyfunction("""COMPUTED_VALUE"""),"[Code: 445679CD] TA; 1unit found damage during sorting (unit sy 2bottles lose mili hain)")</f>
        <v>[Code: 445679CD] TA; 1unit found damage during sorting (unit sy 2bottles lose mili hain)</v>
      </c>
      <c r="M510" s="13" t="str">
        <f aca="false">IFERROR(__xludf.dummyfunction("""COMPUTED_VALUE"""),"445679CD")</f>
        <v>445679CD</v>
      </c>
      <c r="N510" s="13"/>
      <c r="O510" s="13" t="str">
        <f aca="false">IFERROR(__xludf.dummyfunction("""COMPUTED_VALUE"""),"taufeeq.akhtar@tajir-app.com")</f>
        <v>taufeeq.akhtar@tajir-app.com</v>
      </c>
      <c r="P510" s="13" t="str">
        <f aca="false">IFERROR(__xludf.dummyfunction("""COMPUTED_VALUE"""),"Taufeeq Akhtar ")</f>
        <v>Taufeeq Akhtar </v>
      </c>
      <c r="Q510" s="13" t="str">
        <f aca="false">IF(L510="","",L510)</f>
        <v>[Code: 445679CD] TA; 1unit found damage during sorting (unit sy 2bottles lose mili hain)</v>
      </c>
    </row>
    <row r="511" customFormat="false" ht="15.75" hidden="false" customHeight="false" outlineLevel="0" collapsed="false">
      <c r="A511" s="13" t="str">
        <f aca="false">IFERROR(__xludf.dummyfunction("""COMPUTED_VALUE"""),"Metro DC Faisalabad")</f>
        <v>Metro DC Faisalabad</v>
      </c>
      <c r="B511" s="13" t="str">
        <f aca="false">IFERROR(__xludf.dummyfunction("""COMPUTED_VALUE"""),"a5b76747-fa5b-49a3-ac19-3d6294d61b30")</f>
        <v>a5b76747-fa5b-49a3-ac19-3d6294d61b30</v>
      </c>
      <c r="C511" s="13" t="str">
        <f aca="false">IFERROR(__xludf.dummyfunction("""COMPUTED_VALUE"""),"Murree Brewery Bigg Apple Plastic x6 Crate 1.5L")</f>
        <v>Murree Brewery Bigg Apple Plastic x6 Crate 1.5L</v>
      </c>
      <c r="D511" s="13" t="str">
        <f aca="false">IFERROR(__xludf.dummyfunction("""COMPUTED_VALUE"""),"Murree Brewery")</f>
        <v>Murree Brewery</v>
      </c>
      <c r="E511" s="13" t="str">
        <f aca="false">IFERROR(__xludf.dummyfunction("""COMPUTED_VALUE"""),"Beverages")</f>
        <v>Beverages</v>
      </c>
      <c r="F511" s="11" t="n">
        <f aca="false">IFERROR(__xludf.dummyfunction("""COMPUTED_VALUE"""),45200)</f>
        <v>45200</v>
      </c>
      <c r="G511" s="16" t="n">
        <f aca="false">IFERROR(__xludf.dummyfunction("""COMPUTED_VALUE"""),0.934728321757481)</f>
        <v>0.9347283218</v>
      </c>
      <c r="H511" s="13" t="str">
        <f aca="false">IFERROR(__xludf.dummyfunction("""COMPUTED_VALUE"""),"damaged stock")</f>
        <v>damaged stock</v>
      </c>
      <c r="I511" s="13" t="n">
        <f aca="false">IFERROR(__xludf.dummyfunction("""COMPUTED_VALUE"""),1)</f>
        <v>1</v>
      </c>
      <c r="J511" s="13" t="n">
        <f aca="false">IFERROR(__xludf.dummyfunction("""COMPUTED_VALUE"""),779)</f>
        <v>779</v>
      </c>
      <c r="K511" s="13" t="n">
        <f aca="false">IFERROR(__xludf.dummyfunction("""COMPUTED_VALUE"""),779)</f>
        <v>779</v>
      </c>
      <c r="L511" s="13" t="str">
        <f aca="false">IFERROR(__xludf.dummyfunction("""COMPUTED_VALUE"""),"[Code: 46BBCDDF] TA: one bottel found damaged and one bottel found in loose condition during sorting,")</f>
        <v>[Code: 46BBCDDF] TA: one bottel found damaged and one bottel found in loose condition during sorting,</v>
      </c>
      <c r="M511" s="13" t="str">
        <f aca="false">IFERROR(__xludf.dummyfunction("""COMPUTED_VALUE"""),"46BBCDDF")</f>
        <v>46BBCDDF</v>
      </c>
      <c r="N511" s="13"/>
      <c r="O511" s="13" t="str">
        <f aca="false">IFERROR(__xludf.dummyfunction("""COMPUTED_VALUE"""),"taufeeq.akhtar@tajir-app.com")</f>
        <v>taufeeq.akhtar@tajir-app.com</v>
      </c>
      <c r="P511" s="13" t="str">
        <f aca="false">IFERROR(__xludf.dummyfunction("""COMPUTED_VALUE"""),"Taufeeq Akhtar ")</f>
        <v>Taufeeq Akhtar </v>
      </c>
      <c r="Q511" s="13" t="str">
        <f aca="false">IF(L511="","",L511)</f>
        <v>[Code: 46BBCDDF] TA: one bottel found damaged and one bottel found in loose condition during sorting,</v>
      </c>
    </row>
    <row r="512" customFormat="false" ht="15.75" hidden="false" customHeight="false" outlineLevel="0" collapsed="false">
      <c r="A512" s="13" t="str">
        <f aca="false">IFERROR(__xludf.dummyfunction("""COMPUTED_VALUE"""),"Metro DC Faisalabad")</f>
        <v>Metro DC Faisalabad</v>
      </c>
      <c r="B512" s="13" t="str">
        <f aca="false">IFERROR(__xludf.dummyfunction("""COMPUTED_VALUE"""),"a5b76747-fa5b-49a3-ac19-3d6294d61b30")</f>
        <v>a5b76747-fa5b-49a3-ac19-3d6294d61b30</v>
      </c>
      <c r="C512" s="13" t="str">
        <f aca="false">IFERROR(__xludf.dummyfunction("""COMPUTED_VALUE"""),"Murree Brewery Bigg Apple Plastic x6 Crate 1.5L")</f>
        <v>Murree Brewery Bigg Apple Plastic x6 Crate 1.5L</v>
      </c>
      <c r="D512" s="13" t="str">
        <f aca="false">IFERROR(__xludf.dummyfunction("""COMPUTED_VALUE"""),"Murree Brewery")</f>
        <v>Murree Brewery</v>
      </c>
      <c r="E512" s="13" t="str">
        <f aca="false">IFERROR(__xludf.dummyfunction("""COMPUTED_VALUE"""),"Beverages")</f>
        <v>Beverages</v>
      </c>
      <c r="F512" s="11" t="n">
        <f aca="false">IFERROR(__xludf.dummyfunction("""COMPUTED_VALUE"""),45200)</f>
        <v>45200</v>
      </c>
      <c r="G512" s="16" t="n">
        <f aca="false">IFERROR(__xludf.dummyfunction("""COMPUTED_VALUE"""),0.786801226852703)</f>
        <v>0.7868012269</v>
      </c>
      <c r="H512" s="13" t="str">
        <f aca="false">IFERROR(__xludf.dummyfunction("""COMPUTED_VALUE"""),"damaged stock")</f>
        <v>damaged stock</v>
      </c>
      <c r="I512" s="13" t="n">
        <f aca="false">IFERROR(__xludf.dummyfunction("""COMPUTED_VALUE"""),1)</f>
        <v>1</v>
      </c>
      <c r="J512" s="13" t="n">
        <f aca="false">IFERROR(__xludf.dummyfunction("""COMPUTED_VALUE"""),779)</f>
        <v>779</v>
      </c>
      <c r="K512" s="13" t="n">
        <f aca="false">IFERROR(__xludf.dummyfunction("""COMPUTED_VALUE"""),779)</f>
        <v>779</v>
      </c>
      <c r="L512" s="13" t="str">
        <f aca="false">IFERROR(__xludf.dummyfunction("""COMPUTED_VALUE"""),"[Code: 2334DKNQ]  TA; 1unit found damage during sorting (unit sy 2bottles lose mili hain)")</f>
        <v>[Code: 2334DKNQ]  TA; 1unit found damage during sorting (unit sy 2bottles lose mili hain)</v>
      </c>
      <c r="M512" s="13" t="str">
        <f aca="false">IFERROR(__xludf.dummyfunction("""COMPUTED_VALUE"""),"2334DKNQ")</f>
        <v>2334DKNQ</v>
      </c>
      <c r="N512" s="13"/>
      <c r="O512" s="13" t="str">
        <f aca="false">IFERROR(__xludf.dummyfunction("""COMPUTED_VALUE"""),"taufeeq.akhtar@tajir-app.com")</f>
        <v>taufeeq.akhtar@tajir-app.com</v>
      </c>
      <c r="P512" s="13" t="str">
        <f aca="false">IFERROR(__xludf.dummyfunction("""COMPUTED_VALUE"""),"Taufeeq Akhtar ")</f>
        <v>Taufeeq Akhtar </v>
      </c>
      <c r="Q512" s="13" t="str">
        <f aca="false">IF(L512="","",L512)</f>
        <v>[Code: 2334DKNQ]  TA; 1unit found damage during sorting (unit sy 2bottles lose mili hain)</v>
      </c>
    </row>
    <row r="513" customFormat="false" ht="15.75" hidden="false" customHeight="false" outlineLevel="0" collapsed="false">
      <c r="A513" s="13" t="str">
        <f aca="false">IFERROR(__xludf.dummyfunction("""COMPUTED_VALUE"""),"Metro DC Faisalabad")</f>
        <v>Metro DC Faisalabad</v>
      </c>
      <c r="B513" s="13" t="str">
        <f aca="false">IFERROR(__xludf.dummyfunction("""COMPUTED_VALUE"""),"37c67563-5af0-4d7f-a91c-c6e2e4a6a68e")</f>
        <v>37c67563-5af0-4d7f-a91c-c6e2e4a6a68e</v>
      </c>
      <c r="C513" s="13" t="str">
        <f aca="false">IFERROR(__xludf.dummyfunction("""COMPUTED_VALUE"""),"Engro Olpers Badam Zafran Flavored Milk x24 180mL")</f>
        <v>Engro Olpers Badam Zafran Flavored Milk x24 180mL</v>
      </c>
      <c r="D513" s="13" t="str">
        <f aca="false">IFERROR(__xludf.dummyfunction("""COMPUTED_VALUE"""),"Olpers")</f>
        <v>Olpers</v>
      </c>
      <c r="E513" s="13" t="str">
        <f aca="false">IFERROR(__xludf.dummyfunction("""COMPUTED_VALUE"""),"Dairy")</f>
        <v>Dairy</v>
      </c>
      <c r="F513" s="11" t="n">
        <f aca="false">IFERROR(__xludf.dummyfunction("""COMPUTED_VALUE"""),45200)</f>
        <v>45200</v>
      </c>
      <c r="G513" s="16" t="n">
        <f aca="false">IFERROR(__xludf.dummyfunction("""COMPUTED_VALUE"""),0.520779976851663)</f>
        <v>0.5207799769</v>
      </c>
      <c r="H513" s="13" t="str">
        <f aca="false">IFERROR(__xludf.dummyfunction("""COMPUTED_VALUE"""),"expired stock")</f>
        <v>expired stock</v>
      </c>
      <c r="I513" s="13" t="n">
        <f aca="false">IFERROR(__xludf.dummyfunction("""COMPUTED_VALUE"""),21)</f>
        <v>21</v>
      </c>
      <c r="J513" s="13" t="n">
        <f aca="false">IFERROR(__xludf.dummyfunction("""COMPUTED_VALUE"""),1675.15)</f>
        <v>1675.15</v>
      </c>
      <c r="K513" s="13" t="n">
        <f aca="false">IFERROR(__xludf.dummyfunction("""COMPUTED_VALUE"""),35178.15)</f>
        <v>35178.15</v>
      </c>
      <c r="L513" s="13" t="str">
        <f aca="false">IFERROR(__xludf.dummyfunction("""COMPUTED_VALUE"""),"[Code: 346BCLMM] [Expiry: 14 Oct, 2023] AR : 21 selliong unit found short expiry ")</f>
        <v>[Code: 346BCLMM] [Expiry: 14 Oct, 2023] AR : 21 selliong unit found short expiry </v>
      </c>
      <c r="M513" s="13" t="str">
        <f aca="false">IFERROR(__xludf.dummyfunction("""COMPUTED_VALUE"""),"346BCLMM")</f>
        <v>346BCLMM</v>
      </c>
      <c r="N513" s="13" t="str">
        <f aca="false">IFERROR(__xludf.dummyfunction("""COMPUTED_VALUE"""),"14 Oct, 2023")</f>
        <v>14 Oct, 2023</v>
      </c>
      <c r="O513" s="13" t="str">
        <f aca="false">IFERROR(__xludf.dummyfunction("""COMPUTED_VALUE"""),"ali.raza@tajir-app.com")</f>
        <v>ali.raza@tajir-app.com</v>
      </c>
      <c r="P513" s="13" t="str">
        <f aca="false">IFERROR(__xludf.dummyfunction("""COMPUTED_VALUE"""),"Ali Raza ")</f>
        <v>Ali Raza </v>
      </c>
      <c r="Q513" s="13" t="str">
        <f aca="false">IF(L513="","",L513)</f>
        <v>[Code: 346BCLMM] [Expiry: 14 Oct, 2023] AR : 21 selliong unit found short expiry </v>
      </c>
    </row>
    <row r="514" customFormat="false" ht="15.75" hidden="false" customHeight="false" outlineLevel="0" collapsed="false">
      <c r="A514" s="13" t="str">
        <f aca="false">IFERROR(__xludf.dummyfunction("""COMPUTED_VALUE"""),"Metro DC Faisalabad")</f>
        <v>Metro DC Faisalabad</v>
      </c>
      <c r="B514" s="13" t="str">
        <f aca="false">IFERROR(__xludf.dummyfunction("""COMPUTED_VALUE"""),"76cbd286-ec03-4842-a510-1302d929540b")</f>
        <v>76cbd286-ec03-4842-a510-1302d929540b</v>
      </c>
      <c r="C514" s="13" t="str">
        <f aca="false">IFERROR(__xludf.dummyfunction("""COMPUTED_VALUE"""),"A One Fine Atta 15kg")</f>
        <v>A One Fine Atta 15kg</v>
      </c>
      <c r="D514" s="13" t="str">
        <f aca="false">IFERROR(__xludf.dummyfunction("""COMPUTED_VALUE"""),"A One Atta")</f>
        <v>A One Atta</v>
      </c>
      <c r="E514" s="13" t="str">
        <f aca="false">IFERROR(__xludf.dummyfunction("""COMPUTED_VALUE"""),"Flour")</f>
        <v>Flour</v>
      </c>
      <c r="F514" s="11" t="n">
        <f aca="false">IFERROR(__xludf.dummyfunction("""COMPUTED_VALUE"""),45200)</f>
        <v>45200</v>
      </c>
      <c r="G514" s="16" t="n">
        <f aca="false">IFERROR(__xludf.dummyfunction("""COMPUTED_VALUE"""),0.00277657407314706)</f>
        <v>0.002776574073</v>
      </c>
      <c r="H514" s="13" t="str">
        <f aca="false">IFERROR(__xludf.dummyfunction("""COMPUTED_VALUE"""),"damaged stock")</f>
        <v>damaged stock</v>
      </c>
      <c r="I514" s="13" t="n">
        <f aca="false">IFERROR(__xludf.dummyfunction("""COMPUTED_VALUE"""),18)</f>
        <v>18</v>
      </c>
      <c r="J514" s="13" t="n">
        <f aca="false">IFERROR(__xludf.dummyfunction("""COMPUTED_VALUE"""),2095)</f>
        <v>2095</v>
      </c>
      <c r="K514" s="13" t="n">
        <f aca="false">IFERROR(__xludf.dummyfunction("""COMPUTED_VALUE"""),37710)</f>
        <v>37710</v>
      </c>
      <c r="L514" s="13" t="str">
        <f aca="false">IFERROR(__xludf.dummyfunction("""COMPUTED_VALUE"""),"[Code: 27AGHKKL] TA:  18 units damage found due to fungus  ( Quality issue )")</f>
        <v>[Code: 27AGHKKL] TA:  18 units damage found due to fungus  ( Quality issue )</v>
      </c>
      <c r="M514" s="13" t="str">
        <f aca="false">IFERROR(__xludf.dummyfunction("""COMPUTED_VALUE"""),"27AGHKKL")</f>
        <v>27AGHKKL</v>
      </c>
      <c r="N514" s="13"/>
      <c r="O514" s="13" t="str">
        <f aca="false">IFERROR(__xludf.dummyfunction("""COMPUTED_VALUE"""),"taufeeq.akhtar@tajir-app.com")</f>
        <v>taufeeq.akhtar@tajir-app.com</v>
      </c>
      <c r="P514" s="13" t="str">
        <f aca="false">IFERROR(__xludf.dummyfunction("""COMPUTED_VALUE"""),"Taufeeq Akhtar ")</f>
        <v>Taufeeq Akhtar </v>
      </c>
      <c r="Q514" s="13" t="str">
        <f aca="false">IF(L514="","",L514)</f>
        <v>[Code: 27AGHKKL] TA:  18 units damage found due to fungus  ( Quality issue )</v>
      </c>
    </row>
    <row r="515" customFormat="false" ht="15.75" hidden="false" customHeight="false" outlineLevel="0" collapsed="false">
      <c r="A515" s="13" t="str">
        <f aca="false">IFERROR(__xludf.dummyfunction("""COMPUTED_VALUE"""),"Metro DC Faisalabad")</f>
        <v>Metro DC Faisalabad</v>
      </c>
      <c r="B515" s="13" t="str">
        <f aca="false">IFERROR(__xludf.dummyfunction("""COMPUTED_VALUE"""),"38f91ed7-8c25-4061-b1cb-85ac528c02dc")</f>
        <v>38f91ed7-8c25-4061-b1cb-85ac528c02dc</v>
      </c>
      <c r="C515" s="13" t="str">
        <f aca="false">IFERROR(__xludf.dummyfunction("""COMPUTED_VALUE"""),"Shangrila Tomato Ketchup x6 Bundle 70g")</f>
        <v>Shangrila Tomato Ketchup x6 Bundle 70g</v>
      </c>
      <c r="D515" s="13" t="str">
        <f aca="false">IFERROR(__xludf.dummyfunction("""COMPUTED_VALUE"""),"Shangrila")</f>
        <v>Shangrila</v>
      </c>
      <c r="E515" s="13" t="str">
        <f aca="false">IFERROR(__xludf.dummyfunction("""COMPUTED_VALUE"""),"Sauces")</f>
        <v>Sauces</v>
      </c>
      <c r="F515" s="11" t="n">
        <f aca="false">IFERROR(__xludf.dummyfunction("""COMPUTED_VALUE"""),45201)</f>
        <v>45201</v>
      </c>
      <c r="G515" s="16" t="n">
        <f aca="false">IFERROR(__xludf.dummyfunction("""COMPUTED_VALUE"""),0.941324201390425)</f>
        <v>0.9413242014</v>
      </c>
      <c r="H515" s="13" t="str">
        <f aca="false">IFERROR(__xludf.dummyfunction("""COMPUTED_VALUE"""),"damaged stock")</f>
        <v>damaged stock</v>
      </c>
      <c r="I515" s="13" t="n">
        <f aca="false">IFERROR(__xludf.dummyfunction("""COMPUTED_VALUE"""),1)</f>
        <v>1</v>
      </c>
      <c r="J515" s="13" t="n">
        <f aca="false">IFERROR(__xludf.dummyfunction("""COMPUTED_VALUE"""),188.49)</f>
        <v>188.49</v>
      </c>
      <c r="K515" s="13" t="n">
        <f aca="false">IFERROR(__xludf.dummyfunction("""COMPUTED_VALUE"""),188.49)</f>
        <v>188.49</v>
      </c>
      <c r="L515" s="13" t="str">
        <f aca="false">IFERROR(__xludf.dummyfunction("""COMPUTED_VALUE"""),"[Code: 26CDEHKK]  TA; 1unit found damage during display (cotton sy damage mila he)")</f>
        <v>[Code: 26CDEHKK]  TA; 1unit found damage during display (cotton sy damage mila he)</v>
      </c>
      <c r="M515" s="13" t="str">
        <f aca="false">IFERROR(__xludf.dummyfunction("""COMPUTED_VALUE"""),"26CDEHKK")</f>
        <v>26CDEHKK</v>
      </c>
      <c r="N515" s="13"/>
      <c r="O515" s="13" t="str">
        <f aca="false">IFERROR(__xludf.dummyfunction("""COMPUTED_VALUE"""),"taufeeq.akhtar@tajir-app.com")</f>
        <v>taufeeq.akhtar@tajir-app.com</v>
      </c>
      <c r="P515" s="13" t="str">
        <f aca="false">IFERROR(__xludf.dummyfunction("""COMPUTED_VALUE"""),"Taufeeq Akhtar ")</f>
        <v>Taufeeq Akhtar </v>
      </c>
      <c r="Q515" s="13" t="str">
        <f aca="false">IF(L515="","",L515)</f>
        <v>[Code: 26CDEHKK]  TA; 1unit found damage during display (cotton sy damage mila he)</v>
      </c>
    </row>
    <row r="516" customFormat="false" ht="15.75" hidden="false" customHeight="false" outlineLevel="0" collapsed="false">
      <c r="A516" s="13" t="str">
        <f aca="false">IFERROR(__xludf.dummyfunction("""COMPUTED_VALUE"""),"Metro DC Faisalabad")</f>
        <v>Metro DC Faisalabad</v>
      </c>
      <c r="B516" s="13" t="str">
        <f aca="false">IFERROR(__xludf.dummyfunction("""COMPUTED_VALUE"""),"5c5c14c0-1835-4730-97c8-c60574b0a2d5")</f>
        <v>5c5c14c0-1835-4730-97c8-c60574b0a2d5</v>
      </c>
      <c r="C516" s="13" t="str">
        <f aca="false">IFERROR(__xludf.dummyfunction("""COMPUTED_VALUE"""),"Surf Excel x6 bundle 95g Rs50")</f>
        <v>Surf Excel x6 bundle 95g Rs50</v>
      </c>
      <c r="D516" s="13" t="str">
        <f aca="false">IFERROR(__xludf.dummyfunction("""COMPUTED_VALUE"""),"Surf Excel")</f>
        <v>Surf Excel</v>
      </c>
      <c r="E516" s="13" t="str">
        <f aca="false">IFERROR(__xludf.dummyfunction("""COMPUTED_VALUE"""),"Surf, Bleach")</f>
        <v>Surf, Bleach</v>
      </c>
      <c r="F516" s="11" t="n">
        <f aca="false">IFERROR(__xludf.dummyfunction("""COMPUTED_VALUE"""),45201)</f>
        <v>45201</v>
      </c>
      <c r="G516" s="16" t="n">
        <f aca="false">IFERROR(__xludf.dummyfunction("""COMPUTED_VALUE"""),0.940226342591757)</f>
        <v>0.9402263426</v>
      </c>
      <c r="H516" s="13" t="str">
        <f aca="false">IFERROR(__xludf.dummyfunction("""COMPUTED_VALUE"""),"damaged stock")</f>
        <v>damaged stock</v>
      </c>
      <c r="I516" s="13" t="n">
        <f aca="false">IFERROR(__xludf.dummyfunction("""COMPUTED_VALUE"""),1)</f>
        <v>1</v>
      </c>
      <c r="J516" s="13" t="n">
        <f aca="false">IFERROR(__xludf.dummyfunction("""COMPUTED_VALUE"""),275)</f>
        <v>275</v>
      </c>
      <c r="K516" s="13" t="n">
        <f aca="false">IFERROR(__xludf.dummyfunction("""COMPUTED_VALUE"""),275)</f>
        <v>275</v>
      </c>
      <c r="L516" s="13" t="str">
        <f aca="false">IFERROR(__xludf.dummyfunction("""COMPUTED_VALUE"""),"[Code: 45569ADE]  TA; 1unit found damage during display ")</f>
        <v>[Code: 45569ADE]  TA; 1unit found damage during display </v>
      </c>
      <c r="M516" s="13" t="str">
        <f aca="false">IFERROR(__xludf.dummyfunction("""COMPUTED_VALUE"""),"45569ADE")</f>
        <v>45569ADE</v>
      </c>
      <c r="N516" s="13"/>
      <c r="O516" s="13" t="str">
        <f aca="false">IFERROR(__xludf.dummyfunction("""COMPUTED_VALUE"""),"taufeeq.akhtar@tajir-app.com")</f>
        <v>taufeeq.akhtar@tajir-app.com</v>
      </c>
      <c r="P516" s="13" t="str">
        <f aca="false">IFERROR(__xludf.dummyfunction("""COMPUTED_VALUE"""),"Taufeeq Akhtar ")</f>
        <v>Taufeeq Akhtar </v>
      </c>
      <c r="Q516" s="13" t="str">
        <f aca="false">IF(L516="","",L516)</f>
        <v>[Code: 45569ADE]  TA; 1unit found damage during display </v>
      </c>
    </row>
    <row r="517" customFormat="false" ht="15.75" hidden="false" customHeight="false" outlineLevel="0" collapsed="false">
      <c r="A517" s="13" t="str">
        <f aca="false">IFERROR(__xludf.dummyfunction("""COMPUTED_VALUE"""),"Metro DC Faisalabad")</f>
        <v>Metro DC Faisalabad</v>
      </c>
      <c r="B517" s="13" t="str">
        <f aca="false">IFERROR(__xludf.dummyfunction("""COMPUTED_VALUE"""),"9984c582-1364-4d99-a722-47d5f9ae95dd")</f>
        <v>9984c582-1364-4d99-a722-47d5f9ae95dd</v>
      </c>
      <c r="C517" s="13" t="str">
        <f aca="false">IFERROR(__xludf.dummyfunction("""COMPUTED_VALUE"""),"Closed 5")</f>
        <v>Closed 5</v>
      </c>
      <c r="D517" s="13" t="str">
        <f aca="false">IFERROR(__xludf.dummyfunction("""COMPUTED_VALUE"""),"Ariel Surf")</f>
        <v>Ariel Surf</v>
      </c>
      <c r="E517" s="13" t="str">
        <f aca="false">IFERROR(__xludf.dummyfunction("""COMPUTED_VALUE"""),"Surf, Bleach")</f>
        <v>Surf, Bleach</v>
      </c>
      <c r="F517" s="11" t="n">
        <f aca="false">IFERROR(__xludf.dummyfunction("""COMPUTED_VALUE"""),45201)</f>
        <v>45201</v>
      </c>
      <c r="G517" s="16" t="n">
        <f aca="false">IFERROR(__xludf.dummyfunction("""COMPUTED_VALUE"""),0.939731828702944)</f>
        <v>0.9397318287</v>
      </c>
      <c r="H517" s="13" t="str">
        <f aca="false">IFERROR(__xludf.dummyfunction("""COMPUTED_VALUE"""),"damaged stock")</f>
        <v>damaged stock</v>
      </c>
      <c r="I517" s="13" t="n">
        <f aca="false">IFERROR(__xludf.dummyfunction("""COMPUTED_VALUE"""),2)</f>
        <v>2</v>
      </c>
      <c r="J517" s="13" t="n">
        <f aca="false">IFERROR(__xludf.dummyfunction("""COMPUTED_VALUE"""),267)</f>
        <v>267</v>
      </c>
      <c r="K517" s="13" t="n">
        <f aca="false">IFERROR(__xludf.dummyfunction("""COMPUTED_VALUE"""),534)</f>
        <v>534</v>
      </c>
      <c r="L517" s="13" t="str">
        <f aca="false">IFERROR(__xludf.dummyfunction("""COMPUTED_VALUE"""),"[Code: 335AABDD]  TA; 2unit found damage during sorting (bag sy damage mily hain seal sy open hain)")</f>
        <v>[Code: 335AABDD]  TA; 2unit found damage during sorting (bag sy damage mily hain seal sy open hain)</v>
      </c>
      <c r="M517" s="13" t="str">
        <f aca="false">IFERROR(__xludf.dummyfunction("""COMPUTED_VALUE"""),"335AABDD")</f>
        <v>335AABDD</v>
      </c>
      <c r="N517" s="13"/>
      <c r="O517" s="13" t="str">
        <f aca="false">IFERROR(__xludf.dummyfunction("""COMPUTED_VALUE"""),"taufeeq.akhtar@tajir-app.com")</f>
        <v>taufeeq.akhtar@tajir-app.com</v>
      </c>
      <c r="P517" s="13" t="str">
        <f aca="false">IFERROR(__xludf.dummyfunction("""COMPUTED_VALUE"""),"Taufeeq Akhtar ")</f>
        <v>Taufeeq Akhtar </v>
      </c>
      <c r="Q517" s="13" t="str">
        <f aca="false">IF(L517="","",L517)</f>
        <v>[Code: 335AABDD]  TA; 2unit found damage during sorting (bag sy damage mily hain seal sy open hain)</v>
      </c>
    </row>
    <row r="518" customFormat="false" ht="15.75" hidden="false" customHeight="false" outlineLevel="0" collapsed="false">
      <c r="A518" s="13" t="str">
        <f aca="false">IFERROR(__xludf.dummyfunction("""COMPUTED_VALUE"""),"Metro DC Faisalabad")</f>
        <v>Metro DC Faisalabad</v>
      </c>
      <c r="B518" s="13" t="str">
        <f aca="false">IFERROR(__xludf.dummyfunction("""COMPUTED_VALUE"""),"232fabde-4fe5-4c6c-aebf-a8aeba21fee0")</f>
        <v>232fabde-4fe5-4c6c-aebf-a8aeba21fee0</v>
      </c>
      <c r="C518" s="13" t="str">
        <f aca="false">IFERROR(__xludf.dummyfunction("""COMPUTED_VALUE"""),"Ultra Pure Surf x13 bundle 40g Rs 10")</f>
        <v>Ultra Pure Surf x13 bundle 40g Rs 10</v>
      </c>
      <c r="D518" s="13" t="str">
        <f aca="false">IFERROR(__xludf.dummyfunction("""COMPUTED_VALUE"""),"Ultra Pure")</f>
        <v>Ultra Pure</v>
      </c>
      <c r="E518" s="13" t="str">
        <f aca="false">IFERROR(__xludf.dummyfunction("""COMPUTED_VALUE"""),"Surf, Bleach")</f>
        <v>Surf, Bleach</v>
      </c>
      <c r="F518" s="11" t="n">
        <f aca="false">IFERROR(__xludf.dummyfunction("""COMPUTED_VALUE"""),45201)</f>
        <v>45201</v>
      </c>
      <c r="G518" s="16" t="n">
        <f aca="false">IFERROR(__xludf.dummyfunction("""COMPUTED_VALUE"""),0.938175856481972)</f>
        <v>0.9381758565</v>
      </c>
      <c r="H518" s="13" t="str">
        <f aca="false">IFERROR(__xludf.dummyfunction("""COMPUTED_VALUE"""),"damaged stock")</f>
        <v>damaged stock</v>
      </c>
      <c r="I518" s="13" t="n">
        <f aca="false">IFERROR(__xludf.dummyfunction("""COMPUTED_VALUE"""),5)</f>
        <v>5</v>
      </c>
      <c r="J518" s="13" t="n">
        <f aca="false">IFERROR(__xludf.dummyfunction("""COMPUTED_VALUE"""),117)</f>
        <v>117</v>
      </c>
      <c r="K518" s="13" t="n">
        <f aca="false">IFERROR(__xludf.dummyfunction("""COMPUTED_VALUE"""),585)</f>
        <v>585</v>
      </c>
      <c r="L518" s="13" t="str">
        <f aca="false">IFERROR(__xludf.dummyfunction("""COMPUTED_VALUE"""),"[Code: 277889EE]  TA; 5unit found damage during display (bag sy damage mily hain)")</f>
        <v>[Code: 277889EE]  TA; 5unit found damage during display (bag sy damage mily hain)</v>
      </c>
      <c r="M518" s="13" t="str">
        <f aca="false">IFERROR(__xludf.dummyfunction("""COMPUTED_VALUE"""),"277889EE")</f>
        <v>277889EE</v>
      </c>
      <c r="N518" s="13"/>
      <c r="O518" s="13" t="str">
        <f aca="false">IFERROR(__xludf.dummyfunction("""COMPUTED_VALUE"""),"taufeeq.akhtar@tajir-app.com")</f>
        <v>taufeeq.akhtar@tajir-app.com</v>
      </c>
      <c r="P518" s="13" t="str">
        <f aca="false">IFERROR(__xludf.dummyfunction("""COMPUTED_VALUE"""),"Taufeeq Akhtar ")</f>
        <v>Taufeeq Akhtar </v>
      </c>
      <c r="Q518" s="13" t="str">
        <f aca="false">IF(L518="","",L518)</f>
        <v>[Code: 277889EE]  TA; 5unit found damage during display (bag sy damage mily hain)</v>
      </c>
    </row>
    <row r="519" customFormat="false" ht="15.75" hidden="false" customHeight="false" outlineLevel="0" collapsed="false">
      <c r="A519" s="13" t="str">
        <f aca="false">IFERROR(__xludf.dummyfunction("""COMPUTED_VALUE"""),"Metro DC Faisalabad")</f>
        <v>Metro DC Faisalabad</v>
      </c>
      <c r="B519" s="13" t="str">
        <f aca="false">IFERROR(__xludf.dummyfunction("""COMPUTED_VALUE"""),"37c67563-5af0-4d7f-a91c-c6e2e4a6a68e")</f>
        <v>37c67563-5af0-4d7f-a91c-c6e2e4a6a68e</v>
      </c>
      <c r="C519" s="13" t="str">
        <f aca="false">IFERROR(__xludf.dummyfunction("""COMPUTED_VALUE"""),"Engro Olpers Badam Zafran Flavored Milk x24 180mL")</f>
        <v>Engro Olpers Badam Zafran Flavored Milk x24 180mL</v>
      </c>
      <c r="D519" s="13" t="str">
        <f aca="false">IFERROR(__xludf.dummyfunction("""COMPUTED_VALUE"""),"Olpers")</f>
        <v>Olpers</v>
      </c>
      <c r="E519" s="13" t="str">
        <f aca="false">IFERROR(__xludf.dummyfunction("""COMPUTED_VALUE"""),"Dairy")</f>
        <v>Dairy</v>
      </c>
      <c r="F519" s="11" t="n">
        <f aca="false">IFERROR(__xludf.dummyfunction("""COMPUTED_VALUE"""),45201)</f>
        <v>45201</v>
      </c>
      <c r="G519" s="16" t="n">
        <f aca="false">IFERROR(__xludf.dummyfunction("""COMPUTED_VALUE"""),0.670684074075524)</f>
        <v>0.6706840741</v>
      </c>
      <c r="H519" s="13" t="str">
        <f aca="false">IFERROR(__xludf.dummyfunction("""COMPUTED_VALUE"""),"expired stock")</f>
        <v>expired stock</v>
      </c>
      <c r="I519" s="13" t="n">
        <f aca="false">IFERROR(__xludf.dummyfunction("""COMPUTED_VALUE"""),1)</f>
        <v>1</v>
      </c>
      <c r="J519" s="13" t="n">
        <f aca="false">IFERROR(__xludf.dummyfunction("""COMPUTED_VALUE"""),1675.15)</f>
        <v>1675.15</v>
      </c>
      <c r="K519" s="13" t="n">
        <f aca="false">IFERROR(__xludf.dummyfunction("""COMPUTED_VALUE"""),1675.15)</f>
        <v>1675.15</v>
      </c>
      <c r="L519" s="13" t="str">
        <f aca="false">IFERROR(__xludf.dummyfunction("""COMPUTED_VALUE"""),"[Code: 3BCCCEGH] [Expiry: 14 Oct, 2023] 1 unit found expiry")</f>
        <v>[Code: 3BCCCEGH] [Expiry: 14 Oct, 2023] 1 unit found expiry</v>
      </c>
      <c r="M519" s="13" t="str">
        <f aca="false">IFERROR(__xludf.dummyfunction("""COMPUTED_VALUE"""),"3BCCCEGH")</f>
        <v>3BCCCEGH</v>
      </c>
      <c r="N519" s="13" t="str">
        <f aca="false">IFERROR(__xludf.dummyfunction("""COMPUTED_VALUE"""),"14 Oct, 2023")</f>
        <v>14 Oct, 2023</v>
      </c>
      <c r="O519" s="13" t="str">
        <f aca="false">IFERROR(__xludf.dummyfunction("""COMPUTED_VALUE"""),"ali.raza@tajir-app.com")</f>
        <v>ali.raza@tajir-app.com</v>
      </c>
      <c r="P519" s="13" t="str">
        <f aca="false">IFERROR(__xludf.dummyfunction("""COMPUTED_VALUE"""),"Ali Raza ")</f>
        <v>Ali Raza </v>
      </c>
      <c r="Q519" s="13" t="str">
        <f aca="false">IF(L519="","",L519)</f>
        <v>[Code: 3BCCCEGH] [Expiry: 14 Oct, 2023] 1 unit found expiry</v>
      </c>
    </row>
    <row r="520" customFormat="false" ht="15.75" hidden="false" customHeight="false" outlineLevel="0" collapsed="false">
      <c r="A520" s="13" t="str">
        <f aca="false">IFERROR(__xludf.dummyfunction("""COMPUTED_VALUE"""),"Metro DC Faisalabad")</f>
        <v>Metro DC Faisalabad</v>
      </c>
      <c r="B520" s="13" t="str">
        <f aca="false">IFERROR(__xludf.dummyfunction("""COMPUTED_VALUE"""),"e9ed0c29-a010-4faa-8134-f48eaaca8f25")</f>
        <v>e9ed0c29-a010-4faa-8134-f48eaaca8f25</v>
      </c>
      <c r="C520" s="13" t="str">
        <f aca="false">IFERROR(__xludf.dummyfunction("""COMPUTED_VALUE"""),"Crown Chakki Atta 5kg")</f>
        <v>Crown Chakki Atta 5kg</v>
      </c>
      <c r="D520" s="13" t="str">
        <f aca="false">IFERROR(__xludf.dummyfunction("""COMPUTED_VALUE"""),"Crown Chakki Atta")</f>
        <v>Crown Chakki Atta</v>
      </c>
      <c r="E520" s="13" t="str">
        <f aca="false">IFERROR(__xludf.dummyfunction("""COMPUTED_VALUE"""),"Flour")</f>
        <v>Flour</v>
      </c>
      <c r="F520" s="11" t="n">
        <f aca="false">IFERROR(__xludf.dummyfunction("""COMPUTED_VALUE"""),45202)</f>
        <v>45202</v>
      </c>
      <c r="G520" s="16" t="n">
        <f aca="false">IFERROR(__xludf.dummyfunction("""COMPUTED_VALUE"""),0.9425027314825)</f>
        <v>0.9425027315</v>
      </c>
      <c r="H520" s="13" t="str">
        <f aca="false">IFERROR(__xludf.dummyfunction("""COMPUTED_VALUE"""),"damaged stock")</f>
        <v>damaged stock</v>
      </c>
      <c r="I520" s="13" t="n">
        <f aca="false">IFERROR(__xludf.dummyfunction("""COMPUTED_VALUE"""),12)</f>
        <v>12</v>
      </c>
      <c r="J520" s="13" t="n">
        <f aca="false">IFERROR(__xludf.dummyfunction("""COMPUTED_VALUE"""),690)</f>
        <v>690</v>
      </c>
      <c r="K520" s="13" t="n">
        <f aca="false">IFERROR(__xludf.dummyfunction("""COMPUTED_VALUE"""),8280)</f>
        <v>8280</v>
      </c>
      <c r="L520" s="13" t="str">
        <f aca="false">IFERROR(__xludf.dummyfunction("""COMPUTED_VALUE"""),"[Code: 2345788G] TA: 12 units found in bad quality(tthailay banay hauy hain under)")</f>
        <v>[Code: 2345788G] TA: 12 units found in bad quality(tthailay banay hauy hain under)</v>
      </c>
      <c r="M520" s="13" t="str">
        <f aca="false">IFERROR(__xludf.dummyfunction("""COMPUTED_VALUE"""),"2345788G")</f>
        <v>2345788G</v>
      </c>
      <c r="N520" s="13"/>
      <c r="O520" s="13" t="str">
        <f aca="false">IFERROR(__xludf.dummyfunction("""COMPUTED_VALUE"""),"taufeeq.akhtar@tajir-app.com")</f>
        <v>taufeeq.akhtar@tajir-app.com</v>
      </c>
      <c r="P520" s="13" t="str">
        <f aca="false">IFERROR(__xludf.dummyfunction("""COMPUTED_VALUE"""),"Taufeeq Akhtar ")</f>
        <v>Taufeeq Akhtar </v>
      </c>
      <c r="Q520" s="13" t="str">
        <f aca="false">IF(L520="","",L520)</f>
        <v>[Code: 2345788G] TA: 12 units found in bad quality(tthailay banay hauy hain under)</v>
      </c>
    </row>
    <row r="521" customFormat="false" ht="15.75" hidden="false" customHeight="false" outlineLevel="0" collapsed="false">
      <c r="A521" s="13" t="str">
        <f aca="false">IFERROR(__xludf.dummyfunction("""COMPUTED_VALUE"""),"Metro DC Faisalabad")</f>
        <v>Metro DC Faisalabad</v>
      </c>
      <c r="B521" s="13" t="str">
        <f aca="false">IFERROR(__xludf.dummyfunction("""COMPUTED_VALUE"""),"a3fd9ae4-01a1-4cf0-82bb-221e4c8cf42d")</f>
        <v>a3fd9ae4-01a1-4cf0-82bb-221e4c8cf42d</v>
      </c>
      <c r="C521" s="13" t="str">
        <f aca="false">IFERROR(__xludf.dummyfunction("""COMPUTED_VALUE"""),"Lifebuoy Herbal Strong 9ml 16pcs Rs.10")</f>
        <v>Lifebuoy Herbal Strong 9ml 16pcs Rs.10</v>
      </c>
      <c r="D521" s="13" t="str">
        <f aca="false">IFERROR(__xludf.dummyfunction("""COMPUTED_VALUE"""),"Lifebuoy")</f>
        <v>Lifebuoy</v>
      </c>
      <c r="E521" s="13" t="str">
        <f aca="false">IFERROR(__xludf.dummyfunction("""COMPUTED_VALUE"""),"Shampoo")</f>
        <v>Shampoo</v>
      </c>
      <c r="F521" s="11" t="n">
        <f aca="false">IFERROR(__xludf.dummyfunction("""COMPUTED_VALUE"""),45202)</f>
        <v>45202</v>
      </c>
      <c r="G521" s="16" t="n">
        <f aca="false">IFERROR(__xludf.dummyfunction("""COMPUTED_VALUE"""),0.931339305554122)</f>
        <v>0.9313393056</v>
      </c>
      <c r="H521" s="13" t="str">
        <f aca="false">IFERROR(__xludf.dummyfunction("""COMPUTED_VALUE"""),"damaged stock")</f>
        <v>damaged stock</v>
      </c>
      <c r="I521" s="13" t="n">
        <f aca="false">IFERROR(__xludf.dummyfunction("""COMPUTED_VALUE"""),2)</f>
        <v>2</v>
      </c>
      <c r="J521" s="13" t="n">
        <f aca="false">IFERROR(__xludf.dummyfunction("""COMPUTED_VALUE"""),142.5)</f>
        <v>142.5</v>
      </c>
      <c r="K521" s="13" t="n">
        <f aca="false">IFERROR(__xludf.dummyfunction("""COMPUTED_VALUE"""),285)</f>
        <v>285</v>
      </c>
      <c r="L521" s="13" t="str">
        <f aca="false">IFERROR(__xludf.dummyfunction("""COMPUTED_VALUE"""),"[Code: 44689CGH] TA: 2 units found damage (box main sy damage mily hain)")</f>
        <v>[Code: 44689CGH] TA: 2 units found damage (box main sy damage mily hain)</v>
      </c>
      <c r="M521" s="13" t="str">
        <f aca="false">IFERROR(__xludf.dummyfunction("""COMPUTED_VALUE"""),"44689CGH")</f>
        <v>44689CGH</v>
      </c>
      <c r="N521" s="13"/>
      <c r="O521" s="13" t="str">
        <f aca="false">IFERROR(__xludf.dummyfunction("""COMPUTED_VALUE"""),"taufeeq.akhtar@tajir-app.com")</f>
        <v>taufeeq.akhtar@tajir-app.com</v>
      </c>
      <c r="P521" s="13" t="str">
        <f aca="false">IFERROR(__xludf.dummyfunction("""COMPUTED_VALUE"""),"Taufeeq Akhtar ")</f>
        <v>Taufeeq Akhtar </v>
      </c>
      <c r="Q521" s="13" t="str">
        <f aca="false">IF(L521="","",L521)</f>
        <v>[Code: 44689CGH] TA: 2 units found damage (box main sy damage mily hain)</v>
      </c>
    </row>
    <row r="522" customFormat="false" ht="15.75" hidden="false" customHeight="false" outlineLevel="0" collapsed="false">
      <c r="A522" s="13" t="str">
        <f aca="false">IFERROR(__xludf.dummyfunction("""COMPUTED_VALUE"""),"Metro DC Faisalabad")</f>
        <v>Metro DC Faisalabad</v>
      </c>
      <c r="B522" s="13" t="str">
        <f aca="false">IFERROR(__xludf.dummyfunction("""COMPUTED_VALUE"""),"d9f37d3d-1faf-49e9-a182-5cf510e25207")</f>
        <v>d9f37d3d-1faf-49e9-a182-5cf510e25207</v>
      </c>
      <c r="C522" s="13" t="str">
        <f aca="false">IFERROR(__xludf.dummyfunction("""COMPUTED_VALUE"""),"Robin Blue Liquid x2 Bundle 75ml Rs230")</f>
        <v>Robin Blue Liquid x2 Bundle 75ml Rs230</v>
      </c>
      <c r="D522" s="13" t="str">
        <f aca="false">IFERROR(__xludf.dummyfunction("""COMPUTED_VALUE"""),"Robin")</f>
        <v>Robin</v>
      </c>
      <c r="E522" s="13" t="str">
        <f aca="false">IFERROR(__xludf.dummyfunction("""COMPUTED_VALUE"""),"Surf, Bleach")</f>
        <v>Surf, Bleach</v>
      </c>
      <c r="F522" s="11" t="n">
        <f aca="false">IFERROR(__xludf.dummyfunction("""COMPUTED_VALUE"""),45202)</f>
        <v>45202</v>
      </c>
      <c r="G522" s="16" t="n">
        <f aca="false">IFERROR(__xludf.dummyfunction("""COMPUTED_VALUE"""),0.926955601850914)</f>
        <v>0.9269556019</v>
      </c>
      <c r="H522" s="13" t="str">
        <f aca="false">IFERROR(__xludf.dummyfunction("""COMPUTED_VALUE"""),"damaged stock")</f>
        <v>damaged stock</v>
      </c>
      <c r="I522" s="13" t="n">
        <f aca="false">IFERROR(__xludf.dummyfunction("""COMPUTED_VALUE"""),1)</f>
        <v>1</v>
      </c>
      <c r="J522" s="13" t="n">
        <f aca="false">IFERROR(__xludf.dummyfunction("""COMPUTED_VALUE"""),350.72)</f>
        <v>350.72</v>
      </c>
      <c r="K522" s="13" t="n">
        <f aca="false">IFERROR(__xludf.dummyfunction("""COMPUTED_VALUE"""),350.72)</f>
        <v>350.72</v>
      </c>
      <c r="L522" s="13" t="str">
        <f aca="false">IFERROR(__xludf.dummyfunction("""COMPUTED_VALUE"""),"[Code: 4679BCDD] TA: 1 unit damage found (sorting ky doran damage mila hy)")</f>
        <v>[Code: 4679BCDD] TA: 1 unit damage found (sorting ky doran damage mila hy)</v>
      </c>
      <c r="M522" s="13" t="str">
        <f aca="false">IFERROR(__xludf.dummyfunction("""COMPUTED_VALUE"""),"4679BCDD")</f>
        <v>4679BCDD</v>
      </c>
      <c r="N522" s="13"/>
      <c r="O522" s="13" t="str">
        <f aca="false">IFERROR(__xludf.dummyfunction("""COMPUTED_VALUE"""),"taufeeq.akhtar@tajir-app.com")</f>
        <v>taufeeq.akhtar@tajir-app.com</v>
      </c>
      <c r="P522" s="13" t="str">
        <f aca="false">IFERROR(__xludf.dummyfunction("""COMPUTED_VALUE"""),"Taufeeq Akhtar ")</f>
        <v>Taufeeq Akhtar </v>
      </c>
      <c r="Q522" s="13" t="str">
        <f aca="false">IF(L522="","",L522)</f>
        <v>[Code: 4679BCDD] TA: 1 unit damage found (sorting ky doran damage mila hy)</v>
      </c>
    </row>
    <row r="523" customFormat="false" ht="15.75" hidden="false" customHeight="false" outlineLevel="0" collapsed="false">
      <c r="A523" s="13" t="str">
        <f aca="false">IFERROR(__xludf.dummyfunction("""COMPUTED_VALUE"""),"Metro DC Faisalabad")</f>
        <v>Metro DC Faisalabad</v>
      </c>
      <c r="B523" s="13" t="str">
        <f aca="false">IFERROR(__xludf.dummyfunction("""COMPUTED_VALUE"""),"2078dcd4-3c88-45e1-bc7b-363dde84c6e8")</f>
        <v>2078dcd4-3c88-45e1-bc7b-363dde84c6e8</v>
      </c>
      <c r="C523" s="13" t="str">
        <f aca="false">IFERROR(__xludf.dummyfunction("""COMPUTED_VALUE"""),"Special Wooden Phool Jharoo")</f>
        <v>Special Wooden Phool Jharoo</v>
      </c>
      <c r="D523" s="13" t="str">
        <f aca="false">IFERROR(__xludf.dummyfunction("""COMPUTED_VALUE"""),"Jharoo")</f>
        <v>Jharoo</v>
      </c>
      <c r="E523" s="13" t="str">
        <f aca="false">IFERROR(__xludf.dummyfunction("""COMPUTED_VALUE"""),"Home Care")</f>
        <v>Home Care</v>
      </c>
      <c r="F523" s="11" t="n">
        <f aca="false">IFERROR(__xludf.dummyfunction("""COMPUTED_VALUE"""),45202)</f>
        <v>45202</v>
      </c>
      <c r="G523" s="16" t="n">
        <f aca="false">IFERROR(__xludf.dummyfunction("""COMPUTED_VALUE"""),0.923440011575529)</f>
        <v>0.9234400116</v>
      </c>
      <c r="H523" s="13" t="str">
        <f aca="false">IFERROR(__xludf.dummyfunction("""COMPUTED_VALUE"""),"damaged stock")</f>
        <v>damaged stock</v>
      </c>
      <c r="I523" s="13" t="n">
        <f aca="false">IFERROR(__xludf.dummyfunction("""COMPUTED_VALUE"""),1)</f>
        <v>1</v>
      </c>
      <c r="J523" s="13" t="n">
        <f aca="false">IFERROR(__xludf.dummyfunction("""COMPUTED_VALUE"""),135)</f>
        <v>135</v>
      </c>
      <c r="K523" s="13" t="n">
        <f aca="false">IFERROR(__xludf.dummyfunction("""COMPUTED_VALUE"""),135)</f>
        <v>135</v>
      </c>
      <c r="L523" s="13" t="str">
        <f aca="false">IFERROR(__xludf.dummyfunction("""COMPUTED_VALUE"""),"[Code: 45699CFF] TA: 1 unit damage found (sorting ky doran damage mila hy)")</f>
        <v>[Code: 45699CFF] TA: 1 unit damage found (sorting ky doran damage mila hy)</v>
      </c>
      <c r="M523" s="13" t="str">
        <f aca="false">IFERROR(__xludf.dummyfunction("""COMPUTED_VALUE"""),"45699CFF")</f>
        <v>45699CFF</v>
      </c>
      <c r="N523" s="13"/>
      <c r="O523" s="13" t="str">
        <f aca="false">IFERROR(__xludf.dummyfunction("""COMPUTED_VALUE"""),"taufeeq.akhtar@tajir-app.com")</f>
        <v>taufeeq.akhtar@tajir-app.com</v>
      </c>
      <c r="P523" s="13" t="str">
        <f aca="false">IFERROR(__xludf.dummyfunction("""COMPUTED_VALUE"""),"Taufeeq Akhtar ")</f>
        <v>Taufeeq Akhtar </v>
      </c>
      <c r="Q523" s="13" t="str">
        <f aca="false">IF(L523="","",L523)</f>
        <v>[Code: 45699CFF] TA: 1 unit damage found (sorting ky doran damage mila hy)</v>
      </c>
    </row>
    <row r="524" customFormat="false" ht="15.75" hidden="false" customHeight="false" outlineLevel="0" collapsed="false">
      <c r="A524" s="13" t="str">
        <f aca="false">IFERROR(__xludf.dummyfunction("""COMPUTED_VALUE"""),"Metro DC Faisalabad")</f>
        <v>Metro DC Faisalabad</v>
      </c>
      <c r="B524" s="13" t="str">
        <f aca="false">IFERROR(__xludf.dummyfunction("""COMPUTED_VALUE"""),"e22b9d74-ee25-4162-b816-ac79f5614672")</f>
        <v>e22b9d74-ee25-4162-b816-ac79f5614672</v>
      </c>
      <c r="C524" s="13" t="str">
        <f aca="false">IFERROR(__xludf.dummyfunction("""COMPUTED_VALUE"""),"Sherdil Dry Aloo Bukhara 200g")</f>
        <v>Sherdil Dry Aloo Bukhara 200g</v>
      </c>
      <c r="D524" s="13" t="str">
        <f aca="false">IFERROR(__xludf.dummyfunction("""COMPUTED_VALUE"""),"Sherdil")</f>
        <v>Sherdil</v>
      </c>
      <c r="E524" s="13" t="str">
        <f aca="false">IFERROR(__xludf.dummyfunction("""COMPUTED_VALUE"""),"Spices")</f>
        <v>Spices</v>
      </c>
      <c r="F524" s="11" t="n">
        <f aca="false">IFERROR(__xludf.dummyfunction("""COMPUTED_VALUE"""),45202)</f>
        <v>45202</v>
      </c>
      <c r="G524" s="16" t="n">
        <f aca="false">IFERROR(__xludf.dummyfunction("""COMPUTED_VALUE"""),0.671747071759534)</f>
        <v>0.6717470718</v>
      </c>
      <c r="H524" s="13" t="str">
        <f aca="false">IFERROR(__xludf.dummyfunction("""COMPUTED_VALUE"""),"damaged stock")</f>
        <v>damaged stock</v>
      </c>
      <c r="I524" s="13" t="n">
        <f aca="false">IFERROR(__xludf.dummyfunction("""COMPUTED_VALUE"""),2)</f>
        <v>2</v>
      </c>
      <c r="J524" s="13" t="n">
        <f aca="false">IFERROR(__xludf.dummyfunction("""COMPUTED_VALUE"""),230)</f>
        <v>230</v>
      </c>
      <c r="K524" s="13" t="n">
        <f aca="false">IFERROR(__xludf.dummyfunction("""COMPUTED_VALUE"""),460)</f>
        <v>460</v>
      </c>
      <c r="L524" s="13" t="str">
        <f aca="false">IFERROR(__xludf.dummyfunction("""COMPUTED_VALUE"""),"[Code: 22455EEF] ZA: Stock Removed due to bad Quality")</f>
        <v>[Code: 22455EEF] ZA: Stock Removed due to bad Quality</v>
      </c>
      <c r="M524" s="13" t="str">
        <f aca="false">IFERROR(__xludf.dummyfunction("""COMPUTED_VALUE"""),"22455EEF")</f>
        <v>22455EEF</v>
      </c>
      <c r="N524" s="13"/>
      <c r="O524" s="13" t="str">
        <f aca="false">IFERROR(__xludf.dummyfunction("""COMPUTED_VALUE"""),"ali.raza@tajir-app.com")</f>
        <v>ali.raza@tajir-app.com</v>
      </c>
      <c r="P524" s="13" t="str">
        <f aca="false">IFERROR(__xludf.dummyfunction("""COMPUTED_VALUE"""),"Ali Raza ")</f>
        <v>Ali Raza </v>
      </c>
      <c r="Q524" s="13" t="str">
        <f aca="false">IF(L524="","",L524)</f>
        <v>[Code: 22455EEF] ZA: Stock Removed due to bad Quality</v>
      </c>
    </row>
    <row r="525" customFormat="false" ht="15.75" hidden="false" customHeight="false" outlineLevel="0" collapsed="false">
      <c r="A525" s="13" t="str">
        <f aca="false">IFERROR(__xludf.dummyfunction("""COMPUTED_VALUE"""),"Metro DC Faisalabad")</f>
        <v>Metro DC Faisalabad</v>
      </c>
      <c r="B525" s="13" t="str">
        <f aca="false">IFERROR(__xludf.dummyfunction("""COMPUTED_VALUE"""),"298f7ff6-cb06-44cc-8db9-94fbb78c15cd")</f>
        <v>298f7ff6-cb06-44cc-8db9-94fbb78c15cd</v>
      </c>
      <c r="C525" s="13" t="str">
        <f aca="false">IFERROR(__xludf.dummyfunction("""COMPUTED_VALUE"""),"Kolson Snackers Hot Masala 6g 60pcs Rs10")</f>
        <v>Kolson Snackers Hot Masala 6g 60pcs Rs10</v>
      </c>
      <c r="D525" s="13" t="str">
        <f aca="false">IFERROR(__xludf.dummyfunction("""COMPUTED_VALUE"""),"Kolson")</f>
        <v>Kolson</v>
      </c>
      <c r="E525" s="13" t="str">
        <f aca="false">IFERROR(__xludf.dummyfunction("""COMPUTED_VALUE"""),"Snacks")</f>
        <v>Snacks</v>
      </c>
      <c r="F525" s="11" t="n">
        <f aca="false">IFERROR(__xludf.dummyfunction("""COMPUTED_VALUE"""),45202)</f>
        <v>45202</v>
      </c>
      <c r="G525" s="16" t="n">
        <f aca="false">IFERROR(__xludf.dummyfunction("""COMPUTED_VALUE"""),0.615328750000959)</f>
        <v>0.61532875</v>
      </c>
      <c r="H525" s="13" t="str">
        <f aca="false">IFERROR(__xludf.dummyfunction("""COMPUTED_VALUE"""),"expired stock")</f>
        <v>expired stock</v>
      </c>
      <c r="I525" s="13" t="n">
        <f aca="false">IFERROR(__xludf.dummyfunction("""COMPUTED_VALUE"""),1)</f>
        <v>1</v>
      </c>
      <c r="J525" s="13" t="n">
        <f aca="false">IFERROR(__xludf.dummyfunction("""COMPUTED_VALUE"""),519.83)</f>
        <v>519.83</v>
      </c>
      <c r="K525" s="13" t="n">
        <f aca="false">IFERROR(__xludf.dummyfunction("""COMPUTED_VALUE"""),519.83)</f>
        <v>519.83</v>
      </c>
      <c r="L525" s="13" t="str">
        <f aca="false">IFERROR(__xludf.dummyfunction("""COMPUTED_VALUE"""),"[Code: 56889CCE] [Expiry: 13 Oct, 2023] 1 unit found short expiry")</f>
        <v>[Code: 56889CCE] [Expiry: 13 Oct, 2023] 1 unit found short expiry</v>
      </c>
      <c r="M525" s="13" t="str">
        <f aca="false">IFERROR(__xludf.dummyfunction("""COMPUTED_VALUE"""),"56889CCE")</f>
        <v>56889CCE</v>
      </c>
      <c r="N525" s="13" t="str">
        <f aca="false">IFERROR(__xludf.dummyfunction("""COMPUTED_VALUE"""),"13 Oct, 2023")</f>
        <v>13 Oct, 2023</v>
      </c>
      <c r="O525" s="13" t="str">
        <f aca="false">IFERROR(__xludf.dummyfunction("""COMPUTED_VALUE"""),"ali.raza@tajir-app.com")</f>
        <v>ali.raza@tajir-app.com</v>
      </c>
      <c r="P525" s="13" t="str">
        <f aca="false">IFERROR(__xludf.dummyfunction("""COMPUTED_VALUE"""),"Ali Raza ")</f>
        <v>Ali Raza </v>
      </c>
      <c r="Q525" s="13" t="str">
        <f aca="false">IF(L525="","",L525)</f>
        <v>[Code: 56889CCE] [Expiry: 13 Oct, 2023] 1 unit found short expiry</v>
      </c>
    </row>
    <row r="526" customFormat="false" ht="15.75" hidden="false" customHeight="false" outlineLevel="0" collapsed="false">
      <c r="A526" s="13" t="str">
        <f aca="false">IFERROR(__xludf.dummyfunction("""COMPUTED_VALUE"""),"Metro DC Faisalabad")</f>
        <v>Metro DC Faisalabad</v>
      </c>
      <c r="B526" s="13" t="str">
        <f aca="false">IFERROR(__xludf.dummyfunction("""COMPUTED_VALUE"""),"2085bdff-5f5a-49c6-ae7c-7591efe72a07")</f>
        <v>2085bdff-5f5a-49c6-ae7c-7591efe72a07</v>
      </c>
      <c r="C526" s="13" t="str">
        <f aca="false">IFERROR(__xludf.dummyfunction("""COMPUTED_VALUE"""),"Sunridge Super White Atta 5kg")</f>
        <v>Sunridge Super White Atta 5kg</v>
      </c>
      <c r="D526" s="13" t="str">
        <f aca="false">IFERROR(__xludf.dummyfunction("""COMPUTED_VALUE"""),"Sunridge")</f>
        <v>Sunridge</v>
      </c>
      <c r="E526" s="13" t="str">
        <f aca="false">IFERROR(__xludf.dummyfunction("""COMPUTED_VALUE"""),"Flour")</f>
        <v>Flour</v>
      </c>
      <c r="F526" s="11" t="n">
        <f aca="false">IFERROR(__xludf.dummyfunction("""COMPUTED_VALUE"""),45204)</f>
        <v>45204</v>
      </c>
      <c r="G526" s="16" t="n">
        <f aca="false">IFERROR(__xludf.dummyfunction("""COMPUTED_VALUE"""),0.657645972223112)</f>
        <v>0.6576459722</v>
      </c>
      <c r="H526" s="13" t="str">
        <f aca="false">IFERROR(__xludf.dummyfunction("""COMPUTED_VALUE"""),"expired stock")</f>
        <v>expired stock</v>
      </c>
      <c r="I526" s="13" t="n">
        <f aca="false">IFERROR(__xludf.dummyfunction("""COMPUTED_VALUE"""),40)</f>
        <v>40</v>
      </c>
      <c r="J526" s="13" t="n">
        <f aca="false">IFERROR(__xludf.dummyfunction("""COMPUTED_VALUE"""),846.3)</f>
        <v>846.3</v>
      </c>
      <c r="K526" s="13" t="n">
        <f aca="false">IFERROR(__xludf.dummyfunction("""COMPUTED_VALUE"""),33852)</f>
        <v>33852</v>
      </c>
      <c r="L526" s="13" t="str">
        <f aca="false">IFERROR(__xludf.dummyfunction("""COMPUTED_VALUE"""),"[Code: 378BFHLL] [Expiry: 13 Oct, 2023] 40 units found short expiry")</f>
        <v>[Code: 378BFHLL] [Expiry: 13 Oct, 2023] 40 units found short expiry</v>
      </c>
      <c r="M526" s="13" t="str">
        <f aca="false">IFERROR(__xludf.dummyfunction("""COMPUTED_VALUE"""),"378BFHLL")</f>
        <v>378BFHLL</v>
      </c>
      <c r="N526" s="13" t="str">
        <f aca="false">IFERROR(__xludf.dummyfunction("""COMPUTED_VALUE"""),"13 Oct, 2023")</f>
        <v>13 Oct, 2023</v>
      </c>
      <c r="O526" s="13" t="str">
        <f aca="false">IFERROR(__xludf.dummyfunction("""COMPUTED_VALUE"""),"ali.raza@tajir-app.com")</f>
        <v>ali.raza@tajir-app.com</v>
      </c>
      <c r="P526" s="13" t="str">
        <f aca="false">IFERROR(__xludf.dummyfunction("""COMPUTED_VALUE"""),"Ali Raza ")</f>
        <v>Ali Raza </v>
      </c>
      <c r="Q526" s="13" t="str">
        <f aca="false">IF(L526="","",L526)</f>
        <v>[Code: 378BFHLL] [Expiry: 13 Oct, 2023] 40 units found short expiry</v>
      </c>
    </row>
    <row r="527" customFormat="false" ht="15.75" hidden="false" customHeight="false" outlineLevel="0" collapsed="false">
      <c r="A527" s="13" t="str">
        <f aca="false">IFERROR(__xludf.dummyfunction("""COMPUTED_VALUE"""),"Metro DC Faisalabad")</f>
        <v>Metro DC Faisalabad</v>
      </c>
      <c r="B527" s="13" t="str">
        <f aca="false">IFERROR(__xludf.dummyfunction("""COMPUTED_VALUE"""),"7313919c-9135-494f-8e7e-e790ec3945e4")</f>
        <v>7313919c-9135-494f-8e7e-e790ec3945e4</v>
      </c>
      <c r="C527" s="13" t="str">
        <f aca="false">IFERROR(__xludf.dummyfunction("""COMPUTED_VALUE"""),"Sunridge Fortified Chakki Atta 10kg")</f>
        <v>Sunridge Fortified Chakki Atta 10kg</v>
      </c>
      <c r="D527" s="13" t="str">
        <f aca="false">IFERROR(__xludf.dummyfunction("""COMPUTED_VALUE"""),"Sunridge")</f>
        <v>Sunridge</v>
      </c>
      <c r="E527" s="13" t="str">
        <f aca="false">IFERROR(__xludf.dummyfunction("""COMPUTED_VALUE"""),"Flour")</f>
        <v>Flour</v>
      </c>
      <c r="F527" s="11" t="n">
        <f aca="false">IFERROR(__xludf.dummyfunction("""COMPUTED_VALUE"""),45204)</f>
        <v>45204</v>
      </c>
      <c r="G527" s="16" t="n">
        <f aca="false">IFERROR(__xludf.dummyfunction("""COMPUTED_VALUE"""),0.656425972222788)</f>
        <v>0.6564259722</v>
      </c>
      <c r="H527" s="13" t="str">
        <f aca="false">IFERROR(__xludf.dummyfunction("""COMPUTED_VALUE"""),"expired stock")</f>
        <v>expired stock</v>
      </c>
      <c r="I527" s="13" t="n">
        <f aca="false">IFERROR(__xludf.dummyfunction("""COMPUTED_VALUE"""),4)</f>
        <v>4</v>
      </c>
      <c r="J527" s="13" t="n">
        <f aca="false">IFERROR(__xludf.dummyfunction("""COMPUTED_VALUE"""),1720.5)</f>
        <v>1720.5</v>
      </c>
      <c r="K527" s="13" t="n">
        <f aca="false">IFERROR(__xludf.dummyfunction("""COMPUTED_VALUE"""),6882)</f>
        <v>6882</v>
      </c>
      <c r="L527" s="13" t="str">
        <f aca="false">IFERROR(__xludf.dummyfunction("""COMPUTED_VALUE"""),"[Code: 558BBCCD] [Expiry: 19 Oct, 2023] 4 units found short expiry")</f>
        <v>[Code: 558BBCCD] [Expiry: 19 Oct, 2023] 4 units found short expiry</v>
      </c>
      <c r="M527" s="13" t="str">
        <f aca="false">IFERROR(__xludf.dummyfunction("""COMPUTED_VALUE"""),"558BBCCD")</f>
        <v>558BBCCD</v>
      </c>
      <c r="N527" s="13" t="str">
        <f aca="false">IFERROR(__xludf.dummyfunction("""COMPUTED_VALUE"""),"19 Oct, 2023")</f>
        <v>19 Oct, 2023</v>
      </c>
      <c r="O527" s="13" t="str">
        <f aca="false">IFERROR(__xludf.dummyfunction("""COMPUTED_VALUE"""),"ali.raza@tajir-app.com")</f>
        <v>ali.raza@tajir-app.com</v>
      </c>
      <c r="P527" s="13" t="str">
        <f aca="false">IFERROR(__xludf.dummyfunction("""COMPUTED_VALUE"""),"Ali Raza ")</f>
        <v>Ali Raza </v>
      </c>
      <c r="Q527" s="13" t="str">
        <f aca="false">IF(L527="","",L527)</f>
        <v>[Code: 558BBCCD] [Expiry: 19 Oct, 2023] 4 units found short expiry</v>
      </c>
    </row>
    <row r="528" customFormat="false" ht="15.75" hidden="false" customHeight="false" outlineLevel="0" collapsed="false">
      <c r="A528" s="13" t="str">
        <f aca="false">IFERROR(__xludf.dummyfunction("""COMPUTED_VALUE"""),"Metro DC Faisalabad")</f>
        <v>Metro DC Faisalabad</v>
      </c>
      <c r="B528" s="13" t="str">
        <f aca="false">IFERROR(__xludf.dummyfunction("""COMPUTED_VALUE"""),"52258fdc-8b0c-4343-9884-310c160a213d")</f>
        <v>52258fdc-8b0c-4343-9884-310c160a213d</v>
      </c>
      <c r="C528" s="13" t="str">
        <f aca="false">IFERROR(__xludf.dummyfunction("""COMPUTED_VALUE"""),"Sunridge Fortified Chakki Atta 5kg")</f>
        <v>Sunridge Fortified Chakki Atta 5kg</v>
      </c>
      <c r="D528" s="13" t="str">
        <f aca="false">IFERROR(__xludf.dummyfunction("""COMPUTED_VALUE"""),"Sunridge")</f>
        <v>Sunridge</v>
      </c>
      <c r="E528" s="13" t="str">
        <f aca="false">IFERROR(__xludf.dummyfunction("""COMPUTED_VALUE"""),"Flour")</f>
        <v>Flour</v>
      </c>
      <c r="F528" s="11" t="n">
        <f aca="false">IFERROR(__xludf.dummyfunction("""COMPUTED_VALUE"""),45204)</f>
        <v>45204</v>
      </c>
      <c r="G528" s="16" t="n">
        <f aca="false">IFERROR(__xludf.dummyfunction("""COMPUTED_VALUE"""),0.655984675925543)</f>
        <v>0.6559846759</v>
      </c>
      <c r="H528" s="13" t="str">
        <f aca="false">IFERROR(__xludf.dummyfunction("""COMPUTED_VALUE"""),"expired stock")</f>
        <v>expired stock</v>
      </c>
      <c r="I528" s="13" t="n">
        <f aca="false">IFERROR(__xludf.dummyfunction("""COMPUTED_VALUE"""),39)</f>
        <v>39</v>
      </c>
      <c r="J528" s="13" t="n">
        <f aca="false">IFERROR(__xludf.dummyfunction("""COMPUTED_VALUE"""),864.9)</f>
        <v>864.9</v>
      </c>
      <c r="K528" s="13" t="n">
        <f aca="false">IFERROR(__xludf.dummyfunction("""COMPUTED_VALUE"""),33731.1)</f>
        <v>33731.1</v>
      </c>
      <c r="L528" s="13" t="str">
        <f aca="false">IFERROR(__xludf.dummyfunction("""COMPUTED_VALUE"""),"[Code: 4678ADEH] [Expiry: 16 Oct, 2023] 39 units found short expiry ")</f>
        <v>[Code: 4678ADEH] [Expiry: 16 Oct, 2023] 39 units found short expiry </v>
      </c>
      <c r="M528" s="13" t="str">
        <f aca="false">IFERROR(__xludf.dummyfunction("""COMPUTED_VALUE"""),"4678ADEH")</f>
        <v>4678ADEH</v>
      </c>
      <c r="N528" s="13" t="str">
        <f aca="false">IFERROR(__xludf.dummyfunction("""COMPUTED_VALUE"""),"16 Oct, 2023")</f>
        <v>16 Oct, 2023</v>
      </c>
      <c r="O528" s="13" t="str">
        <f aca="false">IFERROR(__xludf.dummyfunction("""COMPUTED_VALUE"""),"ali.raza@tajir-app.com")</f>
        <v>ali.raza@tajir-app.com</v>
      </c>
      <c r="P528" s="13" t="str">
        <f aca="false">IFERROR(__xludf.dummyfunction("""COMPUTED_VALUE"""),"Ali Raza ")</f>
        <v>Ali Raza </v>
      </c>
      <c r="Q528" s="13" t="str">
        <f aca="false">IF(L528="","",L528)</f>
        <v>[Code: 4678ADEH] [Expiry: 16 Oct, 2023] 39 units found short expiry </v>
      </c>
    </row>
    <row r="529" customFormat="false" ht="15.75" hidden="false" customHeight="false" outlineLevel="0" collapsed="false">
      <c r="A529" s="13" t="str">
        <f aca="false">IFERROR(__xludf.dummyfunction("""COMPUTED_VALUE"""),"Metro DC Faisalabad")</f>
        <v>Metro DC Faisalabad</v>
      </c>
      <c r="B529" s="13" t="str">
        <f aca="false">IFERROR(__xludf.dummyfunction("""COMPUTED_VALUE"""),"98d3b2af-101e-4569-b9c4-46656a7fa2a9")</f>
        <v>98d3b2af-101e-4569-b9c4-46656a7fa2a9</v>
      </c>
      <c r="C529" s="13" t="str">
        <f aca="false">IFERROR(__xludf.dummyfunction("""COMPUTED_VALUE"""),"Shahi Munchy Mix Rs100")</f>
        <v>Shahi Munchy Mix Rs100</v>
      </c>
      <c r="D529" s="13" t="str">
        <f aca="false">IFERROR(__xludf.dummyfunction("""COMPUTED_VALUE"""),"Shahi")</f>
        <v>Shahi</v>
      </c>
      <c r="E529" s="13" t="str">
        <f aca="false">IFERROR(__xludf.dummyfunction("""COMPUTED_VALUE"""),"Snacks")</f>
        <v>Snacks</v>
      </c>
      <c r="F529" s="11" t="n">
        <f aca="false">IFERROR(__xludf.dummyfunction("""COMPUTED_VALUE"""),45205)</f>
        <v>45205</v>
      </c>
      <c r="G529" s="16" t="n">
        <f aca="false">IFERROR(__xludf.dummyfunction("""COMPUTED_VALUE"""),0.806999525462952)</f>
        <v>0.8069995255</v>
      </c>
      <c r="H529" s="13" t="str">
        <f aca="false">IFERROR(__xludf.dummyfunction("""COMPUTED_VALUE"""),"damaged stock")</f>
        <v>damaged stock</v>
      </c>
      <c r="I529" s="13" t="n">
        <f aca="false">IFERROR(__xludf.dummyfunction("""COMPUTED_VALUE"""),1)</f>
        <v>1</v>
      </c>
      <c r="J529" s="13" t="n">
        <f aca="false">IFERROR(__xludf.dummyfunction("""COMPUTED_VALUE"""),70.91)</f>
        <v>70.91</v>
      </c>
      <c r="K529" s="13" t="n">
        <f aca="false">IFERROR(__xludf.dummyfunction("""COMPUTED_VALUE"""),70.91)</f>
        <v>70.91</v>
      </c>
      <c r="L529" s="13" t="str">
        <f aca="false">IFERROR(__xludf.dummyfunction("""COMPUTED_VALUE"""),"[Code: 2459BHHJ] TA: 1 unit found damage (box main sy damage mila hy ) (display ky doran)")</f>
        <v>[Code: 2459BHHJ] TA: 1 unit found damage (box main sy damage mila hy ) (display ky doran)</v>
      </c>
      <c r="M529" s="13" t="str">
        <f aca="false">IFERROR(__xludf.dummyfunction("""COMPUTED_VALUE"""),"2459BHHJ")</f>
        <v>2459BHHJ</v>
      </c>
      <c r="N529" s="13"/>
      <c r="O529" s="13" t="str">
        <f aca="false">IFERROR(__xludf.dummyfunction("""COMPUTED_VALUE"""),"taufeeq.akhtar@tajir-app.com")</f>
        <v>taufeeq.akhtar@tajir-app.com</v>
      </c>
      <c r="P529" s="13" t="str">
        <f aca="false">IFERROR(__xludf.dummyfunction("""COMPUTED_VALUE"""),"Taufeeq Akhtar ")</f>
        <v>Taufeeq Akhtar </v>
      </c>
      <c r="Q529" s="13" t="str">
        <f aca="false">IF(L529="","",L529)</f>
        <v>[Code: 2459BHHJ] TA: 1 unit found damage (box main sy damage mila hy ) (display ky doran)</v>
      </c>
    </row>
    <row r="530" customFormat="false" ht="15.75" hidden="false" customHeight="false" outlineLevel="0" collapsed="false">
      <c r="A530" s="13" t="str">
        <f aca="false">IFERROR(__xludf.dummyfunction("""COMPUTED_VALUE"""),"Metro DC Faisalabad")</f>
        <v>Metro DC Faisalabad</v>
      </c>
      <c r="B530" s="13" t="str">
        <f aca="false">IFERROR(__xludf.dummyfunction("""COMPUTED_VALUE"""),"7ded1a89-96f8-4e70-aaaa-68f2f94b7cb6")</f>
        <v>7ded1a89-96f8-4e70-aaaa-68f2f94b7cb6</v>
      </c>
      <c r="C530" s="13" t="str">
        <f aca="false">IFERROR(__xludf.dummyfunction("""COMPUTED_VALUE"""),"Ariel surf bundle x6 80g Rs50")</f>
        <v>Ariel surf bundle x6 80g Rs50</v>
      </c>
      <c r="D530" s="13" t="str">
        <f aca="false">IFERROR(__xludf.dummyfunction("""COMPUTED_VALUE"""),"Ariel Surf")</f>
        <v>Ariel Surf</v>
      </c>
      <c r="E530" s="13" t="str">
        <f aca="false">IFERROR(__xludf.dummyfunction("""COMPUTED_VALUE"""),"Surf, Bleach")</f>
        <v>Surf, Bleach</v>
      </c>
      <c r="F530" s="11" t="n">
        <f aca="false">IFERROR(__xludf.dummyfunction("""COMPUTED_VALUE"""),45205)</f>
        <v>45205</v>
      </c>
      <c r="G530" s="16" t="n">
        <f aca="false">IFERROR(__xludf.dummyfunction("""COMPUTED_VALUE"""),0.796868935186118)</f>
        <v>0.7968689352</v>
      </c>
      <c r="H530" s="13" t="str">
        <f aca="false">IFERROR(__xludf.dummyfunction("""COMPUTED_VALUE"""),"damaged stock")</f>
        <v>damaged stock</v>
      </c>
      <c r="I530" s="13" t="n">
        <f aca="false">IFERROR(__xludf.dummyfunction("""COMPUTED_VALUE"""),1)</f>
        <v>1</v>
      </c>
      <c r="J530" s="13" t="n">
        <f aca="false">IFERROR(__xludf.dummyfunction("""COMPUTED_VALUE"""),267)</f>
        <v>267</v>
      </c>
      <c r="K530" s="13" t="n">
        <f aca="false">IFERROR(__xludf.dummyfunction("""COMPUTED_VALUE"""),267)</f>
        <v>267</v>
      </c>
      <c r="L530" s="13" t="str">
        <f aca="false">IFERROR(__xludf.dummyfunction("""COMPUTED_VALUE"""),"[Code: 2566ABDG] TA: 1 unit found damage (sorting ky doran bag main sy damage mila hy)")</f>
        <v>[Code: 2566ABDG] TA: 1 unit found damage (sorting ky doran bag main sy damage mila hy)</v>
      </c>
      <c r="M530" s="13" t="str">
        <f aca="false">IFERROR(__xludf.dummyfunction("""COMPUTED_VALUE"""),"2566ABDG")</f>
        <v>2566ABDG</v>
      </c>
      <c r="N530" s="13"/>
      <c r="O530" s="13" t="str">
        <f aca="false">IFERROR(__xludf.dummyfunction("""COMPUTED_VALUE"""),"taufeeq.akhtar@tajir-app.com")</f>
        <v>taufeeq.akhtar@tajir-app.com</v>
      </c>
      <c r="P530" s="13" t="str">
        <f aca="false">IFERROR(__xludf.dummyfunction("""COMPUTED_VALUE"""),"Taufeeq Akhtar ")</f>
        <v>Taufeeq Akhtar </v>
      </c>
      <c r="Q530" s="13" t="str">
        <f aca="false">IF(L530="","",L530)</f>
        <v>[Code: 2566ABDG] TA: 1 unit found damage (sorting ky doran bag main sy damage mila hy)</v>
      </c>
    </row>
    <row r="531" customFormat="false" ht="15.75" hidden="false" customHeight="false" outlineLevel="0" collapsed="false">
      <c r="A531" s="13" t="str">
        <f aca="false">IFERROR(__xludf.dummyfunction("""COMPUTED_VALUE"""),"Metro DC Faisalabad")</f>
        <v>Metro DC Faisalabad</v>
      </c>
      <c r="B531" s="13" t="str">
        <f aca="false">IFERROR(__xludf.dummyfunction("""COMPUTED_VALUE"""),"8fdc60ea-d545-4d3b-950e-9c3d771fe813")</f>
        <v>8fdc60ea-d545-4d3b-950e-9c3d771fe813</v>
      </c>
      <c r="C531" s="13" t="str">
        <f aca="false">IFERROR(__xludf.dummyfunction("""COMPUTED_VALUE"""),"Sunlight Green Clean and Fresh 525g Rs99")</f>
        <v>Sunlight Green Clean and Fresh 525g Rs99</v>
      </c>
      <c r="D531" s="13" t="str">
        <f aca="false">IFERROR(__xludf.dummyfunction("""COMPUTED_VALUE"""),"Sunlight")</f>
        <v>Sunlight</v>
      </c>
      <c r="E531" s="13" t="str">
        <f aca="false">IFERROR(__xludf.dummyfunction("""COMPUTED_VALUE"""),"Surf, Bleach")</f>
        <v>Surf, Bleach</v>
      </c>
      <c r="F531" s="11" t="n">
        <f aca="false">IFERROR(__xludf.dummyfunction("""COMPUTED_VALUE"""),45205)</f>
        <v>45205</v>
      </c>
      <c r="G531" s="16" t="n">
        <f aca="false">IFERROR(__xludf.dummyfunction("""COMPUTED_VALUE"""),0.794904884258629)</f>
        <v>0.7949048843</v>
      </c>
      <c r="H531" s="13" t="str">
        <f aca="false">IFERROR(__xludf.dummyfunction("""COMPUTED_VALUE"""),"damaged stock")</f>
        <v>damaged stock</v>
      </c>
      <c r="I531" s="13" t="n">
        <f aca="false">IFERROR(__xludf.dummyfunction("""COMPUTED_VALUE"""),1)</f>
        <v>1</v>
      </c>
      <c r="J531" s="13" t="n">
        <f aca="false">IFERROR(__xludf.dummyfunction("""COMPUTED_VALUE"""),95)</f>
        <v>95</v>
      </c>
      <c r="K531" s="13" t="n">
        <f aca="false">IFERROR(__xludf.dummyfunction("""COMPUTED_VALUE"""),95)</f>
        <v>95</v>
      </c>
      <c r="L531" s="13" t="str">
        <f aca="false">IFERROR(__xludf.dummyfunction("""COMPUTED_VALUE"""),"[Code: 37ACDDDL] TA: 1 unit found damage(bag main sy damage mila hy)(sorting ky doran)")</f>
        <v>[Code: 37ACDDDL] TA: 1 unit found damage(bag main sy damage mila hy)(sorting ky doran)</v>
      </c>
      <c r="M531" s="13" t="str">
        <f aca="false">IFERROR(__xludf.dummyfunction("""COMPUTED_VALUE"""),"37ACDDDL")</f>
        <v>37ACDDDL</v>
      </c>
      <c r="N531" s="13"/>
      <c r="O531" s="13" t="str">
        <f aca="false">IFERROR(__xludf.dummyfunction("""COMPUTED_VALUE"""),"taufeeq.akhtar@tajir-app.com")</f>
        <v>taufeeq.akhtar@tajir-app.com</v>
      </c>
      <c r="P531" s="13" t="str">
        <f aca="false">IFERROR(__xludf.dummyfunction("""COMPUTED_VALUE"""),"Taufeeq Akhtar ")</f>
        <v>Taufeeq Akhtar </v>
      </c>
      <c r="Q531" s="13" t="str">
        <f aca="false">IF(L531="","",L531)</f>
        <v>[Code: 37ACDDDL] TA: 1 unit found damage(bag main sy damage mila hy)(sorting ky doran)</v>
      </c>
    </row>
    <row r="532" customFormat="false" ht="15.75" hidden="false" customHeight="false" outlineLevel="0" collapsed="false">
      <c r="A532" s="13" t="str">
        <f aca="false">IFERROR(__xludf.dummyfunction("""COMPUTED_VALUE"""),"Metro DC Faisalabad")</f>
        <v>Metro DC Faisalabad</v>
      </c>
      <c r="B532" s="13" t="str">
        <f aca="false">IFERROR(__xludf.dummyfunction("""COMPUTED_VALUE"""),"138f860f-6230-442e-9fbc-5d3c54065f1e")</f>
        <v>138f860f-6230-442e-9fbc-5d3c54065f1e</v>
      </c>
      <c r="C532" s="13" t="str">
        <f aca="false">IFERROR(__xludf.dummyfunction("""COMPUTED_VALUE"""),"Pepsi plastic 1L")</f>
        <v>Pepsi plastic 1L</v>
      </c>
      <c r="D532" s="13" t="str">
        <f aca="false">IFERROR(__xludf.dummyfunction("""COMPUTED_VALUE"""),"Pepsi")</f>
        <v>Pepsi</v>
      </c>
      <c r="E532" s="13" t="str">
        <f aca="false">IFERROR(__xludf.dummyfunction("""COMPUTED_VALUE"""),"Beverages")</f>
        <v>Beverages</v>
      </c>
      <c r="F532" s="11" t="n">
        <f aca="false">IFERROR(__xludf.dummyfunction("""COMPUTED_VALUE"""),45205)</f>
        <v>45205</v>
      </c>
      <c r="G532" s="16" t="n">
        <f aca="false">IFERROR(__xludf.dummyfunction("""COMPUTED_VALUE"""),0.676491388888867)</f>
        <v>0.6764913889</v>
      </c>
      <c r="H532" s="13" t="str">
        <f aca="false">IFERROR(__xludf.dummyfunction("""COMPUTED_VALUE"""),"damaged stock")</f>
        <v>damaged stock</v>
      </c>
      <c r="I532" s="13" t="n">
        <f aca="false">IFERROR(__xludf.dummyfunction("""COMPUTED_VALUE"""),1)</f>
        <v>1</v>
      </c>
      <c r="J532" s="13" t="n">
        <f aca="false">IFERROR(__xludf.dummyfunction("""COMPUTED_VALUE"""),595)</f>
        <v>595</v>
      </c>
      <c r="K532" s="13" t="n">
        <f aca="false">IFERROR(__xludf.dummyfunction("""COMPUTED_VALUE"""),595)</f>
        <v>595</v>
      </c>
      <c r="L532" s="13" t="str">
        <f aca="false">IFERROR(__xludf.dummyfunction("""COMPUTED_VALUE"""),"[Code: 236BEGNQ]  TA: 1 unit damage found during sorting  (2bottels lose hain)")</f>
        <v>[Code: 236BEGNQ]  TA: 1 unit damage found during sorting  (2bottels lose hain)</v>
      </c>
      <c r="M532" s="13" t="str">
        <f aca="false">IFERROR(__xludf.dummyfunction("""COMPUTED_VALUE"""),"236BEGNQ")</f>
        <v>236BEGNQ</v>
      </c>
      <c r="N532" s="13"/>
      <c r="O532" s="13" t="str">
        <f aca="false">IFERROR(__xludf.dummyfunction("""COMPUTED_VALUE"""),"taufeeq.akhtar@tajir-app.com")</f>
        <v>taufeeq.akhtar@tajir-app.com</v>
      </c>
      <c r="P532" s="13" t="str">
        <f aca="false">IFERROR(__xludf.dummyfunction("""COMPUTED_VALUE"""),"Taufeeq Akhtar ")</f>
        <v>Taufeeq Akhtar </v>
      </c>
      <c r="Q532" s="13" t="str">
        <f aca="false">IF(L532="","",L532)</f>
        <v>[Code: 236BEGNQ]  TA: 1 unit damage found during sorting  (2bottels lose hain)</v>
      </c>
    </row>
    <row r="533" customFormat="false" ht="15.75" hidden="false" customHeight="false" outlineLevel="0" collapsed="false">
      <c r="A533" s="13" t="str">
        <f aca="false">IFERROR(__xludf.dummyfunction("""COMPUTED_VALUE"""),"Metro DC Faisalabad")</f>
        <v>Metro DC Faisalabad</v>
      </c>
      <c r="B533" s="13" t="str">
        <f aca="false">IFERROR(__xludf.dummyfunction("""COMPUTED_VALUE"""),"cd68a607-af95-45cb-b9f4-2721224c85f8")</f>
        <v>cd68a607-af95-45cb-b9f4-2721224c85f8</v>
      </c>
      <c r="C533" s="13" t="str">
        <f aca="false">IFERROR(__xludf.dummyfunction("""COMPUTED_VALUE"""),"Coca Cola plastic 1.5L")</f>
        <v>Coca Cola plastic 1.5L</v>
      </c>
      <c r="D533" s="13" t="str">
        <f aca="false">IFERROR(__xludf.dummyfunction("""COMPUTED_VALUE"""),"Coca Cola")</f>
        <v>Coca Cola</v>
      </c>
      <c r="E533" s="13" t="str">
        <f aca="false">IFERROR(__xludf.dummyfunction("""COMPUTED_VALUE"""),"Beverages")</f>
        <v>Beverages</v>
      </c>
      <c r="F533" s="11" t="n">
        <f aca="false">IFERROR(__xludf.dummyfunction("""COMPUTED_VALUE"""),45206)</f>
        <v>45206</v>
      </c>
      <c r="G533" s="16" t="n">
        <f aca="false">IFERROR(__xludf.dummyfunction("""COMPUTED_VALUE"""),0.890791932871869)</f>
        <v>0.8907919329</v>
      </c>
      <c r="H533" s="13" t="str">
        <f aca="false">IFERROR(__xludf.dummyfunction("""COMPUTED_VALUE"""),"damaged stock")</f>
        <v>damaged stock</v>
      </c>
      <c r="I533" s="13" t="n">
        <f aca="false">IFERROR(__xludf.dummyfunction("""COMPUTED_VALUE"""),2)</f>
        <v>2</v>
      </c>
      <c r="J533" s="13" t="n">
        <f aca="false">IFERROR(__xludf.dummyfunction("""COMPUTED_VALUE"""),914.68)</f>
        <v>914.68</v>
      </c>
      <c r="K533" s="13" t="n">
        <f aca="false">IFERROR(__xludf.dummyfunction("""COMPUTED_VALUE"""),1829.36)</f>
        <v>1829.36</v>
      </c>
      <c r="L533" s="13" t="str">
        <f aca="false">IFERROR(__xludf.dummyfunction("""COMPUTED_VALUE"""),"[Code: 578888AA]  TA:2 unit damage found during sorting   ( bottels lose or khali hain)")</f>
        <v>[Code: 578888AA]  TA:2 unit damage found during sorting   ( bottels lose or khali hain)</v>
      </c>
      <c r="M533" s="13" t="str">
        <f aca="false">IFERROR(__xludf.dummyfunction("""COMPUTED_VALUE"""),"578888AA")</f>
        <v>578888AA</v>
      </c>
      <c r="N533" s="13"/>
      <c r="O533" s="13" t="str">
        <f aca="false">IFERROR(__xludf.dummyfunction("""COMPUTED_VALUE"""),"taufeeq.akhtar@tajir-app.com")</f>
        <v>taufeeq.akhtar@tajir-app.com</v>
      </c>
      <c r="P533" s="13" t="str">
        <f aca="false">IFERROR(__xludf.dummyfunction("""COMPUTED_VALUE"""),"Taufeeq Akhtar ")</f>
        <v>Taufeeq Akhtar </v>
      </c>
      <c r="Q533" s="13" t="str">
        <f aca="false">IF(L533="","",L533)</f>
        <v>[Code: 578888AA]  TA:2 unit damage found during sorting   ( bottels lose or khali hain)</v>
      </c>
    </row>
    <row r="534" customFormat="false" ht="15.75" hidden="false" customHeight="false" outlineLevel="0" collapsed="false">
      <c r="A534" s="13" t="str">
        <f aca="false">IFERROR(__xludf.dummyfunction("""COMPUTED_VALUE"""),"Metro DC Faisalabad")</f>
        <v>Metro DC Faisalabad</v>
      </c>
      <c r="B534" s="13" t="str">
        <f aca="false">IFERROR(__xludf.dummyfunction("""COMPUTED_VALUE"""),"67c33ff3-e486-487d-844a-b17c396936ee")</f>
        <v>67c33ff3-e486-487d-844a-b17c396936ee</v>
      </c>
      <c r="C534" s="13" t="str">
        <f aca="false">IFERROR(__xludf.dummyfunction("""COMPUTED_VALUE"""),"Coca Cola plastic 1L")</f>
        <v>Coca Cola plastic 1L</v>
      </c>
      <c r="D534" s="13" t="str">
        <f aca="false">IFERROR(__xludf.dummyfunction("""COMPUTED_VALUE"""),"Coca Cola")</f>
        <v>Coca Cola</v>
      </c>
      <c r="E534" s="13" t="str">
        <f aca="false">IFERROR(__xludf.dummyfunction("""COMPUTED_VALUE"""),"Beverages")</f>
        <v>Beverages</v>
      </c>
      <c r="F534" s="11" t="n">
        <f aca="false">IFERROR(__xludf.dummyfunction("""COMPUTED_VALUE"""),45206)</f>
        <v>45206</v>
      </c>
      <c r="G534" s="16" t="n">
        <f aca="false">IFERROR(__xludf.dummyfunction("""COMPUTED_VALUE"""),0.889078564816065)</f>
        <v>0.8890785648</v>
      </c>
      <c r="H534" s="13" t="str">
        <f aca="false">IFERROR(__xludf.dummyfunction("""COMPUTED_VALUE"""),"damaged stock")</f>
        <v>damaged stock</v>
      </c>
      <c r="I534" s="13" t="n">
        <f aca="false">IFERROR(__xludf.dummyfunction("""COMPUTED_VALUE"""),1)</f>
        <v>1</v>
      </c>
      <c r="J534" s="13" t="n">
        <f aca="false">IFERROR(__xludf.dummyfunction("""COMPUTED_VALUE"""),742)</f>
        <v>742</v>
      </c>
      <c r="K534" s="13" t="n">
        <f aca="false">IFERROR(__xludf.dummyfunction("""COMPUTED_VALUE"""),742)</f>
        <v>742</v>
      </c>
      <c r="L534" s="13" t="str">
        <f aca="false">IFERROR(__xludf.dummyfunction("""COMPUTED_VALUE"""),"[Code: 23458ACD]  TA: 1 unit damage found during sorting  (4bottels lose hain)")</f>
        <v>[Code: 23458ACD]  TA: 1 unit damage found during sorting  (4bottels lose hain)</v>
      </c>
      <c r="M534" s="13" t="str">
        <f aca="false">IFERROR(__xludf.dummyfunction("""COMPUTED_VALUE"""),"23458ACD")</f>
        <v>23458ACD</v>
      </c>
      <c r="N534" s="13"/>
      <c r="O534" s="13" t="str">
        <f aca="false">IFERROR(__xludf.dummyfunction("""COMPUTED_VALUE"""),"taufeeq.akhtar@tajir-app.com")</f>
        <v>taufeeq.akhtar@tajir-app.com</v>
      </c>
      <c r="P534" s="13" t="str">
        <f aca="false">IFERROR(__xludf.dummyfunction("""COMPUTED_VALUE"""),"Taufeeq Akhtar ")</f>
        <v>Taufeeq Akhtar </v>
      </c>
      <c r="Q534" s="13" t="str">
        <f aca="false">IF(L534="","",L534)</f>
        <v>[Code: 23458ACD]  TA: 1 unit damage found during sorting  (4bottels lose hain)</v>
      </c>
    </row>
    <row r="535" customFormat="false" ht="15.75" hidden="false" customHeight="false" outlineLevel="0" collapsed="false">
      <c r="A535" s="13" t="str">
        <f aca="false">IFERROR(__xludf.dummyfunction("""COMPUTED_VALUE"""),"Metro DC Faisalabad")</f>
        <v>Metro DC Faisalabad</v>
      </c>
      <c r="B535" s="13" t="str">
        <f aca="false">IFERROR(__xludf.dummyfunction("""COMPUTED_VALUE"""),"f3945952-aa69-4f83-bc21-db77fff3fa93")</f>
        <v>f3945952-aa69-4f83-bc21-db77fff3fa93</v>
      </c>
      <c r="C535" s="13" t="str">
        <f aca="false">IFERROR(__xludf.dummyfunction("""COMPUTED_VALUE"""),"Murree Brewery Lemon Malt Can x24 Crate 250ml")</f>
        <v>Murree Brewery Lemon Malt Can x24 Crate 250ml</v>
      </c>
      <c r="D535" s="13" t="str">
        <f aca="false">IFERROR(__xludf.dummyfunction("""COMPUTED_VALUE"""),"Murree Brewery")</f>
        <v>Murree Brewery</v>
      </c>
      <c r="E535" s="13" t="str">
        <f aca="false">IFERROR(__xludf.dummyfunction("""COMPUTED_VALUE"""),"Beverages")</f>
        <v>Beverages</v>
      </c>
      <c r="F535" s="11" t="n">
        <f aca="false">IFERROR(__xludf.dummyfunction("""COMPUTED_VALUE"""),45206)</f>
        <v>45206</v>
      </c>
      <c r="G535" s="16" t="n">
        <f aca="false">IFERROR(__xludf.dummyfunction("""COMPUTED_VALUE"""),0.764775439814691)</f>
        <v>0.7647754398</v>
      </c>
      <c r="H535" s="13" t="str">
        <f aca="false">IFERROR(__xludf.dummyfunction("""COMPUTED_VALUE"""),"damaged stock")</f>
        <v>damaged stock</v>
      </c>
      <c r="I535" s="13" t="n">
        <f aca="false">IFERROR(__xludf.dummyfunction("""COMPUTED_VALUE"""),1)</f>
        <v>1</v>
      </c>
      <c r="J535" s="13" t="n">
        <f aca="false">IFERROR(__xludf.dummyfunction("""COMPUTED_VALUE"""),1558)</f>
        <v>1558</v>
      </c>
      <c r="K535" s="13" t="n">
        <f aca="false">IFERROR(__xludf.dummyfunction("""COMPUTED_VALUE"""),1558)</f>
        <v>1558</v>
      </c>
      <c r="L535" s="13" t="str">
        <f aca="false">IFERROR(__xludf.dummyfunction("""COMPUTED_VALUE"""),"[Code: 234569CC] ZA: Stock removed due to damage. ")</f>
        <v>[Code: 234569CC] ZA: Stock removed due to damage. </v>
      </c>
      <c r="M535" s="13" t="str">
        <f aca="false">IFERROR(__xludf.dummyfunction("""COMPUTED_VALUE"""),"234569CC")</f>
        <v>234569CC</v>
      </c>
      <c r="N535" s="13"/>
      <c r="O535" s="13" t="str">
        <f aca="false">IFERROR(__xludf.dummyfunction("""COMPUTED_VALUE"""),"ali.raza@tajir-app.com")</f>
        <v>ali.raza@tajir-app.com</v>
      </c>
      <c r="P535" s="13" t="str">
        <f aca="false">IFERROR(__xludf.dummyfunction("""COMPUTED_VALUE"""),"Ali Raza ")</f>
        <v>Ali Raza </v>
      </c>
      <c r="Q535" s="13" t="str">
        <f aca="false">IF(L535="","",L535)</f>
        <v>[Code: 234569CC] ZA: Stock removed due to damage. </v>
      </c>
    </row>
    <row r="536" customFormat="false" ht="15.75" hidden="false" customHeight="false" outlineLevel="0" collapsed="false">
      <c r="A536" s="13" t="str">
        <f aca="false">IFERROR(__xludf.dummyfunction("""COMPUTED_VALUE"""),"Metro DC Faisalabad")</f>
        <v>Metro DC Faisalabad</v>
      </c>
      <c r="B536" s="13" t="str">
        <f aca="false">IFERROR(__xludf.dummyfunction("""COMPUTED_VALUE"""),"52258fdc-8b0c-4343-9884-310c160a213d")</f>
        <v>52258fdc-8b0c-4343-9884-310c160a213d</v>
      </c>
      <c r="C536" s="13" t="str">
        <f aca="false">IFERROR(__xludf.dummyfunction("""COMPUTED_VALUE"""),"Sunridge Fortified Chakki Atta 5kg")</f>
        <v>Sunridge Fortified Chakki Atta 5kg</v>
      </c>
      <c r="D536" s="13" t="str">
        <f aca="false">IFERROR(__xludf.dummyfunction("""COMPUTED_VALUE"""),"Sunridge")</f>
        <v>Sunridge</v>
      </c>
      <c r="E536" s="13" t="str">
        <f aca="false">IFERROR(__xludf.dummyfunction("""COMPUTED_VALUE"""),"Flour")</f>
        <v>Flour</v>
      </c>
      <c r="F536" s="11" t="n">
        <f aca="false">IFERROR(__xludf.dummyfunction("""COMPUTED_VALUE"""),45206)</f>
        <v>45206</v>
      </c>
      <c r="G536" s="16" t="n">
        <f aca="false">IFERROR(__xludf.dummyfunction("""COMPUTED_VALUE"""),0.540855740739032)</f>
        <v>0.5408557407</v>
      </c>
      <c r="H536" s="13" t="str">
        <f aca="false">IFERROR(__xludf.dummyfunction("""COMPUTED_VALUE"""),"expired stock")</f>
        <v>expired stock</v>
      </c>
      <c r="I536" s="13" t="n">
        <f aca="false">IFERROR(__xludf.dummyfunction("""COMPUTED_VALUE"""),1)</f>
        <v>1</v>
      </c>
      <c r="J536" s="13" t="n">
        <f aca="false">IFERROR(__xludf.dummyfunction("""COMPUTED_VALUE"""),828)</f>
        <v>828</v>
      </c>
      <c r="K536" s="13" t="n">
        <f aca="false">IFERROR(__xludf.dummyfunction("""COMPUTED_VALUE"""),828)</f>
        <v>828</v>
      </c>
      <c r="L536" s="13" t="str">
        <f aca="false">IFERROR(__xludf.dummyfunction("""COMPUTED_VALUE"""),"[Code: 334556AB] [Expiry: 16 Oct, 2023] 1 unit found short expiry ")</f>
        <v>[Code: 334556AB] [Expiry: 16 Oct, 2023] 1 unit found short expiry </v>
      </c>
      <c r="M536" s="13" t="str">
        <f aca="false">IFERROR(__xludf.dummyfunction("""COMPUTED_VALUE"""),"334556AB")</f>
        <v>334556AB</v>
      </c>
      <c r="N536" s="13" t="str">
        <f aca="false">IFERROR(__xludf.dummyfunction("""COMPUTED_VALUE"""),"16 Oct, 2023")</f>
        <v>16 Oct, 2023</v>
      </c>
      <c r="O536" s="13" t="str">
        <f aca="false">IFERROR(__xludf.dummyfunction("""COMPUTED_VALUE"""),"ali.raza@tajir-app.com")</f>
        <v>ali.raza@tajir-app.com</v>
      </c>
      <c r="P536" s="13" t="str">
        <f aca="false">IFERROR(__xludf.dummyfunction("""COMPUTED_VALUE"""),"Ali Raza ")</f>
        <v>Ali Raza </v>
      </c>
      <c r="Q536" s="13" t="str">
        <f aca="false">IF(L536="","",L536)</f>
        <v>[Code: 334556AB] [Expiry: 16 Oct, 2023] 1 unit found short expiry </v>
      </c>
    </row>
    <row r="537" customFormat="false" ht="15.75" hidden="false" customHeight="false" outlineLevel="0" collapsed="false">
      <c r="A537" s="13" t="str">
        <f aca="false">IFERROR(__xludf.dummyfunction("""COMPUTED_VALUE"""),"Metro DC Faisalabad")</f>
        <v>Metro DC Faisalabad</v>
      </c>
      <c r="B537" s="13" t="str">
        <f aca="false">IFERROR(__xludf.dummyfunction("""COMPUTED_VALUE"""),"61b64cf5-8ce8-47c7-8293-6e04fbebd722")</f>
        <v>61b64cf5-8ce8-47c7-8293-6e04fbebd722</v>
      </c>
      <c r="C537" s="13" t="str">
        <f aca="false">IFERROR(__xludf.dummyfunction("""COMPUTED_VALUE"""),"Lemon Max Liquid Regular Bottle 475ml Rs260")</f>
        <v>Lemon Max Liquid Regular Bottle 475ml Rs260</v>
      </c>
      <c r="D537" s="13" t="str">
        <f aca="false">IFERROR(__xludf.dummyfunction("""COMPUTED_VALUE"""),"Lemon Max")</f>
        <v>Lemon Max</v>
      </c>
      <c r="E537" s="13" t="str">
        <f aca="false">IFERROR(__xludf.dummyfunction("""COMPUTED_VALUE"""),"Home Care")</f>
        <v>Home Care</v>
      </c>
      <c r="F537" s="11" t="n">
        <f aca="false">IFERROR(__xludf.dummyfunction("""COMPUTED_VALUE"""),45207)</f>
        <v>45207</v>
      </c>
      <c r="G537" s="16" t="n">
        <f aca="false">IFERROR(__xludf.dummyfunction("""COMPUTED_VALUE"""),0.928197847222449)</f>
        <v>0.9281978472</v>
      </c>
      <c r="H537" s="13" t="str">
        <f aca="false">IFERROR(__xludf.dummyfunction("""COMPUTED_VALUE"""),"damaged stock")</f>
        <v>damaged stock</v>
      </c>
      <c r="I537" s="13" t="n">
        <f aca="false">IFERROR(__xludf.dummyfunction("""COMPUTED_VALUE"""),1)</f>
        <v>1</v>
      </c>
      <c r="J537" s="13" t="n">
        <f aca="false">IFERROR(__xludf.dummyfunction("""COMPUTED_VALUE"""),239.66)</f>
        <v>239.66</v>
      </c>
      <c r="K537" s="13" t="n">
        <f aca="false">IFERROR(__xludf.dummyfunction("""COMPUTED_VALUE"""),239.66)</f>
        <v>239.66</v>
      </c>
      <c r="L537" s="13" t="str">
        <f aca="false">IFERROR(__xludf.dummyfunction("""COMPUTED_VALUE"""),"[Code: 2558BBHL] TA; 1 unit damage found during display  (cotton sy damage mila he)")</f>
        <v>[Code: 2558BBHL] TA; 1 unit damage found during display  (cotton sy damage mila he)</v>
      </c>
      <c r="M537" s="13" t="str">
        <f aca="false">IFERROR(__xludf.dummyfunction("""COMPUTED_VALUE"""),"2558BBHL")</f>
        <v>2558BBHL</v>
      </c>
      <c r="N537" s="13"/>
      <c r="O537" s="13" t="str">
        <f aca="false">IFERROR(__xludf.dummyfunction("""COMPUTED_VALUE"""),"taufeeq.akhtar@tajir-app.com")</f>
        <v>taufeeq.akhtar@tajir-app.com</v>
      </c>
      <c r="P537" s="13" t="str">
        <f aca="false">IFERROR(__xludf.dummyfunction("""COMPUTED_VALUE"""),"Taufeeq Akhtar ")</f>
        <v>Taufeeq Akhtar </v>
      </c>
      <c r="Q537" s="13" t="str">
        <f aca="false">IF(L537="","",L537)</f>
        <v>[Code: 2558BBHL] TA; 1 unit damage found during display  (cotton sy damage mila he)</v>
      </c>
    </row>
    <row r="538" customFormat="false" ht="15.75" hidden="false" customHeight="false" outlineLevel="0" collapsed="false">
      <c r="A538" s="13" t="str">
        <f aca="false">IFERROR(__xludf.dummyfunction("""COMPUTED_VALUE"""),"Metro DC Faisalabad")</f>
        <v>Metro DC Faisalabad</v>
      </c>
      <c r="B538" s="13" t="str">
        <f aca="false">IFERROR(__xludf.dummyfunction("""COMPUTED_VALUE"""),"ec9683dc-07f9-4a9c-9983-438ddf495b8a")</f>
        <v>ec9683dc-07f9-4a9c-9983-438ddf495b8a</v>
      </c>
      <c r="C538" s="13" t="str">
        <f aca="false">IFERROR(__xludf.dummyfunction("""COMPUTED_VALUE"""),"7up plastic 1.5L")</f>
        <v>7up plastic 1.5L</v>
      </c>
      <c r="D538" s="13" t="str">
        <f aca="false">IFERROR(__xludf.dummyfunction("""COMPUTED_VALUE"""),"7up")</f>
        <v>7up</v>
      </c>
      <c r="E538" s="13" t="str">
        <f aca="false">IFERROR(__xludf.dummyfunction("""COMPUTED_VALUE"""),"Beverages")</f>
        <v>Beverages</v>
      </c>
      <c r="F538" s="11" t="n">
        <f aca="false">IFERROR(__xludf.dummyfunction("""COMPUTED_VALUE"""),45207)</f>
        <v>45207</v>
      </c>
      <c r="G538" s="16" t="n">
        <f aca="false">IFERROR(__xludf.dummyfunction("""COMPUTED_VALUE"""),0.84475827546188)</f>
        <v>0.8447582755</v>
      </c>
      <c r="H538" s="13" t="str">
        <f aca="false">IFERROR(__xludf.dummyfunction("""COMPUTED_VALUE"""),"damaged stock")</f>
        <v>damaged stock</v>
      </c>
      <c r="I538" s="13" t="n">
        <f aca="false">IFERROR(__xludf.dummyfunction("""COMPUTED_VALUE"""),1)</f>
        <v>1</v>
      </c>
      <c r="J538" s="13" t="n">
        <f aca="false">IFERROR(__xludf.dummyfunction("""COMPUTED_VALUE"""),780)</f>
        <v>780</v>
      </c>
      <c r="K538" s="13" t="n">
        <f aca="false">IFERROR(__xludf.dummyfunction("""COMPUTED_VALUE"""),780)</f>
        <v>780</v>
      </c>
      <c r="L538" s="13" t="str">
        <f aca="false">IFERROR(__xludf.dummyfunction("""COMPUTED_VALUE"""),"[Code: 56ABBEEF]  TA: 1 unit damage found during sorting  (4bottels lose hain)")</f>
        <v>[Code: 56ABBEEF]  TA: 1 unit damage found during sorting  (4bottels lose hain)</v>
      </c>
      <c r="M538" s="13" t="str">
        <f aca="false">IFERROR(__xludf.dummyfunction("""COMPUTED_VALUE"""),"56ABBEEF")</f>
        <v>56ABBEEF</v>
      </c>
      <c r="N538" s="13"/>
      <c r="O538" s="13" t="str">
        <f aca="false">IFERROR(__xludf.dummyfunction("""COMPUTED_VALUE"""),"taufeeq.akhtar@tajir-app.com")</f>
        <v>taufeeq.akhtar@tajir-app.com</v>
      </c>
      <c r="P538" s="13" t="str">
        <f aca="false">IFERROR(__xludf.dummyfunction("""COMPUTED_VALUE"""),"Taufeeq Akhtar ")</f>
        <v>Taufeeq Akhtar </v>
      </c>
      <c r="Q538" s="13" t="str">
        <f aca="false">IF(L538="","",L538)</f>
        <v>[Code: 56ABBEEF]  TA: 1 unit damage found during sorting  (4bottels lose hain)</v>
      </c>
    </row>
    <row r="539" customFormat="false" ht="15.75" hidden="false" customHeight="false" outlineLevel="0" collapsed="false">
      <c r="A539" s="13" t="str">
        <f aca="false">IFERROR(__xludf.dummyfunction("""COMPUTED_VALUE"""),"Metro DC Faisalabad")</f>
        <v>Metro DC Faisalabad</v>
      </c>
      <c r="B539" s="13" t="str">
        <f aca="false">IFERROR(__xludf.dummyfunction("""COMPUTED_VALUE"""),"cd68a607-af95-45cb-b9f4-2721224c85f8")</f>
        <v>cd68a607-af95-45cb-b9f4-2721224c85f8</v>
      </c>
      <c r="C539" s="13" t="str">
        <f aca="false">IFERROR(__xludf.dummyfunction("""COMPUTED_VALUE"""),"Coca Cola plastic 1.5L")</f>
        <v>Coca Cola plastic 1.5L</v>
      </c>
      <c r="D539" s="13" t="str">
        <f aca="false">IFERROR(__xludf.dummyfunction("""COMPUTED_VALUE"""),"Coca Cola")</f>
        <v>Coca Cola</v>
      </c>
      <c r="E539" s="13" t="str">
        <f aca="false">IFERROR(__xludf.dummyfunction("""COMPUTED_VALUE"""),"Beverages")</f>
        <v>Beverages</v>
      </c>
      <c r="F539" s="11" t="n">
        <f aca="false">IFERROR(__xludf.dummyfunction("""COMPUTED_VALUE"""),45207)</f>
        <v>45207</v>
      </c>
      <c r="G539" s="16" t="n">
        <f aca="false">IFERROR(__xludf.dummyfunction("""COMPUTED_VALUE"""),0.842936817130346)</f>
        <v>0.8429368171</v>
      </c>
      <c r="H539" s="13" t="str">
        <f aca="false">IFERROR(__xludf.dummyfunction("""COMPUTED_VALUE"""),"damaged stock")</f>
        <v>damaged stock</v>
      </c>
      <c r="I539" s="13" t="n">
        <f aca="false">IFERROR(__xludf.dummyfunction("""COMPUTED_VALUE"""),1)</f>
        <v>1</v>
      </c>
      <c r="J539" s="13" t="n">
        <f aca="false">IFERROR(__xludf.dummyfunction("""COMPUTED_VALUE"""),914.68)</f>
        <v>914.68</v>
      </c>
      <c r="K539" s="13" t="n">
        <f aca="false">IFERROR(__xludf.dummyfunction("""COMPUTED_VALUE"""),914.68)</f>
        <v>914.68</v>
      </c>
      <c r="L539" s="13" t="str">
        <f aca="false">IFERROR(__xludf.dummyfunction("""COMPUTED_VALUE"""),"[Code: 3348AABD]  TA: 1 unit damage found during sorting  ( bottels lose hain)")</f>
        <v>[Code: 3348AABD]  TA: 1 unit damage found during sorting  ( bottels lose hain)</v>
      </c>
      <c r="M539" s="13" t="str">
        <f aca="false">IFERROR(__xludf.dummyfunction("""COMPUTED_VALUE"""),"3348AABD")</f>
        <v>3348AABD</v>
      </c>
      <c r="N539" s="13"/>
      <c r="O539" s="13" t="str">
        <f aca="false">IFERROR(__xludf.dummyfunction("""COMPUTED_VALUE"""),"taufeeq.akhtar@tajir-app.com")</f>
        <v>taufeeq.akhtar@tajir-app.com</v>
      </c>
      <c r="P539" s="13" t="str">
        <f aca="false">IFERROR(__xludf.dummyfunction("""COMPUTED_VALUE"""),"Taufeeq Akhtar ")</f>
        <v>Taufeeq Akhtar </v>
      </c>
      <c r="Q539" s="13" t="str">
        <f aca="false">IF(L539="","",L539)</f>
        <v>[Code: 3348AABD]  TA: 1 unit damage found during sorting  ( bottels lose hain)</v>
      </c>
    </row>
    <row r="540" customFormat="false" ht="15.75" hidden="false" customHeight="false" outlineLevel="0" collapsed="false">
      <c r="A540" s="13" t="str">
        <f aca="false">IFERROR(__xludf.dummyfunction("""COMPUTED_VALUE"""),"Metro DC Faisalabad")</f>
        <v>Metro DC Faisalabad</v>
      </c>
      <c r="B540" s="13" t="str">
        <f aca="false">IFERROR(__xludf.dummyfunction("""COMPUTED_VALUE"""),"a0341272-f530-40e9-97dd-e3c77f4a8a1c")</f>
        <v>a0341272-f530-40e9-97dd-e3c77f4a8a1c</v>
      </c>
      <c r="C540" s="13" t="str">
        <f aca="false">IFERROR(__xludf.dummyfunction("""COMPUTED_VALUE"""),"Murree Brewery Bigg Lychee Plastic x12 Crate 300ml")</f>
        <v>Murree Brewery Bigg Lychee Plastic x12 Crate 300ml</v>
      </c>
      <c r="D540" s="13" t="str">
        <f aca="false">IFERROR(__xludf.dummyfunction("""COMPUTED_VALUE"""),"Murree Brewery")</f>
        <v>Murree Brewery</v>
      </c>
      <c r="E540" s="13" t="str">
        <f aca="false">IFERROR(__xludf.dummyfunction("""COMPUTED_VALUE"""),"Beverages")</f>
        <v>Beverages</v>
      </c>
      <c r="F540" s="11" t="n">
        <f aca="false">IFERROR(__xludf.dummyfunction("""COMPUTED_VALUE"""),45207)</f>
        <v>45207</v>
      </c>
      <c r="G540" s="16" t="n">
        <f aca="false">IFERROR(__xludf.dummyfunction("""COMPUTED_VALUE"""),0.836703923611418)</f>
        <v>0.8367039236</v>
      </c>
      <c r="H540" s="13" t="str">
        <f aca="false">IFERROR(__xludf.dummyfunction("""COMPUTED_VALUE"""),"damaged stock")</f>
        <v>damaged stock</v>
      </c>
      <c r="I540" s="13" t="n">
        <f aca="false">IFERROR(__xludf.dummyfunction("""COMPUTED_VALUE"""),1)</f>
        <v>1</v>
      </c>
      <c r="J540" s="13" t="n">
        <f aca="false">IFERROR(__xludf.dummyfunction("""COMPUTED_VALUE"""),394.25)</f>
        <v>394.25</v>
      </c>
      <c r="K540" s="13" t="n">
        <f aca="false">IFERROR(__xludf.dummyfunction("""COMPUTED_VALUE"""),394.25)</f>
        <v>394.25</v>
      </c>
      <c r="L540" s="13" t="str">
        <f aca="false">IFERROR(__xludf.dummyfunction("""COMPUTED_VALUE"""),"[Code: 457ADDEF]  TA: 1 unit damage found during sorting  (4bottels lose hain)")</f>
        <v>[Code: 457ADDEF]  TA: 1 unit damage found during sorting  (4bottels lose hain)</v>
      </c>
      <c r="M540" s="13" t="str">
        <f aca="false">IFERROR(__xludf.dummyfunction("""COMPUTED_VALUE"""),"457ADDEF")</f>
        <v>457ADDEF</v>
      </c>
      <c r="N540" s="13"/>
      <c r="O540" s="13" t="str">
        <f aca="false">IFERROR(__xludf.dummyfunction("""COMPUTED_VALUE"""),"taufeeq.akhtar@tajir-app.com")</f>
        <v>taufeeq.akhtar@tajir-app.com</v>
      </c>
      <c r="P540" s="13" t="str">
        <f aca="false">IFERROR(__xludf.dummyfunction("""COMPUTED_VALUE"""),"Taufeeq Akhtar ")</f>
        <v>Taufeeq Akhtar </v>
      </c>
      <c r="Q540" s="13" t="str">
        <f aca="false">IF(L540="","",L540)</f>
        <v>[Code: 457ADDEF]  TA: 1 unit damage found during sorting  (4bottels lose hain)</v>
      </c>
    </row>
    <row r="541" customFormat="false" ht="15.75" hidden="false" customHeight="false" outlineLevel="0" collapsed="false">
      <c r="A541" s="13" t="str">
        <f aca="false">IFERROR(__xludf.dummyfunction("""COMPUTED_VALUE"""),"Metro DC Faisalabad")</f>
        <v>Metro DC Faisalabad</v>
      </c>
      <c r="B541" s="13" t="str">
        <f aca="false">IFERROR(__xludf.dummyfunction("""COMPUTED_VALUE"""),"630de87d-3ce6-4932-b06d-18dc87932be0")</f>
        <v>630de87d-3ce6-4932-b06d-18dc87932be0</v>
      </c>
      <c r="C541" s="13" t="str">
        <f aca="false">IFERROR(__xludf.dummyfunction("""COMPUTED_VALUE"""),"Al-Munawar Haldi 1Kg")</f>
        <v>Al-Munawar Haldi 1Kg</v>
      </c>
      <c r="D541" s="13" t="str">
        <f aca="false">IFERROR(__xludf.dummyfunction("""COMPUTED_VALUE"""),"Al-Munawar")</f>
        <v>Al-Munawar</v>
      </c>
      <c r="E541" s="13" t="str">
        <f aca="false">IFERROR(__xludf.dummyfunction("""COMPUTED_VALUE"""),"Spices")</f>
        <v>Spices</v>
      </c>
      <c r="F541" s="11" t="n">
        <f aca="false">IFERROR(__xludf.dummyfunction("""COMPUTED_VALUE"""),45207)</f>
        <v>45207</v>
      </c>
      <c r="G541" s="16" t="n">
        <f aca="false">IFERROR(__xludf.dummyfunction("""COMPUTED_VALUE"""),0.471334212962402)</f>
        <v>0.471334213</v>
      </c>
      <c r="H541" s="13" t="str">
        <f aca="false">IFERROR(__xludf.dummyfunction("""COMPUTED_VALUE"""),"damaged stock")</f>
        <v>damaged stock</v>
      </c>
      <c r="I541" s="13" t="n">
        <f aca="false">IFERROR(__xludf.dummyfunction("""COMPUTED_VALUE"""),1)</f>
        <v>1</v>
      </c>
      <c r="J541" s="13" t="n">
        <f aca="false">IFERROR(__xludf.dummyfunction("""COMPUTED_VALUE"""),320)</f>
        <v>320</v>
      </c>
      <c r="K541" s="13" t="n">
        <f aca="false">IFERROR(__xludf.dummyfunction("""COMPUTED_VALUE"""),320)</f>
        <v>320</v>
      </c>
      <c r="L541" s="13" t="str">
        <f aca="false">IFERROR(__xludf.dummyfunction("""COMPUTED_VALUE"""),"[Code: 24477AEF] AR: STOCK REMOVED DUE TO DAMAGE")</f>
        <v>[Code: 24477AEF] AR: STOCK REMOVED DUE TO DAMAGE</v>
      </c>
      <c r="M541" s="13" t="str">
        <f aca="false">IFERROR(__xludf.dummyfunction("""COMPUTED_VALUE"""),"24477AEF")</f>
        <v>24477AEF</v>
      </c>
      <c r="N541" s="13"/>
      <c r="O541" s="13" t="str">
        <f aca="false">IFERROR(__xludf.dummyfunction("""COMPUTED_VALUE"""),"ali.raza@tajir-app.com")</f>
        <v>ali.raza@tajir-app.com</v>
      </c>
      <c r="P541" s="13" t="str">
        <f aca="false">IFERROR(__xludf.dummyfunction("""COMPUTED_VALUE"""),"Ali Raza ")</f>
        <v>Ali Raza </v>
      </c>
      <c r="Q541" s="13" t="str">
        <f aca="false">IF(L541="","",L541)</f>
        <v>[Code: 24477AEF] AR: STOCK REMOVED DUE TO DAMAGE</v>
      </c>
    </row>
    <row r="542" customFormat="false" ht="15.75" hidden="false" customHeight="false" outlineLevel="0" collapsed="false">
      <c r="A542" s="13" t="str">
        <f aca="false">IFERROR(__xludf.dummyfunction("""COMPUTED_VALUE"""),"Metro DC Faisalabad")</f>
        <v>Metro DC Faisalabad</v>
      </c>
      <c r="B542" s="13" t="str">
        <f aca="false">IFERROR(__xludf.dummyfunction("""COMPUTED_VALUE"""),"0f5fc901-0daa-4932-8fcb-1ab8eb56feaa")</f>
        <v>0f5fc901-0daa-4932-8fcb-1ab8eb56feaa</v>
      </c>
      <c r="C542" s="13" t="str">
        <f aca="false">IFERROR(__xludf.dummyfunction("""COMPUTED_VALUE"""),"Badshahi Qila Super Kernel Old Classic Rice 25kg")</f>
        <v>Badshahi Qila Super Kernel Old Classic Rice 25kg</v>
      </c>
      <c r="D542" s="13" t="str">
        <f aca="false">IFERROR(__xludf.dummyfunction("""COMPUTED_VALUE"""),"Badshahi Qila Rice")</f>
        <v>Badshahi Qila Rice</v>
      </c>
      <c r="E542" s="13" t="str">
        <f aca="false">IFERROR(__xludf.dummyfunction("""COMPUTED_VALUE"""),"Rice")</f>
        <v>Rice</v>
      </c>
      <c r="F542" s="11" t="n">
        <f aca="false">IFERROR(__xludf.dummyfunction("""COMPUTED_VALUE"""),45207)</f>
        <v>45207</v>
      </c>
      <c r="G542" s="16" t="n">
        <f aca="false">IFERROR(__xludf.dummyfunction("""COMPUTED_VALUE"""),0.461122465278344)</f>
        <v>0.4611224653</v>
      </c>
      <c r="H542" s="13" t="str">
        <f aca="false">IFERROR(__xludf.dummyfunction("""COMPUTED_VALUE"""),"damaged stock")</f>
        <v>damaged stock</v>
      </c>
      <c r="I542" s="13" t="n">
        <f aca="false">IFERROR(__xludf.dummyfunction("""COMPUTED_VALUE"""),9)</f>
        <v>9</v>
      </c>
      <c r="J542" s="13" t="n">
        <f aca="false">IFERROR(__xludf.dummyfunction("""COMPUTED_VALUE"""),9100)</f>
        <v>9100</v>
      </c>
      <c r="K542" s="13" t="n">
        <f aca="false">IFERROR(__xludf.dummyfunction("""COMPUTED_VALUE"""),81900)</f>
        <v>81900</v>
      </c>
      <c r="L542" s="13" t="str">
        <f aca="false">IFERROR(__xludf.dummyfunction("""COMPUTED_VALUE"""),"[Code: 334678AK] AR: Stock Removed due to Quality Issue")</f>
        <v>[Code: 334678AK] AR: Stock Removed due to Quality Issue</v>
      </c>
      <c r="M542" s="13" t="str">
        <f aca="false">IFERROR(__xludf.dummyfunction("""COMPUTED_VALUE"""),"334678AK")</f>
        <v>334678AK</v>
      </c>
      <c r="N542" s="13"/>
      <c r="O542" s="13" t="str">
        <f aca="false">IFERROR(__xludf.dummyfunction("""COMPUTED_VALUE"""),"ali.raza@tajir-app.com")</f>
        <v>ali.raza@tajir-app.com</v>
      </c>
      <c r="P542" s="13" t="str">
        <f aca="false">IFERROR(__xludf.dummyfunction("""COMPUTED_VALUE"""),"Ali Raza ")</f>
        <v>Ali Raza </v>
      </c>
      <c r="Q542" s="13" t="str">
        <f aca="false">IF(L542="","",L542)</f>
        <v>[Code: 334678AK] AR: Stock Removed due to Quality Issue</v>
      </c>
    </row>
    <row r="543" customFormat="false" ht="15.75" hidden="false" customHeight="false" outlineLevel="0" collapsed="false">
      <c r="A543" s="13" t="str">
        <f aca="false">IFERROR(__xludf.dummyfunction("""COMPUTED_VALUE"""),"Metro DC Faisalabad")</f>
        <v>Metro DC Faisalabad</v>
      </c>
      <c r="B543" s="13" t="str">
        <f aca="false">IFERROR(__xludf.dummyfunction("""COMPUTED_VALUE"""),"2078dcd4-3c88-45e1-bc7b-363dde84c6e8")</f>
        <v>2078dcd4-3c88-45e1-bc7b-363dde84c6e8</v>
      </c>
      <c r="C543" s="13" t="str">
        <f aca="false">IFERROR(__xludf.dummyfunction("""COMPUTED_VALUE"""),"Special Wooden Phool Jharoo")</f>
        <v>Special Wooden Phool Jharoo</v>
      </c>
      <c r="D543" s="13" t="str">
        <f aca="false">IFERROR(__xludf.dummyfunction("""COMPUTED_VALUE"""),"Jharoo")</f>
        <v>Jharoo</v>
      </c>
      <c r="E543" s="13" t="str">
        <f aca="false">IFERROR(__xludf.dummyfunction("""COMPUTED_VALUE"""),"Home Care")</f>
        <v>Home Care</v>
      </c>
      <c r="F543" s="11" t="n">
        <f aca="false">IFERROR(__xludf.dummyfunction("""COMPUTED_VALUE"""),45208)</f>
        <v>45208</v>
      </c>
      <c r="G543" s="16" t="n">
        <f aca="false">IFERROR(__xludf.dummyfunction("""COMPUTED_VALUE"""),0.944524525461815)</f>
        <v>0.9445245255</v>
      </c>
      <c r="H543" s="13" t="str">
        <f aca="false">IFERROR(__xludf.dummyfunction("""COMPUTED_VALUE"""),"damaged stock")</f>
        <v>damaged stock</v>
      </c>
      <c r="I543" s="13" t="n">
        <f aca="false">IFERROR(__xludf.dummyfunction("""COMPUTED_VALUE"""),1)</f>
        <v>1</v>
      </c>
      <c r="J543" s="13" t="n">
        <f aca="false">IFERROR(__xludf.dummyfunction("""COMPUTED_VALUE"""),135)</f>
        <v>135</v>
      </c>
      <c r="K543" s="13" t="n">
        <f aca="false">IFERROR(__xludf.dummyfunction("""COMPUTED_VALUE"""),135)</f>
        <v>135</v>
      </c>
      <c r="L543" s="13" t="str">
        <f aca="false">IFERROR(__xludf.dummyfunction("""COMPUTED_VALUE"""),"[Code: 488CDEGJ]  TA; 1 unit damage found during display ")</f>
        <v>[Code: 488CDEGJ]  TA; 1 unit damage found during display </v>
      </c>
      <c r="M543" s="13" t="str">
        <f aca="false">IFERROR(__xludf.dummyfunction("""COMPUTED_VALUE"""),"488CDEGJ")</f>
        <v>488CDEGJ</v>
      </c>
      <c r="N543" s="13"/>
      <c r="O543" s="13" t="str">
        <f aca="false">IFERROR(__xludf.dummyfunction("""COMPUTED_VALUE"""),"taufeeq.akhtar@tajir-app.com")</f>
        <v>taufeeq.akhtar@tajir-app.com</v>
      </c>
      <c r="P543" s="13" t="str">
        <f aca="false">IFERROR(__xludf.dummyfunction("""COMPUTED_VALUE"""),"Taufeeq Akhtar ")</f>
        <v>Taufeeq Akhtar </v>
      </c>
      <c r="Q543" s="13" t="str">
        <f aca="false">IF(L543="","",L543)</f>
        <v>[Code: 488CDEGJ]  TA; 1 unit damage found during display </v>
      </c>
    </row>
    <row r="544" customFormat="false" ht="15.75" hidden="false" customHeight="false" outlineLevel="0" collapsed="false">
      <c r="A544" s="13" t="str">
        <f aca="false">IFERROR(__xludf.dummyfunction("""COMPUTED_VALUE"""),"Metro DC Faisalabad")</f>
        <v>Metro DC Faisalabad</v>
      </c>
      <c r="B544" s="13" t="str">
        <f aca="false">IFERROR(__xludf.dummyfunction("""COMPUTED_VALUE"""),"0d038538-c4b5-4b63-9831-2b3c32d21d51")</f>
        <v>0d038538-c4b5-4b63-9831-2b3c32d21d51</v>
      </c>
      <c r="C544" s="13" t="str">
        <f aca="false">IFERROR(__xludf.dummyfunction("""COMPUTED_VALUE"""),"Ultra Pure Drain Opener 300ml Rs75")</f>
        <v>Ultra Pure Drain Opener 300ml Rs75</v>
      </c>
      <c r="D544" s="13" t="str">
        <f aca="false">IFERROR(__xludf.dummyfunction("""COMPUTED_VALUE"""),"Ultra Pure")</f>
        <v>Ultra Pure</v>
      </c>
      <c r="E544" s="13" t="str">
        <f aca="false">IFERROR(__xludf.dummyfunction("""COMPUTED_VALUE"""),"Home Care")</f>
        <v>Home Care</v>
      </c>
      <c r="F544" s="11" t="n">
        <f aca="false">IFERROR(__xludf.dummyfunction("""COMPUTED_VALUE"""),45208)</f>
        <v>45208</v>
      </c>
      <c r="G544" s="16" t="n">
        <f aca="false">IFERROR(__xludf.dummyfunction("""COMPUTED_VALUE"""),0.942538229164888)</f>
        <v>0.9425382292</v>
      </c>
      <c r="H544" s="13" t="str">
        <f aca="false">IFERROR(__xludf.dummyfunction("""COMPUTED_VALUE"""),"damaged stock")</f>
        <v>damaged stock</v>
      </c>
      <c r="I544" s="13" t="n">
        <f aca="false">IFERROR(__xludf.dummyfunction("""COMPUTED_VALUE"""),1)</f>
        <v>1</v>
      </c>
      <c r="J544" s="13" t="n">
        <f aca="false">IFERROR(__xludf.dummyfunction("""COMPUTED_VALUE"""),34)</f>
        <v>34</v>
      </c>
      <c r="K544" s="13" t="n">
        <f aca="false">IFERROR(__xludf.dummyfunction("""COMPUTED_VALUE"""),34)</f>
        <v>34</v>
      </c>
      <c r="L544" s="13" t="str">
        <f aca="false">IFERROR(__xludf.dummyfunction("""COMPUTED_VALUE"""),"[Code: 9ABCDDEE]  TA; 1 unit damage found during sortin .")</f>
        <v>[Code: 9ABCDDEE]  TA; 1 unit damage found during sortin .</v>
      </c>
      <c r="M544" s="13" t="str">
        <f aca="false">IFERROR(__xludf.dummyfunction("""COMPUTED_VALUE"""),"9ABCDDEE")</f>
        <v>9ABCDDEE</v>
      </c>
      <c r="N544" s="13"/>
      <c r="O544" s="13" t="str">
        <f aca="false">IFERROR(__xludf.dummyfunction("""COMPUTED_VALUE"""),"taufeeq.akhtar@tajir-app.com")</f>
        <v>taufeeq.akhtar@tajir-app.com</v>
      </c>
      <c r="P544" s="13" t="str">
        <f aca="false">IFERROR(__xludf.dummyfunction("""COMPUTED_VALUE"""),"Taufeeq Akhtar ")</f>
        <v>Taufeeq Akhtar </v>
      </c>
      <c r="Q544" s="13" t="str">
        <f aca="false">IF(L544="","",L544)</f>
        <v>[Code: 9ABCDDEE]  TA; 1 unit damage found during sortin .</v>
      </c>
    </row>
    <row r="545" customFormat="false" ht="15.75" hidden="false" customHeight="false" outlineLevel="0" collapsed="false">
      <c r="A545" s="13" t="str">
        <f aca="false">IFERROR(__xludf.dummyfunction("""COMPUTED_VALUE"""),"Metro DC Faisalabad")</f>
        <v>Metro DC Faisalabad</v>
      </c>
      <c r="B545" s="13" t="str">
        <f aca="false">IFERROR(__xludf.dummyfunction("""COMPUTED_VALUE"""),"9d59c968-f91e-4f22-8530-346cfe9703b8")</f>
        <v>9d59c968-f91e-4f22-8530-346cfe9703b8</v>
      </c>
      <c r="C545" s="13" t="str">
        <f aca="false">IFERROR(__xludf.dummyfunction("""COMPUTED_VALUE"""),"Fanta Red Apple 500ml (Half Liter)")</f>
        <v>Fanta Red Apple 500ml (Half Liter)</v>
      </c>
      <c r="D545" s="13" t="str">
        <f aca="false">IFERROR(__xludf.dummyfunction("""COMPUTED_VALUE"""),"Fanta")</f>
        <v>Fanta</v>
      </c>
      <c r="E545" s="13" t="str">
        <f aca="false">IFERROR(__xludf.dummyfunction("""COMPUTED_VALUE"""),"Beverages")</f>
        <v>Beverages</v>
      </c>
      <c r="F545" s="11" t="n">
        <f aca="false">IFERROR(__xludf.dummyfunction("""COMPUTED_VALUE"""),45208)</f>
        <v>45208</v>
      </c>
      <c r="G545" s="16" t="n">
        <f aca="false">IFERROR(__xludf.dummyfunction("""COMPUTED_VALUE"""),0.928209212962257)</f>
        <v>0.928209213</v>
      </c>
      <c r="H545" s="13" t="str">
        <f aca="false">IFERROR(__xludf.dummyfunction("""COMPUTED_VALUE"""),"damaged stock")</f>
        <v>damaged stock</v>
      </c>
      <c r="I545" s="13" t="n">
        <f aca="false">IFERROR(__xludf.dummyfunction("""COMPUTED_VALUE"""),1)</f>
        <v>1</v>
      </c>
      <c r="J545" s="13" t="n">
        <f aca="false">IFERROR(__xludf.dummyfunction("""COMPUTED_VALUE"""),951.37)</f>
        <v>951.37</v>
      </c>
      <c r="K545" s="13" t="n">
        <f aca="false">IFERROR(__xludf.dummyfunction("""COMPUTED_VALUE"""),951.37)</f>
        <v>951.37</v>
      </c>
      <c r="L545" s="13" t="str">
        <f aca="false">IFERROR(__xludf.dummyfunction("""COMPUTED_VALUE"""),"[Code: 223ABCCE] TA: one bottel was less in pet and one bottel found without cap.")</f>
        <v>[Code: 223ABCCE] TA: one bottel was less in pet and one bottel found without cap.</v>
      </c>
      <c r="M545" s="13" t="str">
        <f aca="false">IFERROR(__xludf.dummyfunction("""COMPUTED_VALUE"""),"223ABCCE")</f>
        <v>223ABCCE</v>
      </c>
      <c r="N545" s="13"/>
      <c r="O545" s="13" t="str">
        <f aca="false">IFERROR(__xludf.dummyfunction("""COMPUTED_VALUE"""),"taufeeq.akhtar@tajir-app.com")</f>
        <v>taufeeq.akhtar@tajir-app.com</v>
      </c>
      <c r="P545" s="13" t="str">
        <f aca="false">IFERROR(__xludf.dummyfunction("""COMPUTED_VALUE"""),"Taufeeq Akhtar ")</f>
        <v>Taufeeq Akhtar </v>
      </c>
      <c r="Q545" s="13" t="str">
        <f aca="false">IF(L545="","",L545)</f>
        <v>[Code: 223ABCCE] TA: one bottel was less in pet and one bottel found without cap.</v>
      </c>
    </row>
    <row r="546" customFormat="false" ht="15.75" hidden="false" customHeight="false" outlineLevel="0" collapsed="false">
      <c r="A546" s="13" t="str">
        <f aca="false">IFERROR(__xludf.dummyfunction("""COMPUTED_VALUE"""),"Metro DC Faisalabad")</f>
        <v>Metro DC Faisalabad</v>
      </c>
      <c r="B546" s="13" t="str">
        <f aca="false">IFERROR(__xludf.dummyfunction("""COMPUTED_VALUE"""),"9c395894-35c2-4217-9eff-b0a22e04c2d1")</f>
        <v>9c395894-35c2-4217-9eff-b0a22e04c2d1</v>
      </c>
      <c r="C546" s="13" t="str">
        <f aca="false">IFERROR(__xludf.dummyfunction("""COMPUTED_VALUE"""),"Coca Cola plastic 2.25L (Jumbo)")</f>
        <v>Coca Cola plastic 2.25L (Jumbo)</v>
      </c>
      <c r="D546" s="13" t="str">
        <f aca="false">IFERROR(__xludf.dummyfunction("""COMPUTED_VALUE"""),"Coca Cola")</f>
        <v>Coca Cola</v>
      </c>
      <c r="E546" s="13" t="str">
        <f aca="false">IFERROR(__xludf.dummyfunction("""COMPUTED_VALUE"""),"Beverages")</f>
        <v>Beverages</v>
      </c>
      <c r="F546" s="11" t="n">
        <f aca="false">IFERROR(__xludf.dummyfunction("""COMPUTED_VALUE"""),45208)</f>
        <v>45208</v>
      </c>
      <c r="G546" s="16" t="n">
        <f aca="false">IFERROR(__xludf.dummyfunction("""COMPUTED_VALUE"""),0.925818483795784)</f>
        <v>0.9258184838</v>
      </c>
      <c r="H546" s="13" t="str">
        <f aca="false">IFERROR(__xludf.dummyfunction("""COMPUTED_VALUE"""),"damaged stock")</f>
        <v>damaged stock</v>
      </c>
      <c r="I546" s="13" t="n">
        <f aca="false">IFERROR(__xludf.dummyfunction("""COMPUTED_VALUE"""),1)</f>
        <v>1</v>
      </c>
      <c r="J546" s="13" t="n">
        <f aca="false">IFERROR(__xludf.dummyfunction("""COMPUTED_VALUE"""),1280.72)</f>
        <v>1280.72</v>
      </c>
      <c r="K546" s="13" t="n">
        <f aca="false">IFERROR(__xludf.dummyfunction("""COMPUTED_VALUE"""),1280.72)</f>
        <v>1280.72</v>
      </c>
      <c r="L546" s="13" t="str">
        <f aca="false">IFERROR(__xludf.dummyfunction("""COMPUTED_VALUE"""),"[Code: 44679BFG] TA: 2 bottels found in loose condition during sorting.")</f>
        <v>[Code: 44679BFG] TA: 2 bottels found in loose condition during sorting.</v>
      </c>
      <c r="M546" s="13" t="str">
        <f aca="false">IFERROR(__xludf.dummyfunction("""COMPUTED_VALUE"""),"44679BFG")</f>
        <v>44679BFG</v>
      </c>
      <c r="N546" s="13"/>
      <c r="O546" s="13" t="str">
        <f aca="false">IFERROR(__xludf.dummyfunction("""COMPUTED_VALUE"""),"taufeeq.akhtar@tajir-app.com")</f>
        <v>taufeeq.akhtar@tajir-app.com</v>
      </c>
      <c r="P546" s="13" t="str">
        <f aca="false">IFERROR(__xludf.dummyfunction("""COMPUTED_VALUE"""),"Taufeeq Akhtar ")</f>
        <v>Taufeeq Akhtar </v>
      </c>
      <c r="Q546" s="13" t="str">
        <f aca="false">IF(L546="","",L546)</f>
        <v>[Code: 44679BFG] TA: 2 bottels found in loose condition during sorting.</v>
      </c>
    </row>
    <row r="547" customFormat="false" ht="15.75" hidden="false" customHeight="false" outlineLevel="0" collapsed="false">
      <c r="A547" s="13" t="str">
        <f aca="false">IFERROR(__xludf.dummyfunction("""COMPUTED_VALUE"""),"Metro DC Faisalabad")</f>
        <v>Metro DC Faisalabad</v>
      </c>
      <c r="B547" s="13" t="str">
        <f aca="false">IFERROR(__xludf.dummyfunction("""COMPUTED_VALUE"""),"e664935a-fa50-488a-85ac-07b95c2dd953")</f>
        <v>e664935a-fa50-488a-85ac-07b95c2dd953</v>
      </c>
      <c r="C547" s="13" t="str">
        <f aca="false">IFERROR(__xludf.dummyfunction("""COMPUTED_VALUE"""),"Quality Grains White Chana Bareek 500g")</f>
        <v>Quality Grains White Chana Bareek 500g</v>
      </c>
      <c r="D547" s="13" t="str">
        <f aca="false">IFERROR(__xludf.dummyfunction("""COMPUTED_VALUE"""),"Quality Grains")</f>
        <v>Quality Grains</v>
      </c>
      <c r="E547" s="13" t="str">
        <f aca="false">IFERROR(__xludf.dummyfunction("""COMPUTED_VALUE"""),"Pulses")</f>
        <v>Pulses</v>
      </c>
      <c r="F547" s="11" t="n">
        <f aca="false">IFERROR(__xludf.dummyfunction("""COMPUTED_VALUE"""),45208)</f>
        <v>45208</v>
      </c>
      <c r="G547" s="16" t="n">
        <f aca="false">IFERROR(__xludf.dummyfunction("""COMPUTED_VALUE"""),0.723435983797956)</f>
        <v>0.7234359838</v>
      </c>
      <c r="H547" s="13" t="str">
        <f aca="false">IFERROR(__xludf.dummyfunction("""COMPUTED_VALUE"""),"damaged stock")</f>
        <v>damaged stock</v>
      </c>
      <c r="I547" s="13" t="n">
        <f aca="false">IFERROR(__xludf.dummyfunction("""COMPUTED_VALUE"""),1)</f>
        <v>1</v>
      </c>
      <c r="J547" s="13" t="n">
        <f aca="false">IFERROR(__xludf.dummyfunction("""COMPUTED_VALUE"""),171)</f>
        <v>171</v>
      </c>
      <c r="K547" s="13" t="n">
        <f aca="false">IFERROR(__xludf.dummyfunction("""COMPUTED_VALUE"""),171)</f>
        <v>171</v>
      </c>
      <c r="L547" s="13" t="str">
        <f aca="false">IFERROR(__xludf.dummyfunction("""COMPUTED_VALUE"""),"[Code: 388999BE] 1 unit found quality issue.")</f>
        <v>[Code: 388999BE] 1 unit found quality issue.</v>
      </c>
      <c r="M547" s="13" t="str">
        <f aca="false">IFERROR(__xludf.dummyfunction("""COMPUTED_VALUE"""),"388999BE")</f>
        <v>388999BE</v>
      </c>
      <c r="N547" s="13"/>
      <c r="O547" s="13" t="str">
        <f aca="false">IFERROR(__xludf.dummyfunction("""COMPUTED_VALUE"""),"ali.raza@tajir-app.com")</f>
        <v>ali.raza@tajir-app.com</v>
      </c>
      <c r="P547" s="13" t="str">
        <f aca="false">IFERROR(__xludf.dummyfunction("""COMPUTED_VALUE"""),"Ali Raza ")</f>
        <v>Ali Raza </v>
      </c>
      <c r="Q547" s="13" t="str">
        <f aca="false">IF(L547="","",L547)</f>
        <v>[Code: 388999BE] 1 unit found quality issue.</v>
      </c>
    </row>
    <row r="548" customFormat="false" ht="15.75" hidden="false" customHeight="false" outlineLevel="0" collapsed="false">
      <c r="A548" s="13" t="str">
        <f aca="false">IFERROR(__xludf.dummyfunction("""COMPUTED_VALUE"""),"Metro DC Faisalabad")</f>
        <v>Metro DC Faisalabad</v>
      </c>
      <c r="B548" s="13" t="str">
        <f aca="false">IFERROR(__xludf.dummyfunction("""COMPUTED_VALUE"""),"db1281d2-b45b-4883-8f8c-596859595064")</f>
        <v>db1281d2-b45b-4883-8f8c-596859595064</v>
      </c>
      <c r="C548" s="13" t="str">
        <f aca="false">IFERROR(__xludf.dummyfunction("""COMPUTED_VALUE"""),"Swadi Surkh Mirch Pissi Hoi 5kg")</f>
        <v>Swadi Surkh Mirch Pissi Hoi 5kg</v>
      </c>
      <c r="D548" s="13" t="str">
        <f aca="false">IFERROR(__xludf.dummyfunction("""COMPUTED_VALUE"""),"Swadi")</f>
        <v>Swadi</v>
      </c>
      <c r="E548" s="13" t="str">
        <f aca="false">IFERROR(__xludf.dummyfunction("""COMPUTED_VALUE"""),"Spices")</f>
        <v>Spices</v>
      </c>
      <c r="F548" s="11" t="n">
        <f aca="false">IFERROR(__xludf.dummyfunction("""COMPUTED_VALUE"""),45208)</f>
        <v>45208</v>
      </c>
      <c r="G548" s="16" t="n">
        <f aca="false">IFERROR(__xludf.dummyfunction("""COMPUTED_VALUE"""),0.718804791666575)</f>
        <v>0.7188047917</v>
      </c>
      <c r="H548" s="13" t="str">
        <f aca="false">IFERROR(__xludf.dummyfunction("""COMPUTED_VALUE"""),"damaged stock")</f>
        <v>damaged stock</v>
      </c>
      <c r="I548" s="13" t="n">
        <f aca="false">IFERROR(__xludf.dummyfunction("""COMPUTED_VALUE"""),16)</f>
        <v>16</v>
      </c>
      <c r="J548" s="13" t="n">
        <f aca="false">IFERROR(__xludf.dummyfunction("""COMPUTED_VALUE"""),2750)</f>
        <v>2750</v>
      </c>
      <c r="K548" s="13" t="n">
        <f aca="false">IFERROR(__xludf.dummyfunction("""COMPUTED_VALUE"""),44000)</f>
        <v>44000</v>
      </c>
      <c r="L548" s="13" t="str">
        <f aca="false">IFERROR(__xludf.dummyfunction("""COMPUTED_VALUE"""),"[Code: 88CEEEFJ] 16 units found damaged due to quality issue ")</f>
        <v>[Code: 88CEEEFJ] 16 units found damaged due to quality issue </v>
      </c>
      <c r="M548" s="13" t="str">
        <f aca="false">IFERROR(__xludf.dummyfunction("""COMPUTED_VALUE"""),"88CEEEFJ")</f>
        <v>88CEEEFJ</v>
      </c>
      <c r="N548" s="13"/>
      <c r="O548" s="13" t="str">
        <f aca="false">IFERROR(__xludf.dummyfunction("""COMPUTED_VALUE"""),"ali.raza@tajir-app.com")</f>
        <v>ali.raza@tajir-app.com</v>
      </c>
      <c r="P548" s="13" t="str">
        <f aca="false">IFERROR(__xludf.dummyfunction("""COMPUTED_VALUE"""),"Ali Raza ")</f>
        <v>Ali Raza </v>
      </c>
      <c r="Q548" s="13" t="str">
        <f aca="false">IF(L548="","",L548)</f>
        <v>[Code: 88CEEEFJ] 16 units found damaged due to quality issue </v>
      </c>
    </row>
    <row r="549" customFormat="false" ht="15.75" hidden="false" customHeight="false" outlineLevel="0" collapsed="false">
      <c r="A549" s="13" t="str">
        <f aca="false">IFERROR(__xludf.dummyfunction("""COMPUTED_VALUE"""),"Metro DC Faisalabad")</f>
        <v>Metro DC Faisalabad</v>
      </c>
      <c r="B549" s="13" t="str">
        <f aca="false">IFERROR(__xludf.dummyfunction("""COMPUTED_VALUE"""),"0ec2fbab-4de7-42eb-baaa-9d579f1547ab")</f>
        <v>0ec2fbab-4de7-42eb-baaa-9d579f1547ab</v>
      </c>
      <c r="C549" s="13" t="str">
        <f aca="false">IFERROR(__xludf.dummyfunction("""COMPUTED_VALUE"""),"Swadi Dharra Mirch 2kg")</f>
        <v>Swadi Dharra Mirch 2kg</v>
      </c>
      <c r="D549" s="13" t="str">
        <f aca="false">IFERROR(__xludf.dummyfunction("""COMPUTED_VALUE"""),"Swadi")</f>
        <v>Swadi</v>
      </c>
      <c r="E549" s="13" t="str">
        <f aca="false">IFERROR(__xludf.dummyfunction("""COMPUTED_VALUE"""),"Spices")</f>
        <v>Spices</v>
      </c>
      <c r="F549" s="11" t="n">
        <f aca="false">IFERROR(__xludf.dummyfunction("""COMPUTED_VALUE"""),45208)</f>
        <v>45208</v>
      </c>
      <c r="G549" s="16" t="n">
        <f aca="false">IFERROR(__xludf.dummyfunction("""COMPUTED_VALUE"""),0.718170277778036)</f>
        <v>0.7181702778</v>
      </c>
      <c r="H549" s="13" t="str">
        <f aca="false">IFERROR(__xludf.dummyfunction("""COMPUTED_VALUE"""),"damaged stock")</f>
        <v>damaged stock</v>
      </c>
      <c r="I549" s="13" t="n">
        <f aca="false">IFERROR(__xludf.dummyfunction("""COMPUTED_VALUE"""),7)</f>
        <v>7</v>
      </c>
      <c r="J549" s="13" t="n">
        <f aca="false">IFERROR(__xludf.dummyfunction("""COMPUTED_VALUE"""),1200)</f>
        <v>1200</v>
      </c>
      <c r="K549" s="13" t="n">
        <f aca="false">IFERROR(__xludf.dummyfunction("""COMPUTED_VALUE"""),8400)</f>
        <v>8400</v>
      </c>
      <c r="L549" s="13" t="str">
        <f aca="false">IFERROR(__xludf.dummyfunction("""COMPUTED_VALUE"""),"[Code: 3567778A] 7  units found damaged due to quality issue ")</f>
        <v>[Code: 3567778A] 7  units found damaged due to quality issue </v>
      </c>
      <c r="M549" s="13" t="str">
        <f aca="false">IFERROR(__xludf.dummyfunction("""COMPUTED_VALUE"""),"3567778A")</f>
        <v>3567778A</v>
      </c>
      <c r="N549" s="13"/>
      <c r="O549" s="13" t="str">
        <f aca="false">IFERROR(__xludf.dummyfunction("""COMPUTED_VALUE"""),"ali.raza@tajir-app.com")</f>
        <v>ali.raza@tajir-app.com</v>
      </c>
      <c r="P549" s="13" t="str">
        <f aca="false">IFERROR(__xludf.dummyfunction("""COMPUTED_VALUE"""),"Ali Raza ")</f>
        <v>Ali Raza </v>
      </c>
      <c r="Q549" s="13" t="str">
        <f aca="false">IF(L549="","",L549)</f>
        <v>[Code: 3567778A] 7  units found damaged due to quality issue </v>
      </c>
    </row>
    <row r="550" customFormat="false" ht="15.75" hidden="false" customHeight="false" outlineLevel="0" collapsed="false">
      <c r="A550" s="13" t="str">
        <f aca="false">IFERROR(__xludf.dummyfunction("""COMPUTED_VALUE"""),"Metro DC Faisalabad")</f>
        <v>Metro DC Faisalabad</v>
      </c>
      <c r="B550" s="13" t="str">
        <f aca="false">IFERROR(__xludf.dummyfunction("""COMPUTED_VALUE"""),"7f12f4f8-6be0-4afc-98a9-afca65a480b4")</f>
        <v>7f12f4f8-6be0-4afc-98a9-afca65a480b4</v>
      </c>
      <c r="C550" s="13" t="str">
        <f aca="false">IFERROR(__xludf.dummyfunction("""COMPUTED_VALUE"""),"Sherdil Daal Moong Wash 5kg")</f>
        <v>Sherdil Daal Moong Wash 5kg</v>
      </c>
      <c r="D550" s="13" t="str">
        <f aca="false">IFERROR(__xludf.dummyfunction("""COMPUTED_VALUE"""),"Sherdil")</f>
        <v>Sherdil</v>
      </c>
      <c r="E550" s="13" t="str">
        <f aca="false">IFERROR(__xludf.dummyfunction("""COMPUTED_VALUE"""),"Pulses")</f>
        <v>Pulses</v>
      </c>
      <c r="F550" s="11" t="n">
        <f aca="false">IFERROR(__xludf.dummyfunction("""COMPUTED_VALUE"""),45208)</f>
        <v>45208</v>
      </c>
      <c r="G550" s="16" t="n">
        <f aca="false">IFERROR(__xludf.dummyfunction("""COMPUTED_VALUE"""),0.717356250000043)</f>
        <v>0.71735625</v>
      </c>
      <c r="H550" s="13" t="str">
        <f aca="false">IFERROR(__xludf.dummyfunction("""COMPUTED_VALUE"""),"damaged stock")</f>
        <v>damaged stock</v>
      </c>
      <c r="I550" s="13" t="n">
        <f aca="false">IFERROR(__xludf.dummyfunction("""COMPUTED_VALUE"""),1)</f>
        <v>1</v>
      </c>
      <c r="J550" s="13" t="n">
        <f aca="false">IFERROR(__xludf.dummyfunction("""COMPUTED_VALUE"""),1345)</f>
        <v>1345</v>
      </c>
      <c r="K550" s="13" t="n">
        <f aca="false">IFERROR(__xludf.dummyfunction("""COMPUTED_VALUE"""),1345)</f>
        <v>1345</v>
      </c>
      <c r="L550" s="13" t="str">
        <f aca="false">IFERROR(__xludf.dummyfunction("""COMPUTED_VALUE"""),"[Code: 35678DEE] 1  unit found damaged due to quality issue ")</f>
        <v>[Code: 35678DEE] 1  unit found damaged due to quality issue </v>
      </c>
      <c r="M550" s="13" t="str">
        <f aca="false">IFERROR(__xludf.dummyfunction("""COMPUTED_VALUE"""),"35678DEE")</f>
        <v>35678DEE</v>
      </c>
      <c r="N550" s="13"/>
      <c r="O550" s="13" t="str">
        <f aca="false">IFERROR(__xludf.dummyfunction("""COMPUTED_VALUE"""),"ali.raza@tajir-app.com")</f>
        <v>ali.raza@tajir-app.com</v>
      </c>
      <c r="P550" s="13" t="str">
        <f aca="false">IFERROR(__xludf.dummyfunction("""COMPUTED_VALUE"""),"Ali Raza ")</f>
        <v>Ali Raza </v>
      </c>
      <c r="Q550" s="13" t="str">
        <f aca="false">IF(L550="","",L550)</f>
        <v>[Code: 35678DEE] 1  unit found damaged due to quality issue </v>
      </c>
    </row>
    <row r="551" customFormat="false" ht="15.75" hidden="false" customHeight="false" outlineLevel="0" collapsed="false">
      <c r="A551" s="13" t="str">
        <f aca="false">IFERROR(__xludf.dummyfunction("""COMPUTED_VALUE"""),"Metro DC Faisalabad")</f>
        <v>Metro DC Faisalabad</v>
      </c>
      <c r="B551" s="13" t="str">
        <f aca="false">IFERROR(__xludf.dummyfunction("""COMPUTED_VALUE"""),"978a88b5-e0d1-4d9d-b7a1-90921ab8d4f0")</f>
        <v>978a88b5-e0d1-4d9d-b7a1-90921ab8d4f0</v>
      </c>
      <c r="C551" s="13" t="str">
        <f aca="false">IFERROR(__xludf.dummyfunction("""COMPUTED_VALUE"""),"Sherdil Daal Mash Wash 5kg")</f>
        <v>Sherdil Daal Mash Wash 5kg</v>
      </c>
      <c r="D551" s="13" t="str">
        <f aca="false">IFERROR(__xludf.dummyfunction("""COMPUTED_VALUE"""),"Sherdil")</f>
        <v>Sherdil</v>
      </c>
      <c r="E551" s="13" t="str">
        <f aca="false">IFERROR(__xludf.dummyfunction("""COMPUTED_VALUE"""),"Pulses")</f>
        <v>Pulses</v>
      </c>
      <c r="F551" s="11" t="n">
        <f aca="false">IFERROR(__xludf.dummyfunction("""COMPUTED_VALUE"""),45208)</f>
        <v>45208</v>
      </c>
      <c r="G551" s="16" t="n">
        <f aca="false">IFERROR(__xludf.dummyfunction("""COMPUTED_VALUE"""),0.716748472223456)</f>
        <v>0.7167484722</v>
      </c>
      <c r="H551" s="13" t="str">
        <f aca="false">IFERROR(__xludf.dummyfunction("""COMPUTED_VALUE"""),"damaged stock")</f>
        <v>damaged stock</v>
      </c>
      <c r="I551" s="13" t="n">
        <f aca="false">IFERROR(__xludf.dummyfunction("""COMPUTED_VALUE"""),1)</f>
        <v>1</v>
      </c>
      <c r="J551" s="13" t="n">
        <f aca="false">IFERROR(__xludf.dummyfunction("""COMPUTED_VALUE"""),3006)</f>
        <v>3006</v>
      </c>
      <c r="K551" s="13" t="n">
        <f aca="false">IFERROR(__xludf.dummyfunction("""COMPUTED_VALUE"""),3006)</f>
        <v>3006</v>
      </c>
      <c r="L551" s="13" t="str">
        <f aca="false">IFERROR(__xludf.dummyfunction("""COMPUTED_VALUE"""),"[Code: 2567799A] 1 unit found damaged due to quality issue ")</f>
        <v>[Code: 2567799A] 1 unit found damaged due to quality issue </v>
      </c>
      <c r="M551" s="13" t="str">
        <f aca="false">IFERROR(__xludf.dummyfunction("""COMPUTED_VALUE"""),"2567799A")</f>
        <v>2567799A</v>
      </c>
      <c r="N551" s="13"/>
      <c r="O551" s="13" t="str">
        <f aca="false">IFERROR(__xludf.dummyfunction("""COMPUTED_VALUE"""),"ali.raza@tajir-app.com")</f>
        <v>ali.raza@tajir-app.com</v>
      </c>
      <c r="P551" s="13" t="str">
        <f aca="false">IFERROR(__xludf.dummyfunction("""COMPUTED_VALUE"""),"Ali Raza ")</f>
        <v>Ali Raza </v>
      </c>
      <c r="Q551" s="13" t="str">
        <f aca="false">IF(L551="","",L551)</f>
        <v>[Code: 2567799A] 1 unit found damaged due to quality issue </v>
      </c>
    </row>
    <row r="552" customFormat="false" ht="15.75" hidden="false" customHeight="false" outlineLevel="0" collapsed="false">
      <c r="A552" s="13" t="str">
        <f aca="false">IFERROR(__xludf.dummyfunction("""COMPUTED_VALUE"""),"Metro DC Faisalabad")</f>
        <v>Metro DC Faisalabad</v>
      </c>
      <c r="B552" s="13" t="str">
        <f aca="false">IFERROR(__xludf.dummyfunction("""COMPUTED_VALUE"""),"3ce3c12d-7715-456d-8699-9bd776782739")</f>
        <v>3ce3c12d-7715-456d-8699-9bd776782739</v>
      </c>
      <c r="C552" s="13" t="str">
        <f aca="false">IFERROR(__xludf.dummyfunction("""COMPUTED_VALUE"""),"Sherdil White Chana Mota 1kg")</f>
        <v>Sherdil White Chana Mota 1kg</v>
      </c>
      <c r="D552" s="13" t="str">
        <f aca="false">IFERROR(__xludf.dummyfunction("""COMPUTED_VALUE"""),"Sherdil")</f>
        <v>Sherdil</v>
      </c>
      <c r="E552" s="13" t="str">
        <f aca="false">IFERROR(__xludf.dummyfunction("""COMPUTED_VALUE"""),"Pulses")</f>
        <v>Pulses</v>
      </c>
      <c r="F552" s="11" t="n">
        <f aca="false">IFERROR(__xludf.dummyfunction("""COMPUTED_VALUE"""),45208)</f>
        <v>45208</v>
      </c>
      <c r="G552" s="16" t="n">
        <f aca="false">IFERROR(__xludf.dummyfunction("""COMPUTED_VALUE"""),0.716139537036757)</f>
        <v>0.716139537</v>
      </c>
      <c r="H552" s="13" t="str">
        <f aca="false">IFERROR(__xludf.dummyfunction("""COMPUTED_VALUE"""),"damaged stock")</f>
        <v>damaged stock</v>
      </c>
      <c r="I552" s="13" t="n">
        <f aca="false">IFERROR(__xludf.dummyfunction("""COMPUTED_VALUE"""),1)</f>
        <v>1</v>
      </c>
      <c r="J552" s="13" t="n">
        <f aca="false">IFERROR(__xludf.dummyfunction("""COMPUTED_VALUE"""),455)</f>
        <v>455</v>
      </c>
      <c r="K552" s="13" t="n">
        <f aca="false">IFERROR(__xludf.dummyfunction("""COMPUTED_VALUE"""),455)</f>
        <v>455</v>
      </c>
      <c r="L552" s="13" t="str">
        <f aca="false">IFERROR(__xludf.dummyfunction("""COMPUTED_VALUE"""),"[Code: 23556889] 1  unit found damaged due to quality issue ")</f>
        <v>[Code: 23556889] 1  unit found damaged due to quality issue </v>
      </c>
      <c r="M552" s="13" t="str">
        <f aca="false">IFERROR(__xludf.dummyfunction("""COMPUTED_VALUE"""),"23556889")</f>
        <v>23556889</v>
      </c>
      <c r="N552" s="13"/>
      <c r="O552" s="13" t="str">
        <f aca="false">IFERROR(__xludf.dummyfunction("""COMPUTED_VALUE"""),"ali.raza@tajir-app.com")</f>
        <v>ali.raza@tajir-app.com</v>
      </c>
      <c r="P552" s="13" t="str">
        <f aca="false">IFERROR(__xludf.dummyfunction("""COMPUTED_VALUE"""),"Ali Raza ")</f>
        <v>Ali Raza </v>
      </c>
      <c r="Q552" s="13" t="str">
        <f aca="false">IF(L552="","",L552)</f>
        <v>[Code: 23556889] 1  unit found damaged due to quality issue </v>
      </c>
    </row>
    <row r="553" customFormat="false" ht="15.75" hidden="false" customHeight="false" outlineLevel="0" collapsed="false">
      <c r="A553" s="13" t="str">
        <f aca="false">IFERROR(__xludf.dummyfunction("""COMPUTED_VALUE"""),"Metro DC Faisalabad")</f>
        <v>Metro DC Faisalabad</v>
      </c>
      <c r="B553" s="13" t="str">
        <f aca="false">IFERROR(__xludf.dummyfunction("""COMPUTED_VALUE"""),"6c568402-1788-466b-8f61-43acc83fa9d1")</f>
        <v>6c568402-1788-466b-8f61-43acc83fa9d1</v>
      </c>
      <c r="C553" s="13" t="str">
        <f aca="false">IFERROR(__xludf.dummyfunction("""COMPUTED_VALUE"""),"Sherdil White Chana Mota 5kg")</f>
        <v>Sherdil White Chana Mota 5kg</v>
      </c>
      <c r="D553" s="13" t="str">
        <f aca="false">IFERROR(__xludf.dummyfunction("""COMPUTED_VALUE"""),"Sherdil")</f>
        <v>Sherdil</v>
      </c>
      <c r="E553" s="13" t="str">
        <f aca="false">IFERROR(__xludf.dummyfunction("""COMPUTED_VALUE"""),"Pulses")</f>
        <v>Pulses</v>
      </c>
      <c r="F553" s="11" t="n">
        <f aca="false">IFERROR(__xludf.dummyfunction("""COMPUTED_VALUE"""),45208)</f>
        <v>45208</v>
      </c>
      <c r="G553" s="16" t="n">
        <f aca="false">IFERROR(__xludf.dummyfunction("""COMPUTED_VALUE"""),0.715367222222567)</f>
        <v>0.7153672222</v>
      </c>
      <c r="H553" s="13" t="str">
        <f aca="false">IFERROR(__xludf.dummyfunction("""COMPUTED_VALUE"""),"damaged stock")</f>
        <v>damaged stock</v>
      </c>
      <c r="I553" s="13" t="n">
        <f aca="false">IFERROR(__xludf.dummyfunction("""COMPUTED_VALUE"""),1)</f>
        <v>1</v>
      </c>
      <c r="J553" s="13" t="n">
        <f aca="false">IFERROR(__xludf.dummyfunction("""COMPUTED_VALUE"""),2290)</f>
        <v>2290</v>
      </c>
      <c r="K553" s="13" t="n">
        <f aca="false">IFERROR(__xludf.dummyfunction("""COMPUTED_VALUE"""),2290)</f>
        <v>2290</v>
      </c>
      <c r="L553" s="13" t="str">
        <f aca="false">IFERROR(__xludf.dummyfunction("""COMPUTED_VALUE"""),"[Code: ABCDDHLN] 1 unit found damaged due to quality issue ")</f>
        <v>[Code: ABCDDHLN] 1 unit found damaged due to quality issue </v>
      </c>
      <c r="M553" s="13" t="str">
        <f aca="false">IFERROR(__xludf.dummyfunction("""COMPUTED_VALUE"""),"ABCDDHLN")</f>
        <v>ABCDDHLN</v>
      </c>
      <c r="N553" s="13"/>
      <c r="O553" s="13" t="str">
        <f aca="false">IFERROR(__xludf.dummyfunction("""COMPUTED_VALUE"""),"ali.raza@tajir-app.com")</f>
        <v>ali.raza@tajir-app.com</v>
      </c>
      <c r="P553" s="13" t="str">
        <f aca="false">IFERROR(__xludf.dummyfunction("""COMPUTED_VALUE"""),"Ali Raza ")</f>
        <v>Ali Raza </v>
      </c>
      <c r="Q553" s="13" t="str">
        <f aca="false">IF(L553="","",L553)</f>
        <v>[Code: ABCDDHLN] 1 unit found damaged due to quality issue </v>
      </c>
    </row>
    <row r="554" customFormat="false" ht="15.75" hidden="false" customHeight="false" outlineLevel="0" collapsed="false">
      <c r="A554" s="13" t="str">
        <f aca="false">IFERROR(__xludf.dummyfunction("""COMPUTED_VALUE"""),"Metro DC Faisalabad")</f>
        <v>Metro DC Faisalabad</v>
      </c>
      <c r="B554" s="13" t="str">
        <f aca="false">IFERROR(__xludf.dummyfunction("""COMPUTED_VALUE"""),"10f5c620-05d2-4bff-bf22-3c02b5a12fc2")</f>
        <v>10f5c620-05d2-4bff-bf22-3c02b5a12fc2</v>
      </c>
      <c r="C554" s="13" t="str">
        <f aca="false">IFERROR(__xludf.dummyfunction("""COMPUTED_VALUE"""),"Sherdil White Chana Bareek 5kg")</f>
        <v>Sherdil White Chana Bareek 5kg</v>
      </c>
      <c r="D554" s="13" t="str">
        <f aca="false">IFERROR(__xludf.dummyfunction("""COMPUTED_VALUE"""),"Sherdil")</f>
        <v>Sherdil</v>
      </c>
      <c r="E554" s="13" t="str">
        <f aca="false">IFERROR(__xludf.dummyfunction("""COMPUTED_VALUE"""),"Pulses")</f>
        <v>Pulses</v>
      </c>
      <c r="F554" s="11" t="n">
        <f aca="false">IFERROR(__xludf.dummyfunction("""COMPUTED_VALUE"""),45208)</f>
        <v>45208</v>
      </c>
      <c r="G554" s="16" t="n">
        <f aca="false">IFERROR(__xludf.dummyfunction("""COMPUTED_VALUE"""),0.714761238427462)</f>
        <v>0.7147612384</v>
      </c>
      <c r="H554" s="13" t="str">
        <f aca="false">IFERROR(__xludf.dummyfunction("""COMPUTED_VALUE"""),"damaged stock")</f>
        <v>damaged stock</v>
      </c>
      <c r="I554" s="13" t="n">
        <f aca="false">IFERROR(__xludf.dummyfunction("""COMPUTED_VALUE"""),3)</f>
        <v>3</v>
      </c>
      <c r="J554" s="13" t="n">
        <f aca="false">IFERROR(__xludf.dummyfunction("""COMPUTED_VALUE"""),1897)</f>
        <v>1897</v>
      </c>
      <c r="K554" s="13" t="n">
        <f aca="false">IFERROR(__xludf.dummyfunction("""COMPUTED_VALUE"""),5691)</f>
        <v>5691</v>
      </c>
      <c r="L554" s="13" t="str">
        <f aca="false">IFERROR(__xludf.dummyfunction("""COMPUTED_VALUE"""),"[Code: 7CEEFFGJ] 3 units found damaged due to quality issue ")</f>
        <v>[Code: 7CEEFFGJ] 3 units found damaged due to quality issue </v>
      </c>
      <c r="M554" s="13" t="str">
        <f aca="false">IFERROR(__xludf.dummyfunction("""COMPUTED_VALUE"""),"7CEEFFGJ")</f>
        <v>7CEEFFGJ</v>
      </c>
      <c r="N554" s="13"/>
      <c r="O554" s="13" t="str">
        <f aca="false">IFERROR(__xludf.dummyfunction("""COMPUTED_VALUE"""),"ali.raza@tajir-app.com")</f>
        <v>ali.raza@tajir-app.com</v>
      </c>
      <c r="P554" s="13" t="str">
        <f aca="false">IFERROR(__xludf.dummyfunction("""COMPUTED_VALUE"""),"Ali Raza ")</f>
        <v>Ali Raza </v>
      </c>
      <c r="Q554" s="13" t="str">
        <f aca="false">IF(L554="","",L554)</f>
        <v>[Code: 7CEEFFGJ] 3 units found damaged due to quality issue </v>
      </c>
    </row>
    <row r="555" customFormat="false" ht="15.75" hidden="false" customHeight="false" outlineLevel="0" collapsed="false">
      <c r="A555" s="13" t="str">
        <f aca="false">IFERROR(__xludf.dummyfunction("""COMPUTED_VALUE"""),"Metro DC Faisalabad")</f>
        <v>Metro DC Faisalabad</v>
      </c>
      <c r="B555" s="13" t="str">
        <f aca="false">IFERROR(__xludf.dummyfunction("""COMPUTED_VALUE"""),"b5ab7706-278d-4335-95b2-02fffc661db4")</f>
        <v>b5ab7706-278d-4335-95b2-02fffc661db4</v>
      </c>
      <c r="C555" s="13" t="str">
        <f aca="false">IFERROR(__xludf.dummyfunction("""COMPUTED_VALUE"""),"Sherdil Black Chana 1kg")</f>
        <v>Sherdil Black Chana 1kg</v>
      </c>
      <c r="D555" s="13" t="str">
        <f aca="false">IFERROR(__xludf.dummyfunction("""COMPUTED_VALUE"""),"Sherdil")</f>
        <v>Sherdil</v>
      </c>
      <c r="E555" s="13" t="str">
        <f aca="false">IFERROR(__xludf.dummyfunction("""COMPUTED_VALUE"""),"Pulses")</f>
        <v>Pulses</v>
      </c>
      <c r="F555" s="11" t="n">
        <f aca="false">IFERROR(__xludf.dummyfunction("""COMPUTED_VALUE"""),45208)</f>
        <v>45208</v>
      </c>
      <c r="G555" s="16" t="n">
        <f aca="false">IFERROR(__xludf.dummyfunction("""COMPUTED_VALUE"""),0.714055324074279)</f>
        <v>0.7140553241</v>
      </c>
      <c r="H555" s="13" t="str">
        <f aca="false">IFERROR(__xludf.dummyfunction("""COMPUTED_VALUE"""),"damaged stock")</f>
        <v>damaged stock</v>
      </c>
      <c r="I555" s="13" t="n">
        <f aca="false">IFERROR(__xludf.dummyfunction("""COMPUTED_VALUE"""),4)</f>
        <v>4</v>
      </c>
      <c r="J555" s="13" t="n">
        <f aca="false">IFERROR(__xludf.dummyfunction("""COMPUTED_VALUE"""),255)</f>
        <v>255</v>
      </c>
      <c r="K555" s="13" t="n">
        <f aca="false">IFERROR(__xludf.dummyfunction("""COMPUTED_VALUE"""),1020)</f>
        <v>1020</v>
      </c>
      <c r="L555" s="13" t="str">
        <f aca="false">IFERROR(__xludf.dummyfunction("""COMPUTED_VALUE"""),"[Code: 777899BC] 4 units found damaged due to quality issue ")</f>
        <v>[Code: 777899BC] 4 units found damaged due to quality issue </v>
      </c>
      <c r="M555" s="13" t="str">
        <f aca="false">IFERROR(__xludf.dummyfunction("""COMPUTED_VALUE"""),"777899BC")</f>
        <v>777899BC</v>
      </c>
      <c r="N555" s="13"/>
      <c r="O555" s="13" t="str">
        <f aca="false">IFERROR(__xludf.dummyfunction("""COMPUTED_VALUE"""),"ali.raza@tajir-app.com")</f>
        <v>ali.raza@tajir-app.com</v>
      </c>
      <c r="P555" s="13" t="str">
        <f aca="false">IFERROR(__xludf.dummyfunction("""COMPUTED_VALUE"""),"Ali Raza ")</f>
        <v>Ali Raza </v>
      </c>
      <c r="Q555" s="13" t="str">
        <f aca="false">IF(L555="","",L555)</f>
        <v>[Code: 777899BC] 4 units found damaged due to quality issue </v>
      </c>
    </row>
    <row r="556" customFormat="false" ht="15.75" hidden="false" customHeight="false" outlineLevel="0" collapsed="false">
      <c r="A556" s="13" t="str">
        <f aca="false">IFERROR(__xludf.dummyfunction("""COMPUTED_VALUE"""),"Metro DC Faisalabad")</f>
        <v>Metro DC Faisalabad</v>
      </c>
      <c r="B556" s="13" t="str">
        <f aca="false">IFERROR(__xludf.dummyfunction("""COMPUTED_VALUE"""),"137560e5-2617-406b-ad61-b7a155b2b5c1")</f>
        <v>137560e5-2617-406b-ad61-b7a155b2b5c1</v>
      </c>
      <c r="C556" s="13" t="str">
        <f aca="false">IFERROR(__xludf.dummyfunction("""COMPUTED_VALUE"""),"Sherdil Black Chana 5kg")</f>
        <v>Sherdil Black Chana 5kg</v>
      </c>
      <c r="D556" s="13" t="str">
        <f aca="false">IFERROR(__xludf.dummyfunction("""COMPUTED_VALUE"""),"Sherdil")</f>
        <v>Sherdil</v>
      </c>
      <c r="E556" s="13" t="str">
        <f aca="false">IFERROR(__xludf.dummyfunction("""COMPUTED_VALUE"""),"Pulses")</f>
        <v>Pulses</v>
      </c>
      <c r="F556" s="11" t="n">
        <f aca="false">IFERROR(__xludf.dummyfunction("""COMPUTED_VALUE"""),45208)</f>
        <v>45208</v>
      </c>
      <c r="G556" s="16" t="n">
        <f aca="false">IFERROR(__xludf.dummyfunction("""COMPUTED_VALUE"""),0.709365509258736)</f>
        <v>0.7093655093</v>
      </c>
      <c r="H556" s="13" t="str">
        <f aca="false">IFERROR(__xludf.dummyfunction("""COMPUTED_VALUE"""),"damaged stock")</f>
        <v>damaged stock</v>
      </c>
      <c r="I556" s="13" t="n">
        <f aca="false">IFERROR(__xludf.dummyfunction("""COMPUTED_VALUE"""),5)</f>
        <v>5</v>
      </c>
      <c r="J556" s="13" t="n">
        <f aca="false">IFERROR(__xludf.dummyfunction("""COMPUTED_VALUE"""),1191)</f>
        <v>1191</v>
      </c>
      <c r="K556" s="13" t="n">
        <f aca="false">IFERROR(__xludf.dummyfunction("""COMPUTED_VALUE"""),5955)</f>
        <v>5955</v>
      </c>
      <c r="L556" s="13" t="str">
        <f aca="false">IFERROR(__xludf.dummyfunction("""COMPUTED_VALUE"""),"[Code: 23688DHJ] 5 units found damaged due to quality issue ")</f>
        <v>[Code: 23688DHJ] 5 units found damaged due to quality issue </v>
      </c>
      <c r="M556" s="13" t="str">
        <f aca="false">IFERROR(__xludf.dummyfunction("""COMPUTED_VALUE"""),"23688DHJ")</f>
        <v>23688DHJ</v>
      </c>
      <c r="N556" s="13"/>
      <c r="O556" s="13" t="str">
        <f aca="false">IFERROR(__xludf.dummyfunction("""COMPUTED_VALUE"""),"ali.raza@tajir-app.com")</f>
        <v>ali.raza@tajir-app.com</v>
      </c>
      <c r="P556" s="13" t="str">
        <f aca="false">IFERROR(__xludf.dummyfunction("""COMPUTED_VALUE"""),"Ali Raza ")</f>
        <v>Ali Raza </v>
      </c>
      <c r="Q556" s="13" t="str">
        <f aca="false">IF(L556="","",L556)</f>
        <v>[Code: 23688DHJ] 5 units found damaged due to quality issue </v>
      </c>
    </row>
    <row r="557" customFormat="false" ht="15.75" hidden="false" customHeight="false" outlineLevel="0" collapsed="false">
      <c r="A557" s="13" t="str">
        <f aca="false">IFERROR(__xludf.dummyfunction("""COMPUTED_VALUE"""),"Metro DC Faisalabad")</f>
        <v>Metro DC Faisalabad</v>
      </c>
      <c r="B557" s="13" t="str">
        <f aca="false">IFERROR(__xludf.dummyfunction("""COMPUTED_VALUE"""),"aa81c118-4223-44ff-878d-c9287edd1801")</f>
        <v>aa81c118-4223-44ff-878d-c9287edd1801</v>
      </c>
      <c r="C557" s="13" t="str">
        <f aca="false">IFERROR(__xludf.dummyfunction("""COMPUTED_VALUE"""),"Quality Grains White Chana Motta 1kg")</f>
        <v>Quality Grains White Chana Motta 1kg</v>
      </c>
      <c r="D557" s="13" t="str">
        <f aca="false">IFERROR(__xludf.dummyfunction("""COMPUTED_VALUE"""),"Quality Grains")</f>
        <v>Quality Grains</v>
      </c>
      <c r="E557" s="13" t="str">
        <f aca="false">IFERROR(__xludf.dummyfunction("""COMPUTED_VALUE"""),"Pulses")</f>
        <v>Pulses</v>
      </c>
      <c r="F557" s="11" t="n">
        <f aca="false">IFERROR(__xludf.dummyfunction("""COMPUTED_VALUE"""),45208)</f>
        <v>45208</v>
      </c>
      <c r="G557" s="16" t="n">
        <f aca="false">IFERROR(__xludf.dummyfunction("""COMPUTED_VALUE"""),0.708705787038729)</f>
        <v>0.708705787</v>
      </c>
      <c r="H557" s="13" t="str">
        <f aca="false">IFERROR(__xludf.dummyfunction("""COMPUTED_VALUE"""),"damaged stock")</f>
        <v>damaged stock</v>
      </c>
      <c r="I557" s="13" t="n">
        <f aca="false">IFERROR(__xludf.dummyfunction("""COMPUTED_VALUE"""),2)</f>
        <v>2</v>
      </c>
      <c r="J557" s="13" t="n">
        <f aca="false">IFERROR(__xludf.dummyfunction("""COMPUTED_VALUE"""),391)</f>
        <v>391</v>
      </c>
      <c r="K557" s="13" t="n">
        <f aca="false">IFERROR(__xludf.dummyfunction("""COMPUTED_VALUE"""),782)</f>
        <v>782</v>
      </c>
      <c r="L557" s="13" t="str">
        <f aca="false">IFERROR(__xludf.dummyfunction("""COMPUTED_VALUE"""),"[Code: 2246778B] 2 units found damaged due to quality issue ")</f>
        <v>[Code: 2246778B] 2 units found damaged due to quality issue </v>
      </c>
      <c r="M557" s="13" t="str">
        <f aca="false">IFERROR(__xludf.dummyfunction("""COMPUTED_VALUE"""),"2246778B")</f>
        <v>2246778B</v>
      </c>
      <c r="N557" s="13"/>
      <c r="O557" s="13" t="str">
        <f aca="false">IFERROR(__xludf.dummyfunction("""COMPUTED_VALUE"""),"ali.raza@tajir-app.com")</f>
        <v>ali.raza@tajir-app.com</v>
      </c>
      <c r="P557" s="13" t="str">
        <f aca="false">IFERROR(__xludf.dummyfunction("""COMPUTED_VALUE"""),"Ali Raza ")</f>
        <v>Ali Raza </v>
      </c>
      <c r="Q557" s="13" t="str">
        <f aca="false">IF(L557="","",L557)</f>
        <v>[Code: 2246778B] 2 units found damaged due to quality issue </v>
      </c>
    </row>
    <row r="558" customFormat="false" ht="15.75" hidden="false" customHeight="false" outlineLevel="0" collapsed="false">
      <c r="A558" s="13" t="str">
        <f aca="false">IFERROR(__xludf.dummyfunction("""COMPUTED_VALUE"""),"Metro DC Faisalabad")</f>
        <v>Metro DC Faisalabad</v>
      </c>
      <c r="B558" s="13" t="str">
        <f aca="false">IFERROR(__xludf.dummyfunction("""COMPUTED_VALUE"""),"c59bd43e-ec72-41c4-93bb-8ef5fcb8f75f")</f>
        <v>c59bd43e-ec72-41c4-93bb-8ef5fcb8f75f</v>
      </c>
      <c r="C558" s="13" t="str">
        <f aca="false">IFERROR(__xludf.dummyfunction("""COMPUTED_VALUE"""),"Quality Grains Black Chana 5kg")</f>
        <v>Quality Grains Black Chana 5kg</v>
      </c>
      <c r="D558" s="13" t="str">
        <f aca="false">IFERROR(__xludf.dummyfunction("""COMPUTED_VALUE"""),"Quality Grains")</f>
        <v>Quality Grains</v>
      </c>
      <c r="E558" s="13" t="str">
        <f aca="false">IFERROR(__xludf.dummyfunction("""COMPUTED_VALUE"""),"Pulses")</f>
        <v>Pulses</v>
      </c>
      <c r="F558" s="11" t="n">
        <f aca="false">IFERROR(__xludf.dummyfunction("""COMPUTED_VALUE"""),45208)</f>
        <v>45208</v>
      </c>
      <c r="G558" s="16" t="n">
        <f aca="false">IFERROR(__xludf.dummyfunction("""COMPUTED_VALUE"""),0.707900625001477)</f>
        <v>0.707900625</v>
      </c>
      <c r="H558" s="13" t="str">
        <f aca="false">IFERROR(__xludf.dummyfunction("""COMPUTED_VALUE"""),"damaged stock")</f>
        <v>damaged stock</v>
      </c>
      <c r="I558" s="13" t="n">
        <f aca="false">IFERROR(__xludf.dummyfunction("""COMPUTED_VALUE"""),4)</f>
        <v>4</v>
      </c>
      <c r="J558" s="13" t="n">
        <f aca="false">IFERROR(__xludf.dummyfunction("""COMPUTED_VALUE"""),1115)</f>
        <v>1115</v>
      </c>
      <c r="K558" s="13" t="n">
        <f aca="false">IFERROR(__xludf.dummyfunction("""COMPUTED_VALUE"""),4460)</f>
        <v>4460</v>
      </c>
      <c r="L558" s="13" t="str">
        <f aca="false">IFERROR(__xludf.dummyfunction("""COMPUTED_VALUE"""),"[Code: 2358AEGK] 4 units found damaged due to quality issue ")</f>
        <v>[Code: 2358AEGK] 4 units found damaged due to quality issue </v>
      </c>
      <c r="M558" s="13" t="str">
        <f aca="false">IFERROR(__xludf.dummyfunction("""COMPUTED_VALUE"""),"2358AEGK")</f>
        <v>2358AEGK</v>
      </c>
      <c r="N558" s="13"/>
      <c r="O558" s="13" t="str">
        <f aca="false">IFERROR(__xludf.dummyfunction("""COMPUTED_VALUE"""),"ali.raza@tajir-app.com")</f>
        <v>ali.raza@tajir-app.com</v>
      </c>
      <c r="P558" s="13" t="str">
        <f aca="false">IFERROR(__xludf.dummyfunction("""COMPUTED_VALUE"""),"Ali Raza ")</f>
        <v>Ali Raza </v>
      </c>
      <c r="Q558" s="13" t="str">
        <f aca="false">IF(L558="","",L558)</f>
        <v>[Code: 2358AEGK] 4 units found damaged due to quality issue </v>
      </c>
    </row>
    <row r="559" customFormat="false" ht="15.75" hidden="false" customHeight="false" outlineLevel="0" collapsed="false">
      <c r="A559" s="13" t="str">
        <f aca="false">IFERROR(__xludf.dummyfunction("""COMPUTED_VALUE"""),"Metro DC Faisalabad")</f>
        <v>Metro DC Faisalabad</v>
      </c>
      <c r="B559" s="13" t="str">
        <f aca="false">IFERROR(__xludf.dummyfunction("""COMPUTED_VALUE"""),"855d7079-fcd2-4ebf-be1e-3a3d4fe8caed")</f>
        <v>855d7079-fcd2-4ebf-be1e-3a3d4fe8caed</v>
      </c>
      <c r="C559" s="13" t="str">
        <f aca="false">IFERROR(__xludf.dummyfunction("""COMPUTED_VALUE"""),"Quality Grains Black Chana Desi 1kg")</f>
        <v>Quality Grains Black Chana Desi 1kg</v>
      </c>
      <c r="D559" s="13" t="str">
        <f aca="false">IFERROR(__xludf.dummyfunction("""COMPUTED_VALUE"""),"Quality Grains")</f>
        <v>Quality Grains</v>
      </c>
      <c r="E559" s="13" t="str">
        <f aca="false">IFERROR(__xludf.dummyfunction("""COMPUTED_VALUE"""),"Pulses")</f>
        <v>Pulses</v>
      </c>
      <c r="F559" s="11" t="n">
        <f aca="false">IFERROR(__xludf.dummyfunction("""COMPUTED_VALUE"""),45208)</f>
        <v>45208</v>
      </c>
      <c r="G559" s="16" t="n">
        <f aca="false">IFERROR(__xludf.dummyfunction("""COMPUTED_VALUE"""),0.70683839120365)</f>
        <v>0.7068383912</v>
      </c>
      <c r="H559" s="13" t="str">
        <f aca="false">IFERROR(__xludf.dummyfunction("""COMPUTED_VALUE"""),"damaged stock")</f>
        <v>damaged stock</v>
      </c>
      <c r="I559" s="13" t="n">
        <f aca="false">IFERROR(__xludf.dummyfunction("""COMPUTED_VALUE"""),3)</f>
        <v>3</v>
      </c>
      <c r="J559" s="13" t="n">
        <f aca="false">IFERROR(__xludf.dummyfunction("""COMPUTED_VALUE"""),224)</f>
        <v>224</v>
      </c>
      <c r="K559" s="13" t="n">
        <f aca="false">IFERROR(__xludf.dummyfunction("""COMPUTED_VALUE"""),672)</f>
        <v>672</v>
      </c>
      <c r="L559" s="13" t="str">
        <f aca="false">IFERROR(__xludf.dummyfunction("""COMPUTED_VALUE"""),"[Code: 39AFKLLM] 3 units found damaged due to quality issue ")</f>
        <v>[Code: 39AFKLLM] 3 units found damaged due to quality issue </v>
      </c>
      <c r="M559" s="13" t="str">
        <f aca="false">IFERROR(__xludf.dummyfunction("""COMPUTED_VALUE"""),"39AFKLLM")</f>
        <v>39AFKLLM</v>
      </c>
      <c r="N559" s="13"/>
      <c r="O559" s="13" t="str">
        <f aca="false">IFERROR(__xludf.dummyfunction("""COMPUTED_VALUE"""),"ali.raza@tajir-app.com")</f>
        <v>ali.raza@tajir-app.com</v>
      </c>
      <c r="P559" s="13" t="str">
        <f aca="false">IFERROR(__xludf.dummyfunction("""COMPUTED_VALUE"""),"Ali Raza ")</f>
        <v>Ali Raza </v>
      </c>
      <c r="Q559" s="13" t="str">
        <f aca="false">IF(L559="","",L559)</f>
        <v>[Code: 39AFKLLM] 3 units found damaged due to quality issue </v>
      </c>
    </row>
    <row r="560" customFormat="false" ht="15.75" hidden="false" customHeight="false" outlineLevel="0" collapsed="false">
      <c r="A560" s="13" t="str">
        <f aca="false">IFERROR(__xludf.dummyfunction("""COMPUTED_VALUE"""),"Metro DC Faisalabad")</f>
        <v>Metro DC Faisalabad</v>
      </c>
      <c r="B560" s="13" t="str">
        <f aca="false">IFERROR(__xludf.dummyfunction("""COMPUTED_VALUE"""),"4df466f2-5062-4b23-a5b8-e471d0f47b18")</f>
        <v>4df466f2-5062-4b23-a5b8-e471d0f47b18</v>
      </c>
      <c r="C560" s="13" t="str">
        <f aca="false">IFERROR(__xludf.dummyfunction("""COMPUTED_VALUE"""),"Engro Tarang Liquid Tea Whitener x24 Crate 175ml")</f>
        <v>Engro Tarang Liquid Tea Whitener x24 Crate 175ml</v>
      </c>
      <c r="D560" s="13" t="str">
        <f aca="false">IFERROR(__xludf.dummyfunction("""COMPUTED_VALUE"""),"Tarang")</f>
        <v>Tarang</v>
      </c>
      <c r="E560" s="13" t="str">
        <f aca="false">IFERROR(__xludf.dummyfunction("""COMPUTED_VALUE"""),"Dairy")</f>
        <v>Dairy</v>
      </c>
      <c r="F560" s="11" t="n">
        <f aca="false">IFERROR(__xludf.dummyfunction("""COMPUTED_VALUE"""),45208)</f>
        <v>45208</v>
      </c>
      <c r="G560" s="16" t="n">
        <f aca="false">IFERROR(__xludf.dummyfunction("""COMPUTED_VALUE"""),0.514307245371163)</f>
        <v>0.5143072454</v>
      </c>
      <c r="H560" s="13" t="str">
        <f aca="false">IFERROR(__xludf.dummyfunction("""COMPUTED_VALUE"""),"expired stock")</f>
        <v>expired stock</v>
      </c>
      <c r="I560" s="13" t="n">
        <f aca="false">IFERROR(__xludf.dummyfunction("""COMPUTED_VALUE"""),98)</f>
        <v>98</v>
      </c>
      <c r="J560" s="13" t="n">
        <f aca="false">IFERROR(__xludf.dummyfunction("""COMPUTED_VALUE"""),980)</f>
        <v>980</v>
      </c>
      <c r="K560" s="13" t="n">
        <f aca="false">IFERROR(__xludf.dummyfunction("""COMPUTED_VALUE"""),96040)</f>
        <v>96040</v>
      </c>
      <c r="L560" s="13" t="str">
        <f aca="false">IFERROR(__xludf.dummyfunction("""COMPUTED_VALUE"""),"[Code: 4678AACC] [Expiry: 1 Nov, 2023] AR : all stock found short expiry")</f>
        <v>[Code: 4678AACC] [Expiry: 1 Nov, 2023] AR : all stock found short expiry</v>
      </c>
      <c r="M560" s="13" t="str">
        <f aca="false">IFERROR(__xludf.dummyfunction("""COMPUTED_VALUE"""),"4678AACC")</f>
        <v>4678AACC</v>
      </c>
      <c r="N560" s="13" t="str">
        <f aca="false">IFERROR(__xludf.dummyfunction("""COMPUTED_VALUE"""),"1 Nov, 2023")</f>
        <v>1 Nov, 2023</v>
      </c>
      <c r="O560" s="13" t="str">
        <f aca="false">IFERROR(__xludf.dummyfunction("""COMPUTED_VALUE"""),"ali.raza@tajir-app.com")</f>
        <v>ali.raza@tajir-app.com</v>
      </c>
      <c r="P560" s="13" t="str">
        <f aca="false">IFERROR(__xludf.dummyfunction("""COMPUTED_VALUE"""),"Ali Raza ")</f>
        <v>Ali Raza </v>
      </c>
      <c r="Q560" s="13" t="str">
        <f aca="false">IF(L560="","",L560)</f>
        <v>[Code: 4678AACC] [Expiry: 1 Nov, 2023] AR : all stock found short expiry</v>
      </c>
    </row>
    <row r="561" customFormat="false" ht="15.75" hidden="false" customHeight="false" outlineLevel="0" collapsed="false">
      <c r="A561" s="13" t="str">
        <f aca="false">IFERROR(__xludf.dummyfunction("""COMPUTED_VALUE"""),"Metro DC Faisalabad")</f>
        <v>Metro DC Faisalabad</v>
      </c>
      <c r="B561" s="13" t="str">
        <f aca="false">IFERROR(__xludf.dummyfunction("""COMPUTED_VALUE"""),"b1872158-a06b-433e-8867-619fd35e9f88")</f>
        <v>b1872158-a06b-433e-8867-619fd35e9f88</v>
      </c>
      <c r="C561" s="13" t="str">
        <f aca="false">IFERROR(__xludf.dummyfunction("""COMPUTED_VALUE"""),"Ariel Downy Surf 450g Rs325")</f>
        <v>Ariel Downy Surf 450g Rs325</v>
      </c>
      <c r="D561" s="13" t="str">
        <f aca="false">IFERROR(__xludf.dummyfunction("""COMPUTED_VALUE"""),"Ariel Surf")</f>
        <v>Ariel Surf</v>
      </c>
      <c r="E561" s="13" t="str">
        <f aca="false">IFERROR(__xludf.dummyfunction("""COMPUTED_VALUE"""),"Surf, Bleach")</f>
        <v>Surf, Bleach</v>
      </c>
      <c r="F561" s="11" t="n">
        <f aca="false">IFERROR(__xludf.dummyfunction("""COMPUTED_VALUE"""),45210)</f>
        <v>45210</v>
      </c>
      <c r="G561" s="16" t="n">
        <f aca="false">IFERROR(__xludf.dummyfunction("""COMPUTED_VALUE"""),0.985135127316054)</f>
        <v>0.9851351273</v>
      </c>
      <c r="H561" s="13" t="str">
        <f aca="false">IFERROR(__xludf.dummyfunction("""COMPUTED_VALUE"""),"missing stock")</f>
        <v>missing stock</v>
      </c>
      <c r="I561" s="13" t="n">
        <f aca="false">IFERROR(__xludf.dummyfunction("""COMPUTED_VALUE"""),47)</f>
        <v>47</v>
      </c>
      <c r="J561" s="13" t="n">
        <f aca="false">IFERROR(__xludf.dummyfunction("""COMPUTED_VALUE"""),295)</f>
        <v>295</v>
      </c>
      <c r="K561" s="13" t="n">
        <f aca="false">IFERROR(__xludf.dummyfunction("""COMPUTED_VALUE"""),13865)</f>
        <v>13865</v>
      </c>
      <c r="L561" s="13" t="str">
        <f aca="false">IFERROR(__xludf.dummyfunction("""COMPUTED_VALUE"""),"TA: Different Variant available on floor with different price of 335 instead of 325.")</f>
        <v>TA: Different Variant available on floor with different price of 335 instead of 325.</v>
      </c>
      <c r="M561" s="13"/>
      <c r="N561" s="13"/>
      <c r="O561" s="13" t="str">
        <f aca="false">IFERROR(__xludf.dummyfunction("""COMPUTED_VALUE"""),"taufeeq.akhtar@tajir-app.com")</f>
        <v>taufeeq.akhtar@tajir-app.com</v>
      </c>
      <c r="P561" s="13" t="str">
        <f aca="false">IFERROR(__xludf.dummyfunction("""COMPUTED_VALUE"""),"Taufeeq Akhtar ")</f>
        <v>Taufeeq Akhtar </v>
      </c>
      <c r="Q561" s="13" t="str">
        <f aca="false">IF(L561="","",L561)</f>
        <v>TA: Different Variant available on floor with different price of 335 instead of 325.</v>
      </c>
    </row>
    <row r="562" customFormat="false" ht="15.75" hidden="false" customHeight="false" outlineLevel="0" collapsed="false">
      <c r="A562" s="13" t="str">
        <f aca="false">IFERROR(__xludf.dummyfunction("""COMPUTED_VALUE"""),"Metro DC Faisalabad")</f>
        <v>Metro DC Faisalabad</v>
      </c>
      <c r="B562" s="13" t="str">
        <f aca="false">IFERROR(__xludf.dummyfunction("""COMPUTED_VALUE"""),"cd68a607-af95-45cb-b9f4-2721224c85f8")</f>
        <v>cd68a607-af95-45cb-b9f4-2721224c85f8</v>
      </c>
      <c r="C562" s="13" t="str">
        <f aca="false">IFERROR(__xludf.dummyfunction("""COMPUTED_VALUE"""),"Coca Cola plastic 1.5L")</f>
        <v>Coca Cola plastic 1.5L</v>
      </c>
      <c r="D562" s="13" t="str">
        <f aca="false">IFERROR(__xludf.dummyfunction("""COMPUTED_VALUE"""),"Coca Cola")</f>
        <v>Coca Cola</v>
      </c>
      <c r="E562" s="13" t="str">
        <f aca="false">IFERROR(__xludf.dummyfunction("""COMPUTED_VALUE"""),"Beverages")</f>
        <v>Beverages</v>
      </c>
      <c r="F562" s="11" t="n">
        <f aca="false">IFERROR(__xludf.dummyfunction("""COMPUTED_VALUE"""),45210)</f>
        <v>45210</v>
      </c>
      <c r="G562" s="16" t="n">
        <f aca="false">IFERROR(__xludf.dummyfunction("""COMPUTED_VALUE"""),0.865499120371896)</f>
        <v>0.8654991204</v>
      </c>
      <c r="H562" s="13" t="str">
        <f aca="false">IFERROR(__xludf.dummyfunction("""COMPUTED_VALUE"""),"damaged stock")</f>
        <v>damaged stock</v>
      </c>
      <c r="I562" s="13" t="n">
        <f aca="false">IFERROR(__xludf.dummyfunction("""COMPUTED_VALUE"""),1)</f>
        <v>1</v>
      </c>
      <c r="J562" s="13" t="n">
        <f aca="false">IFERROR(__xludf.dummyfunction("""COMPUTED_VALUE"""),914.68)</f>
        <v>914.68</v>
      </c>
      <c r="K562" s="13" t="n">
        <f aca="false">IFERROR(__xludf.dummyfunction("""COMPUTED_VALUE"""),914.68)</f>
        <v>914.68</v>
      </c>
      <c r="L562" s="13" t="str">
        <f aca="false">IFERROR(__xludf.dummyfunction("""COMPUTED_VALUE"""),"[Code: 3455778A]  TA: 4 bottels found in loose condition during sorting.")</f>
        <v>[Code: 3455778A]  TA: 4 bottels found in loose condition during sorting.</v>
      </c>
      <c r="M562" s="13" t="str">
        <f aca="false">IFERROR(__xludf.dummyfunction("""COMPUTED_VALUE"""),"3455778A")</f>
        <v>3455778A</v>
      </c>
      <c r="N562" s="13"/>
      <c r="O562" s="13" t="str">
        <f aca="false">IFERROR(__xludf.dummyfunction("""COMPUTED_VALUE"""),"taufeeq.akhtar@tajir-app.com")</f>
        <v>taufeeq.akhtar@tajir-app.com</v>
      </c>
      <c r="P562" s="13" t="str">
        <f aca="false">IFERROR(__xludf.dummyfunction("""COMPUTED_VALUE"""),"Taufeeq Akhtar ")</f>
        <v>Taufeeq Akhtar </v>
      </c>
      <c r="Q562" s="13" t="str">
        <f aca="false">IF(L562="","",L562)</f>
        <v>[Code: 3455778A]  TA: 4 bottels found in loose condition during sorting.</v>
      </c>
    </row>
    <row r="563" customFormat="false" ht="15.75" hidden="false" customHeight="false" outlineLevel="0" collapsed="false">
      <c r="A563" s="13" t="str">
        <f aca="false">IFERROR(__xludf.dummyfunction("""COMPUTED_VALUE"""),"Metro DC Faisalabad")</f>
        <v>Metro DC Faisalabad</v>
      </c>
      <c r="B563" s="13" t="str">
        <f aca="false">IFERROR(__xludf.dummyfunction("""COMPUTED_VALUE"""),"9b648a63-345b-46ae-a3ee-2fe74a6951d8")</f>
        <v>9b648a63-345b-46ae-a3ee-2fe74a6951d8</v>
      </c>
      <c r="C563" s="13" t="str">
        <f aca="false">IFERROR(__xludf.dummyfunction("""COMPUTED_VALUE"""),"Lipton Danedar Tea Jar 475g (Orange) Rs1500")</f>
        <v>Lipton Danedar Tea Jar 475g (Orange) Rs1500</v>
      </c>
      <c r="D563" s="13" t="str">
        <f aca="false">IFERROR(__xludf.dummyfunction("""COMPUTED_VALUE"""),"Lipton")</f>
        <v>Lipton</v>
      </c>
      <c r="E563" s="13" t="str">
        <f aca="false">IFERROR(__xludf.dummyfunction("""COMPUTED_VALUE"""),"Tea, Coffee")</f>
        <v>Tea, Coffee</v>
      </c>
      <c r="F563" s="11" t="n">
        <f aca="false">IFERROR(__xludf.dummyfunction("""COMPUTED_VALUE"""),45210)</f>
        <v>45210</v>
      </c>
      <c r="G563" s="16" t="n">
        <f aca="false">IFERROR(__xludf.dummyfunction("""COMPUTED_VALUE"""),0.495080983796959)</f>
        <v>0.4950809838</v>
      </c>
      <c r="H563" s="13" t="str">
        <f aca="false">IFERROR(__xludf.dummyfunction("""COMPUTED_VALUE"""),"expired stock")</f>
        <v>expired stock</v>
      </c>
      <c r="I563" s="13" t="n">
        <f aca="false">IFERROR(__xludf.dummyfunction("""COMPUTED_VALUE"""),6)</f>
        <v>6</v>
      </c>
      <c r="J563" s="13" t="n">
        <f aca="false">IFERROR(__xludf.dummyfunction("""COMPUTED_VALUE"""),1426.67)</f>
        <v>1426.67</v>
      </c>
      <c r="K563" s="13" t="n">
        <f aca="false">IFERROR(__xludf.dummyfunction("""COMPUTED_VALUE"""),8560.02)</f>
        <v>8560.02</v>
      </c>
      <c r="L563" s="13" t="str">
        <f aca="false">IFERROR(__xludf.dummyfunction("""COMPUTED_VALUE"""),"[Code: 2346ABCF] [Expiry: 2 Oct, 2023] 6 units expire in next month short expiry")</f>
        <v>[Code: 2346ABCF] [Expiry: 2 Oct, 2023] 6 units expire in next month short expiry</v>
      </c>
      <c r="M563" s="13" t="str">
        <f aca="false">IFERROR(__xludf.dummyfunction("""COMPUTED_VALUE"""),"2346ABCF")</f>
        <v>2346ABCF</v>
      </c>
      <c r="N563" s="13" t="str">
        <f aca="false">IFERROR(__xludf.dummyfunction("""COMPUTED_VALUE"""),"2 Oct, 2023")</f>
        <v>2 Oct, 2023</v>
      </c>
      <c r="O563" s="13" t="str">
        <f aca="false">IFERROR(__xludf.dummyfunction("""COMPUTED_VALUE"""),"ali.raza@tajir-app.com")</f>
        <v>ali.raza@tajir-app.com</v>
      </c>
      <c r="P563" s="13" t="str">
        <f aca="false">IFERROR(__xludf.dummyfunction("""COMPUTED_VALUE"""),"Ali Raza ")</f>
        <v>Ali Raza </v>
      </c>
      <c r="Q563" s="13" t="str">
        <f aca="false">IF(L563="","",L563)</f>
        <v>[Code: 2346ABCF] [Expiry: 2 Oct, 2023] 6 units expire in next month short expiry</v>
      </c>
    </row>
    <row r="564" customFormat="false" ht="15.75" hidden="false" customHeight="false" outlineLevel="0" collapsed="false">
      <c r="A564" s="13" t="str">
        <f aca="false">IFERROR(__xludf.dummyfunction("""COMPUTED_VALUE"""),"Metro DC Faisalabad")</f>
        <v>Metro DC Faisalabad</v>
      </c>
      <c r="B564" s="13" t="str">
        <f aca="false">IFERROR(__xludf.dummyfunction("""COMPUTED_VALUE"""),"4df466f2-5062-4b23-a5b8-e471d0f47b18")</f>
        <v>4df466f2-5062-4b23-a5b8-e471d0f47b18</v>
      </c>
      <c r="C564" s="13" t="str">
        <f aca="false">IFERROR(__xludf.dummyfunction("""COMPUTED_VALUE"""),"Engro Tarang Liquid Tea Whitener x24 Crate 175ml")</f>
        <v>Engro Tarang Liquid Tea Whitener x24 Crate 175ml</v>
      </c>
      <c r="D564" s="13" t="str">
        <f aca="false">IFERROR(__xludf.dummyfunction("""COMPUTED_VALUE"""),"Tarang")</f>
        <v>Tarang</v>
      </c>
      <c r="E564" s="13" t="str">
        <f aca="false">IFERROR(__xludf.dummyfunction("""COMPUTED_VALUE"""),"Dairy")</f>
        <v>Dairy</v>
      </c>
      <c r="F564" s="11" t="n">
        <f aca="false">IFERROR(__xludf.dummyfunction("""COMPUTED_VALUE"""),45210)</f>
        <v>45210</v>
      </c>
      <c r="G564" s="16" t="n">
        <f aca="false">IFERROR(__xludf.dummyfunction("""COMPUTED_VALUE"""),0.487265578704367)</f>
        <v>0.4872655787</v>
      </c>
      <c r="H564" s="13" t="str">
        <f aca="false">IFERROR(__xludf.dummyfunction("""COMPUTED_VALUE"""),"expired stock")</f>
        <v>expired stock</v>
      </c>
      <c r="I564" s="13" t="n">
        <f aca="false">IFERROR(__xludf.dummyfunction("""COMPUTED_VALUE"""),11)</f>
        <v>11</v>
      </c>
      <c r="J564" s="13" t="n">
        <f aca="false">IFERROR(__xludf.dummyfunction("""COMPUTED_VALUE"""),980)</f>
        <v>980</v>
      </c>
      <c r="K564" s="13" t="n">
        <f aca="false">IFERROR(__xludf.dummyfunction("""COMPUTED_VALUE"""),10780)</f>
        <v>10780</v>
      </c>
      <c r="L564" s="13" t="str">
        <f aca="false">IFERROR(__xludf.dummyfunction("""COMPUTED_VALUE"""),"[Code: 2234489A] [Expiry: 1 Nov, 2023] 11 units short expiry ")</f>
        <v>[Code: 2234489A] [Expiry: 1 Nov, 2023] 11 units short expiry </v>
      </c>
      <c r="M564" s="13" t="str">
        <f aca="false">IFERROR(__xludf.dummyfunction("""COMPUTED_VALUE"""),"2234489A")</f>
        <v>2234489A</v>
      </c>
      <c r="N564" s="13" t="str">
        <f aca="false">IFERROR(__xludf.dummyfunction("""COMPUTED_VALUE"""),"1 Nov, 2023")</f>
        <v>1 Nov, 2023</v>
      </c>
      <c r="O564" s="13" t="str">
        <f aca="false">IFERROR(__xludf.dummyfunction("""COMPUTED_VALUE"""),"ali.raza@tajir-app.com")</f>
        <v>ali.raza@tajir-app.com</v>
      </c>
      <c r="P564" s="13" t="str">
        <f aca="false">IFERROR(__xludf.dummyfunction("""COMPUTED_VALUE"""),"Ali Raza ")</f>
        <v>Ali Raza </v>
      </c>
      <c r="Q564" s="13" t="str">
        <f aca="false">IF(L564="","",L564)</f>
        <v>[Code: 2234489A] [Expiry: 1 Nov, 2023] 11 units short expiry </v>
      </c>
    </row>
    <row r="565" customFormat="false" ht="15.75" hidden="false" customHeight="false" outlineLevel="0" collapsed="false">
      <c r="A565" s="13" t="str">
        <f aca="false">IFERROR(__xludf.dummyfunction("""COMPUTED_VALUE"""),"Metro DC Faisalabad")</f>
        <v>Metro DC Faisalabad</v>
      </c>
      <c r="B565" s="13" t="str">
        <f aca="false">IFERROR(__xludf.dummyfunction("""COMPUTED_VALUE"""),"187245c1-bd74-424d-861b-e9271a9a0af9")</f>
        <v>187245c1-bd74-424d-861b-e9271a9a0af9</v>
      </c>
      <c r="C565" s="13" t="str">
        <f aca="false">IFERROR(__xludf.dummyfunction("""COMPUTED_VALUE"""),"Engro Dairy Omung Milk x12 Carton 1L")</f>
        <v>Engro Dairy Omung Milk x12 Carton 1L</v>
      </c>
      <c r="D565" s="13" t="str">
        <f aca="false">IFERROR(__xludf.dummyfunction("""COMPUTED_VALUE"""),"Omung")</f>
        <v>Omung</v>
      </c>
      <c r="E565" s="13" t="str">
        <f aca="false">IFERROR(__xludf.dummyfunction("""COMPUTED_VALUE"""),"Dairy")</f>
        <v>Dairy</v>
      </c>
      <c r="F565" s="11" t="n">
        <f aca="false">IFERROR(__xludf.dummyfunction("""COMPUTED_VALUE"""),45210)</f>
        <v>45210</v>
      </c>
      <c r="G565" s="16" t="n">
        <f aca="false">IFERROR(__xludf.dummyfunction("""COMPUTED_VALUE"""),0.469569456018734)</f>
        <v>0.469569456</v>
      </c>
      <c r="H565" s="13" t="str">
        <f aca="false">IFERROR(__xludf.dummyfunction("""COMPUTED_VALUE"""),"expired stock")</f>
        <v>expired stock</v>
      </c>
      <c r="I565" s="13" t="n">
        <f aca="false">IFERROR(__xludf.dummyfunction("""COMPUTED_VALUE"""),25)</f>
        <v>25</v>
      </c>
      <c r="J565" s="13" t="n">
        <f aca="false">IFERROR(__xludf.dummyfunction("""COMPUTED_VALUE"""),2130)</f>
        <v>2130</v>
      </c>
      <c r="K565" s="13" t="n">
        <f aca="false">IFERROR(__xludf.dummyfunction("""COMPUTED_VALUE"""),53250)</f>
        <v>53250</v>
      </c>
      <c r="L565" s="13" t="str">
        <f aca="false">IFERROR(__xludf.dummyfunction("""COMPUTED_VALUE"""),"[Code: 23369HHK] [Expiry: 11 Nov, 2023] 25 units found short expiry")</f>
        <v>[Code: 23369HHK] [Expiry: 11 Nov, 2023] 25 units found short expiry</v>
      </c>
      <c r="M565" s="13" t="str">
        <f aca="false">IFERROR(__xludf.dummyfunction("""COMPUTED_VALUE"""),"23369HHK")</f>
        <v>23369HHK</v>
      </c>
      <c r="N565" s="13" t="str">
        <f aca="false">IFERROR(__xludf.dummyfunction("""COMPUTED_VALUE"""),"11 Nov, 2023")</f>
        <v>11 Nov, 2023</v>
      </c>
      <c r="O565" s="13" t="str">
        <f aca="false">IFERROR(__xludf.dummyfunction("""COMPUTED_VALUE"""),"ali.raza@tajir-app.com")</f>
        <v>ali.raza@tajir-app.com</v>
      </c>
      <c r="P565" s="13" t="str">
        <f aca="false">IFERROR(__xludf.dummyfunction("""COMPUTED_VALUE"""),"Ali Raza ")</f>
        <v>Ali Raza </v>
      </c>
      <c r="Q565" s="13" t="str">
        <f aca="false">IF(L565="","",L565)</f>
        <v>[Code: 23369HHK] [Expiry: 11 Nov, 2023] 25 units found short expiry</v>
      </c>
    </row>
    <row r="566" customFormat="false" ht="15.75" hidden="false" customHeight="false" outlineLevel="0" collapsed="false">
      <c r="A566" s="13" t="str">
        <f aca="false">IFERROR(__xludf.dummyfunction("""COMPUTED_VALUE"""),"Metro DC Faisalabad")</f>
        <v>Metro DC Faisalabad</v>
      </c>
      <c r="B566" s="13" t="str">
        <f aca="false">IFERROR(__xludf.dummyfunction("""COMPUTED_VALUE"""),"295d36d9-6897-41bf-8a72-7486d721cf17")</f>
        <v>295d36d9-6897-41bf-8a72-7486d721cf17</v>
      </c>
      <c r="C566" s="13" t="str">
        <f aca="false">IFERROR(__xludf.dummyfunction("""COMPUTED_VALUE"""),"Engro Olpers Milk Ecolean Pouch x28 Crate 250ml")</f>
        <v>Engro Olpers Milk Ecolean Pouch x28 Crate 250ml</v>
      </c>
      <c r="D566" s="13" t="str">
        <f aca="false">IFERROR(__xludf.dummyfunction("""COMPUTED_VALUE"""),"Olpers")</f>
        <v>Olpers</v>
      </c>
      <c r="E566" s="13" t="str">
        <f aca="false">IFERROR(__xludf.dummyfunction("""COMPUTED_VALUE"""),"Dairy")</f>
        <v>Dairy</v>
      </c>
      <c r="F566" s="11" t="n">
        <f aca="false">IFERROR(__xludf.dummyfunction("""COMPUTED_VALUE"""),45210)</f>
        <v>45210</v>
      </c>
      <c r="G566" s="16" t="n">
        <f aca="false">IFERROR(__xludf.dummyfunction("""COMPUTED_VALUE"""),0.467671701389223)</f>
        <v>0.4676717014</v>
      </c>
      <c r="H566" s="13" t="str">
        <f aca="false">IFERROR(__xludf.dummyfunction("""COMPUTED_VALUE"""),"expired stock")</f>
        <v>expired stock</v>
      </c>
      <c r="I566" s="13" t="n">
        <f aca="false">IFERROR(__xludf.dummyfunction("""COMPUTED_VALUE"""),58)</f>
        <v>58</v>
      </c>
      <c r="J566" s="13" t="n">
        <f aca="false">IFERROR(__xludf.dummyfunction("""COMPUTED_VALUE"""),1790)</f>
        <v>1790</v>
      </c>
      <c r="K566" s="13" t="n">
        <f aca="false">IFERROR(__xludf.dummyfunction("""COMPUTED_VALUE"""),103820)</f>
        <v>103820</v>
      </c>
      <c r="L566" s="13" t="str">
        <f aca="false">IFERROR(__xludf.dummyfunction("""COMPUTED_VALUE"""),"[Code: 2268BEEF] [Expiry: 5 Nov, 2023] 58 units found short expiry ")</f>
        <v>[Code: 2268BEEF] [Expiry: 5 Nov, 2023] 58 units found short expiry </v>
      </c>
      <c r="M566" s="13" t="str">
        <f aca="false">IFERROR(__xludf.dummyfunction("""COMPUTED_VALUE"""),"2268BEEF")</f>
        <v>2268BEEF</v>
      </c>
      <c r="N566" s="13" t="str">
        <f aca="false">IFERROR(__xludf.dummyfunction("""COMPUTED_VALUE"""),"5 Nov, 2023")</f>
        <v>5 Nov, 2023</v>
      </c>
      <c r="O566" s="13" t="str">
        <f aca="false">IFERROR(__xludf.dummyfunction("""COMPUTED_VALUE"""),"ali.raza@tajir-app.com")</f>
        <v>ali.raza@tajir-app.com</v>
      </c>
      <c r="P566" s="13" t="str">
        <f aca="false">IFERROR(__xludf.dummyfunction("""COMPUTED_VALUE"""),"Ali Raza ")</f>
        <v>Ali Raza </v>
      </c>
      <c r="Q566" s="13" t="str">
        <f aca="false">IF(L566="","",L566)</f>
        <v>[Code: 2268BEEF] [Expiry: 5 Nov, 2023] 58 units found short expiry </v>
      </c>
    </row>
    <row r="567" customFormat="false" ht="15.75" hidden="false" customHeight="false" outlineLevel="0" collapsed="false">
      <c r="A567" s="13" t="str">
        <f aca="false">IFERROR(__xludf.dummyfunction("""COMPUTED_VALUE"""),"Metro DC Faisalabad")</f>
        <v>Metro DC Faisalabad</v>
      </c>
      <c r="B567" s="13" t="str">
        <f aca="false">IFERROR(__xludf.dummyfunction("""COMPUTED_VALUE"""),"855d7079-fcd2-4ebf-be1e-3a3d4fe8caed")</f>
        <v>855d7079-fcd2-4ebf-be1e-3a3d4fe8caed</v>
      </c>
      <c r="C567" s="13" t="str">
        <f aca="false">IFERROR(__xludf.dummyfunction("""COMPUTED_VALUE"""),"Quality Grains Black Chana Desi 1kg")</f>
        <v>Quality Grains Black Chana Desi 1kg</v>
      </c>
      <c r="D567" s="13" t="str">
        <f aca="false">IFERROR(__xludf.dummyfunction("""COMPUTED_VALUE"""),"Quality Grains")</f>
        <v>Quality Grains</v>
      </c>
      <c r="E567" s="13" t="str">
        <f aca="false">IFERROR(__xludf.dummyfunction("""COMPUTED_VALUE"""),"Pulses")</f>
        <v>Pulses</v>
      </c>
      <c r="F567" s="11" t="n">
        <f aca="false">IFERROR(__xludf.dummyfunction("""COMPUTED_VALUE"""),45211)</f>
        <v>45211</v>
      </c>
      <c r="G567" s="16" t="n">
        <f aca="false">IFERROR(__xludf.dummyfunction("""COMPUTED_VALUE"""),0.710219641204237)</f>
        <v>0.7102196412</v>
      </c>
      <c r="H567" s="13" t="str">
        <f aca="false">IFERROR(__xludf.dummyfunction("""COMPUTED_VALUE"""),"damaged stock")</f>
        <v>damaged stock</v>
      </c>
      <c r="I567" s="13" t="n">
        <f aca="false">IFERROR(__xludf.dummyfunction("""COMPUTED_VALUE"""),3)</f>
        <v>3</v>
      </c>
      <c r="J567" s="13" t="n">
        <f aca="false">IFERROR(__xludf.dummyfunction("""COMPUTED_VALUE"""),224)</f>
        <v>224</v>
      </c>
      <c r="K567" s="13" t="n">
        <f aca="false">IFERROR(__xludf.dummyfunction("""COMPUTED_VALUE"""),672)</f>
        <v>672</v>
      </c>
      <c r="L567" s="13" t="str">
        <f aca="false">IFERROR(__xludf.dummyfunction("""COMPUTED_VALUE"""),"[Code: 5679ACKL] 3 units found damaged due to quality issue.")</f>
        <v>[Code: 5679ACKL] 3 units found damaged due to quality issue.</v>
      </c>
      <c r="M567" s="13" t="str">
        <f aca="false">IFERROR(__xludf.dummyfunction("""COMPUTED_VALUE"""),"5679ACKL")</f>
        <v>5679ACKL</v>
      </c>
      <c r="N567" s="13"/>
      <c r="O567" s="13" t="str">
        <f aca="false">IFERROR(__xludf.dummyfunction("""COMPUTED_VALUE"""),"ali.raza@tajir-app.com")</f>
        <v>ali.raza@tajir-app.com</v>
      </c>
      <c r="P567" s="13" t="str">
        <f aca="false">IFERROR(__xludf.dummyfunction("""COMPUTED_VALUE"""),"Ali Raza ")</f>
        <v>Ali Raza </v>
      </c>
      <c r="Q567" s="13" t="str">
        <f aca="false">IF(L567="","",L567)</f>
        <v>[Code: 5679ACKL] 3 units found damaged due to quality issue.</v>
      </c>
    </row>
    <row r="568" customFormat="false" ht="15.75" hidden="false" customHeight="false" outlineLevel="0" collapsed="false">
      <c r="A568" s="13" t="str">
        <f aca="false">IFERROR(__xludf.dummyfunction("""COMPUTED_VALUE"""),"Metro DC Faisalabad")</f>
        <v>Metro DC Faisalabad</v>
      </c>
      <c r="B568" s="13" t="str">
        <f aca="false">IFERROR(__xludf.dummyfunction("""COMPUTED_VALUE"""),"aa81c118-4223-44ff-878d-c9287edd1801")</f>
        <v>aa81c118-4223-44ff-878d-c9287edd1801</v>
      </c>
      <c r="C568" s="13" t="str">
        <f aca="false">IFERROR(__xludf.dummyfunction("""COMPUTED_VALUE"""),"Quality Grains White Chana Motta 1kg")</f>
        <v>Quality Grains White Chana Motta 1kg</v>
      </c>
      <c r="D568" s="13" t="str">
        <f aca="false">IFERROR(__xludf.dummyfunction("""COMPUTED_VALUE"""),"Quality Grains")</f>
        <v>Quality Grains</v>
      </c>
      <c r="E568" s="13" t="str">
        <f aca="false">IFERROR(__xludf.dummyfunction("""COMPUTED_VALUE"""),"Pulses")</f>
        <v>Pulses</v>
      </c>
      <c r="F568" s="11" t="n">
        <f aca="false">IFERROR(__xludf.dummyfunction("""COMPUTED_VALUE"""),45211)</f>
        <v>45211</v>
      </c>
      <c r="G568" s="16" t="n">
        <f aca="false">IFERROR(__xludf.dummyfunction("""COMPUTED_VALUE"""),0.709619108797089)</f>
        <v>0.7096191088</v>
      </c>
      <c r="H568" s="13" t="str">
        <f aca="false">IFERROR(__xludf.dummyfunction("""COMPUTED_VALUE"""),"damaged stock")</f>
        <v>damaged stock</v>
      </c>
      <c r="I568" s="13" t="n">
        <f aca="false">IFERROR(__xludf.dummyfunction("""COMPUTED_VALUE"""),1)</f>
        <v>1</v>
      </c>
      <c r="J568" s="13" t="n">
        <f aca="false">IFERROR(__xludf.dummyfunction("""COMPUTED_VALUE"""),391)</f>
        <v>391</v>
      </c>
      <c r="K568" s="13" t="n">
        <f aca="false">IFERROR(__xludf.dummyfunction("""COMPUTED_VALUE"""),391)</f>
        <v>391</v>
      </c>
      <c r="L568" s="13" t="str">
        <f aca="false">IFERROR(__xludf.dummyfunction("""COMPUTED_VALUE"""),"[Code: 3556CEGK] 1 unit found damaged due to quality issue.")</f>
        <v>[Code: 3556CEGK] 1 unit found damaged due to quality issue.</v>
      </c>
      <c r="M568" s="13" t="str">
        <f aca="false">IFERROR(__xludf.dummyfunction("""COMPUTED_VALUE"""),"3556CEGK")</f>
        <v>3556CEGK</v>
      </c>
      <c r="N568" s="13"/>
      <c r="O568" s="13" t="str">
        <f aca="false">IFERROR(__xludf.dummyfunction("""COMPUTED_VALUE"""),"ali.raza@tajir-app.com")</f>
        <v>ali.raza@tajir-app.com</v>
      </c>
      <c r="P568" s="13" t="str">
        <f aca="false">IFERROR(__xludf.dummyfunction("""COMPUTED_VALUE"""),"Ali Raza ")</f>
        <v>Ali Raza </v>
      </c>
      <c r="Q568" s="13" t="str">
        <f aca="false">IF(L568="","",L568)</f>
        <v>[Code: 3556CEGK] 1 unit found damaged due to quality issue.</v>
      </c>
    </row>
    <row r="569" customFormat="false" ht="15.75" hidden="false" customHeight="false" outlineLevel="0" collapsed="false">
      <c r="A569" s="13" t="str">
        <f aca="false">IFERROR(__xludf.dummyfunction("""COMPUTED_VALUE"""),"Metro DC Faisalabad")</f>
        <v>Metro DC Faisalabad</v>
      </c>
      <c r="B569" s="13" t="str">
        <f aca="false">IFERROR(__xludf.dummyfunction("""COMPUTED_VALUE"""),"ad261b39-8236-46b3-b4b8-18de2ebb3efd")</f>
        <v>ad261b39-8236-46b3-b4b8-18de2ebb3efd</v>
      </c>
      <c r="C569" s="13" t="str">
        <f aca="false">IFERROR(__xludf.dummyfunction("""COMPUTED_VALUE"""),"Lipton yellow label tea 85g Rs270")</f>
        <v>Lipton yellow label tea 85g Rs270</v>
      </c>
      <c r="D569" s="13" t="str">
        <f aca="false">IFERROR(__xludf.dummyfunction("""COMPUTED_VALUE"""),"Lipton")</f>
        <v>Lipton</v>
      </c>
      <c r="E569" s="13" t="str">
        <f aca="false">IFERROR(__xludf.dummyfunction("""COMPUTED_VALUE"""),"Tea, Coffee")</f>
        <v>Tea, Coffee</v>
      </c>
      <c r="F569" s="11" t="n">
        <f aca="false">IFERROR(__xludf.dummyfunction("""COMPUTED_VALUE"""),45212)</f>
        <v>45212</v>
      </c>
      <c r="G569" s="16" t="n">
        <f aca="false">IFERROR(__xludf.dummyfunction("""COMPUTED_VALUE"""),0.824584467594145)</f>
        <v>0.8245844676</v>
      </c>
      <c r="H569" s="13" t="str">
        <f aca="false">IFERROR(__xludf.dummyfunction("""COMPUTED_VALUE"""),"damaged stock")</f>
        <v>damaged stock</v>
      </c>
      <c r="I569" s="13" t="n">
        <f aca="false">IFERROR(__xludf.dummyfunction("""COMPUTED_VALUE"""),1)</f>
        <v>1</v>
      </c>
      <c r="J569" s="13" t="n">
        <f aca="false">IFERROR(__xludf.dummyfunction("""COMPUTED_VALUE"""),248.2)</f>
        <v>248.2</v>
      </c>
      <c r="K569" s="13" t="n">
        <f aca="false">IFERROR(__xludf.dummyfunction("""COMPUTED_VALUE"""),248.2)</f>
        <v>248.2</v>
      </c>
      <c r="L569" s="13" t="str">
        <f aca="false">IFERROR(__xludf.dummyfunction("""COMPUTED_VALUE"""),"[Code: 2457BFHJ] TA: Found damaged in box during display..")</f>
        <v>[Code: 2457BFHJ] TA: Found damaged in box during display..</v>
      </c>
      <c r="M569" s="13" t="str">
        <f aca="false">IFERROR(__xludf.dummyfunction("""COMPUTED_VALUE"""),"2457BFHJ")</f>
        <v>2457BFHJ</v>
      </c>
      <c r="N569" s="13"/>
      <c r="O569" s="13" t="str">
        <f aca="false">IFERROR(__xludf.dummyfunction("""COMPUTED_VALUE"""),"taufeeq.akhtar@tajir-app.com")</f>
        <v>taufeeq.akhtar@tajir-app.com</v>
      </c>
      <c r="P569" s="13" t="str">
        <f aca="false">IFERROR(__xludf.dummyfunction("""COMPUTED_VALUE"""),"Taufeeq Akhtar ")</f>
        <v>Taufeeq Akhtar </v>
      </c>
      <c r="Q569" s="13" t="str">
        <f aca="false">IF(L569="","",L569)</f>
        <v>[Code: 2457BFHJ] TA: Found damaged in box during display..</v>
      </c>
    </row>
    <row r="570" customFormat="false" ht="15.75" hidden="false" customHeight="false" outlineLevel="0" collapsed="false">
      <c r="A570" s="13" t="str">
        <f aca="false">IFERROR(__xludf.dummyfunction("""COMPUTED_VALUE"""),"Metro DC Faisalabad")</f>
        <v>Metro DC Faisalabad</v>
      </c>
      <c r="B570" s="13" t="str">
        <f aca="false">IFERROR(__xludf.dummyfunction("""COMPUTED_VALUE"""),"58c6dd8d-23cb-4343-8840-54ba0c1a0bea")</f>
        <v>58c6dd8d-23cb-4343-8840-54ba0c1a0bea</v>
      </c>
      <c r="C570" s="13" t="str">
        <f aca="false">IFERROR(__xludf.dummyfunction("""COMPUTED_VALUE"""),"Aquafina plastic 500ml (Half Liter)")</f>
        <v>Aquafina plastic 500ml (Half Liter)</v>
      </c>
      <c r="D570" s="13" t="str">
        <f aca="false">IFERROR(__xludf.dummyfunction("""COMPUTED_VALUE"""),"Aquafina")</f>
        <v>Aquafina</v>
      </c>
      <c r="E570" s="13" t="str">
        <f aca="false">IFERROR(__xludf.dummyfunction("""COMPUTED_VALUE"""),"Beverages")</f>
        <v>Beverages</v>
      </c>
      <c r="F570" s="11" t="n">
        <f aca="false">IFERROR(__xludf.dummyfunction("""COMPUTED_VALUE"""),45212)</f>
        <v>45212</v>
      </c>
      <c r="G570" s="16" t="n">
        <f aca="false">IFERROR(__xludf.dummyfunction("""COMPUTED_VALUE"""),0.748015578704005)</f>
        <v>0.7480155787</v>
      </c>
      <c r="H570" s="13" t="str">
        <f aca="false">IFERROR(__xludf.dummyfunction("""COMPUTED_VALUE"""),"damaged stock")</f>
        <v>damaged stock</v>
      </c>
      <c r="I570" s="13" t="n">
        <f aca="false">IFERROR(__xludf.dummyfunction("""COMPUTED_VALUE"""),1)</f>
        <v>1</v>
      </c>
      <c r="J570" s="13" t="n">
        <f aca="false">IFERROR(__xludf.dummyfunction("""COMPUTED_VALUE"""),450)</f>
        <v>450</v>
      </c>
      <c r="K570" s="13" t="n">
        <f aca="false">IFERROR(__xludf.dummyfunction("""COMPUTED_VALUE"""),450)</f>
        <v>450</v>
      </c>
      <c r="L570" s="13" t="str">
        <f aca="false">IFERROR(__xludf.dummyfunction("""COMPUTED_VALUE"""),"[Code: 3CFFJLLN]  TA: 4 bottels found in loose condition during sorting.")</f>
        <v>[Code: 3CFFJLLN]  TA: 4 bottels found in loose condition during sorting.</v>
      </c>
      <c r="M570" s="13" t="str">
        <f aca="false">IFERROR(__xludf.dummyfunction("""COMPUTED_VALUE"""),"3CFFJLLN")</f>
        <v>3CFFJLLN</v>
      </c>
      <c r="N570" s="13"/>
      <c r="O570" s="13" t="str">
        <f aca="false">IFERROR(__xludf.dummyfunction("""COMPUTED_VALUE"""),"taufeeq.akhtar@tajir-app.com")</f>
        <v>taufeeq.akhtar@tajir-app.com</v>
      </c>
      <c r="P570" s="13" t="str">
        <f aca="false">IFERROR(__xludf.dummyfunction("""COMPUTED_VALUE"""),"Taufeeq Akhtar ")</f>
        <v>Taufeeq Akhtar </v>
      </c>
      <c r="Q570" s="13" t="str">
        <f aca="false">IF(L570="","",L570)</f>
        <v>[Code: 3CFFJLLN]  TA: 4 bottels found in loose condition during sorting.</v>
      </c>
    </row>
    <row r="571" customFormat="false" ht="15.75" hidden="false" customHeight="false" outlineLevel="0" collapsed="false">
      <c r="A571" s="13" t="str">
        <f aca="false">IFERROR(__xludf.dummyfunction("""COMPUTED_VALUE"""),"Metro DC Faisalabad")</f>
        <v>Metro DC Faisalabad</v>
      </c>
      <c r="B571" s="13" t="str">
        <f aca="false">IFERROR(__xludf.dummyfunction("""COMPUTED_VALUE"""),"d108dc59-da93-451f-9024-d773dad3e97a")</f>
        <v>d108dc59-da93-451f-9024-d773dad3e97a</v>
      </c>
      <c r="C571" s="13" t="str">
        <f aca="false">IFERROR(__xludf.dummyfunction("""COMPUTED_VALUE"""),"Sprite plastic 1.5L")</f>
        <v>Sprite plastic 1.5L</v>
      </c>
      <c r="D571" s="13" t="str">
        <f aca="false">IFERROR(__xludf.dummyfunction("""COMPUTED_VALUE"""),"Sprite")</f>
        <v>Sprite</v>
      </c>
      <c r="E571" s="13" t="str">
        <f aca="false">IFERROR(__xludf.dummyfunction("""COMPUTED_VALUE"""),"Beverages")</f>
        <v>Beverages</v>
      </c>
      <c r="F571" s="11" t="n">
        <f aca="false">IFERROR(__xludf.dummyfunction("""COMPUTED_VALUE"""),45213)</f>
        <v>45213</v>
      </c>
      <c r="G571" s="16" t="n">
        <f aca="false">IFERROR(__xludf.dummyfunction("""COMPUTED_VALUE"""),0.851499143516837)</f>
        <v>0.8514991435</v>
      </c>
      <c r="H571" s="13" t="str">
        <f aca="false">IFERROR(__xludf.dummyfunction("""COMPUTED_VALUE"""),"damaged stock")</f>
        <v>damaged stock</v>
      </c>
      <c r="I571" s="13" t="n">
        <f aca="false">IFERROR(__xludf.dummyfunction("""COMPUTED_VALUE"""),1)</f>
        <v>1</v>
      </c>
      <c r="J571" s="13" t="n">
        <f aca="false">IFERROR(__xludf.dummyfunction("""COMPUTED_VALUE"""),870)</f>
        <v>870</v>
      </c>
      <c r="K571" s="13" t="n">
        <f aca="false">IFERROR(__xludf.dummyfunction("""COMPUTED_VALUE"""),870)</f>
        <v>870</v>
      </c>
      <c r="L571" s="13" t="str">
        <f aca="false">IFERROR(__xludf.dummyfunction("""COMPUTED_VALUE"""),"[Code: 58ABCEHM]  TA: 2 bottels found in loose   condition during sorting.")</f>
        <v>[Code: 58ABCEHM]  TA: 2 bottels found in loose   condition during sorting.</v>
      </c>
      <c r="M571" s="13" t="str">
        <f aca="false">IFERROR(__xludf.dummyfunction("""COMPUTED_VALUE"""),"58ABCEHM")</f>
        <v>58ABCEHM</v>
      </c>
      <c r="N571" s="13"/>
      <c r="O571" s="13" t="str">
        <f aca="false">IFERROR(__xludf.dummyfunction("""COMPUTED_VALUE"""),"taufeeq.akhtar@tajir-app.com")</f>
        <v>taufeeq.akhtar@tajir-app.com</v>
      </c>
      <c r="P571" s="13" t="str">
        <f aca="false">IFERROR(__xludf.dummyfunction("""COMPUTED_VALUE"""),"Taufeeq Akhtar ")</f>
        <v>Taufeeq Akhtar </v>
      </c>
      <c r="Q571" s="13" t="str">
        <f aca="false">IF(L571="","",L571)</f>
        <v>[Code: 58ABCEHM]  TA: 2 bottels found in loose   condition during sorting.</v>
      </c>
    </row>
    <row r="572" customFormat="false" ht="15.75" hidden="false" customHeight="false" outlineLevel="0" collapsed="false">
      <c r="A572" s="13" t="str">
        <f aca="false">IFERROR(__xludf.dummyfunction("""COMPUTED_VALUE"""),"Metro DC Faisalabad")</f>
        <v>Metro DC Faisalabad</v>
      </c>
      <c r="B572" s="13" t="str">
        <f aca="false">IFERROR(__xludf.dummyfunction("""COMPUTED_VALUE"""),"978a88b5-e0d1-4d9d-b7a1-90921ab8d4f0")</f>
        <v>978a88b5-e0d1-4d9d-b7a1-90921ab8d4f0</v>
      </c>
      <c r="C572" s="13" t="str">
        <f aca="false">IFERROR(__xludf.dummyfunction("""COMPUTED_VALUE"""),"Sherdil Daal Mash Wash 5kg")</f>
        <v>Sherdil Daal Mash Wash 5kg</v>
      </c>
      <c r="D572" s="13" t="str">
        <f aca="false">IFERROR(__xludf.dummyfunction("""COMPUTED_VALUE"""),"Sherdil")</f>
        <v>Sherdil</v>
      </c>
      <c r="E572" s="13" t="str">
        <f aca="false">IFERROR(__xludf.dummyfunction("""COMPUTED_VALUE"""),"Pulses")</f>
        <v>Pulses</v>
      </c>
      <c r="F572" s="11" t="n">
        <f aca="false">IFERROR(__xludf.dummyfunction("""COMPUTED_VALUE"""),45214)</f>
        <v>45214</v>
      </c>
      <c r="G572" s="16" t="n">
        <f aca="false">IFERROR(__xludf.dummyfunction("""COMPUTED_VALUE"""),0.643554490741312)</f>
        <v>0.6435544907</v>
      </c>
      <c r="H572" s="13" t="str">
        <f aca="false">IFERROR(__xludf.dummyfunction("""COMPUTED_VALUE"""),"damaged stock")</f>
        <v>damaged stock</v>
      </c>
      <c r="I572" s="13" t="n">
        <f aca="false">IFERROR(__xludf.dummyfunction("""COMPUTED_VALUE"""),2)</f>
        <v>2</v>
      </c>
      <c r="J572" s="13" t="n">
        <f aca="false">IFERROR(__xludf.dummyfunction("""COMPUTED_VALUE"""),3006)</f>
        <v>3006</v>
      </c>
      <c r="K572" s="13" t="n">
        <f aca="false">IFERROR(__xludf.dummyfunction("""COMPUTED_VALUE"""),6012)</f>
        <v>6012</v>
      </c>
      <c r="L572" s="13" t="str">
        <f aca="false">IFERROR(__xludf.dummyfunction("""COMPUTED_VALUE"""),"[Code: 2388ABCE] 2 units found damaged due to fungus ")</f>
        <v>[Code: 2388ABCE] 2 units found damaged due to fungus </v>
      </c>
      <c r="M572" s="13" t="str">
        <f aca="false">IFERROR(__xludf.dummyfunction("""COMPUTED_VALUE"""),"2388ABCE")</f>
        <v>2388ABCE</v>
      </c>
      <c r="N572" s="13"/>
      <c r="O572" s="13" t="str">
        <f aca="false">IFERROR(__xludf.dummyfunction("""COMPUTED_VALUE"""),"ali.raza@tajir-app.com")</f>
        <v>ali.raza@tajir-app.com</v>
      </c>
      <c r="P572" s="13" t="str">
        <f aca="false">IFERROR(__xludf.dummyfunction("""COMPUTED_VALUE"""),"Ali Raza ")</f>
        <v>Ali Raza </v>
      </c>
      <c r="Q572" s="13" t="str">
        <f aca="false">IF(L572="","",L572)</f>
        <v>[Code: 2388ABCE] 2 units found damaged due to fungus </v>
      </c>
    </row>
    <row r="573" customFormat="false" ht="15.75" hidden="false" customHeight="false" outlineLevel="0" collapsed="false">
      <c r="A573" s="13" t="str">
        <f aca="false">IFERROR(__xludf.dummyfunction("""COMPUTED_VALUE"""),"Metro DC Faisalabad")</f>
        <v>Metro DC Faisalabad</v>
      </c>
      <c r="B573" s="13" t="str">
        <f aca="false">IFERROR(__xludf.dummyfunction("""COMPUTED_VALUE"""),"295d36d9-6897-41bf-8a72-7486d721cf17")</f>
        <v>295d36d9-6897-41bf-8a72-7486d721cf17</v>
      </c>
      <c r="C573" s="13" t="str">
        <f aca="false">IFERROR(__xludf.dummyfunction("""COMPUTED_VALUE"""),"Engro Olpers Milk Ecolean Pouch x28 Crate 250ml")</f>
        <v>Engro Olpers Milk Ecolean Pouch x28 Crate 250ml</v>
      </c>
      <c r="D573" s="13" t="str">
        <f aca="false">IFERROR(__xludf.dummyfunction("""COMPUTED_VALUE"""),"Olpers")</f>
        <v>Olpers</v>
      </c>
      <c r="E573" s="13" t="str">
        <f aca="false">IFERROR(__xludf.dummyfunction("""COMPUTED_VALUE"""),"Dairy")</f>
        <v>Dairy</v>
      </c>
      <c r="F573" s="11" t="n">
        <f aca="false">IFERROR(__xludf.dummyfunction("""COMPUTED_VALUE"""),45214)</f>
        <v>45214</v>
      </c>
      <c r="G573" s="16" t="n">
        <f aca="false">IFERROR(__xludf.dummyfunction("""COMPUTED_VALUE"""),0.564581793981929)</f>
        <v>0.564581794</v>
      </c>
      <c r="H573" s="13" t="str">
        <f aca="false">IFERROR(__xludf.dummyfunction("""COMPUTED_VALUE"""),"expired stock")</f>
        <v>expired stock</v>
      </c>
      <c r="I573" s="13" t="n">
        <f aca="false">IFERROR(__xludf.dummyfunction("""COMPUTED_VALUE"""),1)</f>
        <v>1</v>
      </c>
      <c r="J573" s="13" t="n">
        <f aca="false">IFERROR(__xludf.dummyfunction("""COMPUTED_VALUE"""),1790)</f>
        <v>1790</v>
      </c>
      <c r="K573" s="13" t="n">
        <f aca="false">IFERROR(__xludf.dummyfunction("""COMPUTED_VALUE"""),1790)</f>
        <v>1790</v>
      </c>
      <c r="L573" s="13" t="str">
        <f aca="false">IFERROR(__xludf.dummyfunction("""COMPUTED_VALUE"""),"[Code: 23366669] [Expiry: 5 Nov, 2023] 1 unit found short expiry")</f>
        <v>[Code: 23366669] [Expiry: 5 Nov, 2023] 1 unit found short expiry</v>
      </c>
      <c r="M573" s="13" t="str">
        <f aca="false">IFERROR(__xludf.dummyfunction("""COMPUTED_VALUE"""),"23366669")</f>
        <v>23366669</v>
      </c>
      <c r="N573" s="13" t="str">
        <f aca="false">IFERROR(__xludf.dummyfunction("""COMPUTED_VALUE"""),"5 Nov, 2023")</f>
        <v>5 Nov, 2023</v>
      </c>
      <c r="O573" s="13" t="str">
        <f aca="false">IFERROR(__xludf.dummyfunction("""COMPUTED_VALUE"""),"ali.raza@tajir-app.com")</f>
        <v>ali.raza@tajir-app.com</v>
      </c>
      <c r="P573" s="13" t="str">
        <f aca="false">IFERROR(__xludf.dummyfunction("""COMPUTED_VALUE"""),"Ali Raza ")</f>
        <v>Ali Raza </v>
      </c>
      <c r="Q573" s="13" t="str">
        <f aca="false">IF(L573="","",L573)</f>
        <v>[Code: 23366669] [Expiry: 5 Nov, 2023] 1 unit found short expiry</v>
      </c>
    </row>
    <row r="574" customFormat="false" ht="15.75" hidden="false" customHeight="false" outlineLevel="0" collapsed="false">
      <c r="A574" s="13" t="str">
        <f aca="false">IFERROR(__xludf.dummyfunction("""COMPUTED_VALUE"""),"Metro DC Faisalabad")</f>
        <v>Metro DC Faisalabad</v>
      </c>
      <c r="B574" s="13" t="str">
        <f aca="false">IFERROR(__xludf.dummyfunction("""COMPUTED_VALUE"""),"640b3d13-fe80-4e07-8c7f-6e8b80a71337")</f>
        <v>640b3d13-fe80-4e07-8c7f-6e8b80a71337</v>
      </c>
      <c r="C574" s="13" t="str">
        <f aca="false">IFERROR(__xludf.dummyfunction("""COMPUTED_VALUE"""),"Swadi Besan 5kg")</f>
        <v>Swadi Besan 5kg</v>
      </c>
      <c r="D574" s="13" t="str">
        <f aca="false">IFERROR(__xludf.dummyfunction("""COMPUTED_VALUE"""),"Swadi")</f>
        <v>Swadi</v>
      </c>
      <c r="E574" s="13" t="str">
        <f aca="false">IFERROR(__xludf.dummyfunction("""COMPUTED_VALUE"""),"Pulses")</f>
        <v>Pulses</v>
      </c>
      <c r="F574" s="11" t="n">
        <f aca="false">IFERROR(__xludf.dummyfunction("""COMPUTED_VALUE"""),45214)</f>
        <v>45214</v>
      </c>
      <c r="G574" s="16" t="n">
        <f aca="false">IFERROR(__xludf.dummyfunction("""COMPUTED_VALUE"""),0.481855289351388)</f>
        <v>0.4818552894</v>
      </c>
      <c r="H574" s="13" t="str">
        <f aca="false">IFERROR(__xludf.dummyfunction("""COMPUTED_VALUE"""),"damaged stock")</f>
        <v>damaged stock</v>
      </c>
      <c r="I574" s="13" t="n">
        <f aca="false">IFERROR(__xludf.dummyfunction("""COMPUTED_VALUE"""),1)</f>
        <v>1</v>
      </c>
      <c r="J574" s="13" t="n">
        <f aca="false">IFERROR(__xludf.dummyfunction("""COMPUTED_VALUE"""),1050)</f>
        <v>1050</v>
      </c>
      <c r="K574" s="13" t="n">
        <f aca="false">IFERROR(__xludf.dummyfunction("""COMPUTED_VALUE"""),1050)</f>
        <v>1050</v>
      </c>
      <c r="L574" s="13" t="str">
        <f aca="false">IFERROR(__xludf.dummyfunction("""COMPUTED_VALUE"""),"[Code: 4478CDEJ] 1 unit found damaged due to fungus")</f>
        <v>[Code: 4478CDEJ] 1 unit found damaged due to fungus</v>
      </c>
      <c r="M574" s="13" t="str">
        <f aca="false">IFERROR(__xludf.dummyfunction("""COMPUTED_VALUE"""),"4478CDEJ")</f>
        <v>4478CDEJ</v>
      </c>
      <c r="N574" s="13"/>
      <c r="O574" s="13" t="str">
        <f aca="false">IFERROR(__xludf.dummyfunction("""COMPUTED_VALUE"""),"ali.raza@tajir-app.com")</f>
        <v>ali.raza@tajir-app.com</v>
      </c>
      <c r="P574" s="13" t="str">
        <f aca="false">IFERROR(__xludf.dummyfunction("""COMPUTED_VALUE"""),"Ali Raza ")</f>
        <v>Ali Raza </v>
      </c>
      <c r="Q574" s="13" t="str">
        <f aca="false">IF(L574="","",L574)</f>
        <v>[Code: 4478CDEJ] 1 unit found damaged due to fungus</v>
      </c>
    </row>
    <row r="575" customFormat="false" ht="15.75" hidden="false" customHeight="false" outlineLevel="0" collapsed="false">
      <c r="A575" s="13" t="str">
        <f aca="false">IFERROR(__xludf.dummyfunction("""COMPUTED_VALUE"""),"Metro DC Faisalabad")</f>
        <v>Metro DC Faisalabad</v>
      </c>
      <c r="B575" s="13" t="str">
        <f aca="false">IFERROR(__xludf.dummyfunction("""COMPUTED_VALUE"""),"f7425506-e9b7-4b03-8637-220222ba185c")</f>
        <v>f7425506-e9b7-4b03-8637-220222ba185c</v>
      </c>
      <c r="C575" s="13" t="str">
        <f aca="false">IFERROR(__xludf.dummyfunction("""COMPUTED_VALUE"""),"Ariel Original Surf 2kg Rs1250")</f>
        <v>Ariel Original Surf 2kg Rs1250</v>
      </c>
      <c r="D575" s="13" t="str">
        <f aca="false">IFERROR(__xludf.dummyfunction("""COMPUTED_VALUE"""),"Ariel Surf")</f>
        <v>Ariel Surf</v>
      </c>
      <c r="E575" s="13" t="str">
        <f aca="false">IFERROR(__xludf.dummyfunction("""COMPUTED_VALUE"""),"Surf, Bleach")</f>
        <v>Surf, Bleach</v>
      </c>
      <c r="F575" s="11" t="n">
        <f aca="false">IFERROR(__xludf.dummyfunction("""COMPUTED_VALUE"""),45214)</f>
        <v>45214</v>
      </c>
      <c r="G575" s="16" t="n">
        <f aca="false">IFERROR(__xludf.dummyfunction("""COMPUTED_VALUE"""),0.480620231482559)</f>
        <v>0.4806202315</v>
      </c>
      <c r="H575" s="13" t="str">
        <f aca="false">IFERROR(__xludf.dummyfunction("""COMPUTED_VALUE"""),"damaged stock")</f>
        <v>damaged stock</v>
      </c>
      <c r="I575" s="13" t="n">
        <f aca="false">IFERROR(__xludf.dummyfunction("""COMPUTED_VALUE"""),1)</f>
        <v>1</v>
      </c>
      <c r="J575" s="13" t="n">
        <f aca="false">IFERROR(__xludf.dummyfunction("""COMPUTED_VALUE"""),1120)</f>
        <v>1120</v>
      </c>
      <c r="K575" s="13" t="n">
        <f aca="false">IFERROR(__xludf.dummyfunction("""COMPUTED_VALUE"""),1120)</f>
        <v>1120</v>
      </c>
      <c r="L575" s="13" t="str">
        <f aca="false">IFERROR(__xludf.dummyfunction("""COMPUTED_VALUE"""),"[Code: 5779DEFG] 1 unit damaged during sorting by rack")</f>
        <v>[Code: 5779DEFG] 1 unit damaged during sorting by rack</v>
      </c>
      <c r="M575" s="13" t="str">
        <f aca="false">IFERROR(__xludf.dummyfunction("""COMPUTED_VALUE"""),"5779DEFG")</f>
        <v>5779DEFG</v>
      </c>
      <c r="N575" s="13"/>
      <c r="O575" s="13" t="str">
        <f aca="false">IFERROR(__xludf.dummyfunction("""COMPUTED_VALUE"""),"ali.raza@tajir-app.com")</f>
        <v>ali.raza@tajir-app.com</v>
      </c>
      <c r="P575" s="13" t="str">
        <f aca="false">IFERROR(__xludf.dummyfunction("""COMPUTED_VALUE"""),"Ali Raza ")</f>
        <v>Ali Raza </v>
      </c>
      <c r="Q575" s="13" t="str">
        <f aca="false">IF(L575="","",L575)</f>
        <v>[Code: 5779DEFG] 1 unit damaged during sorting by rack</v>
      </c>
    </row>
    <row r="576" customFormat="false" ht="15.75" hidden="false" customHeight="false" outlineLevel="0" collapsed="false">
      <c r="A576" s="13" t="str">
        <f aca="false">IFERROR(__xludf.dummyfunction("""COMPUTED_VALUE"""),"Metro DC Faisalabad")</f>
        <v>Metro DC Faisalabad</v>
      </c>
      <c r="B576" s="13" t="str">
        <f aca="false">IFERROR(__xludf.dummyfunction("""COMPUTED_VALUE"""),"1b684534-854d-487b-87b4-d26502505afa")</f>
        <v>1b684534-854d-487b-87b4-d26502505afa</v>
      </c>
      <c r="C576" s="13" t="str">
        <f aca="false">IFERROR(__xludf.dummyfunction("""COMPUTED_VALUE"""),"Jan Mango 1L")</f>
        <v>Jan Mango 1L</v>
      </c>
      <c r="D576" s="13" t="str">
        <f aca="false">IFERROR(__xludf.dummyfunction("""COMPUTED_VALUE"""),"Jan")</f>
        <v>Jan</v>
      </c>
      <c r="E576" s="13" t="str">
        <f aca="false">IFERROR(__xludf.dummyfunction("""COMPUTED_VALUE"""),"Juice, Syrup, Squash")</f>
        <v>Juice, Syrup, Squash</v>
      </c>
      <c r="F576" s="11" t="n">
        <f aca="false">IFERROR(__xludf.dummyfunction("""COMPUTED_VALUE"""),45214)</f>
        <v>45214</v>
      </c>
      <c r="G576" s="16" t="n">
        <f aca="false">IFERROR(__xludf.dummyfunction("""COMPUTED_VALUE"""),0.0312271296278564)</f>
        <v>0.03122712963</v>
      </c>
      <c r="H576" s="13" t="str">
        <f aca="false">IFERROR(__xludf.dummyfunction("""COMPUTED_VALUE"""),"damaged stock")</f>
        <v>damaged stock</v>
      </c>
      <c r="I576" s="13" t="n">
        <f aca="false">IFERROR(__xludf.dummyfunction("""COMPUTED_VALUE"""),2)</f>
        <v>2</v>
      </c>
      <c r="J576" s="13" t="n">
        <f aca="false">IFERROR(__xludf.dummyfunction("""COMPUTED_VALUE"""),130.83)</f>
        <v>130.83</v>
      </c>
      <c r="K576" s="13" t="n">
        <f aca="false">IFERROR(__xludf.dummyfunction("""COMPUTED_VALUE"""),261.66)</f>
        <v>261.66</v>
      </c>
      <c r="L576" s="13" t="str">
        <f aca="false">IFERROR(__xludf.dummyfunction("""COMPUTED_VALUE"""),"[Code: 289CDEHJ] TA; 2unit damage found during sorting  wihtout  cap")</f>
        <v>[Code: 289CDEHJ] TA; 2unit damage found during sorting  wihtout  cap</v>
      </c>
      <c r="M576" s="13" t="str">
        <f aca="false">IFERROR(__xludf.dummyfunction("""COMPUTED_VALUE"""),"289CDEHJ")</f>
        <v>289CDEHJ</v>
      </c>
      <c r="N576" s="13"/>
      <c r="O576" s="13" t="str">
        <f aca="false">IFERROR(__xludf.dummyfunction("""COMPUTED_VALUE"""),"taufeeq.akhtar@tajir-app.com")</f>
        <v>taufeeq.akhtar@tajir-app.com</v>
      </c>
      <c r="P576" s="13" t="str">
        <f aca="false">IFERROR(__xludf.dummyfunction("""COMPUTED_VALUE"""),"Taufeeq Akhtar ")</f>
        <v>Taufeeq Akhtar </v>
      </c>
      <c r="Q576" s="13" t="str">
        <f aca="false">IF(L576="","",L576)</f>
        <v>[Code: 289CDEHJ] TA; 2unit damage found during sorting  wihtout  cap</v>
      </c>
    </row>
    <row r="577" customFormat="false" ht="15.75" hidden="false" customHeight="false" outlineLevel="0" collapsed="false">
      <c r="A577" s="13" t="str">
        <f aca="false">IFERROR(__xludf.dummyfunction("""COMPUTED_VALUE"""),"Metro DC Faisalabad")</f>
        <v>Metro DC Faisalabad</v>
      </c>
      <c r="B577" s="13" t="str">
        <f aca="false">IFERROR(__xludf.dummyfunction("""COMPUTED_VALUE"""),"24eda97a-547d-4730-a019-073bc438fe6c")</f>
        <v>24eda97a-547d-4730-a019-073bc438fe6c</v>
      </c>
      <c r="C577" s="13" t="str">
        <f aca="false">IFERROR(__xludf.dummyfunction("""COMPUTED_VALUE"""),"Al-Munawar Special Muzafati Dates Box")</f>
        <v>Al-Munawar Special Muzafati Dates Box</v>
      </c>
      <c r="D577" s="13" t="str">
        <f aca="false">IFERROR(__xludf.dummyfunction("""COMPUTED_VALUE"""),"Al-Munawar")</f>
        <v>Al-Munawar</v>
      </c>
      <c r="E577" s="13" t="str">
        <f aca="false">IFERROR(__xludf.dummyfunction("""COMPUTED_VALUE"""),"Khajoor &amp; Pakoriyan")</f>
        <v>Khajoor &amp; Pakoriyan</v>
      </c>
      <c r="F577" s="11" t="n">
        <f aca="false">IFERROR(__xludf.dummyfunction("""COMPUTED_VALUE"""),45215)</f>
        <v>45215</v>
      </c>
      <c r="G577" s="16" t="n">
        <f aca="false">IFERROR(__xludf.dummyfunction("""COMPUTED_VALUE"""),0.88706423611089)</f>
        <v>0.8870642361</v>
      </c>
      <c r="H577" s="13" t="str">
        <f aca="false">IFERROR(__xludf.dummyfunction("""COMPUTED_VALUE"""),"missing stock")</f>
        <v>missing stock</v>
      </c>
      <c r="I577" s="13" t="n">
        <f aca="false">IFERROR(__xludf.dummyfunction("""COMPUTED_VALUE"""),1)</f>
        <v>1</v>
      </c>
      <c r="J577" s="13" t="n">
        <f aca="false">IFERROR(__xludf.dummyfunction("""COMPUTED_VALUE"""),420)</f>
        <v>420</v>
      </c>
      <c r="K577" s="13" t="n">
        <f aca="false">IFERROR(__xludf.dummyfunction("""COMPUTED_VALUE"""),420)</f>
        <v>420</v>
      </c>
      <c r="L577" s="13" t="str">
        <f aca="false">IFERROR(__xludf.dummyfunction("""COMPUTED_VALUE"""),"TA: 1unit less due to mistakenly lived in audit")</f>
        <v>TA: 1unit less due to mistakenly lived in audit</v>
      </c>
      <c r="M577" s="13"/>
      <c r="N577" s="13"/>
      <c r="O577" s="13" t="str">
        <f aca="false">IFERROR(__xludf.dummyfunction("""COMPUTED_VALUE"""),"taufeeq.akhtar@tajir-app.com")</f>
        <v>taufeeq.akhtar@tajir-app.com</v>
      </c>
      <c r="P577" s="13" t="str">
        <f aca="false">IFERROR(__xludf.dummyfunction("""COMPUTED_VALUE"""),"Taufeeq Akhtar ")</f>
        <v>Taufeeq Akhtar </v>
      </c>
      <c r="Q577" s="13" t="str">
        <f aca="false">IF(L577="","",L577)</f>
        <v>TA: 1unit less due to mistakenly lived in audit</v>
      </c>
    </row>
    <row r="578" customFormat="false" ht="15.75" hidden="false" customHeight="false" outlineLevel="0" collapsed="false">
      <c r="A578" s="13" t="str">
        <f aca="false">IFERROR(__xludf.dummyfunction("""COMPUTED_VALUE"""),"Metro DC Faisalabad")</f>
        <v>Metro DC Faisalabad</v>
      </c>
      <c r="B578" s="13" t="str">
        <f aca="false">IFERROR(__xludf.dummyfunction("""COMPUTED_VALUE"""),"67c33ff3-e486-487d-844a-b17c396936ee")</f>
        <v>67c33ff3-e486-487d-844a-b17c396936ee</v>
      </c>
      <c r="C578" s="13" t="str">
        <f aca="false">IFERROR(__xludf.dummyfunction("""COMPUTED_VALUE"""),"Coca Cola plastic 1L")</f>
        <v>Coca Cola plastic 1L</v>
      </c>
      <c r="D578" s="13" t="str">
        <f aca="false">IFERROR(__xludf.dummyfunction("""COMPUTED_VALUE"""),"Coca Cola")</f>
        <v>Coca Cola</v>
      </c>
      <c r="E578" s="13" t="str">
        <f aca="false">IFERROR(__xludf.dummyfunction("""COMPUTED_VALUE"""),"Beverages")</f>
        <v>Beverages</v>
      </c>
      <c r="F578" s="11" t="n">
        <f aca="false">IFERROR(__xludf.dummyfunction("""COMPUTED_VALUE"""),45215)</f>
        <v>45215</v>
      </c>
      <c r="G578" s="16" t="n">
        <f aca="false">IFERROR(__xludf.dummyfunction("""COMPUTED_VALUE"""),0.860793634258284)</f>
        <v>0.8607936343</v>
      </c>
      <c r="H578" s="13" t="str">
        <f aca="false">IFERROR(__xludf.dummyfunction("""COMPUTED_VALUE"""),"damaged stock")</f>
        <v>damaged stock</v>
      </c>
      <c r="I578" s="13" t="n">
        <f aca="false">IFERROR(__xludf.dummyfunction("""COMPUTED_VALUE"""),1)</f>
        <v>1</v>
      </c>
      <c r="J578" s="13" t="n">
        <f aca="false">IFERROR(__xludf.dummyfunction("""COMPUTED_VALUE"""),773.13)</f>
        <v>773.13</v>
      </c>
      <c r="K578" s="13" t="n">
        <f aca="false">IFERROR(__xludf.dummyfunction("""COMPUTED_VALUE"""),773.13)</f>
        <v>773.13</v>
      </c>
      <c r="L578" s="13" t="str">
        <f aca="false">IFERROR(__xludf.dummyfunction("""COMPUTED_VALUE"""),"[Code: 577889BC]   TA: 2 bottels found in loose condition during sorting.")</f>
        <v>[Code: 577889BC]   TA: 2 bottels found in loose condition during sorting.</v>
      </c>
      <c r="M578" s="13" t="str">
        <f aca="false">IFERROR(__xludf.dummyfunction("""COMPUTED_VALUE"""),"577889BC")</f>
        <v>577889BC</v>
      </c>
      <c r="N578" s="13"/>
      <c r="O578" s="13" t="str">
        <f aca="false">IFERROR(__xludf.dummyfunction("""COMPUTED_VALUE"""),"taufeeq.akhtar@tajir-app.com")</f>
        <v>taufeeq.akhtar@tajir-app.com</v>
      </c>
      <c r="P578" s="13" t="str">
        <f aca="false">IFERROR(__xludf.dummyfunction("""COMPUTED_VALUE"""),"Taufeeq Akhtar ")</f>
        <v>Taufeeq Akhtar </v>
      </c>
      <c r="Q578" s="13" t="str">
        <f aca="false">IF(L578="","",L578)</f>
        <v>[Code: 577889BC]   TA: 2 bottels found in loose condition during sorting.</v>
      </c>
    </row>
    <row r="579" customFormat="false" ht="15.75" hidden="false" customHeight="false" outlineLevel="0" collapsed="false">
      <c r="A579" s="13" t="str">
        <f aca="false">IFERROR(__xludf.dummyfunction("""COMPUTED_VALUE"""),"Metro DC Faisalabad")</f>
        <v>Metro DC Faisalabad</v>
      </c>
      <c r="B579" s="13" t="str">
        <f aca="false">IFERROR(__xludf.dummyfunction("""COMPUTED_VALUE"""),"eff7c5b3-4154-4f71-8ee4-cf81e596da29")</f>
        <v>eff7c5b3-4154-4f71-8ee4-cf81e596da29</v>
      </c>
      <c r="C579" s="13" t="str">
        <f aca="false">IFERROR(__xludf.dummyfunction("""COMPUTED_VALUE"""),"Mirinda plastic 1.5L Mrinda Marinda")</f>
        <v>Mirinda plastic 1.5L Mrinda Marinda</v>
      </c>
      <c r="D579" s="13" t="str">
        <f aca="false">IFERROR(__xludf.dummyfunction("""COMPUTED_VALUE"""),"Mirinda")</f>
        <v>Mirinda</v>
      </c>
      <c r="E579" s="13" t="str">
        <f aca="false">IFERROR(__xludf.dummyfunction("""COMPUTED_VALUE"""),"Beverages")</f>
        <v>Beverages</v>
      </c>
      <c r="F579" s="11" t="n">
        <f aca="false">IFERROR(__xludf.dummyfunction("""COMPUTED_VALUE"""),45215)</f>
        <v>45215</v>
      </c>
      <c r="G579" s="16" t="n">
        <f aca="false">IFERROR(__xludf.dummyfunction("""COMPUTED_VALUE"""),0.86042440972198)</f>
        <v>0.8604244097</v>
      </c>
      <c r="H579" s="13" t="str">
        <f aca="false">IFERROR(__xludf.dummyfunction("""COMPUTED_VALUE"""),"damaged stock")</f>
        <v>damaged stock</v>
      </c>
      <c r="I579" s="13" t="n">
        <f aca="false">IFERROR(__xludf.dummyfunction("""COMPUTED_VALUE"""),1)</f>
        <v>1</v>
      </c>
      <c r="J579" s="13" t="n">
        <f aca="false">IFERROR(__xludf.dummyfunction("""COMPUTED_VALUE"""),800)</f>
        <v>800</v>
      </c>
      <c r="K579" s="13" t="n">
        <f aca="false">IFERROR(__xludf.dummyfunction("""COMPUTED_VALUE"""),800)</f>
        <v>800</v>
      </c>
      <c r="L579" s="13" t="str">
        <f aca="false">IFERROR(__xludf.dummyfunction("""COMPUTED_VALUE"""),"[Code: 2788BCDH]   TA: 2 bottels found in loose condition during sorting.")</f>
        <v>[Code: 2788BCDH]   TA: 2 bottels found in loose condition during sorting.</v>
      </c>
      <c r="M579" s="13" t="str">
        <f aca="false">IFERROR(__xludf.dummyfunction("""COMPUTED_VALUE"""),"2788BCDH")</f>
        <v>2788BCDH</v>
      </c>
      <c r="N579" s="13"/>
      <c r="O579" s="13" t="str">
        <f aca="false">IFERROR(__xludf.dummyfunction("""COMPUTED_VALUE"""),"taufeeq.akhtar@tajir-app.com")</f>
        <v>taufeeq.akhtar@tajir-app.com</v>
      </c>
      <c r="P579" s="13" t="str">
        <f aca="false">IFERROR(__xludf.dummyfunction("""COMPUTED_VALUE"""),"Taufeeq Akhtar ")</f>
        <v>Taufeeq Akhtar </v>
      </c>
      <c r="Q579" s="13" t="str">
        <f aca="false">IF(L579="","",L579)</f>
        <v>[Code: 2788BCDH]   TA: 2 bottels found in loose condition during sorting.</v>
      </c>
    </row>
    <row r="580" customFormat="false" ht="15.75" hidden="false" customHeight="false" outlineLevel="0" collapsed="false">
      <c r="A580" s="13" t="str">
        <f aca="false">IFERROR(__xludf.dummyfunction("""COMPUTED_VALUE"""),"Metro DC Faisalabad")</f>
        <v>Metro DC Faisalabad</v>
      </c>
      <c r="B580" s="13" t="str">
        <f aca="false">IFERROR(__xludf.dummyfunction("""COMPUTED_VALUE"""),"7f923b69-80d3-47fb-9441-450eab46eb8e")</f>
        <v>7f923b69-80d3-47fb-9441-450eab46eb8e</v>
      </c>
      <c r="C580" s="13" t="str">
        <f aca="false">IFERROR(__xludf.dummyfunction("""COMPUTED_VALUE"""),"Gibs Real Taste Quality Biscuits 40pcs Rs5")</f>
        <v>Gibs Real Taste Quality Biscuits 40pcs Rs5</v>
      </c>
      <c r="D580" s="13" t="str">
        <f aca="false">IFERROR(__xludf.dummyfunction("""COMPUTED_VALUE"""),"Gibs")</f>
        <v>Gibs</v>
      </c>
      <c r="E580" s="13" t="str">
        <f aca="false">IFERROR(__xludf.dummyfunction("""COMPUTED_VALUE"""),"Biscuits, Wafers")</f>
        <v>Biscuits, Wafers</v>
      </c>
      <c r="F580" s="11" t="n">
        <f aca="false">IFERROR(__xludf.dummyfunction("""COMPUTED_VALUE"""),45215)</f>
        <v>45215</v>
      </c>
      <c r="G580" s="16" t="n">
        <f aca="false">IFERROR(__xludf.dummyfunction("""COMPUTED_VALUE"""),0.449924201388867)</f>
        <v>0.4499242014</v>
      </c>
      <c r="H580" s="13" t="str">
        <f aca="false">IFERROR(__xludf.dummyfunction("""COMPUTED_VALUE"""),"expired stock")</f>
        <v>expired stock</v>
      </c>
      <c r="I580" s="13" t="n">
        <f aca="false">IFERROR(__xludf.dummyfunction("""COMPUTED_VALUE"""),241)</f>
        <v>241</v>
      </c>
      <c r="J580" s="13" t="n">
        <f aca="false">IFERROR(__xludf.dummyfunction("""COMPUTED_VALUE"""),171.6)</f>
        <v>171.6</v>
      </c>
      <c r="K580" s="13" t="n">
        <f aca="false">IFERROR(__xludf.dummyfunction("""COMPUTED_VALUE"""),41355.6)</f>
        <v>41355.6</v>
      </c>
      <c r="L580" s="13" t="str">
        <f aca="false">IFERROR(__xludf.dummyfunction("""COMPUTED_VALUE"""),"[Code: 22689FHH] [Expiry: 30 Oct, 2023] AR : 241  selling unit found short expiry ")</f>
        <v>[Code: 22689FHH] [Expiry: 30 Oct, 2023] AR : 241  selling unit found short expiry </v>
      </c>
      <c r="M580" s="13" t="str">
        <f aca="false">IFERROR(__xludf.dummyfunction("""COMPUTED_VALUE"""),"22689FHH")</f>
        <v>22689FHH</v>
      </c>
      <c r="N580" s="13" t="str">
        <f aca="false">IFERROR(__xludf.dummyfunction("""COMPUTED_VALUE"""),"30 Oct, 2023")</f>
        <v>30 Oct, 2023</v>
      </c>
      <c r="O580" s="13" t="str">
        <f aca="false">IFERROR(__xludf.dummyfunction("""COMPUTED_VALUE"""),"ali.raza@tajir-app.com")</f>
        <v>ali.raza@tajir-app.com</v>
      </c>
      <c r="P580" s="13" t="str">
        <f aca="false">IFERROR(__xludf.dummyfunction("""COMPUTED_VALUE"""),"Ali Raza ")</f>
        <v>Ali Raza </v>
      </c>
      <c r="Q580" s="13" t="str">
        <f aca="false">IF(L580="","",L580)</f>
        <v>[Code: 22689FHH] [Expiry: 30 Oct, 2023] AR : 241  selling unit found short expiry </v>
      </c>
    </row>
    <row r="581" customFormat="false" ht="15.75" hidden="false" customHeight="false" outlineLevel="0" collapsed="false">
      <c r="A581" s="13" t="str">
        <f aca="false">IFERROR(__xludf.dummyfunction("""COMPUTED_VALUE"""),"Metro DC Faisalabad")</f>
        <v>Metro DC Faisalabad</v>
      </c>
      <c r="B581" s="13" t="str">
        <f aca="false">IFERROR(__xludf.dummyfunction("""COMPUTED_VALUE"""),"9f296fd5-3f53-43a7-aa24-12b881344053")</f>
        <v>9f296fd5-3f53-43a7-aa24-12b881344053</v>
      </c>
      <c r="C581" s="13" t="str">
        <f aca="false">IFERROR(__xludf.dummyfunction("""COMPUTED_VALUE"""),"Gourmet Mango Mauj 500ml")</f>
        <v>Gourmet Mango Mauj 500ml</v>
      </c>
      <c r="D581" s="13" t="str">
        <f aca="false">IFERROR(__xludf.dummyfunction("""COMPUTED_VALUE"""),"Gourmet")</f>
        <v>Gourmet</v>
      </c>
      <c r="E581" s="13" t="str">
        <f aca="false">IFERROR(__xludf.dummyfunction("""COMPUTED_VALUE"""),"Juice, Syrup, Squash")</f>
        <v>Juice, Syrup, Squash</v>
      </c>
      <c r="F581" s="11" t="n">
        <f aca="false">IFERROR(__xludf.dummyfunction("""COMPUTED_VALUE"""),45216)</f>
        <v>45216</v>
      </c>
      <c r="G581" s="16" t="n">
        <f aca="false">IFERROR(__xludf.dummyfunction("""COMPUTED_VALUE"""),0.836173009258801)</f>
        <v>0.8361730093</v>
      </c>
      <c r="H581" s="13" t="str">
        <f aca="false">IFERROR(__xludf.dummyfunction("""COMPUTED_VALUE"""),"damaged stock")</f>
        <v>damaged stock</v>
      </c>
      <c r="I581" s="13" t="n">
        <f aca="false">IFERROR(__xludf.dummyfunction("""COMPUTED_VALUE"""),1)</f>
        <v>1</v>
      </c>
      <c r="J581" s="13" t="n">
        <f aca="false">IFERROR(__xludf.dummyfunction("""COMPUTED_VALUE"""),736.02)</f>
        <v>736.02</v>
      </c>
      <c r="K581" s="13" t="n">
        <f aca="false">IFERROR(__xludf.dummyfunction("""COMPUTED_VALUE"""),736.02)</f>
        <v>736.02</v>
      </c>
      <c r="L581" s="13" t="str">
        <f aca="false">IFERROR(__xludf.dummyfunction("""COMPUTED_VALUE"""),"[Code: 35579BKL] TA; 1 unit damage found during sorting")</f>
        <v>[Code: 35579BKL] TA; 1 unit damage found during sorting</v>
      </c>
      <c r="M581" s="13" t="str">
        <f aca="false">IFERROR(__xludf.dummyfunction("""COMPUTED_VALUE"""),"35579BKL")</f>
        <v>35579BKL</v>
      </c>
      <c r="N581" s="13"/>
      <c r="O581" s="13" t="str">
        <f aca="false">IFERROR(__xludf.dummyfunction("""COMPUTED_VALUE"""),"taufeeq.akhtar@tajir-app.com")</f>
        <v>taufeeq.akhtar@tajir-app.com</v>
      </c>
      <c r="P581" s="13" t="str">
        <f aca="false">IFERROR(__xludf.dummyfunction("""COMPUTED_VALUE"""),"Taufeeq Akhtar ")</f>
        <v>Taufeeq Akhtar </v>
      </c>
      <c r="Q581" s="13" t="str">
        <f aca="false">IF(L581="","",L581)</f>
        <v>[Code: 35579BKL] TA; 1 unit damage found during sorting</v>
      </c>
    </row>
    <row r="582" customFormat="false" ht="15.75" hidden="false" customHeight="false" outlineLevel="0" collapsed="false">
      <c r="A582" s="13" t="str">
        <f aca="false">IFERROR(__xludf.dummyfunction("""COMPUTED_VALUE"""),"Metro DC Faisalabad")</f>
        <v>Metro DC Faisalabad</v>
      </c>
      <c r="B582" s="13" t="str">
        <f aca="false">IFERROR(__xludf.dummyfunction("""COMPUTED_VALUE"""),"61b64cf5-8ce8-47c7-8293-6e04fbebd722")</f>
        <v>61b64cf5-8ce8-47c7-8293-6e04fbebd722</v>
      </c>
      <c r="C582" s="13" t="str">
        <f aca="false">IFERROR(__xludf.dummyfunction("""COMPUTED_VALUE"""),"Lemon Max Liquid Regular Bottle 475ml Rs260")</f>
        <v>Lemon Max Liquid Regular Bottle 475ml Rs260</v>
      </c>
      <c r="D582" s="13" t="str">
        <f aca="false">IFERROR(__xludf.dummyfunction("""COMPUTED_VALUE"""),"Lemon Max")</f>
        <v>Lemon Max</v>
      </c>
      <c r="E582" s="13" t="str">
        <f aca="false">IFERROR(__xludf.dummyfunction("""COMPUTED_VALUE"""),"Home Care")</f>
        <v>Home Care</v>
      </c>
      <c r="F582" s="11" t="n">
        <f aca="false">IFERROR(__xludf.dummyfunction("""COMPUTED_VALUE"""),45217)</f>
        <v>45217</v>
      </c>
      <c r="G582" s="16" t="n">
        <f aca="false">IFERROR(__xludf.dummyfunction("""COMPUTED_VALUE"""),0.888505532407984)</f>
        <v>0.8885055324</v>
      </c>
      <c r="H582" s="13" t="str">
        <f aca="false">IFERROR(__xludf.dummyfunction("""COMPUTED_VALUE"""),"damaged stock")</f>
        <v>damaged stock</v>
      </c>
      <c r="I582" s="13" t="n">
        <f aca="false">IFERROR(__xludf.dummyfunction("""COMPUTED_VALUE"""),1)</f>
        <v>1</v>
      </c>
      <c r="J582" s="13" t="n">
        <f aca="false">IFERROR(__xludf.dummyfunction("""COMPUTED_VALUE"""),239.63)</f>
        <v>239.63</v>
      </c>
      <c r="K582" s="13" t="n">
        <f aca="false">IFERROR(__xludf.dummyfunction("""COMPUTED_VALUE"""),239.63)</f>
        <v>239.63</v>
      </c>
      <c r="L582" s="13" t="str">
        <f aca="false">IFERROR(__xludf.dummyfunction("""COMPUTED_VALUE"""),"[Code: 56779EGH] TA: Found damaged from box during stock display (cap toota hua hayn...)")</f>
        <v>[Code: 56779EGH] TA: Found damaged from box during stock display (cap toota hua hayn...)</v>
      </c>
      <c r="M582" s="13" t="str">
        <f aca="false">IFERROR(__xludf.dummyfunction("""COMPUTED_VALUE"""),"56779EGH")</f>
        <v>56779EGH</v>
      </c>
      <c r="N582" s="13"/>
      <c r="O582" s="13" t="str">
        <f aca="false">IFERROR(__xludf.dummyfunction("""COMPUTED_VALUE"""),"taufeeq.akhtar@tajir-app.com")</f>
        <v>taufeeq.akhtar@tajir-app.com</v>
      </c>
      <c r="P582" s="13" t="str">
        <f aca="false">IFERROR(__xludf.dummyfunction("""COMPUTED_VALUE"""),"Taufeeq Akhtar ")</f>
        <v>Taufeeq Akhtar </v>
      </c>
      <c r="Q582" s="13" t="str">
        <f aca="false">IF(L582="","",L582)</f>
        <v>[Code: 56779EGH] TA: Found damaged from box during stock display (cap toota hua hayn...)</v>
      </c>
    </row>
    <row r="583" customFormat="false" ht="15.75" hidden="false" customHeight="false" outlineLevel="0" collapsed="false">
      <c r="A583" s="13" t="str">
        <f aca="false">IFERROR(__xludf.dummyfunction("""COMPUTED_VALUE"""),"Metro DC Faisalabad")</f>
        <v>Metro DC Faisalabad</v>
      </c>
      <c r="B583" s="13" t="str">
        <f aca="false">IFERROR(__xludf.dummyfunction("""COMPUTED_VALUE"""),"68a117a6-3f98-4eb1-aef6-df85a7f8e4ba")</f>
        <v>68a117a6-3f98-4eb1-aef6-df85a7f8e4ba</v>
      </c>
      <c r="C583" s="13" t="str">
        <f aca="false">IFERROR(__xludf.dummyfunction("""COMPUTED_VALUE"""),"Aish Water 1500ml")</f>
        <v>Aish Water 1500ml</v>
      </c>
      <c r="D583" s="13" t="str">
        <f aca="false">IFERROR(__xludf.dummyfunction("""COMPUTED_VALUE"""),"Aish Water")</f>
        <v>Aish Water</v>
      </c>
      <c r="E583" s="13" t="str">
        <f aca="false">IFERROR(__xludf.dummyfunction("""COMPUTED_VALUE"""),"Beverages")</f>
        <v>Beverages</v>
      </c>
      <c r="F583" s="11" t="n">
        <f aca="false">IFERROR(__xludf.dummyfunction("""COMPUTED_VALUE"""),45217)</f>
        <v>45217</v>
      </c>
      <c r="G583" s="16" t="n">
        <f aca="false">IFERROR(__xludf.dummyfunction("""COMPUTED_VALUE"""),0.851188888890554)</f>
        <v>0.8511888889</v>
      </c>
      <c r="H583" s="13" t="str">
        <f aca="false">IFERROR(__xludf.dummyfunction("""COMPUTED_VALUE"""),"damaged stock")</f>
        <v>damaged stock</v>
      </c>
      <c r="I583" s="13" t="n">
        <f aca="false">IFERROR(__xludf.dummyfunction("""COMPUTED_VALUE"""),1)</f>
        <v>1</v>
      </c>
      <c r="J583" s="13" t="n">
        <f aca="false">IFERROR(__xludf.dummyfunction("""COMPUTED_VALUE"""),190)</f>
        <v>190</v>
      </c>
      <c r="K583" s="13" t="n">
        <f aca="false">IFERROR(__xludf.dummyfunction("""COMPUTED_VALUE"""),190)</f>
        <v>190</v>
      </c>
      <c r="L583" s="13" t="str">
        <f aca="false">IFERROR(__xludf.dummyfunction("""COMPUTED_VALUE"""),"[Code: 8AAELNQ] TA: 1 unit damage during sorting (sorter sy damage hoi he 1bottel )")</f>
        <v>[Code: 8AAELNQ] TA: 1 unit damage during sorting (sorter sy damage hoi he 1bottel )</v>
      </c>
      <c r="M583" s="13" t="str">
        <f aca="false">IFERROR(__xludf.dummyfunction("""COMPUTED_VALUE"""),"8AAELNQ")</f>
        <v>8AAELNQ</v>
      </c>
      <c r="N583" s="13"/>
      <c r="O583" s="13" t="str">
        <f aca="false">IFERROR(__xludf.dummyfunction("""COMPUTED_VALUE"""),"taufeeq.akhtar@tajir-app.com")</f>
        <v>taufeeq.akhtar@tajir-app.com</v>
      </c>
      <c r="P583" s="13" t="str">
        <f aca="false">IFERROR(__xludf.dummyfunction("""COMPUTED_VALUE"""),"Taufeeq Akhtar ")</f>
        <v>Taufeeq Akhtar </v>
      </c>
      <c r="Q583" s="13" t="str">
        <f aca="false">IF(L583="","",L583)</f>
        <v>[Code: 8AAELNQ] TA: 1 unit damage during sorting (sorter sy damage hoi he 1bottel )</v>
      </c>
    </row>
    <row r="584" customFormat="false" ht="15.75" hidden="false" customHeight="false" outlineLevel="0" collapsed="false">
      <c r="A584" s="13" t="str">
        <f aca="false">IFERROR(__xludf.dummyfunction("""COMPUTED_VALUE"""),"Metro DC Faisalabad")</f>
        <v>Metro DC Faisalabad</v>
      </c>
      <c r="B584" s="13" t="str">
        <f aca="false">IFERROR(__xludf.dummyfunction("""COMPUTED_VALUE"""),"cd68a607-af95-45cb-b9f4-2721224c85f8")</f>
        <v>cd68a607-af95-45cb-b9f4-2721224c85f8</v>
      </c>
      <c r="C584" s="13" t="str">
        <f aca="false">IFERROR(__xludf.dummyfunction("""COMPUTED_VALUE"""),"Coca Cola plastic 1.5L")</f>
        <v>Coca Cola plastic 1.5L</v>
      </c>
      <c r="D584" s="13" t="str">
        <f aca="false">IFERROR(__xludf.dummyfunction("""COMPUTED_VALUE"""),"Coca Cola")</f>
        <v>Coca Cola</v>
      </c>
      <c r="E584" s="13" t="str">
        <f aca="false">IFERROR(__xludf.dummyfunction("""COMPUTED_VALUE"""),"Beverages")</f>
        <v>Beverages</v>
      </c>
      <c r="F584" s="11" t="n">
        <f aca="false">IFERROR(__xludf.dummyfunction("""COMPUTED_VALUE"""),45217)</f>
        <v>45217</v>
      </c>
      <c r="G584" s="16" t="n">
        <f aca="false">IFERROR(__xludf.dummyfunction("""COMPUTED_VALUE"""),0.847450243056434)</f>
        <v>0.8474502431</v>
      </c>
      <c r="H584" s="13" t="str">
        <f aca="false">IFERROR(__xludf.dummyfunction("""COMPUTED_VALUE"""),"damaged stock")</f>
        <v>damaged stock</v>
      </c>
      <c r="I584" s="13" t="n">
        <f aca="false">IFERROR(__xludf.dummyfunction("""COMPUTED_VALUE"""),1)</f>
        <v>1</v>
      </c>
      <c r="J584" s="13" t="n">
        <f aca="false">IFERROR(__xludf.dummyfunction("""COMPUTED_VALUE"""),914.68)</f>
        <v>914.68</v>
      </c>
      <c r="K584" s="13" t="n">
        <f aca="false">IFERROR(__xludf.dummyfunction("""COMPUTED_VALUE"""),914.68)</f>
        <v>914.68</v>
      </c>
      <c r="L584" s="13" t="str">
        <f aca="false">IFERROR(__xludf.dummyfunction("""COMPUTED_VALUE"""),"[Code: 234579AD]  TA: 2 bottels found in loose condition during sorting.")</f>
        <v>[Code: 234579AD]  TA: 2 bottels found in loose condition during sorting.</v>
      </c>
      <c r="M584" s="13" t="str">
        <f aca="false">IFERROR(__xludf.dummyfunction("""COMPUTED_VALUE"""),"234579AD")</f>
        <v>234579AD</v>
      </c>
      <c r="N584" s="13"/>
      <c r="O584" s="13" t="str">
        <f aca="false">IFERROR(__xludf.dummyfunction("""COMPUTED_VALUE"""),"taufeeq.akhtar@tajir-app.com")</f>
        <v>taufeeq.akhtar@tajir-app.com</v>
      </c>
      <c r="P584" s="13" t="str">
        <f aca="false">IFERROR(__xludf.dummyfunction("""COMPUTED_VALUE"""),"Taufeeq Akhtar ")</f>
        <v>Taufeeq Akhtar </v>
      </c>
      <c r="Q584" s="13" t="str">
        <f aca="false">IF(L584="","",L584)</f>
        <v>[Code: 234579AD]  TA: 2 bottels found in loose condition during sorting.</v>
      </c>
    </row>
    <row r="585" customFormat="false" ht="15.75" hidden="false" customHeight="false" outlineLevel="0" collapsed="false">
      <c r="A585" s="13" t="str">
        <f aca="false">IFERROR(__xludf.dummyfunction("""COMPUTED_VALUE"""),"Metro DC Faisalabad")</f>
        <v>Metro DC Faisalabad</v>
      </c>
      <c r="B585" s="13" t="str">
        <f aca="false">IFERROR(__xludf.dummyfunction("""COMPUTED_VALUE"""),"f75700db-db97-4687-a243-8c9ae89def23")</f>
        <v>f75700db-db97-4687-a243-8c9ae89def23</v>
      </c>
      <c r="C585" s="13" t="str">
        <f aca="false">IFERROR(__xludf.dummyfunction("""COMPUTED_VALUE"""),"Juice Time Guava 1L")</f>
        <v>Juice Time Guava 1L</v>
      </c>
      <c r="D585" s="13" t="str">
        <f aca="false">IFERROR(__xludf.dummyfunction("""COMPUTED_VALUE"""),"Juice Time")</f>
        <v>Juice Time</v>
      </c>
      <c r="E585" s="13" t="str">
        <f aca="false">IFERROR(__xludf.dummyfunction("""COMPUTED_VALUE"""),"Juice, Syrup, Squash")</f>
        <v>Juice, Syrup, Squash</v>
      </c>
      <c r="F585" s="11" t="n">
        <f aca="false">IFERROR(__xludf.dummyfunction("""COMPUTED_VALUE"""),45219)</f>
        <v>45219</v>
      </c>
      <c r="G585" s="16" t="n">
        <f aca="false">IFERROR(__xludf.dummyfunction("""COMPUTED_VALUE"""),0.691538738425231)</f>
        <v>0.6915387384</v>
      </c>
      <c r="H585" s="13" t="str">
        <f aca="false">IFERROR(__xludf.dummyfunction("""COMPUTED_VALUE"""),"expired stock")</f>
        <v>expired stock</v>
      </c>
      <c r="I585" s="13" t="n">
        <f aca="false">IFERROR(__xludf.dummyfunction("""COMPUTED_VALUE"""),36)</f>
        <v>36</v>
      </c>
      <c r="J585" s="13" t="n">
        <f aca="false">IFERROR(__xludf.dummyfunction("""COMPUTED_VALUE"""),126.67)</f>
        <v>126.67</v>
      </c>
      <c r="K585" s="13" t="n">
        <f aca="false">IFERROR(__xludf.dummyfunction("""COMPUTED_VALUE"""),4560.12)</f>
        <v>4560.12</v>
      </c>
      <c r="L585" s="13" t="str">
        <f aca="false">IFERROR(__xludf.dummyfunction("""COMPUTED_VALUE"""),"[Code: 3345BGJL] [Expiry: 1 Sep, 2023] TA: 36 units found  expired during night audit.")</f>
        <v>[Code: 3345BGJL] [Expiry: 1 Sep, 2023] TA: 36 units found  expired during night audit.</v>
      </c>
      <c r="M585" s="13" t="str">
        <f aca="false">IFERROR(__xludf.dummyfunction("""COMPUTED_VALUE"""),"3345BGJL")</f>
        <v>3345BGJL</v>
      </c>
      <c r="N585" s="13" t="str">
        <f aca="false">IFERROR(__xludf.dummyfunction("""COMPUTED_VALUE"""),"1 Sep, 2023")</f>
        <v>1 Sep, 2023</v>
      </c>
      <c r="O585" s="13" t="str">
        <f aca="false">IFERROR(__xludf.dummyfunction("""COMPUTED_VALUE"""),"taufeeq.akhtar@tajir-app.com")</f>
        <v>taufeeq.akhtar@tajir-app.com</v>
      </c>
      <c r="P585" s="13" t="str">
        <f aca="false">IFERROR(__xludf.dummyfunction("""COMPUTED_VALUE"""),"Taufeeq Akhtar ")</f>
        <v>Taufeeq Akhtar </v>
      </c>
      <c r="Q585" s="13" t="str">
        <f aca="false">IF(L585="","",L585)</f>
        <v>[Code: 3345BGJL] [Expiry: 1 Sep, 2023] TA: 36 units found  expired during night audit.</v>
      </c>
    </row>
    <row r="586" customFormat="false" ht="15.75" hidden="false" customHeight="false" outlineLevel="0" collapsed="false">
      <c r="A586" s="13" t="str">
        <f aca="false">IFERROR(__xludf.dummyfunction("""COMPUTED_VALUE"""),"Metro DC Faisalabad")</f>
        <v>Metro DC Faisalabad</v>
      </c>
      <c r="B586" s="13" t="str">
        <f aca="false">IFERROR(__xludf.dummyfunction("""COMPUTED_VALUE"""),"3175cb6a-55fb-434f-a79a-2c987c3438a4")</f>
        <v>3175cb6a-55fb-434f-a79a-2c987c3438a4</v>
      </c>
      <c r="C586" s="13" t="str">
        <f aca="false">IFERROR(__xludf.dummyfunction("""COMPUTED_VALUE"""),"Engro Dairy Omung Milk x27 Crate 225ml")</f>
        <v>Engro Dairy Omung Milk x27 Crate 225ml</v>
      </c>
      <c r="D586" s="13" t="str">
        <f aca="false">IFERROR(__xludf.dummyfunction("""COMPUTED_VALUE"""),"Omung")</f>
        <v>Omung</v>
      </c>
      <c r="E586" s="13" t="str">
        <f aca="false">IFERROR(__xludf.dummyfunction("""COMPUTED_VALUE"""),"Dairy")</f>
        <v>Dairy</v>
      </c>
      <c r="F586" s="11" t="n">
        <f aca="false">IFERROR(__xludf.dummyfunction("""COMPUTED_VALUE"""),45220)</f>
        <v>45220</v>
      </c>
      <c r="G586" s="16" t="n">
        <f aca="false">IFERROR(__xludf.dummyfunction("""COMPUTED_VALUE"""),0.853426724536078)</f>
        <v>0.8534267245</v>
      </c>
      <c r="H586" s="13" t="str">
        <f aca="false">IFERROR(__xludf.dummyfunction("""COMPUTED_VALUE"""),"damaged stock")</f>
        <v>damaged stock</v>
      </c>
      <c r="I586" s="13" t="n">
        <f aca="false">IFERROR(__xludf.dummyfunction("""COMPUTED_VALUE"""),1)</f>
        <v>1</v>
      </c>
      <c r="J586" s="13" t="n">
        <f aca="false">IFERROR(__xludf.dummyfunction("""COMPUTED_VALUE"""),1230)</f>
        <v>1230</v>
      </c>
      <c r="K586" s="13" t="n">
        <f aca="false">IFERROR(__xludf.dummyfunction("""COMPUTED_VALUE"""),1230)</f>
        <v>1230</v>
      </c>
      <c r="L586" s="13" t="str">
        <f aca="false">IFERROR(__xludf.dummyfunction("""COMPUTED_VALUE"""),"[Code: 45666DJL] TA: 1unit damage found during display (unit me sy 1pc leak mila he )")</f>
        <v>[Code: 45666DJL] TA: 1unit damage found during display (unit me sy 1pc leak mila he )</v>
      </c>
      <c r="M586" s="13" t="str">
        <f aca="false">IFERROR(__xludf.dummyfunction("""COMPUTED_VALUE"""),"45666DJL")</f>
        <v>45666DJL</v>
      </c>
      <c r="N586" s="13"/>
      <c r="O586" s="13" t="str">
        <f aca="false">IFERROR(__xludf.dummyfunction("""COMPUTED_VALUE"""),"taufeeq.akhtar@tajir-app.com")</f>
        <v>taufeeq.akhtar@tajir-app.com</v>
      </c>
      <c r="P586" s="13" t="str">
        <f aca="false">IFERROR(__xludf.dummyfunction("""COMPUTED_VALUE"""),"Taufeeq Akhtar ")</f>
        <v>Taufeeq Akhtar </v>
      </c>
      <c r="Q586" s="13" t="str">
        <f aca="false">IF(L586="","",L586)</f>
        <v>[Code: 45666DJL] TA: 1unit damage found during display (unit me sy 1pc leak mila he )</v>
      </c>
    </row>
    <row r="587" customFormat="false" ht="15.75" hidden="false" customHeight="false" outlineLevel="0" collapsed="false">
      <c r="A587" s="13" t="str">
        <f aca="false">IFERROR(__xludf.dummyfunction("""COMPUTED_VALUE"""),"Metro DC Faisalabad")</f>
        <v>Metro DC Faisalabad</v>
      </c>
      <c r="B587" s="13" t="str">
        <f aca="false">IFERROR(__xludf.dummyfunction("""COMPUTED_VALUE"""),"67c33ff3-e486-487d-844a-b17c396936ee")</f>
        <v>67c33ff3-e486-487d-844a-b17c396936ee</v>
      </c>
      <c r="C587" s="13" t="str">
        <f aca="false">IFERROR(__xludf.dummyfunction("""COMPUTED_VALUE"""),"Coca Cola plastic 1L")</f>
        <v>Coca Cola plastic 1L</v>
      </c>
      <c r="D587" s="13" t="str">
        <f aca="false">IFERROR(__xludf.dummyfunction("""COMPUTED_VALUE"""),"Coca Cola")</f>
        <v>Coca Cola</v>
      </c>
      <c r="E587" s="13" t="str">
        <f aca="false">IFERROR(__xludf.dummyfunction("""COMPUTED_VALUE"""),"Beverages")</f>
        <v>Beverages</v>
      </c>
      <c r="F587" s="11" t="n">
        <f aca="false">IFERROR(__xludf.dummyfunction("""COMPUTED_VALUE"""),45220)</f>
        <v>45220</v>
      </c>
      <c r="G587" s="16" t="n">
        <f aca="false">IFERROR(__xludf.dummyfunction("""COMPUTED_VALUE"""),0.819898518519343)</f>
        <v>0.8198985185</v>
      </c>
      <c r="H587" s="13" t="str">
        <f aca="false">IFERROR(__xludf.dummyfunction("""COMPUTED_VALUE"""),"damaged stock")</f>
        <v>damaged stock</v>
      </c>
      <c r="I587" s="13" t="n">
        <f aca="false">IFERROR(__xludf.dummyfunction("""COMPUTED_VALUE"""),1)</f>
        <v>1</v>
      </c>
      <c r="J587" s="13" t="n">
        <f aca="false">IFERROR(__xludf.dummyfunction("""COMPUTED_VALUE"""),773.13)</f>
        <v>773.13</v>
      </c>
      <c r="K587" s="13" t="n">
        <f aca="false">IFERROR(__xludf.dummyfunction("""COMPUTED_VALUE"""),773.13)</f>
        <v>773.13</v>
      </c>
      <c r="L587" s="13" t="str">
        <f aca="false">IFERROR(__xludf.dummyfunction("""COMPUTED_VALUE"""),"[Code: 3458BBEH] TA: Found loose bottels during sorting....")</f>
        <v>[Code: 3458BBEH] TA: Found loose bottels during sorting....</v>
      </c>
      <c r="M587" s="13" t="str">
        <f aca="false">IFERROR(__xludf.dummyfunction("""COMPUTED_VALUE"""),"3458BBEH")</f>
        <v>3458BBEH</v>
      </c>
      <c r="N587" s="13"/>
      <c r="O587" s="13" t="str">
        <f aca="false">IFERROR(__xludf.dummyfunction("""COMPUTED_VALUE"""),"taufeeq.akhtar@tajir-app.com")</f>
        <v>taufeeq.akhtar@tajir-app.com</v>
      </c>
      <c r="P587" s="13" t="str">
        <f aca="false">IFERROR(__xludf.dummyfunction("""COMPUTED_VALUE"""),"Taufeeq Akhtar ")</f>
        <v>Taufeeq Akhtar </v>
      </c>
      <c r="Q587" s="13" t="str">
        <f aca="false">IF(L587="","",L587)</f>
        <v>[Code: 3458BBEH] TA: Found loose bottels during sorting....</v>
      </c>
    </row>
    <row r="588" customFormat="false" ht="15.75" hidden="false" customHeight="false" outlineLevel="0" collapsed="false">
      <c r="A588" s="13" t="str">
        <f aca="false">IFERROR(__xludf.dummyfunction("""COMPUTED_VALUE"""),"Metro DC Faisalabad")</f>
        <v>Metro DC Faisalabad</v>
      </c>
      <c r="B588" s="13" t="str">
        <f aca="false">IFERROR(__xludf.dummyfunction("""COMPUTED_VALUE"""),"cd68a607-af95-45cb-b9f4-2721224c85f8")</f>
        <v>cd68a607-af95-45cb-b9f4-2721224c85f8</v>
      </c>
      <c r="C588" s="13" t="str">
        <f aca="false">IFERROR(__xludf.dummyfunction("""COMPUTED_VALUE"""),"Coca Cola plastic 1.5L")</f>
        <v>Coca Cola plastic 1.5L</v>
      </c>
      <c r="D588" s="13" t="str">
        <f aca="false">IFERROR(__xludf.dummyfunction("""COMPUTED_VALUE"""),"Coca Cola")</f>
        <v>Coca Cola</v>
      </c>
      <c r="E588" s="13" t="str">
        <f aca="false">IFERROR(__xludf.dummyfunction("""COMPUTED_VALUE"""),"Beverages")</f>
        <v>Beverages</v>
      </c>
      <c r="F588" s="11" t="n">
        <f aca="false">IFERROR(__xludf.dummyfunction("""COMPUTED_VALUE"""),45220)</f>
        <v>45220</v>
      </c>
      <c r="G588" s="16" t="n">
        <f aca="false">IFERROR(__xludf.dummyfunction("""COMPUTED_VALUE"""),0.818915717592636)</f>
        <v>0.8189157176</v>
      </c>
      <c r="H588" s="13" t="str">
        <f aca="false">IFERROR(__xludf.dummyfunction("""COMPUTED_VALUE"""),"damaged stock")</f>
        <v>damaged stock</v>
      </c>
      <c r="I588" s="13" t="n">
        <f aca="false">IFERROR(__xludf.dummyfunction("""COMPUTED_VALUE"""),2)</f>
        <v>2</v>
      </c>
      <c r="J588" s="13" t="n">
        <f aca="false">IFERROR(__xludf.dummyfunction("""COMPUTED_VALUE"""),914.68)</f>
        <v>914.68</v>
      </c>
      <c r="K588" s="13" t="n">
        <f aca="false">IFERROR(__xludf.dummyfunction("""COMPUTED_VALUE"""),1829.36)</f>
        <v>1829.36</v>
      </c>
      <c r="L588" s="13" t="str">
        <f aca="false">IFERROR(__xludf.dummyfunction("""COMPUTED_VALUE"""),"[Code: 22788CCF] TA: Found empty bottels during sorting...")</f>
        <v>[Code: 22788CCF] TA: Found empty bottels during sorting...</v>
      </c>
      <c r="M588" s="13" t="str">
        <f aca="false">IFERROR(__xludf.dummyfunction("""COMPUTED_VALUE"""),"22788CCF")</f>
        <v>22788CCF</v>
      </c>
      <c r="N588" s="13"/>
      <c r="O588" s="13" t="str">
        <f aca="false">IFERROR(__xludf.dummyfunction("""COMPUTED_VALUE"""),"taufeeq.akhtar@tajir-app.com")</f>
        <v>taufeeq.akhtar@tajir-app.com</v>
      </c>
      <c r="P588" s="13" t="str">
        <f aca="false">IFERROR(__xludf.dummyfunction("""COMPUTED_VALUE"""),"Taufeeq Akhtar ")</f>
        <v>Taufeeq Akhtar </v>
      </c>
      <c r="Q588" s="13" t="str">
        <f aca="false">IF(L588="","",L588)</f>
        <v>[Code: 22788CCF] TA: Found empty bottels during sorting...</v>
      </c>
    </row>
    <row r="589" customFormat="false" ht="15.75" hidden="false" customHeight="false" outlineLevel="0" collapsed="false">
      <c r="A589" s="13" t="str">
        <f aca="false">IFERROR(__xludf.dummyfunction("""COMPUTED_VALUE"""),"Metro DC Faisalabad")</f>
        <v>Metro DC Faisalabad</v>
      </c>
      <c r="B589" s="13" t="str">
        <f aca="false">IFERROR(__xludf.dummyfunction("""COMPUTED_VALUE"""),"4f4aa8cf-4dd3-4ca7-a53a-2b8d07d46710")</f>
        <v>4f4aa8cf-4dd3-4ca7-a53a-2b8d07d46710</v>
      </c>
      <c r="C589" s="13" t="str">
        <f aca="false">IFERROR(__xludf.dummyfunction("""COMPUTED_VALUE"""),"Head and Shoulders Anti Hairfall Shampoo 185ml Rs500")</f>
        <v>Head and Shoulders Anti Hairfall Shampoo 185ml Rs500</v>
      </c>
      <c r="D589" s="13" t="str">
        <f aca="false">IFERROR(__xludf.dummyfunction("""COMPUTED_VALUE"""),"Head and Shoulders")</f>
        <v>Head and Shoulders</v>
      </c>
      <c r="E589" s="13" t="str">
        <f aca="false">IFERROR(__xludf.dummyfunction("""COMPUTED_VALUE"""),"Shampoo")</f>
        <v>Shampoo</v>
      </c>
      <c r="F589" s="11" t="n">
        <f aca="false">IFERROR(__xludf.dummyfunction("""COMPUTED_VALUE"""),45221)</f>
        <v>45221</v>
      </c>
      <c r="G589" s="16" t="n">
        <f aca="false">IFERROR(__xludf.dummyfunction("""COMPUTED_VALUE"""),0.660227222222551)</f>
        <v>0.6602272222</v>
      </c>
      <c r="H589" s="13" t="str">
        <f aca="false">IFERROR(__xludf.dummyfunction("""COMPUTED_VALUE"""),"damaged stock")</f>
        <v>damaged stock</v>
      </c>
      <c r="I589" s="13" t="n">
        <f aca="false">IFERROR(__xludf.dummyfunction("""COMPUTED_VALUE"""),1)</f>
        <v>1</v>
      </c>
      <c r="J589" s="13" t="n">
        <f aca="false">IFERROR(__xludf.dummyfunction("""COMPUTED_VALUE"""),429)</f>
        <v>429</v>
      </c>
      <c r="K589" s="13" t="n">
        <f aca="false">IFERROR(__xludf.dummyfunction("""COMPUTED_VALUE"""),429)</f>
        <v>429</v>
      </c>
      <c r="L589" s="13" t="str">
        <f aca="false">IFERROR(__xludf.dummyfunction("""COMPUTED_VALUE"""),"[Code: 26789ACH] AR: 01 unit found empty in a packed Carton")</f>
        <v>[Code: 26789ACH] AR: 01 unit found empty in a packed Carton</v>
      </c>
      <c r="M589" s="13" t="str">
        <f aca="false">IFERROR(__xludf.dummyfunction("""COMPUTED_VALUE"""),"26789ACH")</f>
        <v>26789ACH</v>
      </c>
      <c r="N589" s="13"/>
      <c r="O589" s="13" t="str">
        <f aca="false">IFERROR(__xludf.dummyfunction("""COMPUTED_VALUE"""),"ali.raza@tajir-app.com")</f>
        <v>ali.raza@tajir-app.com</v>
      </c>
      <c r="P589" s="13" t="str">
        <f aca="false">IFERROR(__xludf.dummyfunction("""COMPUTED_VALUE"""),"Ali Raza ")</f>
        <v>Ali Raza </v>
      </c>
      <c r="Q589" s="13" t="str">
        <f aca="false">IF(L589="","",L589)</f>
        <v>[Code: 26789ACH] AR: 01 unit found empty in a packed Carton</v>
      </c>
    </row>
    <row r="590" customFormat="false" ht="15.75" hidden="false" customHeight="false" outlineLevel="0" collapsed="false">
      <c r="A590" s="13" t="str">
        <f aca="false">IFERROR(__xludf.dummyfunction("""COMPUTED_VALUE"""),"Metro DC Faisalabad")</f>
        <v>Metro DC Faisalabad</v>
      </c>
      <c r="B590" s="13" t="str">
        <f aca="false">IFERROR(__xludf.dummyfunction("""COMPUTED_VALUE"""),"138f860f-6230-442e-9fbc-5d3c54065f1e")</f>
        <v>138f860f-6230-442e-9fbc-5d3c54065f1e</v>
      </c>
      <c r="C590" s="13" t="str">
        <f aca="false">IFERROR(__xludf.dummyfunction("""COMPUTED_VALUE"""),"Pepsi plastic 1L")</f>
        <v>Pepsi plastic 1L</v>
      </c>
      <c r="D590" s="13" t="str">
        <f aca="false">IFERROR(__xludf.dummyfunction("""COMPUTED_VALUE"""),"Pepsi")</f>
        <v>Pepsi</v>
      </c>
      <c r="E590" s="13" t="str">
        <f aca="false">IFERROR(__xludf.dummyfunction("""COMPUTED_VALUE"""),"Beverages")</f>
        <v>Beverages</v>
      </c>
      <c r="F590" s="11" t="n">
        <f aca="false">IFERROR(__xludf.dummyfunction("""COMPUTED_VALUE"""),45222)</f>
        <v>45222</v>
      </c>
      <c r="G590" s="16" t="n">
        <f aca="false">IFERROR(__xludf.dummyfunction("""COMPUTED_VALUE"""),0.817083680553761)</f>
        <v>0.8170836806</v>
      </c>
      <c r="H590" s="13" t="str">
        <f aca="false">IFERROR(__xludf.dummyfunction("""COMPUTED_VALUE"""),"damaged stock")</f>
        <v>damaged stock</v>
      </c>
      <c r="I590" s="13" t="n">
        <f aca="false">IFERROR(__xludf.dummyfunction("""COMPUTED_VALUE"""),1)</f>
        <v>1</v>
      </c>
      <c r="J590" s="13" t="n">
        <f aca="false">IFERROR(__xludf.dummyfunction("""COMPUTED_VALUE"""),595)</f>
        <v>595</v>
      </c>
      <c r="K590" s="13" t="n">
        <f aca="false">IFERROR(__xludf.dummyfunction("""COMPUTED_VALUE"""),595)</f>
        <v>595</v>
      </c>
      <c r="L590" s="13" t="str">
        <f aca="false">IFERROR(__xludf.dummyfunction("""COMPUTED_VALUE"""),"[Code: 237CCCDE]  TA: Found loose bottels during sorting....")</f>
        <v>[Code: 237CCCDE]  TA: Found loose bottels during sorting....</v>
      </c>
      <c r="M590" s="13" t="str">
        <f aca="false">IFERROR(__xludf.dummyfunction("""COMPUTED_VALUE"""),"237CCCDE")</f>
        <v>237CCCDE</v>
      </c>
      <c r="N590" s="13"/>
      <c r="O590" s="13" t="str">
        <f aca="false">IFERROR(__xludf.dummyfunction("""COMPUTED_VALUE"""),"taufeeq.akhtar@tajir-app.com")</f>
        <v>taufeeq.akhtar@tajir-app.com</v>
      </c>
      <c r="P590" s="13" t="str">
        <f aca="false">IFERROR(__xludf.dummyfunction("""COMPUTED_VALUE"""),"Taufeeq Akhtar ")</f>
        <v>Taufeeq Akhtar </v>
      </c>
      <c r="Q590" s="13" t="str">
        <f aca="false">IF(L590="","",L590)</f>
        <v>[Code: 237CCCDE]  TA: Found loose bottels during sorting....</v>
      </c>
    </row>
    <row r="591" customFormat="false" ht="15.75" hidden="false" customHeight="false" outlineLevel="0" collapsed="false">
      <c r="A591" s="13" t="str">
        <f aca="false">IFERROR(__xludf.dummyfunction("""COMPUTED_VALUE"""),"Metro DC Faisalabad")</f>
        <v>Metro DC Faisalabad</v>
      </c>
      <c r="B591" s="13" t="str">
        <f aca="false">IFERROR(__xludf.dummyfunction("""COMPUTED_VALUE"""),"67c33ff3-e486-487d-844a-b17c396936ee")</f>
        <v>67c33ff3-e486-487d-844a-b17c396936ee</v>
      </c>
      <c r="C591" s="13" t="str">
        <f aca="false">IFERROR(__xludf.dummyfunction("""COMPUTED_VALUE"""),"Coca Cola plastic 1L")</f>
        <v>Coca Cola plastic 1L</v>
      </c>
      <c r="D591" s="13" t="str">
        <f aca="false">IFERROR(__xludf.dummyfunction("""COMPUTED_VALUE"""),"Coca Cola")</f>
        <v>Coca Cola</v>
      </c>
      <c r="E591" s="13" t="str">
        <f aca="false">IFERROR(__xludf.dummyfunction("""COMPUTED_VALUE"""),"Beverages")</f>
        <v>Beverages</v>
      </c>
      <c r="F591" s="11" t="n">
        <f aca="false">IFERROR(__xludf.dummyfunction("""COMPUTED_VALUE"""),45222)</f>
        <v>45222</v>
      </c>
      <c r="G591" s="16" t="n">
        <f aca="false">IFERROR(__xludf.dummyfunction("""COMPUTED_VALUE"""),0.816653773149043)</f>
        <v>0.8166537731</v>
      </c>
      <c r="H591" s="13" t="str">
        <f aca="false">IFERROR(__xludf.dummyfunction("""COMPUTED_VALUE"""),"damaged stock")</f>
        <v>damaged stock</v>
      </c>
      <c r="I591" s="13" t="n">
        <f aca="false">IFERROR(__xludf.dummyfunction("""COMPUTED_VALUE"""),2)</f>
        <v>2</v>
      </c>
      <c r="J591" s="13" t="n">
        <f aca="false">IFERROR(__xludf.dummyfunction("""COMPUTED_VALUE"""),773.13)</f>
        <v>773.13</v>
      </c>
      <c r="K591" s="13" t="n">
        <f aca="false">IFERROR(__xludf.dummyfunction("""COMPUTED_VALUE"""),1546.26)</f>
        <v>1546.26</v>
      </c>
      <c r="L591" s="13" t="str">
        <f aca="false">IFERROR(__xludf.dummyfunction("""COMPUTED_VALUE"""),"[Code: 3344CDGG]   TA: Found loose and empty bottels during sorting....")</f>
        <v>[Code: 3344CDGG]   TA: Found loose and empty bottels during sorting....</v>
      </c>
      <c r="M591" s="13" t="str">
        <f aca="false">IFERROR(__xludf.dummyfunction("""COMPUTED_VALUE"""),"3344CDGG")</f>
        <v>3344CDGG</v>
      </c>
      <c r="N591" s="13"/>
      <c r="O591" s="13" t="str">
        <f aca="false">IFERROR(__xludf.dummyfunction("""COMPUTED_VALUE"""),"taufeeq.akhtar@tajir-app.com")</f>
        <v>taufeeq.akhtar@tajir-app.com</v>
      </c>
      <c r="P591" s="13" t="str">
        <f aca="false">IFERROR(__xludf.dummyfunction("""COMPUTED_VALUE"""),"Taufeeq Akhtar ")</f>
        <v>Taufeeq Akhtar </v>
      </c>
      <c r="Q591" s="13" t="str">
        <f aca="false">IF(L591="","",L591)</f>
        <v>[Code: 3344CDGG]   TA: Found loose and empty bottels during sorting....</v>
      </c>
    </row>
    <row r="592" customFormat="false" ht="15.75" hidden="false" customHeight="false" outlineLevel="0" collapsed="false">
      <c r="A592" s="13" t="str">
        <f aca="false">IFERROR(__xludf.dummyfunction("""COMPUTED_VALUE"""),"Metro DC Faisalabad")</f>
        <v>Metro DC Faisalabad</v>
      </c>
      <c r="B592" s="13" t="str">
        <f aca="false">IFERROR(__xludf.dummyfunction("""COMPUTED_VALUE"""),"af76431c-0024-4bb6-a5ba-665052444ae5")</f>
        <v>af76431c-0024-4bb6-a5ba-665052444ae5</v>
      </c>
      <c r="C592" s="13" t="str">
        <f aca="false">IFERROR(__xludf.dummyfunction("""COMPUTED_VALUE"""),"Candyland Toss Peach and Mango Jelly 50pcs Rs5")</f>
        <v>Candyland Toss Peach and Mango Jelly 50pcs Rs5</v>
      </c>
      <c r="D592" s="13" t="str">
        <f aca="false">IFERROR(__xludf.dummyfunction("""COMPUTED_VALUE"""),"Candyland")</f>
        <v>Candyland</v>
      </c>
      <c r="E592" s="13" t="str">
        <f aca="false">IFERROR(__xludf.dummyfunction("""COMPUTED_VALUE"""),"Confectionary")</f>
        <v>Confectionary</v>
      </c>
      <c r="F592" s="11" t="n">
        <f aca="false">IFERROR(__xludf.dummyfunction("""COMPUTED_VALUE"""),45222)</f>
        <v>45222</v>
      </c>
      <c r="G592" s="16" t="n">
        <f aca="false">IFERROR(__xludf.dummyfunction("""COMPUTED_VALUE"""),0.640041562500259)</f>
        <v>0.6400415625</v>
      </c>
      <c r="H592" s="13" t="str">
        <f aca="false">IFERROR(__xludf.dummyfunction("""COMPUTED_VALUE"""),"expired stock")</f>
        <v>expired stock</v>
      </c>
      <c r="I592" s="13" t="n">
        <f aca="false">IFERROR(__xludf.dummyfunction("""COMPUTED_VALUE"""),4)</f>
        <v>4</v>
      </c>
      <c r="J592" s="13" t="n">
        <f aca="false">IFERROR(__xludf.dummyfunction("""COMPUTED_VALUE"""),200.8)</f>
        <v>200.8</v>
      </c>
      <c r="K592" s="13" t="n">
        <f aca="false">IFERROR(__xludf.dummyfunction("""COMPUTED_VALUE"""),803.2)</f>
        <v>803.2</v>
      </c>
      <c r="L592" s="13" t="str">
        <f aca="false">IFERROR(__xludf.dummyfunction("""COMPUTED_VALUE"""),"[Code: 2257ADEG] [Expiry: 29 Oct, 2023] 4 units found short expiry")</f>
        <v>[Code: 2257ADEG] [Expiry: 29 Oct, 2023] 4 units found short expiry</v>
      </c>
      <c r="M592" s="13" t="str">
        <f aca="false">IFERROR(__xludf.dummyfunction("""COMPUTED_VALUE"""),"2257ADEG")</f>
        <v>2257ADEG</v>
      </c>
      <c r="N592" s="13" t="str">
        <f aca="false">IFERROR(__xludf.dummyfunction("""COMPUTED_VALUE"""),"29 Oct, 2023")</f>
        <v>29 Oct, 2023</v>
      </c>
      <c r="O592" s="13" t="str">
        <f aca="false">IFERROR(__xludf.dummyfunction("""COMPUTED_VALUE"""),"ali.raza@tajir-app.com")</f>
        <v>ali.raza@tajir-app.com</v>
      </c>
      <c r="P592" s="13" t="str">
        <f aca="false">IFERROR(__xludf.dummyfunction("""COMPUTED_VALUE"""),"Ali Raza ")</f>
        <v>Ali Raza </v>
      </c>
      <c r="Q592" s="13" t="str">
        <f aca="false">IF(L592="","",L592)</f>
        <v>[Code: 2257ADEG] [Expiry: 29 Oct, 2023] 4 units found short expiry</v>
      </c>
    </row>
    <row r="593" customFormat="false" ht="15.75" hidden="false" customHeight="false" outlineLevel="0" collapsed="false">
      <c r="A593" s="13" t="str">
        <f aca="false">IFERROR(__xludf.dummyfunction("""COMPUTED_VALUE"""),"Metro DC Faisalabad")</f>
        <v>Metro DC Faisalabad</v>
      </c>
      <c r="B593" s="13" t="str">
        <f aca="false">IFERROR(__xludf.dummyfunction("""COMPUTED_VALUE"""),"38f91ed7-8c25-4061-b1cb-85ac528c02dc")</f>
        <v>38f91ed7-8c25-4061-b1cb-85ac528c02dc</v>
      </c>
      <c r="C593" s="13" t="str">
        <f aca="false">IFERROR(__xludf.dummyfunction("""COMPUTED_VALUE"""),"Shangrila Tomato Ketchup x6 Bundle 70g")</f>
        <v>Shangrila Tomato Ketchup x6 Bundle 70g</v>
      </c>
      <c r="D593" s="13" t="str">
        <f aca="false">IFERROR(__xludf.dummyfunction("""COMPUTED_VALUE"""),"Shangrila")</f>
        <v>Shangrila</v>
      </c>
      <c r="E593" s="13" t="str">
        <f aca="false">IFERROR(__xludf.dummyfunction("""COMPUTED_VALUE"""),"Sauces")</f>
        <v>Sauces</v>
      </c>
      <c r="F593" s="11" t="n">
        <f aca="false">IFERROR(__xludf.dummyfunction("""COMPUTED_VALUE"""),45223)</f>
        <v>45223</v>
      </c>
      <c r="G593" s="16" t="n">
        <f aca="false">IFERROR(__xludf.dummyfunction("""COMPUTED_VALUE"""),0.895912766204173)</f>
        <v>0.8959127662</v>
      </c>
      <c r="H593" s="13" t="str">
        <f aca="false">IFERROR(__xludf.dummyfunction("""COMPUTED_VALUE"""),"damaged stock")</f>
        <v>damaged stock</v>
      </c>
      <c r="I593" s="13" t="n">
        <f aca="false">IFERROR(__xludf.dummyfunction("""COMPUTED_VALUE"""),1)</f>
        <v>1</v>
      </c>
      <c r="J593" s="13" t="n">
        <f aca="false">IFERROR(__xludf.dummyfunction("""COMPUTED_VALUE"""),188.49)</f>
        <v>188.49</v>
      </c>
      <c r="K593" s="13" t="n">
        <f aca="false">IFERROR(__xludf.dummyfunction("""COMPUTED_VALUE"""),188.49)</f>
        <v>188.49</v>
      </c>
      <c r="L593" s="13" t="str">
        <f aca="false">IFERROR(__xludf.dummyfunction("""COMPUTED_VALUE"""),"[Code: 289AGLMN] TA: Found in damaged condition during stock display .")</f>
        <v>[Code: 289AGLMN] TA: Found in damaged condition during stock display .</v>
      </c>
      <c r="M593" s="13" t="str">
        <f aca="false">IFERROR(__xludf.dummyfunction("""COMPUTED_VALUE"""),"289AGLMN")</f>
        <v>289AGLMN</v>
      </c>
      <c r="N593" s="13"/>
      <c r="O593" s="13" t="str">
        <f aca="false">IFERROR(__xludf.dummyfunction("""COMPUTED_VALUE"""),"taufeeq.akhtar@tajir-app.com")</f>
        <v>taufeeq.akhtar@tajir-app.com</v>
      </c>
      <c r="P593" s="13" t="str">
        <f aca="false">IFERROR(__xludf.dummyfunction("""COMPUTED_VALUE"""),"Taufeeq Akhtar ")</f>
        <v>Taufeeq Akhtar </v>
      </c>
      <c r="Q593" s="13" t="str">
        <f aca="false">IF(L593="","",L593)</f>
        <v>[Code: 289AGLMN] TA: Found in damaged condition during stock display .</v>
      </c>
    </row>
    <row r="594" customFormat="false" ht="15.75" hidden="false" customHeight="false" outlineLevel="0" collapsed="false">
      <c r="A594" s="13" t="str">
        <f aca="false">IFERROR(__xludf.dummyfunction("""COMPUTED_VALUE"""),"Metro DC Faisalabad")</f>
        <v>Metro DC Faisalabad</v>
      </c>
      <c r="B594" s="13" t="str">
        <f aca="false">IFERROR(__xludf.dummyfunction("""COMPUTED_VALUE"""),"e1d071e3-d27f-47ca-bd86-13408e8d89dd")</f>
        <v>e1d071e3-d27f-47ca-bd86-13408e8d89dd</v>
      </c>
      <c r="C594" s="13" t="str">
        <f aca="false">IFERROR(__xludf.dummyfunction("""COMPUTED_VALUE"""),"Shangrila Tomato Ketchup x3 Bundle 800g")</f>
        <v>Shangrila Tomato Ketchup x3 Bundle 800g</v>
      </c>
      <c r="D594" s="13" t="str">
        <f aca="false">IFERROR(__xludf.dummyfunction("""COMPUTED_VALUE"""),"Shangrila")</f>
        <v>Shangrila</v>
      </c>
      <c r="E594" s="13" t="str">
        <f aca="false">IFERROR(__xludf.dummyfunction("""COMPUTED_VALUE"""),"Sauces")</f>
        <v>Sauces</v>
      </c>
      <c r="F594" s="11" t="n">
        <f aca="false">IFERROR(__xludf.dummyfunction("""COMPUTED_VALUE"""),45223)</f>
        <v>45223</v>
      </c>
      <c r="G594" s="16" t="n">
        <f aca="false">IFERROR(__xludf.dummyfunction("""COMPUTED_VALUE"""),0.894786099536999)</f>
        <v>0.8947860995</v>
      </c>
      <c r="H594" s="13" t="str">
        <f aca="false">IFERROR(__xludf.dummyfunction("""COMPUTED_VALUE"""),"damaged stock")</f>
        <v>damaged stock</v>
      </c>
      <c r="I594" s="13" t="n">
        <f aca="false">IFERROR(__xludf.dummyfunction("""COMPUTED_VALUE"""),1)</f>
        <v>1</v>
      </c>
      <c r="J594" s="13" t="n">
        <f aca="false">IFERROR(__xludf.dummyfunction("""COMPUTED_VALUE"""),987.91)</f>
        <v>987.91</v>
      </c>
      <c r="K594" s="13" t="n">
        <f aca="false">IFERROR(__xludf.dummyfunction("""COMPUTED_VALUE"""),987.91)</f>
        <v>987.91</v>
      </c>
      <c r="L594" s="13" t="str">
        <f aca="false">IFERROR(__xludf.dummyfunction("""COMPUTED_VALUE"""),"[Code: 2234446D] TA: Found damaged from display during sorting.")</f>
        <v>[Code: 2234446D] TA: Found damaged from display during sorting.</v>
      </c>
      <c r="M594" s="13" t="str">
        <f aca="false">IFERROR(__xludf.dummyfunction("""COMPUTED_VALUE"""),"2234446D")</f>
        <v>2234446D</v>
      </c>
      <c r="N594" s="13"/>
      <c r="O594" s="13" t="str">
        <f aca="false">IFERROR(__xludf.dummyfunction("""COMPUTED_VALUE"""),"taufeeq.akhtar@tajir-app.com")</f>
        <v>taufeeq.akhtar@tajir-app.com</v>
      </c>
      <c r="P594" s="13" t="str">
        <f aca="false">IFERROR(__xludf.dummyfunction("""COMPUTED_VALUE"""),"Taufeeq Akhtar ")</f>
        <v>Taufeeq Akhtar </v>
      </c>
      <c r="Q594" s="13" t="str">
        <f aca="false">IF(L594="","",L594)</f>
        <v>[Code: 2234446D] TA: Found damaged from display during sorting.</v>
      </c>
    </row>
    <row r="595" customFormat="false" ht="15.75" hidden="false" customHeight="false" outlineLevel="0" collapsed="false">
      <c r="A595" s="13" t="str">
        <f aca="false">IFERROR(__xludf.dummyfunction("""COMPUTED_VALUE"""),"Metro DC Faisalabad")</f>
        <v>Metro DC Faisalabad</v>
      </c>
      <c r="B595" s="13" t="str">
        <f aca="false">IFERROR(__xludf.dummyfunction("""COMPUTED_VALUE"""),"a5b76747-fa5b-49a3-ac19-3d6294d61b30")</f>
        <v>a5b76747-fa5b-49a3-ac19-3d6294d61b30</v>
      </c>
      <c r="C595" s="13" t="str">
        <f aca="false">IFERROR(__xludf.dummyfunction("""COMPUTED_VALUE"""),"Murree Brewery Bigg Apple Plastic x6 Crate 1.5L")</f>
        <v>Murree Brewery Bigg Apple Plastic x6 Crate 1.5L</v>
      </c>
      <c r="D595" s="13" t="str">
        <f aca="false">IFERROR(__xludf.dummyfunction("""COMPUTED_VALUE"""),"Murree Brewery")</f>
        <v>Murree Brewery</v>
      </c>
      <c r="E595" s="13" t="str">
        <f aca="false">IFERROR(__xludf.dummyfunction("""COMPUTED_VALUE"""),"Beverages")</f>
        <v>Beverages</v>
      </c>
      <c r="F595" s="11" t="n">
        <f aca="false">IFERROR(__xludf.dummyfunction("""COMPUTED_VALUE"""),45223)</f>
        <v>45223</v>
      </c>
      <c r="G595" s="16" t="n">
        <f aca="false">IFERROR(__xludf.dummyfunction("""COMPUTED_VALUE"""),0.835646319443221)</f>
        <v>0.8356463194</v>
      </c>
      <c r="H595" s="13" t="str">
        <f aca="false">IFERROR(__xludf.dummyfunction("""COMPUTED_VALUE"""),"damaged stock")</f>
        <v>damaged stock</v>
      </c>
      <c r="I595" s="13" t="n">
        <f aca="false">IFERROR(__xludf.dummyfunction("""COMPUTED_VALUE"""),1)</f>
        <v>1</v>
      </c>
      <c r="J595" s="13" t="n">
        <f aca="false">IFERROR(__xludf.dummyfunction("""COMPUTED_VALUE"""),779)</f>
        <v>779</v>
      </c>
      <c r="K595" s="13" t="n">
        <f aca="false">IFERROR(__xludf.dummyfunction("""COMPUTED_VALUE"""),779)</f>
        <v>779</v>
      </c>
      <c r="L595" s="13" t="str">
        <f aca="false">IFERROR(__xludf.dummyfunction("""COMPUTED_VALUE"""),"[Code: 22566678] TA: One bottel found in loose condition during sorting.....")</f>
        <v>[Code: 22566678] TA: One bottel found in loose condition during sorting.....</v>
      </c>
      <c r="M595" s="13" t="str">
        <f aca="false">IFERROR(__xludf.dummyfunction("""COMPUTED_VALUE"""),"22566678")</f>
        <v>22566678</v>
      </c>
      <c r="N595" s="13"/>
      <c r="O595" s="13" t="str">
        <f aca="false">IFERROR(__xludf.dummyfunction("""COMPUTED_VALUE"""),"taufeeq.akhtar@tajir-app.com")</f>
        <v>taufeeq.akhtar@tajir-app.com</v>
      </c>
      <c r="P595" s="13" t="str">
        <f aca="false">IFERROR(__xludf.dummyfunction("""COMPUTED_VALUE"""),"Taufeeq Akhtar ")</f>
        <v>Taufeeq Akhtar </v>
      </c>
      <c r="Q595" s="13" t="str">
        <f aca="false">IF(L595="","",L595)</f>
        <v>[Code: 22566678] TA: One bottel found in loose condition during sorting.....</v>
      </c>
    </row>
    <row r="596" customFormat="false" ht="15.75" hidden="false" customHeight="false" outlineLevel="0" collapsed="false">
      <c r="A596" s="13" t="str">
        <f aca="false">IFERROR(__xludf.dummyfunction("""COMPUTED_VALUE"""),"Metro DC Faisalabad")</f>
        <v>Metro DC Faisalabad</v>
      </c>
      <c r="B596" s="13" t="str">
        <f aca="false">IFERROR(__xludf.dummyfunction("""COMPUTED_VALUE"""),"76cbd286-ec03-4842-a510-1302d929540b")</f>
        <v>76cbd286-ec03-4842-a510-1302d929540b</v>
      </c>
      <c r="C596" s="13" t="str">
        <f aca="false">IFERROR(__xludf.dummyfunction("""COMPUTED_VALUE"""),"A One Fine Atta 15kg")</f>
        <v>A One Fine Atta 15kg</v>
      </c>
      <c r="D596" s="13" t="str">
        <f aca="false">IFERROR(__xludf.dummyfunction("""COMPUTED_VALUE"""),"A One Atta")</f>
        <v>A One Atta</v>
      </c>
      <c r="E596" s="13" t="str">
        <f aca="false">IFERROR(__xludf.dummyfunction("""COMPUTED_VALUE"""),"Flour")</f>
        <v>Flour</v>
      </c>
      <c r="F596" s="11" t="n">
        <f aca="false">IFERROR(__xludf.dummyfunction("""COMPUTED_VALUE"""),45223)</f>
        <v>45223</v>
      </c>
      <c r="G596" s="16" t="n">
        <f aca="false">IFERROR(__xludf.dummyfunction("""COMPUTED_VALUE"""),0.794591273147227)</f>
        <v>0.7945912731</v>
      </c>
      <c r="H596" s="13" t="str">
        <f aca="false">IFERROR(__xludf.dummyfunction("""COMPUTED_VALUE"""),"damaged stock")</f>
        <v>damaged stock</v>
      </c>
      <c r="I596" s="13" t="n">
        <f aca="false">IFERROR(__xludf.dummyfunction("""COMPUTED_VALUE"""),3)</f>
        <v>3</v>
      </c>
      <c r="J596" s="13" t="n">
        <f aca="false">IFERROR(__xludf.dummyfunction("""COMPUTED_VALUE"""),2095)</f>
        <v>2095</v>
      </c>
      <c r="K596" s="13" t="n">
        <f aca="false">IFERROR(__xludf.dummyfunction("""COMPUTED_VALUE"""),6285)</f>
        <v>6285</v>
      </c>
      <c r="L596" s="13" t="str">
        <f aca="false">IFERROR(__xludf.dummyfunction("""COMPUTED_VALUE"""),"[Code: 5699AAAM] TA:Qaulity kharab hay(Susri lagi hui hai...)")</f>
        <v>[Code: 5699AAAM] TA:Qaulity kharab hay(Susri lagi hui hai...)</v>
      </c>
      <c r="M596" s="13" t="str">
        <f aca="false">IFERROR(__xludf.dummyfunction("""COMPUTED_VALUE"""),"5699AAAM")</f>
        <v>5699AAAM</v>
      </c>
      <c r="N596" s="13"/>
      <c r="O596" s="13" t="str">
        <f aca="false">IFERROR(__xludf.dummyfunction("""COMPUTED_VALUE"""),"taufeeq.akhtar@tajir-app.com")</f>
        <v>taufeeq.akhtar@tajir-app.com</v>
      </c>
      <c r="P596" s="13" t="str">
        <f aca="false">IFERROR(__xludf.dummyfunction("""COMPUTED_VALUE"""),"Taufeeq Akhtar ")</f>
        <v>Taufeeq Akhtar </v>
      </c>
      <c r="Q596" s="13" t="str">
        <f aca="false">IF(L596="","",L596)</f>
        <v>[Code: 5699AAAM] TA:Qaulity kharab hay(Susri lagi hui hai...)</v>
      </c>
    </row>
    <row r="597" customFormat="false" ht="15.75" hidden="false" customHeight="false" outlineLevel="0" collapsed="false">
      <c r="A597" s="13" t="str">
        <f aca="false">IFERROR(__xludf.dummyfunction("""COMPUTED_VALUE"""),"Metro DC Faisalabad")</f>
        <v>Metro DC Faisalabad</v>
      </c>
      <c r="B597" s="13" t="str">
        <f aca="false">IFERROR(__xludf.dummyfunction("""COMPUTED_VALUE"""),"379bf168-787d-41f8-b497-a8cc19cbb48e")</f>
        <v>379bf168-787d-41f8-b497-a8cc19cbb48e</v>
      </c>
      <c r="C597" s="13" t="str">
        <f aca="false">IFERROR(__xludf.dummyfunction("""COMPUTED_VALUE"""),"Super Shaheen Atta 10kg")</f>
        <v>Super Shaheen Atta 10kg</v>
      </c>
      <c r="D597" s="13" t="str">
        <f aca="false">IFERROR(__xludf.dummyfunction("""COMPUTED_VALUE"""),"Khalid Flour &amp; General Mills")</f>
        <v>Khalid Flour &amp; General Mills</v>
      </c>
      <c r="E597" s="13" t="str">
        <f aca="false">IFERROR(__xludf.dummyfunction("""COMPUTED_VALUE"""),"Flour")</f>
        <v>Flour</v>
      </c>
      <c r="F597" s="11" t="n">
        <f aca="false">IFERROR(__xludf.dummyfunction("""COMPUTED_VALUE"""),45223)</f>
        <v>45223</v>
      </c>
      <c r="G597" s="16" t="n">
        <f aca="false">IFERROR(__xludf.dummyfunction("""COMPUTED_VALUE"""),0.592695335646617)</f>
        <v>0.5926953356</v>
      </c>
      <c r="H597" s="13" t="str">
        <f aca="false">IFERROR(__xludf.dummyfunction("""COMPUTED_VALUE"""),"damaged stock")</f>
        <v>damaged stock</v>
      </c>
      <c r="I597" s="13" t="n">
        <f aca="false">IFERROR(__xludf.dummyfunction("""COMPUTED_VALUE"""),8)</f>
        <v>8</v>
      </c>
      <c r="J597" s="13" t="n">
        <f aca="false">IFERROR(__xludf.dummyfunction("""COMPUTED_VALUE"""),1355)</f>
        <v>1355</v>
      </c>
      <c r="K597" s="13" t="n">
        <f aca="false">IFERROR(__xludf.dummyfunction("""COMPUTED_VALUE"""),10840)</f>
        <v>10840</v>
      </c>
      <c r="L597" s="13" t="str">
        <f aca="false">IFERROR(__xludf.dummyfunction("""COMPUTED_VALUE"""),"[Code: 7888ACCE] 8 units found damaged due to qaulity issue.")</f>
        <v>[Code: 7888ACCE] 8 units found damaged due to qaulity issue.</v>
      </c>
      <c r="M597" s="13" t="str">
        <f aca="false">IFERROR(__xludf.dummyfunction("""COMPUTED_VALUE"""),"7888ACCE")</f>
        <v>7888ACCE</v>
      </c>
      <c r="N597" s="13"/>
      <c r="O597" s="13" t="str">
        <f aca="false">IFERROR(__xludf.dummyfunction("""COMPUTED_VALUE"""),"ali.raza@tajir-app.com")</f>
        <v>ali.raza@tajir-app.com</v>
      </c>
      <c r="P597" s="13" t="str">
        <f aca="false">IFERROR(__xludf.dummyfunction("""COMPUTED_VALUE"""),"Ali Raza ")</f>
        <v>Ali Raza </v>
      </c>
      <c r="Q597" s="13" t="str">
        <f aca="false">IF(L597="","",L597)</f>
        <v>[Code: 7888ACCE] 8 units found damaged due to qaulity issue.</v>
      </c>
    </row>
    <row r="598" customFormat="false" ht="15.75" hidden="false" customHeight="false" outlineLevel="0" collapsed="false">
      <c r="A598" s="13" t="str">
        <f aca="false">IFERROR(__xludf.dummyfunction("""COMPUTED_VALUE"""),"Metro DC Faisalabad")</f>
        <v>Metro DC Faisalabad</v>
      </c>
      <c r="B598" s="13" t="str">
        <f aca="false">IFERROR(__xludf.dummyfunction("""COMPUTED_VALUE"""),"76cbd286-ec03-4842-a510-1302d929540b")</f>
        <v>76cbd286-ec03-4842-a510-1302d929540b</v>
      </c>
      <c r="C598" s="13" t="str">
        <f aca="false">IFERROR(__xludf.dummyfunction("""COMPUTED_VALUE"""),"A One Fine Atta 15kg")</f>
        <v>A One Fine Atta 15kg</v>
      </c>
      <c r="D598" s="13" t="str">
        <f aca="false">IFERROR(__xludf.dummyfunction("""COMPUTED_VALUE"""),"A One Atta")</f>
        <v>A One Atta</v>
      </c>
      <c r="E598" s="13" t="str">
        <f aca="false">IFERROR(__xludf.dummyfunction("""COMPUTED_VALUE"""),"Flour")</f>
        <v>Flour</v>
      </c>
      <c r="F598" s="11" t="n">
        <f aca="false">IFERROR(__xludf.dummyfunction("""COMPUTED_VALUE"""),45223)</f>
        <v>45223</v>
      </c>
      <c r="G598" s="16" t="n">
        <f aca="false">IFERROR(__xludf.dummyfunction("""COMPUTED_VALUE"""),0.591992418981325)</f>
        <v>0.591992419</v>
      </c>
      <c r="H598" s="13" t="str">
        <f aca="false">IFERROR(__xludf.dummyfunction("""COMPUTED_VALUE"""),"damaged stock")</f>
        <v>damaged stock</v>
      </c>
      <c r="I598" s="13" t="n">
        <f aca="false">IFERROR(__xludf.dummyfunction("""COMPUTED_VALUE"""),8)</f>
        <v>8</v>
      </c>
      <c r="J598" s="13" t="n">
        <f aca="false">IFERROR(__xludf.dummyfunction("""COMPUTED_VALUE"""),2095)</f>
        <v>2095</v>
      </c>
      <c r="K598" s="13" t="n">
        <f aca="false">IFERROR(__xludf.dummyfunction("""COMPUTED_VALUE"""),16760)</f>
        <v>16760</v>
      </c>
      <c r="L598" s="13" t="str">
        <f aca="false">IFERROR(__xludf.dummyfunction("""COMPUTED_VALUE"""),"[Code: 339ACEGJ] 8 units found damaged due to quality issue.")</f>
        <v>[Code: 339ACEGJ] 8 units found damaged due to quality issue.</v>
      </c>
      <c r="M598" s="13" t="str">
        <f aca="false">IFERROR(__xludf.dummyfunction("""COMPUTED_VALUE"""),"339ACEGJ")</f>
        <v>339ACEGJ</v>
      </c>
      <c r="N598" s="13"/>
      <c r="O598" s="13" t="str">
        <f aca="false">IFERROR(__xludf.dummyfunction("""COMPUTED_VALUE"""),"ali.raza@tajir-app.com")</f>
        <v>ali.raza@tajir-app.com</v>
      </c>
      <c r="P598" s="13" t="str">
        <f aca="false">IFERROR(__xludf.dummyfunction("""COMPUTED_VALUE"""),"Ali Raza ")</f>
        <v>Ali Raza </v>
      </c>
      <c r="Q598" s="13" t="str">
        <f aca="false">IF(L598="","",L598)</f>
        <v>[Code: 339ACEGJ] 8 units found damaged due to quality issue.</v>
      </c>
    </row>
    <row r="599" customFormat="false" ht="15.75" hidden="false" customHeight="false" outlineLevel="0" collapsed="false">
      <c r="A599" s="13" t="str">
        <f aca="false">IFERROR(__xludf.dummyfunction("""COMPUTED_VALUE"""),"Metro DC Faisalabad")</f>
        <v>Metro DC Faisalabad</v>
      </c>
      <c r="B599" s="13" t="str">
        <f aca="false">IFERROR(__xludf.dummyfunction("""COMPUTED_VALUE"""),"b463f451-40ec-48b9-a4c1-ff27d496f36c")</f>
        <v>b463f451-40ec-48b9-a4c1-ff27d496f36c</v>
      </c>
      <c r="C599" s="13" t="str">
        <f aca="false">IFERROR(__xludf.dummyfunction("""COMPUTED_VALUE"""),"A One Fine Atta 10kg")</f>
        <v>A One Fine Atta 10kg</v>
      </c>
      <c r="D599" s="13" t="str">
        <f aca="false">IFERROR(__xludf.dummyfunction("""COMPUTED_VALUE"""),"A One Atta")</f>
        <v>A One Atta</v>
      </c>
      <c r="E599" s="13" t="str">
        <f aca="false">IFERROR(__xludf.dummyfunction("""COMPUTED_VALUE"""),"Flour")</f>
        <v>Flour</v>
      </c>
      <c r="F599" s="11" t="n">
        <f aca="false">IFERROR(__xludf.dummyfunction("""COMPUTED_VALUE"""),45223)</f>
        <v>45223</v>
      </c>
      <c r="G599" s="16" t="n">
        <f aca="false">IFERROR(__xludf.dummyfunction("""COMPUTED_VALUE"""),0.591509756943431)</f>
        <v>0.5915097569</v>
      </c>
      <c r="H599" s="13" t="str">
        <f aca="false">IFERROR(__xludf.dummyfunction("""COMPUTED_VALUE"""),"damaged stock")</f>
        <v>damaged stock</v>
      </c>
      <c r="I599" s="13" t="n">
        <f aca="false">IFERROR(__xludf.dummyfunction("""COMPUTED_VALUE"""),27)</f>
        <v>27</v>
      </c>
      <c r="J599" s="13" t="n">
        <f aca="false">IFERROR(__xludf.dummyfunction("""COMPUTED_VALUE"""),1395)</f>
        <v>1395</v>
      </c>
      <c r="K599" s="13" t="n">
        <f aca="false">IFERROR(__xludf.dummyfunction("""COMPUTED_VALUE"""),37665)</f>
        <v>37665</v>
      </c>
      <c r="L599" s="13" t="str">
        <f aca="false">IFERROR(__xludf.dummyfunction("""COMPUTED_VALUE"""),"[Code: CDEEEFFK] 27 units found damaged due to quality issue.")</f>
        <v>[Code: CDEEEFFK] 27 units found damaged due to quality issue.</v>
      </c>
      <c r="M599" s="13" t="str">
        <f aca="false">IFERROR(__xludf.dummyfunction("""COMPUTED_VALUE"""),"CDEEEFFK")</f>
        <v>CDEEEFFK</v>
      </c>
      <c r="N599" s="13"/>
      <c r="O599" s="13" t="str">
        <f aca="false">IFERROR(__xludf.dummyfunction("""COMPUTED_VALUE"""),"ali.raza@tajir-app.com")</f>
        <v>ali.raza@tajir-app.com</v>
      </c>
      <c r="P599" s="13" t="str">
        <f aca="false">IFERROR(__xludf.dummyfunction("""COMPUTED_VALUE"""),"Ali Raza ")</f>
        <v>Ali Raza </v>
      </c>
      <c r="Q599" s="13" t="str">
        <f aca="false">IF(L599="","",L599)</f>
        <v>[Code: CDEEEFFK] 27 units found damaged due to quality issue.</v>
      </c>
    </row>
    <row r="600" customFormat="false" ht="15.75" hidden="false" customHeight="false" outlineLevel="0" collapsed="false">
      <c r="A600" s="13" t="str">
        <f aca="false">IFERROR(__xludf.dummyfunction("""COMPUTED_VALUE"""),"Metro DC Faisalabad")</f>
        <v>Metro DC Faisalabad</v>
      </c>
      <c r="B600" s="13" t="str">
        <f aca="false">IFERROR(__xludf.dummyfunction("""COMPUTED_VALUE"""),"849ad7bb-d1d3-4e3b-838f-04cf2f7fb5fd")</f>
        <v>849ad7bb-d1d3-4e3b-838f-04cf2f7fb5fd</v>
      </c>
      <c r="C600" s="13" t="str">
        <f aca="false">IFERROR(__xludf.dummyfunction("""COMPUTED_VALUE"""),"Dummer Super Fine Atta 10kg")</f>
        <v>Dummer Super Fine Atta 10kg</v>
      </c>
      <c r="D600" s="13" t="str">
        <f aca="false">IFERROR(__xludf.dummyfunction("""COMPUTED_VALUE"""),"Dummer Atta")</f>
        <v>Dummer Atta</v>
      </c>
      <c r="E600" s="13" t="str">
        <f aca="false">IFERROR(__xludf.dummyfunction("""COMPUTED_VALUE"""),"Flour")</f>
        <v>Flour</v>
      </c>
      <c r="F600" s="11" t="n">
        <f aca="false">IFERROR(__xludf.dummyfunction("""COMPUTED_VALUE"""),45223)</f>
        <v>45223</v>
      </c>
      <c r="G600" s="16" t="n">
        <f aca="false">IFERROR(__xludf.dummyfunction("""COMPUTED_VALUE"""),0.376645694443011)</f>
        <v>0.3766456944</v>
      </c>
      <c r="H600" s="13" t="str">
        <f aca="false">IFERROR(__xludf.dummyfunction("""COMPUTED_VALUE"""),"damaged stock")</f>
        <v>damaged stock</v>
      </c>
      <c r="I600" s="13" t="n">
        <f aca="false">IFERROR(__xludf.dummyfunction("""COMPUTED_VALUE"""),2)</f>
        <v>2</v>
      </c>
      <c r="J600" s="13" t="n">
        <f aca="false">IFERROR(__xludf.dummyfunction("""COMPUTED_VALUE"""),1400)</f>
        <v>1400</v>
      </c>
      <c r="K600" s="13" t="n">
        <f aca="false">IFERROR(__xludf.dummyfunction("""COMPUTED_VALUE"""),2800)</f>
        <v>2800</v>
      </c>
      <c r="L600" s="13" t="str">
        <f aca="false">IFERROR(__xludf.dummyfunction("""COMPUTED_VALUE"""),"[Code: 2336799A] 02 units found damaged due to mouse cut")</f>
        <v>[Code: 2336799A] 02 units found damaged due to mouse cut</v>
      </c>
      <c r="M600" s="13" t="str">
        <f aca="false">IFERROR(__xludf.dummyfunction("""COMPUTED_VALUE"""),"2336799A")</f>
        <v>2336799A</v>
      </c>
      <c r="N600" s="13"/>
      <c r="O600" s="13" t="str">
        <f aca="false">IFERROR(__xludf.dummyfunction("""COMPUTED_VALUE"""),"ali.raza@tajir-app.com")</f>
        <v>ali.raza@tajir-app.com</v>
      </c>
      <c r="P600" s="13" t="str">
        <f aca="false">IFERROR(__xludf.dummyfunction("""COMPUTED_VALUE"""),"Ali Raza ")</f>
        <v>Ali Raza </v>
      </c>
      <c r="Q600" s="13" t="str">
        <f aca="false">IF(L600="","",L600)</f>
        <v>[Code: 2336799A] 02 units found damaged due to mouse cut</v>
      </c>
    </row>
    <row r="601" customFormat="false" ht="15.75" hidden="false" customHeight="false" outlineLevel="0" collapsed="false">
      <c r="A601" s="13" t="str">
        <f aca="false">IFERROR(__xludf.dummyfunction("""COMPUTED_VALUE"""),"Metro DC Faisalabad")</f>
        <v>Metro DC Faisalabad</v>
      </c>
      <c r="B601" s="13" t="str">
        <f aca="false">IFERROR(__xludf.dummyfunction("""COMPUTED_VALUE"""),"6bf8e4d8-b1ee-4416-8677-04c83525e4ce")</f>
        <v>6bf8e4d8-b1ee-4416-8677-04c83525e4ce</v>
      </c>
      <c r="C601" s="13" t="str">
        <f aca="false">IFERROR(__xludf.dummyfunction("""COMPUTED_VALUE"""),"Dummer Super Fine Atta 15kg")</f>
        <v>Dummer Super Fine Atta 15kg</v>
      </c>
      <c r="D601" s="13" t="str">
        <f aca="false">IFERROR(__xludf.dummyfunction("""COMPUTED_VALUE"""),"Dummer Atta")</f>
        <v>Dummer Atta</v>
      </c>
      <c r="E601" s="13" t="str">
        <f aca="false">IFERROR(__xludf.dummyfunction("""COMPUTED_VALUE"""),"Flour")</f>
        <v>Flour</v>
      </c>
      <c r="F601" s="11" t="n">
        <f aca="false">IFERROR(__xludf.dummyfunction("""COMPUTED_VALUE"""),45223)</f>
        <v>45223</v>
      </c>
      <c r="G601" s="16" t="n">
        <f aca="false">IFERROR(__xludf.dummyfunction("""COMPUTED_VALUE"""),0.376194166665217)</f>
        <v>0.3761941667</v>
      </c>
      <c r="H601" s="13" t="str">
        <f aca="false">IFERROR(__xludf.dummyfunction("""COMPUTED_VALUE"""),"damaged stock")</f>
        <v>damaged stock</v>
      </c>
      <c r="I601" s="13" t="n">
        <f aca="false">IFERROR(__xludf.dummyfunction("""COMPUTED_VALUE"""),1)</f>
        <v>1</v>
      </c>
      <c r="J601" s="13" t="n">
        <f aca="false">IFERROR(__xludf.dummyfunction("""COMPUTED_VALUE"""),2100)</f>
        <v>2100</v>
      </c>
      <c r="K601" s="13" t="n">
        <f aca="false">IFERROR(__xludf.dummyfunction("""COMPUTED_VALUE"""),2100)</f>
        <v>2100</v>
      </c>
      <c r="L601" s="13" t="str">
        <f aca="false">IFERROR(__xludf.dummyfunction("""COMPUTED_VALUE"""),"[Code: 4899DEGK] 01 unit found damaged due to mouse cut")</f>
        <v>[Code: 4899DEGK] 01 unit found damaged due to mouse cut</v>
      </c>
      <c r="M601" s="13" t="str">
        <f aca="false">IFERROR(__xludf.dummyfunction("""COMPUTED_VALUE"""),"4899DEGK")</f>
        <v>4899DEGK</v>
      </c>
      <c r="N601" s="13"/>
      <c r="O601" s="13" t="str">
        <f aca="false">IFERROR(__xludf.dummyfunction("""COMPUTED_VALUE"""),"ali.raza@tajir-app.com")</f>
        <v>ali.raza@tajir-app.com</v>
      </c>
      <c r="P601" s="13" t="str">
        <f aca="false">IFERROR(__xludf.dummyfunction("""COMPUTED_VALUE"""),"Ali Raza ")</f>
        <v>Ali Raza </v>
      </c>
      <c r="Q601" s="13" t="str">
        <f aca="false">IF(L601="","",L601)</f>
        <v>[Code: 4899DEGK] 01 unit found damaged due to mouse cut</v>
      </c>
    </row>
    <row r="602" customFormat="false" ht="15.75" hidden="false" customHeight="false" outlineLevel="0" collapsed="false">
      <c r="A602" s="13" t="str">
        <f aca="false">IFERROR(__xludf.dummyfunction("""COMPUTED_VALUE"""),"Metro DC Faisalabad")</f>
        <v>Metro DC Faisalabad</v>
      </c>
      <c r="B602" s="13" t="str">
        <f aca="false">IFERROR(__xludf.dummyfunction("""COMPUTED_VALUE"""),"d35314e0-f3f4-47fe-90aa-af65dab10e9d")</f>
        <v>d35314e0-f3f4-47fe-90aa-af65dab10e9d</v>
      </c>
      <c r="C602" s="13" t="str">
        <f aca="false">IFERROR(__xludf.dummyfunction("""COMPUTED_VALUE"""),"Bonus tristar detergent x6 bundle 48g Rs10")</f>
        <v>Bonus tristar detergent x6 bundle 48g Rs10</v>
      </c>
      <c r="D602" s="13" t="str">
        <f aca="false">IFERROR(__xludf.dummyfunction("""COMPUTED_VALUE"""),"Bonus Surf")</f>
        <v>Bonus Surf</v>
      </c>
      <c r="E602" s="13" t="str">
        <f aca="false">IFERROR(__xludf.dummyfunction("""COMPUTED_VALUE"""),"Surf, Bleach")</f>
        <v>Surf, Bleach</v>
      </c>
      <c r="F602" s="11" t="n">
        <f aca="false">IFERROR(__xludf.dummyfunction("""COMPUTED_VALUE"""),45224)</f>
        <v>45224</v>
      </c>
      <c r="G602" s="16" t="n">
        <f aca="false">IFERROR(__xludf.dummyfunction("""COMPUTED_VALUE"""),0.914343032406858)</f>
        <v>0.9143430324</v>
      </c>
      <c r="H602" s="13" t="str">
        <f aca="false">IFERROR(__xludf.dummyfunction("""COMPUTED_VALUE"""),"damaged stock")</f>
        <v>damaged stock</v>
      </c>
      <c r="I602" s="13" t="n">
        <f aca="false">IFERROR(__xludf.dummyfunction("""COMPUTED_VALUE"""),1)</f>
        <v>1</v>
      </c>
      <c r="J602" s="13" t="n">
        <f aca="false">IFERROR(__xludf.dummyfunction("""COMPUTED_VALUE"""),55.38)</f>
        <v>55.38</v>
      </c>
      <c r="K602" s="13" t="n">
        <f aca="false">IFERROR(__xludf.dummyfunction("""COMPUTED_VALUE"""),55.38)</f>
        <v>55.38</v>
      </c>
      <c r="L602" s="13" t="str">
        <f aca="false">IFERROR(__xludf.dummyfunction("""COMPUTED_VALUE"""),"[Code: 468ACEFH] TA: Found damaged from bag during sorting.")</f>
        <v>[Code: 468ACEFH] TA: Found damaged from bag during sorting.</v>
      </c>
      <c r="M602" s="13" t="str">
        <f aca="false">IFERROR(__xludf.dummyfunction("""COMPUTED_VALUE"""),"468ACEFH")</f>
        <v>468ACEFH</v>
      </c>
      <c r="N602" s="13"/>
      <c r="O602" s="13" t="str">
        <f aca="false">IFERROR(__xludf.dummyfunction("""COMPUTED_VALUE"""),"taufeeq.akhtar@tajir-app.com")</f>
        <v>taufeeq.akhtar@tajir-app.com</v>
      </c>
      <c r="P602" s="13" t="str">
        <f aca="false">IFERROR(__xludf.dummyfunction("""COMPUTED_VALUE"""),"Taufeeq Akhtar ")</f>
        <v>Taufeeq Akhtar </v>
      </c>
      <c r="Q602" s="13" t="str">
        <f aca="false">IF(L602="","",L602)</f>
        <v>[Code: 468ACEFH] TA: Found damaged from bag during sorting.</v>
      </c>
    </row>
    <row r="603" customFormat="false" ht="15.75" hidden="false" customHeight="false" outlineLevel="0" collapsed="false">
      <c r="A603" s="13" t="str">
        <f aca="false">IFERROR(__xludf.dummyfunction("""COMPUTED_VALUE"""),"Metro DC Faisalabad")</f>
        <v>Metro DC Faisalabad</v>
      </c>
      <c r="B603" s="13" t="str">
        <f aca="false">IFERROR(__xludf.dummyfunction("""COMPUTED_VALUE"""),"2078dcd4-3c88-45e1-bc7b-363dde84c6e8")</f>
        <v>2078dcd4-3c88-45e1-bc7b-363dde84c6e8</v>
      </c>
      <c r="C603" s="13" t="str">
        <f aca="false">IFERROR(__xludf.dummyfunction("""COMPUTED_VALUE"""),"Special Wooden Phool Jharoo")</f>
        <v>Special Wooden Phool Jharoo</v>
      </c>
      <c r="D603" s="13" t="str">
        <f aca="false">IFERROR(__xludf.dummyfunction("""COMPUTED_VALUE"""),"Jharoo")</f>
        <v>Jharoo</v>
      </c>
      <c r="E603" s="13" t="str">
        <f aca="false">IFERROR(__xludf.dummyfunction("""COMPUTED_VALUE"""),"Home Care")</f>
        <v>Home Care</v>
      </c>
      <c r="F603" s="11" t="n">
        <f aca="false">IFERROR(__xludf.dummyfunction("""COMPUTED_VALUE"""),45224)</f>
        <v>45224</v>
      </c>
      <c r="G603" s="16" t="n">
        <f aca="false">IFERROR(__xludf.dummyfunction("""COMPUTED_VALUE"""),0.913255833333118)</f>
        <v>0.9132558333</v>
      </c>
      <c r="H603" s="13" t="str">
        <f aca="false">IFERROR(__xludf.dummyfunction("""COMPUTED_VALUE"""),"damaged stock")</f>
        <v>damaged stock</v>
      </c>
      <c r="I603" s="13" t="n">
        <f aca="false">IFERROR(__xludf.dummyfunction("""COMPUTED_VALUE"""),1)</f>
        <v>1</v>
      </c>
      <c r="J603" s="13" t="n">
        <f aca="false">IFERROR(__xludf.dummyfunction("""COMPUTED_VALUE"""),135)</f>
        <v>135</v>
      </c>
      <c r="K603" s="13" t="n">
        <f aca="false">IFERROR(__xludf.dummyfunction("""COMPUTED_VALUE"""),135)</f>
        <v>135</v>
      </c>
      <c r="L603" s="13" t="str">
        <f aca="false">IFERROR(__xludf.dummyfunction("""COMPUTED_VALUE"""),"[Code: 244578BC] TA: found damaged from bundle during sorting.")</f>
        <v>[Code: 244578BC] TA: found damaged from bundle during sorting.</v>
      </c>
      <c r="M603" s="13" t="str">
        <f aca="false">IFERROR(__xludf.dummyfunction("""COMPUTED_VALUE"""),"244578BC")</f>
        <v>244578BC</v>
      </c>
      <c r="N603" s="13"/>
      <c r="O603" s="13" t="str">
        <f aca="false">IFERROR(__xludf.dummyfunction("""COMPUTED_VALUE"""),"taufeeq.akhtar@tajir-app.com")</f>
        <v>taufeeq.akhtar@tajir-app.com</v>
      </c>
      <c r="P603" s="13" t="str">
        <f aca="false">IFERROR(__xludf.dummyfunction("""COMPUTED_VALUE"""),"Taufeeq Akhtar ")</f>
        <v>Taufeeq Akhtar </v>
      </c>
      <c r="Q603" s="13" t="str">
        <f aca="false">IF(L603="","",L603)</f>
        <v>[Code: 244578BC] TA: found damaged from bundle during sorting.</v>
      </c>
    </row>
    <row r="604" customFormat="false" ht="15.75" hidden="false" customHeight="false" outlineLevel="0" collapsed="false">
      <c r="A604" s="13" t="str">
        <f aca="false">IFERROR(__xludf.dummyfunction("""COMPUTED_VALUE"""),"Metro DC Faisalabad")</f>
        <v>Metro DC Faisalabad</v>
      </c>
      <c r="B604" s="13" t="str">
        <f aca="false">IFERROR(__xludf.dummyfunction("""COMPUTED_VALUE"""),"b3598e3d-528f-482f-9789-ead5b9583f19")</f>
        <v>b3598e3d-528f-482f-9789-ead5b9583f19</v>
      </c>
      <c r="C604" s="13" t="str">
        <f aca="false">IFERROR(__xludf.dummyfunction("""COMPUTED_VALUE"""),"Surf Excel x6 bundle Rs50")</f>
        <v>Surf Excel x6 bundle Rs50</v>
      </c>
      <c r="D604" s="13" t="str">
        <f aca="false">IFERROR(__xludf.dummyfunction("""COMPUTED_VALUE"""),"Surf Excel")</f>
        <v>Surf Excel</v>
      </c>
      <c r="E604" s="13" t="str">
        <f aca="false">IFERROR(__xludf.dummyfunction("""COMPUTED_VALUE"""),"Surf, Bleach")</f>
        <v>Surf, Bleach</v>
      </c>
      <c r="F604" s="11" t="n">
        <f aca="false">IFERROR(__xludf.dummyfunction("""COMPUTED_VALUE"""),45226)</f>
        <v>45226</v>
      </c>
      <c r="G604" s="16" t="n">
        <f aca="false">IFERROR(__xludf.dummyfunction("""COMPUTED_VALUE"""),0.74631439814727)</f>
        <v>0.7463143981</v>
      </c>
      <c r="H604" s="13" t="str">
        <f aca="false">IFERROR(__xludf.dummyfunction("""COMPUTED_VALUE"""),"damaged stock")</f>
        <v>damaged stock</v>
      </c>
      <c r="I604" s="13" t="n">
        <f aca="false">IFERROR(__xludf.dummyfunction("""COMPUTED_VALUE"""),1)</f>
        <v>1</v>
      </c>
      <c r="J604" s="13" t="n">
        <f aca="false">IFERROR(__xludf.dummyfunction("""COMPUTED_VALUE"""),275)</f>
        <v>275</v>
      </c>
      <c r="K604" s="13" t="n">
        <f aca="false">IFERROR(__xludf.dummyfunction("""COMPUTED_VALUE"""),275)</f>
        <v>275</v>
      </c>
      <c r="L604" s="13" t="str">
        <f aca="false">IFERROR(__xludf.dummyfunction("""COMPUTED_VALUE"""),"[Code: 278ABEHJ] TA: found Damaged from bag during sorting.")</f>
        <v>[Code: 278ABEHJ] TA: found Damaged from bag during sorting.</v>
      </c>
      <c r="M604" s="13" t="str">
        <f aca="false">IFERROR(__xludf.dummyfunction("""COMPUTED_VALUE"""),"278ABEHJ")</f>
        <v>278ABEHJ</v>
      </c>
      <c r="N604" s="13"/>
      <c r="O604" s="13" t="str">
        <f aca="false">IFERROR(__xludf.dummyfunction("""COMPUTED_VALUE"""),"taufeeq.akhtar@tajir-app.com")</f>
        <v>taufeeq.akhtar@tajir-app.com</v>
      </c>
      <c r="P604" s="13" t="str">
        <f aca="false">IFERROR(__xludf.dummyfunction("""COMPUTED_VALUE"""),"Taufeeq Akhtar ")</f>
        <v>Taufeeq Akhtar </v>
      </c>
      <c r="Q604" s="13" t="str">
        <f aca="false">IF(L604="","",L604)</f>
        <v>[Code: 278ABEHJ] TA: found Damaged from bag during sorting.</v>
      </c>
    </row>
    <row r="605" customFormat="false" ht="15.75" hidden="false" customHeight="false" outlineLevel="0" collapsed="false">
      <c r="A605" s="13" t="str">
        <f aca="false">IFERROR(__xludf.dummyfunction("""COMPUTED_VALUE"""),"Metro DC Faisalabad")</f>
        <v>Metro DC Faisalabad</v>
      </c>
      <c r="B605" s="13" t="str">
        <f aca="false">IFERROR(__xludf.dummyfunction("""COMPUTED_VALUE"""),"d108dc59-da93-451f-9024-d773dad3e97a")</f>
        <v>d108dc59-da93-451f-9024-d773dad3e97a</v>
      </c>
      <c r="C605" s="13" t="str">
        <f aca="false">IFERROR(__xludf.dummyfunction("""COMPUTED_VALUE"""),"Sprite plastic 1.5L")</f>
        <v>Sprite plastic 1.5L</v>
      </c>
      <c r="D605" s="13" t="str">
        <f aca="false">IFERROR(__xludf.dummyfunction("""COMPUTED_VALUE"""),"Sprite")</f>
        <v>Sprite</v>
      </c>
      <c r="E605" s="13" t="str">
        <f aca="false">IFERROR(__xludf.dummyfunction("""COMPUTED_VALUE"""),"Beverages")</f>
        <v>Beverages</v>
      </c>
      <c r="F605" s="11" t="n">
        <f aca="false">IFERROR(__xludf.dummyfunction("""COMPUTED_VALUE"""),45226)</f>
        <v>45226</v>
      </c>
      <c r="G605" s="16" t="n">
        <f aca="false">IFERROR(__xludf.dummyfunction("""COMPUTED_VALUE"""),0.665806874998383)</f>
        <v>0.665806875</v>
      </c>
      <c r="H605" s="13" t="str">
        <f aca="false">IFERROR(__xludf.dummyfunction("""COMPUTED_VALUE"""),"damaged stock")</f>
        <v>damaged stock</v>
      </c>
      <c r="I605" s="13" t="n">
        <f aca="false">IFERROR(__xludf.dummyfunction("""COMPUTED_VALUE"""),1)</f>
        <v>1</v>
      </c>
      <c r="J605" s="13" t="n">
        <f aca="false">IFERROR(__xludf.dummyfunction("""COMPUTED_VALUE"""),870)</f>
        <v>870</v>
      </c>
      <c r="K605" s="13" t="n">
        <f aca="false">IFERROR(__xludf.dummyfunction("""COMPUTED_VALUE"""),870)</f>
        <v>870</v>
      </c>
      <c r="L605" s="13" t="str">
        <f aca="false">IFERROR(__xludf.dummyfunction("""COMPUTED_VALUE"""),"[Code: 359BCEEE] TA: Found empty bottels during sorting//")</f>
        <v>[Code: 359BCEEE] TA: Found empty bottels during sorting//</v>
      </c>
      <c r="M605" s="13" t="str">
        <f aca="false">IFERROR(__xludf.dummyfunction("""COMPUTED_VALUE"""),"359BCEEE")</f>
        <v>359BCEEE</v>
      </c>
      <c r="N605" s="13"/>
      <c r="O605" s="13" t="str">
        <f aca="false">IFERROR(__xludf.dummyfunction("""COMPUTED_VALUE"""),"taufeeq.akhtar@tajir-app.com")</f>
        <v>taufeeq.akhtar@tajir-app.com</v>
      </c>
      <c r="P605" s="13" t="str">
        <f aca="false">IFERROR(__xludf.dummyfunction("""COMPUTED_VALUE"""),"Taufeeq Akhtar ")</f>
        <v>Taufeeq Akhtar </v>
      </c>
      <c r="Q605" s="13" t="str">
        <f aca="false">IF(L605="","",L605)</f>
        <v>[Code: 359BCEEE] TA: Found empty bottels during sorting//</v>
      </c>
    </row>
    <row r="606" customFormat="false" ht="15.75" hidden="false" customHeight="false" outlineLevel="0" collapsed="false">
      <c r="A606" s="13" t="str">
        <f aca="false">IFERROR(__xludf.dummyfunction("""COMPUTED_VALUE"""),"Metro DC Faisalabad")</f>
        <v>Metro DC Faisalabad</v>
      </c>
      <c r="B606" s="13" t="str">
        <f aca="false">IFERROR(__xludf.dummyfunction("""COMPUTED_VALUE"""),"cd68a607-af95-45cb-b9f4-2721224c85f8")</f>
        <v>cd68a607-af95-45cb-b9f4-2721224c85f8</v>
      </c>
      <c r="C606" s="13" t="str">
        <f aca="false">IFERROR(__xludf.dummyfunction("""COMPUTED_VALUE"""),"Coca Cola plastic 1.5L")</f>
        <v>Coca Cola plastic 1.5L</v>
      </c>
      <c r="D606" s="13" t="str">
        <f aca="false">IFERROR(__xludf.dummyfunction("""COMPUTED_VALUE"""),"Coca Cola")</f>
        <v>Coca Cola</v>
      </c>
      <c r="E606" s="13" t="str">
        <f aca="false">IFERROR(__xludf.dummyfunction("""COMPUTED_VALUE"""),"Beverages")</f>
        <v>Beverages</v>
      </c>
      <c r="F606" s="11" t="n">
        <f aca="false">IFERROR(__xludf.dummyfunction("""COMPUTED_VALUE"""),45226)</f>
        <v>45226</v>
      </c>
      <c r="G606" s="16" t="n">
        <f aca="false">IFERROR(__xludf.dummyfunction("""COMPUTED_VALUE"""),0.664890393517802)</f>
        <v>0.6648903935</v>
      </c>
      <c r="H606" s="13" t="str">
        <f aca="false">IFERROR(__xludf.dummyfunction("""COMPUTED_VALUE"""),"damaged stock")</f>
        <v>damaged stock</v>
      </c>
      <c r="I606" s="13" t="n">
        <f aca="false">IFERROR(__xludf.dummyfunction("""COMPUTED_VALUE"""),1)</f>
        <v>1</v>
      </c>
      <c r="J606" s="13" t="n">
        <f aca="false">IFERROR(__xludf.dummyfunction("""COMPUTED_VALUE"""),914.68)</f>
        <v>914.68</v>
      </c>
      <c r="K606" s="13" t="n">
        <f aca="false">IFERROR(__xludf.dummyfunction("""COMPUTED_VALUE"""),914.68)</f>
        <v>914.68</v>
      </c>
      <c r="L606" s="13" t="str">
        <f aca="false">IFERROR(__xludf.dummyfunction("""COMPUTED_VALUE"""),"[Code: 2467BEEE] TA: Found empty bottels during soring..")</f>
        <v>[Code: 2467BEEE] TA: Found empty bottels during soring..</v>
      </c>
      <c r="M606" s="13" t="str">
        <f aca="false">IFERROR(__xludf.dummyfunction("""COMPUTED_VALUE"""),"2467BEEE")</f>
        <v>2467BEEE</v>
      </c>
      <c r="N606" s="13"/>
      <c r="O606" s="13" t="str">
        <f aca="false">IFERROR(__xludf.dummyfunction("""COMPUTED_VALUE"""),"taufeeq.akhtar@tajir-app.com")</f>
        <v>taufeeq.akhtar@tajir-app.com</v>
      </c>
      <c r="P606" s="13" t="str">
        <f aca="false">IFERROR(__xludf.dummyfunction("""COMPUTED_VALUE"""),"Taufeeq Akhtar ")</f>
        <v>Taufeeq Akhtar </v>
      </c>
      <c r="Q606" s="13" t="str">
        <f aca="false">IF(L606="","",L606)</f>
        <v>[Code: 2467BEEE] TA: Found empty bottels during soring..</v>
      </c>
    </row>
    <row r="607" customFormat="false" ht="15.75" hidden="false" customHeight="false" outlineLevel="0" collapsed="false">
      <c r="A607" s="13" t="str">
        <f aca="false">IFERROR(__xludf.dummyfunction("""COMPUTED_VALUE"""),"Metro DC Faisalabad")</f>
        <v>Metro DC Faisalabad</v>
      </c>
      <c r="B607" s="13" t="str">
        <f aca="false">IFERROR(__xludf.dummyfunction("""COMPUTED_VALUE"""),"640b3d13-fe80-4e07-8c7f-6e8b80a71337")</f>
        <v>640b3d13-fe80-4e07-8c7f-6e8b80a71337</v>
      </c>
      <c r="C607" s="13" t="str">
        <f aca="false">IFERROR(__xludf.dummyfunction("""COMPUTED_VALUE"""),"Swadi Besan 5kg")</f>
        <v>Swadi Besan 5kg</v>
      </c>
      <c r="D607" s="13" t="str">
        <f aca="false">IFERROR(__xludf.dummyfunction("""COMPUTED_VALUE"""),"Swadi")</f>
        <v>Swadi</v>
      </c>
      <c r="E607" s="13" t="str">
        <f aca="false">IFERROR(__xludf.dummyfunction("""COMPUTED_VALUE"""),"Pulses")</f>
        <v>Pulses</v>
      </c>
      <c r="F607" s="11" t="n">
        <f aca="false">IFERROR(__xludf.dummyfunction("""COMPUTED_VALUE"""),45227)</f>
        <v>45227</v>
      </c>
      <c r="G607" s="16" t="n">
        <f aca="false">IFERROR(__xludf.dummyfunction("""COMPUTED_VALUE"""),0.954527199074031)</f>
        <v>0.9545271991</v>
      </c>
      <c r="H607" s="13" t="str">
        <f aca="false">IFERROR(__xludf.dummyfunction("""COMPUTED_VALUE"""),"damaged stock")</f>
        <v>damaged stock</v>
      </c>
      <c r="I607" s="13" t="n">
        <f aca="false">IFERROR(__xludf.dummyfunction("""COMPUTED_VALUE"""),1)</f>
        <v>1</v>
      </c>
      <c r="J607" s="13" t="n">
        <f aca="false">IFERROR(__xludf.dummyfunction("""COMPUTED_VALUE"""),1050)</f>
        <v>1050</v>
      </c>
      <c r="K607" s="13" t="n">
        <f aca="false">IFERROR(__xludf.dummyfunction("""COMPUTED_VALUE"""),1050)</f>
        <v>1050</v>
      </c>
      <c r="L607" s="13" t="str">
        <f aca="false">IFERROR(__xludf.dummyfunction("""COMPUTED_VALUE"""),"[Code: 4468889E] TA: quality kharap hay...susri lagi hay ")</f>
        <v>[Code: 4468889E] TA: quality kharap hay...susri lagi hay </v>
      </c>
      <c r="M607" s="13" t="str">
        <f aca="false">IFERROR(__xludf.dummyfunction("""COMPUTED_VALUE"""),"4468889E")</f>
        <v>4468889E</v>
      </c>
      <c r="N607" s="13"/>
      <c r="O607" s="13" t="str">
        <f aca="false">IFERROR(__xludf.dummyfunction("""COMPUTED_VALUE"""),"taufeeq.akhtar@tajir-app.com")</f>
        <v>taufeeq.akhtar@tajir-app.com</v>
      </c>
      <c r="P607" s="13" t="str">
        <f aca="false">IFERROR(__xludf.dummyfunction("""COMPUTED_VALUE"""),"Taufeeq Akhtar ")</f>
        <v>Taufeeq Akhtar </v>
      </c>
      <c r="Q607" s="13" t="str">
        <f aca="false">IF(L607="","",L607)</f>
        <v>[Code: 4468889E] TA: quality kharap hay...susri lagi hay </v>
      </c>
    </row>
    <row r="608" customFormat="false" ht="15.75" hidden="false" customHeight="false" outlineLevel="0" collapsed="false">
      <c r="A608" s="13" t="str">
        <f aca="false">IFERROR(__xludf.dummyfunction("""COMPUTED_VALUE"""),"Metro DC Faisalabad")</f>
        <v>Metro DC Faisalabad</v>
      </c>
      <c r="B608" s="13" t="str">
        <f aca="false">IFERROR(__xludf.dummyfunction("""COMPUTED_VALUE"""),"4064f4d6-26ba-4acc-a2ea-538239607256")</f>
        <v>4064f4d6-26ba-4acc-a2ea-538239607256</v>
      </c>
      <c r="C608" s="13" t="str">
        <f aca="false">IFERROR(__xludf.dummyfunction("""COMPUTED_VALUE"""),"Sunlight Pink Clean and Jasmine Fresh 380g Rs99")</f>
        <v>Sunlight Pink Clean and Jasmine Fresh 380g Rs99</v>
      </c>
      <c r="D608" s="13" t="str">
        <f aca="false">IFERROR(__xludf.dummyfunction("""COMPUTED_VALUE"""),"Sunlight")</f>
        <v>Sunlight</v>
      </c>
      <c r="E608" s="13" t="str">
        <f aca="false">IFERROR(__xludf.dummyfunction("""COMPUTED_VALUE"""),"Surf, Bleach")</f>
        <v>Surf, Bleach</v>
      </c>
      <c r="F608" s="11" t="n">
        <f aca="false">IFERROR(__xludf.dummyfunction("""COMPUTED_VALUE"""),45227)</f>
        <v>45227</v>
      </c>
      <c r="G608" s="16" t="n">
        <f aca="false">IFERROR(__xludf.dummyfunction("""COMPUTED_VALUE"""),0.928074664351421)</f>
        <v>0.9280746644</v>
      </c>
      <c r="H608" s="13" t="str">
        <f aca="false">IFERROR(__xludf.dummyfunction("""COMPUTED_VALUE"""),"damaged stock")</f>
        <v>damaged stock</v>
      </c>
      <c r="I608" s="13" t="n">
        <f aca="false">IFERROR(__xludf.dummyfunction("""COMPUTED_VALUE"""),1)</f>
        <v>1</v>
      </c>
      <c r="J608" s="13" t="n">
        <f aca="false">IFERROR(__xludf.dummyfunction("""COMPUTED_VALUE"""),89.1)</f>
        <v>89.1</v>
      </c>
      <c r="K608" s="13" t="n">
        <f aca="false">IFERROR(__xludf.dummyfunction("""COMPUTED_VALUE"""),89.1)</f>
        <v>89.1</v>
      </c>
      <c r="L608" s="13" t="str">
        <f aca="false">IFERROR(__xludf.dummyfunction("""COMPUTED_VALUE"""),"[Code: 234999EE] TA: 1 unit damage found during display (bag sy damage mila he)")</f>
        <v>[Code: 234999EE] TA: 1 unit damage found during display (bag sy damage mila he)</v>
      </c>
      <c r="M608" s="13" t="str">
        <f aca="false">IFERROR(__xludf.dummyfunction("""COMPUTED_VALUE"""),"234999EE")</f>
        <v>234999EE</v>
      </c>
      <c r="N608" s="13"/>
      <c r="O608" s="13" t="str">
        <f aca="false">IFERROR(__xludf.dummyfunction("""COMPUTED_VALUE"""),"taufeeq.akhtar@tajir-app.com")</f>
        <v>taufeeq.akhtar@tajir-app.com</v>
      </c>
      <c r="P608" s="13" t="str">
        <f aca="false">IFERROR(__xludf.dummyfunction("""COMPUTED_VALUE"""),"Taufeeq Akhtar ")</f>
        <v>Taufeeq Akhtar </v>
      </c>
      <c r="Q608" s="13" t="str">
        <f aca="false">IF(L608="","",L608)</f>
        <v>[Code: 234999EE] TA: 1 unit damage found during display (bag sy damage mila he)</v>
      </c>
    </row>
    <row r="609" customFormat="false" ht="15.75" hidden="false" customHeight="false" outlineLevel="0" collapsed="false">
      <c r="A609" s="13" t="str">
        <f aca="false">IFERROR(__xludf.dummyfunction("""COMPUTED_VALUE"""),"Metro DC Faisalabad")</f>
        <v>Metro DC Faisalabad</v>
      </c>
      <c r="B609" s="13" t="str">
        <f aca="false">IFERROR(__xludf.dummyfunction("""COMPUTED_VALUE"""),"039ebff0-a54d-4ab1-a893-22ee2482fc18")</f>
        <v>039ebff0-a54d-4ab1-a893-22ee2482fc18</v>
      </c>
      <c r="C609" s="13" t="str">
        <f aca="false">IFERROR(__xludf.dummyfunction("""COMPUTED_VALUE"""),"Habib Foods Funtime Mango Flavoured Drink 200mL")</f>
        <v>Habib Foods Funtime Mango Flavoured Drink 200mL</v>
      </c>
      <c r="D609" s="13" t="str">
        <f aca="false">IFERROR(__xludf.dummyfunction("""COMPUTED_VALUE"""),"Habib Foods")</f>
        <v>Habib Foods</v>
      </c>
      <c r="E609" s="13" t="str">
        <f aca="false">IFERROR(__xludf.dummyfunction("""COMPUTED_VALUE"""),"Juice, Syrup, Squash")</f>
        <v>Juice, Syrup, Squash</v>
      </c>
      <c r="F609" s="11" t="n">
        <f aca="false">IFERROR(__xludf.dummyfunction("""COMPUTED_VALUE"""),45227)</f>
        <v>45227</v>
      </c>
      <c r="G609" s="16" t="n">
        <f aca="false">IFERROR(__xludf.dummyfunction("""COMPUTED_VALUE"""),0.901526284721586)</f>
        <v>0.9015262847</v>
      </c>
      <c r="H609" s="13" t="str">
        <f aca="false">IFERROR(__xludf.dummyfunction("""COMPUTED_VALUE"""),"damaged stock")</f>
        <v>damaged stock</v>
      </c>
      <c r="I609" s="13" t="n">
        <f aca="false">IFERROR(__xludf.dummyfunction("""COMPUTED_VALUE"""),1)</f>
        <v>1</v>
      </c>
      <c r="J609" s="13" t="n">
        <f aca="false">IFERROR(__xludf.dummyfunction("""COMPUTED_VALUE"""),500)</f>
        <v>500</v>
      </c>
      <c r="K609" s="13" t="n">
        <f aca="false">IFERROR(__xludf.dummyfunction("""COMPUTED_VALUE"""),500)</f>
        <v>500</v>
      </c>
      <c r="L609" s="13" t="str">
        <f aca="false">IFERROR(__xludf.dummyfunction("""COMPUTED_VALUE"""),"[Code: 26789DDG] TA: found damaged from display during sorting.")</f>
        <v>[Code: 26789DDG] TA: found damaged from display during sorting.</v>
      </c>
      <c r="M609" s="13" t="str">
        <f aca="false">IFERROR(__xludf.dummyfunction("""COMPUTED_VALUE"""),"26789DDG")</f>
        <v>26789DDG</v>
      </c>
      <c r="N609" s="13"/>
      <c r="O609" s="13" t="str">
        <f aca="false">IFERROR(__xludf.dummyfunction("""COMPUTED_VALUE"""),"taufeeq.akhtar@tajir-app.com")</f>
        <v>taufeeq.akhtar@tajir-app.com</v>
      </c>
      <c r="P609" s="13" t="str">
        <f aca="false">IFERROR(__xludf.dummyfunction("""COMPUTED_VALUE"""),"Taufeeq Akhtar ")</f>
        <v>Taufeeq Akhtar </v>
      </c>
      <c r="Q609" s="13" t="str">
        <f aca="false">IF(L609="","",L609)</f>
        <v>[Code: 26789DDG] TA: found damaged from display during sorting.</v>
      </c>
    </row>
    <row r="610" customFormat="false" ht="15.75" hidden="false" customHeight="false" outlineLevel="0" collapsed="false">
      <c r="A610" s="13" t="str">
        <f aca="false">IFERROR(__xludf.dummyfunction("""COMPUTED_VALUE"""),"Metro DC Faisalabad")</f>
        <v>Metro DC Faisalabad</v>
      </c>
      <c r="B610" s="13" t="str">
        <f aca="false">IFERROR(__xludf.dummyfunction("""COMPUTED_VALUE"""),"52fc90df-861c-4bdc-a491-d48a5fbaceb8")</f>
        <v>52fc90df-861c-4bdc-a491-d48a5fbaceb8</v>
      </c>
      <c r="C610" s="13" t="str">
        <f aca="false">IFERROR(__xludf.dummyfunction("""COMPUTED_VALUE"""),"Habib Foods Funtime Apple Flavoured Drink 200mL")</f>
        <v>Habib Foods Funtime Apple Flavoured Drink 200mL</v>
      </c>
      <c r="D610" s="13" t="str">
        <f aca="false">IFERROR(__xludf.dummyfunction("""COMPUTED_VALUE"""),"Habib Foods")</f>
        <v>Habib Foods</v>
      </c>
      <c r="E610" s="13" t="str">
        <f aca="false">IFERROR(__xludf.dummyfunction("""COMPUTED_VALUE"""),"Juice, Syrup, Squash")</f>
        <v>Juice, Syrup, Squash</v>
      </c>
      <c r="F610" s="11" t="n">
        <f aca="false">IFERROR(__xludf.dummyfunction("""COMPUTED_VALUE"""),45227)</f>
        <v>45227</v>
      </c>
      <c r="G610" s="16" t="n">
        <f aca="false">IFERROR(__xludf.dummyfunction("""COMPUTED_VALUE"""),0.880528368054634)</f>
        <v>0.8805283681</v>
      </c>
      <c r="H610" s="13" t="str">
        <f aca="false">IFERROR(__xludf.dummyfunction("""COMPUTED_VALUE"""),"damaged stock")</f>
        <v>damaged stock</v>
      </c>
      <c r="I610" s="13" t="n">
        <f aca="false">IFERROR(__xludf.dummyfunction("""COMPUTED_VALUE"""),1)</f>
        <v>1</v>
      </c>
      <c r="J610" s="13" t="n">
        <f aca="false">IFERROR(__xludf.dummyfunction("""COMPUTED_VALUE"""),500)</f>
        <v>500</v>
      </c>
      <c r="K610" s="13" t="n">
        <f aca="false">IFERROR(__xludf.dummyfunction("""COMPUTED_VALUE"""),500)</f>
        <v>500</v>
      </c>
      <c r="L610" s="13" t="str">
        <f aca="false">IFERROR(__xludf.dummyfunction("""COMPUTED_VALUE"""),"[Code: 569AACDE] TA: Found damaged from display during sorting.")</f>
        <v>[Code: 569AACDE] TA: Found damaged from display during sorting.</v>
      </c>
      <c r="M610" s="13" t="str">
        <f aca="false">IFERROR(__xludf.dummyfunction("""COMPUTED_VALUE"""),"569AACDE")</f>
        <v>569AACDE</v>
      </c>
      <c r="N610" s="13"/>
      <c r="O610" s="13" t="str">
        <f aca="false">IFERROR(__xludf.dummyfunction("""COMPUTED_VALUE"""),"taufeeq.akhtar@tajir-app.com")</f>
        <v>taufeeq.akhtar@tajir-app.com</v>
      </c>
      <c r="P610" s="13" t="str">
        <f aca="false">IFERROR(__xludf.dummyfunction("""COMPUTED_VALUE"""),"Taufeeq Akhtar ")</f>
        <v>Taufeeq Akhtar </v>
      </c>
      <c r="Q610" s="13" t="str">
        <f aca="false">IF(L610="","",L610)</f>
        <v>[Code: 569AACDE] TA: Found damaged from display during sorting.</v>
      </c>
    </row>
    <row r="611" customFormat="false" ht="15.75" hidden="false" customHeight="false" outlineLevel="0" collapsed="false">
      <c r="A611" s="13" t="str">
        <f aca="false">IFERROR(__xludf.dummyfunction("""COMPUTED_VALUE"""),"Metro DC Faisalabad")</f>
        <v>Metro DC Faisalabad</v>
      </c>
      <c r="B611" s="13" t="str">
        <f aca="false">IFERROR(__xludf.dummyfunction("""COMPUTED_VALUE"""),"a46be111-2a99-4b29-8a75-aa691efd5217")</f>
        <v>a46be111-2a99-4b29-8a75-aa691efd5217</v>
      </c>
      <c r="C611" s="13" t="str">
        <f aca="false">IFERROR(__xludf.dummyfunction("""COMPUTED_VALUE"""),"Sting Berry Blast plastic 500ml (Half Liter)")</f>
        <v>Sting Berry Blast plastic 500ml (Half Liter)</v>
      </c>
      <c r="D611" s="13" t="str">
        <f aca="false">IFERROR(__xludf.dummyfunction("""COMPUTED_VALUE"""),"Sting")</f>
        <v>Sting</v>
      </c>
      <c r="E611" s="13" t="str">
        <f aca="false">IFERROR(__xludf.dummyfunction("""COMPUTED_VALUE"""),"Beverages")</f>
        <v>Beverages</v>
      </c>
      <c r="F611" s="11" t="n">
        <f aca="false">IFERROR(__xludf.dummyfunction("""COMPUTED_VALUE"""),45227)</f>
        <v>45227</v>
      </c>
      <c r="G611" s="16" t="n">
        <f aca="false">IFERROR(__xludf.dummyfunction("""COMPUTED_VALUE"""),0.87907859953625)</f>
        <v>0.8790785995</v>
      </c>
      <c r="H611" s="13" t="str">
        <f aca="false">IFERROR(__xludf.dummyfunction("""COMPUTED_VALUE"""),"damaged stock")</f>
        <v>damaged stock</v>
      </c>
      <c r="I611" s="13" t="n">
        <f aca="false">IFERROR(__xludf.dummyfunction("""COMPUTED_VALUE"""),1)</f>
        <v>1</v>
      </c>
      <c r="J611" s="13" t="n">
        <f aca="false">IFERROR(__xludf.dummyfunction("""COMPUTED_VALUE"""),980)</f>
        <v>980</v>
      </c>
      <c r="K611" s="13" t="n">
        <f aca="false">IFERROR(__xludf.dummyfunction("""COMPUTED_VALUE"""),980)</f>
        <v>980</v>
      </c>
      <c r="L611" s="13" t="str">
        <f aca="false">IFERROR(__xludf.dummyfunction("""COMPUTED_VALUE"""),"[Code: 33789FKL] TA: Found three empty bottels in pet during sorting")</f>
        <v>[Code: 33789FKL] TA: Found three empty bottels in pet during sorting</v>
      </c>
      <c r="M611" s="13" t="str">
        <f aca="false">IFERROR(__xludf.dummyfunction("""COMPUTED_VALUE"""),"33789FKL")</f>
        <v>33789FKL</v>
      </c>
      <c r="N611" s="13"/>
      <c r="O611" s="13" t="str">
        <f aca="false">IFERROR(__xludf.dummyfunction("""COMPUTED_VALUE"""),"taufeeq.akhtar@tajir-app.com")</f>
        <v>taufeeq.akhtar@tajir-app.com</v>
      </c>
      <c r="P611" s="13" t="str">
        <f aca="false">IFERROR(__xludf.dummyfunction("""COMPUTED_VALUE"""),"Taufeeq Akhtar ")</f>
        <v>Taufeeq Akhtar </v>
      </c>
      <c r="Q611" s="13" t="str">
        <f aca="false">IF(L611="","",L611)</f>
        <v>[Code: 33789FKL] TA: Found three empty bottels in pet during sorting</v>
      </c>
    </row>
    <row r="612" customFormat="false" ht="15.75" hidden="false" customHeight="false" outlineLevel="0" collapsed="false">
      <c r="A612" s="13" t="str">
        <f aca="false">IFERROR(__xludf.dummyfunction("""COMPUTED_VALUE"""),"Metro DC Faisalabad")</f>
        <v>Metro DC Faisalabad</v>
      </c>
      <c r="B612" s="13" t="str">
        <f aca="false">IFERROR(__xludf.dummyfunction("""COMPUTED_VALUE"""),"978a88b5-e0d1-4d9d-b7a1-90921ab8d4f0")</f>
        <v>978a88b5-e0d1-4d9d-b7a1-90921ab8d4f0</v>
      </c>
      <c r="C612" s="13" t="str">
        <f aca="false">IFERROR(__xludf.dummyfunction("""COMPUTED_VALUE"""),"Sherdil Daal Mash Wash 5kg")</f>
        <v>Sherdil Daal Mash Wash 5kg</v>
      </c>
      <c r="D612" s="13" t="str">
        <f aca="false">IFERROR(__xludf.dummyfunction("""COMPUTED_VALUE"""),"Sherdil")</f>
        <v>Sherdil</v>
      </c>
      <c r="E612" s="13" t="str">
        <f aca="false">IFERROR(__xludf.dummyfunction("""COMPUTED_VALUE"""),"Pulses")</f>
        <v>Pulses</v>
      </c>
      <c r="F612" s="11" t="n">
        <f aca="false">IFERROR(__xludf.dummyfunction("""COMPUTED_VALUE"""),45227)</f>
        <v>45227</v>
      </c>
      <c r="G612" s="16" t="n">
        <f aca="false">IFERROR(__xludf.dummyfunction("""COMPUTED_VALUE"""),0.687252534720907)</f>
        <v>0.6872525347</v>
      </c>
      <c r="H612" s="13" t="str">
        <f aca="false">IFERROR(__xludf.dummyfunction("""COMPUTED_VALUE"""),"damaged stock")</f>
        <v>damaged stock</v>
      </c>
      <c r="I612" s="13" t="n">
        <f aca="false">IFERROR(__xludf.dummyfunction("""COMPUTED_VALUE"""),1)</f>
        <v>1</v>
      </c>
      <c r="J612" s="13" t="n">
        <f aca="false">IFERROR(__xludf.dummyfunction("""COMPUTED_VALUE"""),3006)</f>
        <v>3006</v>
      </c>
      <c r="K612" s="13" t="n">
        <f aca="false">IFERROR(__xludf.dummyfunction("""COMPUTED_VALUE"""),3006)</f>
        <v>3006</v>
      </c>
      <c r="L612" s="13" t="str">
        <f aca="false">IFERROR(__xludf.dummyfunction("""COMPUTED_VALUE"""),"[Code: 378BBDFH] 1 unit found damaged due to fungus (quality issue)")</f>
        <v>[Code: 378BBDFH] 1 unit found damaged due to fungus (quality issue)</v>
      </c>
      <c r="M612" s="13" t="str">
        <f aca="false">IFERROR(__xludf.dummyfunction("""COMPUTED_VALUE"""),"378BBDFH")</f>
        <v>378BBDFH</v>
      </c>
      <c r="N612" s="13"/>
      <c r="O612" s="13" t="str">
        <f aca="false">IFERROR(__xludf.dummyfunction("""COMPUTED_VALUE"""),"ali.raza@tajir-app.com")</f>
        <v>ali.raza@tajir-app.com</v>
      </c>
      <c r="P612" s="13" t="str">
        <f aca="false">IFERROR(__xludf.dummyfunction("""COMPUTED_VALUE"""),"Ali Raza ")</f>
        <v>Ali Raza </v>
      </c>
      <c r="Q612" s="13" t="str">
        <f aca="false">IF(L612="","",L612)</f>
        <v>[Code: 378BBDFH] 1 unit found damaged due to fungus (quality issue)</v>
      </c>
    </row>
    <row r="613" customFormat="false" ht="15.75" hidden="false" customHeight="false" outlineLevel="0" collapsed="false">
      <c r="A613" s="13" t="str">
        <f aca="false">IFERROR(__xludf.dummyfunction("""COMPUTED_VALUE"""),"Metro DC Faisalabad")</f>
        <v>Metro DC Faisalabad</v>
      </c>
      <c r="B613" s="13" t="str">
        <f aca="false">IFERROR(__xludf.dummyfunction("""COMPUTED_VALUE"""),"82a80d89-36a1-4ab2-99b4-c4ddef4f8da9")</f>
        <v>82a80d89-36a1-4ab2-99b4-c4ddef4f8da9</v>
      </c>
      <c r="C613" s="13" t="str">
        <f aca="false">IFERROR(__xludf.dummyfunction("""COMPUTED_VALUE"""),"Quality Grains Daal Mash Wash 5kg")</f>
        <v>Quality Grains Daal Mash Wash 5kg</v>
      </c>
      <c r="D613" s="13" t="str">
        <f aca="false">IFERROR(__xludf.dummyfunction("""COMPUTED_VALUE"""),"Quality Grains")</f>
        <v>Quality Grains</v>
      </c>
      <c r="E613" s="13" t="str">
        <f aca="false">IFERROR(__xludf.dummyfunction("""COMPUTED_VALUE"""),"Pulses")</f>
        <v>Pulses</v>
      </c>
      <c r="F613" s="11" t="n">
        <f aca="false">IFERROR(__xludf.dummyfunction("""COMPUTED_VALUE"""),45227)</f>
        <v>45227</v>
      </c>
      <c r="G613" s="16" t="n">
        <f aca="false">IFERROR(__xludf.dummyfunction("""COMPUTED_VALUE"""),0.686852673612394)</f>
        <v>0.6868526736</v>
      </c>
      <c r="H613" s="13" t="str">
        <f aca="false">IFERROR(__xludf.dummyfunction("""COMPUTED_VALUE"""),"damaged stock")</f>
        <v>damaged stock</v>
      </c>
      <c r="I613" s="13" t="n">
        <f aca="false">IFERROR(__xludf.dummyfunction("""COMPUTED_VALUE"""),3)</f>
        <v>3</v>
      </c>
      <c r="J613" s="13" t="n">
        <f aca="false">IFERROR(__xludf.dummyfunction("""COMPUTED_VALUE"""),2785)</f>
        <v>2785</v>
      </c>
      <c r="K613" s="13" t="n">
        <f aca="false">IFERROR(__xludf.dummyfunction("""COMPUTED_VALUE"""),8355)</f>
        <v>8355</v>
      </c>
      <c r="L613" s="13" t="str">
        <f aca="false">IFERROR(__xludf.dummyfunction("""COMPUTED_VALUE"""),"[Code: 4557ABDH] 3 units found damaged due to fungus (quality issue) ")</f>
        <v>[Code: 4557ABDH] 3 units found damaged due to fungus (quality issue) </v>
      </c>
      <c r="M613" s="13" t="str">
        <f aca="false">IFERROR(__xludf.dummyfunction("""COMPUTED_VALUE"""),"4557ABDH")</f>
        <v>4557ABDH</v>
      </c>
      <c r="N613" s="13"/>
      <c r="O613" s="13" t="str">
        <f aca="false">IFERROR(__xludf.dummyfunction("""COMPUTED_VALUE"""),"ali.raza@tajir-app.com")</f>
        <v>ali.raza@tajir-app.com</v>
      </c>
      <c r="P613" s="13" t="str">
        <f aca="false">IFERROR(__xludf.dummyfunction("""COMPUTED_VALUE"""),"Ali Raza ")</f>
        <v>Ali Raza </v>
      </c>
      <c r="Q613" s="13" t="str">
        <f aca="false">IF(L613="","",L613)</f>
        <v>[Code: 4557ABDH] 3 units found damaged due to fungus (quality issue) </v>
      </c>
    </row>
    <row r="614" customFormat="false" ht="15.75" hidden="false" customHeight="false" outlineLevel="0" collapsed="false">
      <c r="A614" s="13" t="str">
        <f aca="false">IFERROR(__xludf.dummyfunction("""COMPUTED_VALUE"""),"Metro DC Faisalabad")</f>
        <v>Metro DC Faisalabad</v>
      </c>
      <c r="B614" s="13" t="str">
        <f aca="false">IFERROR(__xludf.dummyfunction("""COMPUTED_VALUE"""),"9f3645c8-08f4-4207-96fe-dcdb450f1f20")</f>
        <v>9f3645c8-08f4-4207-96fe-dcdb450f1f20</v>
      </c>
      <c r="C614" s="13" t="str">
        <f aca="false">IFERROR(__xludf.dummyfunction("""COMPUTED_VALUE"""),"Giggly Opus Square Caramel Chocolate 60pcs Jar Rs5")</f>
        <v>Giggly Opus Square Caramel Chocolate 60pcs Jar Rs5</v>
      </c>
      <c r="D614" s="13" t="str">
        <f aca="false">IFERROR(__xludf.dummyfunction("""COMPUTED_VALUE"""),"Giggly")</f>
        <v>Giggly</v>
      </c>
      <c r="E614" s="13" t="str">
        <f aca="false">IFERROR(__xludf.dummyfunction("""COMPUTED_VALUE"""),"Confectionary")</f>
        <v>Confectionary</v>
      </c>
      <c r="F614" s="11" t="n">
        <f aca="false">IFERROR(__xludf.dummyfunction("""COMPUTED_VALUE"""),45228)</f>
        <v>45228</v>
      </c>
      <c r="G614" s="16" t="n">
        <f aca="false">IFERROR(__xludf.dummyfunction("""COMPUTED_VALUE"""),0.968478900463513)</f>
        <v>0.9684789005</v>
      </c>
      <c r="H614" s="13" t="str">
        <f aca="false">IFERROR(__xludf.dummyfunction("""COMPUTED_VALUE"""),"missing stock")</f>
        <v>missing stock</v>
      </c>
      <c r="I614" s="13" t="n">
        <f aca="false">IFERROR(__xludf.dummyfunction("""COMPUTED_VALUE"""),1)</f>
        <v>1</v>
      </c>
      <c r="J614" s="13" t="n">
        <f aca="false">IFERROR(__xludf.dummyfunction("""COMPUTED_VALUE"""),250.1)</f>
        <v>250.1</v>
      </c>
      <c r="K614" s="13" t="n">
        <f aca="false">IFERROR(__xludf.dummyfunction("""COMPUTED_VALUE"""),250.1)</f>
        <v>250.1</v>
      </c>
      <c r="L614" s="13" t="str">
        <f aca="false">IFERROR(__xludf.dummyfunction("""COMPUTED_VALUE"""),"  Required SKU Not Available.")</f>
        <v>  Required SKU Not Available.</v>
      </c>
      <c r="M614" s="13"/>
      <c r="N614" s="13"/>
      <c r="O614" s="13" t="str">
        <f aca="false">IFERROR(__xludf.dummyfunction("""COMPUTED_VALUE"""),"taufeeq.akhtar@tajir-app.com")</f>
        <v>taufeeq.akhtar@tajir-app.com</v>
      </c>
      <c r="P614" s="13" t="str">
        <f aca="false">IFERROR(__xludf.dummyfunction("""COMPUTED_VALUE"""),"Taufeeq Akhtar ")</f>
        <v>Taufeeq Akhtar </v>
      </c>
      <c r="Q614" s="13" t="str">
        <f aca="false">IF(L614="","",L614)</f>
        <v>  Required SKU Not Available.</v>
      </c>
    </row>
    <row r="615" customFormat="false" ht="15.75" hidden="false" customHeight="false" outlineLevel="0" collapsed="false">
      <c r="A615" s="13" t="str">
        <f aca="false">IFERROR(__xludf.dummyfunction("""COMPUTED_VALUE"""),"Metro DC Faisalabad")</f>
        <v>Metro DC Faisalabad</v>
      </c>
      <c r="B615" s="13" t="str">
        <f aca="false">IFERROR(__xludf.dummyfunction("""COMPUTED_VALUE"""),"82a80d89-36a1-4ab2-99b4-c4ddef4f8da9")</f>
        <v>82a80d89-36a1-4ab2-99b4-c4ddef4f8da9</v>
      </c>
      <c r="C615" s="13" t="str">
        <f aca="false">IFERROR(__xludf.dummyfunction("""COMPUTED_VALUE"""),"Quality Grains Daal Mash Wash 5kg")</f>
        <v>Quality Grains Daal Mash Wash 5kg</v>
      </c>
      <c r="D615" s="13" t="str">
        <f aca="false">IFERROR(__xludf.dummyfunction("""COMPUTED_VALUE"""),"Quality Grains")</f>
        <v>Quality Grains</v>
      </c>
      <c r="E615" s="13" t="str">
        <f aca="false">IFERROR(__xludf.dummyfunction("""COMPUTED_VALUE"""),"Pulses")</f>
        <v>Pulses</v>
      </c>
      <c r="F615" s="11" t="n">
        <f aca="false">IFERROR(__xludf.dummyfunction("""COMPUTED_VALUE"""),45229)</f>
        <v>45229</v>
      </c>
      <c r="G615" s="16" t="n">
        <f aca="false">IFERROR(__xludf.dummyfunction("""COMPUTED_VALUE"""),0.517525787036918)</f>
        <v>0.517525787</v>
      </c>
      <c r="H615" s="13" t="str">
        <f aca="false">IFERROR(__xludf.dummyfunction("""COMPUTED_VALUE"""),"damaged stock")</f>
        <v>damaged stock</v>
      </c>
      <c r="I615" s="13" t="n">
        <f aca="false">IFERROR(__xludf.dummyfunction("""COMPUTED_VALUE"""),1)</f>
        <v>1</v>
      </c>
      <c r="J615" s="13" t="n">
        <f aca="false">IFERROR(__xludf.dummyfunction("""COMPUTED_VALUE"""),2785)</f>
        <v>2785</v>
      </c>
      <c r="K615" s="13" t="n">
        <f aca="false">IFERROR(__xludf.dummyfunction("""COMPUTED_VALUE"""),2785)</f>
        <v>2785</v>
      </c>
      <c r="L615" s="13" t="str">
        <f aca="false">IFERROR(__xludf.dummyfunction("""COMPUTED_VALUE"""),"[Code: 2356679A] 01 unit found damaged due to fungus")</f>
        <v>[Code: 2356679A] 01 unit found damaged due to fungus</v>
      </c>
      <c r="M615" s="13" t="str">
        <f aca="false">IFERROR(__xludf.dummyfunction("""COMPUTED_VALUE"""),"2356679A")</f>
        <v>2356679A</v>
      </c>
      <c r="N615" s="13"/>
      <c r="O615" s="13" t="str">
        <f aca="false">IFERROR(__xludf.dummyfunction("""COMPUTED_VALUE"""),"ali.raza@tajir-app.com")</f>
        <v>ali.raza@tajir-app.com</v>
      </c>
      <c r="P615" s="13" t="str">
        <f aca="false">IFERROR(__xludf.dummyfunction("""COMPUTED_VALUE"""),"Ali Raza ")</f>
        <v>Ali Raza </v>
      </c>
      <c r="Q615" s="13" t="str">
        <f aca="false">IF(L615="","",L615)</f>
        <v>[Code: 2356679A] 01 unit found damaged due to fungus</v>
      </c>
    </row>
    <row r="616" customFormat="false" ht="15.75" hidden="false" customHeight="false" outlineLevel="0" collapsed="false">
      <c r="A616" s="13" t="str">
        <f aca="false">IFERROR(__xludf.dummyfunction("""COMPUTED_VALUE"""),"Metro DC Faisalabad")</f>
        <v>Metro DC Faisalabad</v>
      </c>
      <c r="B616" s="13" t="str">
        <f aca="false">IFERROR(__xludf.dummyfunction("""COMPUTED_VALUE"""),"fc06922e-76db-4025-89f7-b946dd24e76b")</f>
        <v>fc06922e-76db-4025-89f7-b946dd24e76b</v>
      </c>
      <c r="C616" s="13" t="str">
        <f aca="false">IFERROR(__xludf.dummyfunction("""COMPUTED_VALUE"""),"Candyland Paradise Chocolate 12pcs Box Rs20 (large box)")</f>
        <v>Candyland Paradise Chocolate 12pcs Box Rs20 (large box)</v>
      </c>
      <c r="D616" s="13" t="str">
        <f aca="false">IFERROR(__xludf.dummyfunction("""COMPUTED_VALUE"""),"Candyland")</f>
        <v>Candyland</v>
      </c>
      <c r="E616" s="13" t="str">
        <f aca="false">IFERROR(__xludf.dummyfunction("""COMPUTED_VALUE"""),"Confectionary")</f>
        <v>Confectionary</v>
      </c>
      <c r="F616" s="11" t="n">
        <f aca="false">IFERROR(__xludf.dummyfunction("""COMPUTED_VALUE"""),45229)</f>
        <v>45229</v>
      </c>
      <c r="G616" s="16" t="n">
        <f aca="false">IFERROR(__xludf.dummyfunction("""COMPUTED_VALUE"""),0.424557928239997)</f>
        <v>0.4245579282</v>
      </c>
      <c r="H616" s="13" t="str">
        <f aca="false">IFERROR(__xludf.dummyfunction("""COMPUTED_VALUE"""),"damaged stock")</f>
        <v>damaged stock</v>
      </c>
      <c r="I616" s="13" t="n">
        <f aca="false">IFERROR(__xludf.dummyfunction("""COMPUTED_VALUE"""),1)</f>
        <v>1</v>
      </c>
      <c r="J616" s="13" t="n">
        <f aca="false">IFERROR(__xludf.dummyfunction("""COMPUTED_VALUE"""),184.25)</f>
        <v>184.25</v>
      </c>
      <c r="K616" s="13" t="n">
        <f aca="false">IFERROR(__xludf.dummyfunction("""COMPUTED_VALUE"""),184.25)</f>
        <v>184.25</v>
      </c>
      <c r="L616" s="13" t="str">
        <f aca="false">IFERROR(__xludf.dummyfunction("""COMPUTED_VALUE"""),"[Code: 255BBDEG] 01 unit found damaged quality issue.")</f>
        <v>[Code: 255BBDEG] 01 unit found damaged quality issue.</v>
      </c>
      <c r="M616" s="13" t="str">
        <f aca="false">IFERROR(__xludf.dummyfunction("""COMPUTED_VALUE"""),"255BBDEG")</f>
        <v>255BBDEG</v>
      </c>
      <c r="N616" s="13"/>
      <c r="O616" s="13" t="str">
        <f aca="false">IFERROR(__xludf.dummyfunction("""COMPUTED_VALUE"""),"ali.raza@tajir-app.com")</f>
        <v>ali.raza@tajir-app.com</v>
      </c>
      <c r="P616" s="13" t="str">
        <f aca="false">IFERROR(__xludf.dummyfunction("""COMPUTED_VALUE"""),"Ali Raza ")</f>
        <v>Ali Raza </v>
      </c>
      <c r="Q616" s="13" t="str">
        <f aca="false">IF(L616="","",L616)</f>
        <v>[Code: 255BBDEG] 01 unit found damaged quality issue.</v>
      </c>
    </row>
    <row r="617" customFormat="false" ht="15.75" hidden="false" customHeight="false" outlineLevel="0" collapsed="false">
      <c r="A617" s="13" t="str">
        <f aca="false">IFERROR(__xludf.dummyfunction("""COMPUTED_VALUE"""),"Metro DC Faisalabad")</f>
        <v>Metro DC Faisalabad</v>
      </c>
      <c r="B617" s="13" t="str">
        <f aca="false">IFERROR(__xludf.dummyfunction("""COMPUTED_VALUE"""),"d108dc59-da93-451f-9024-d773dad3e97a")</f>
        <v>d108dc59-da93-451f-9024-d773dad3e97a</v>
      </c>
      <c r="C617" s="13" t="str">
        <f aca="false">IFERROR(__xludf.dummyfunction("""COMPUTED_VALUE"""),"Sprite plastic 1.5L")</f>
        <v>Sprite plastic 1.5L</v>
      </c>
      <c r="D617" s="13" t="str">
        <f aca="false">IFERROR(__xludf.dummyfunction("""COMPUTED_VALUE"""),"Sprite")</f>
        <v>Sprite</v>
      </c>
      <c r="E617" s="13" t="str">
        <f aca="false">IFERROR(__xludf.dummyfunction("""COMPUTED_VALUE"""),"Beverages")</f>
        <v>Beverages</v>
      </c>
      <c r="F617" s="11" t="n">
        <f aca="false">IFERROR(__xludf.dummyfunction("""COMPUTED_VALUE"""),45229)</f>
        <v>45229</v>
      </c>
      <c r="G617" s="16" t="n">
        <f aca="false">IFERROR(__xludf.dummyfunction("""COMPUTED_VALUE"""),0.39617920138974)</f>
        <v>0.3961792014</v>
      </c>
      <c r="H617" s="13" t="str">
        <f aca="false">IFERROR(__xludf.dummyfunction("""COMPUTED_VALUE"""),"damaged stock")</f>
        <v>damaged stock</v>
      </c>
      <c r="I617" s="13" t="n">
        <f aca="false">IFERROR(__xludf.dummyfunction("""COMPUTED_VALUE"""),5)</f>
        <v>5</v>
      </c>
      <c r="J617" s="13" t="n">
        <f aca="false">IFERROR(__xludf.dummyfunction("""COMPUTED_VALUE"""),870)</f>
        <v>870</v>
      </c>
      <c r="K617" s="13" t="n">
        <f aca="false">IFERROR(__xludf.dummyfunction("""COMPUTED_VALUE"""),4350)</f>
        <v>4350</v>
      </c>
      <c r="L617" s="13" t="str">
        <f aca="false">IFERROR(__xludf.dummyfunction("""COMPUTED_VALUE"""),"[Code: 22ACDEEF] 05 units found damaged (Mouse Cut)")</f>
        <v>[Code: 22ACDEEF] 05 units found damaged (Mouse Cut)</v>
      </c>
      <c r="M617" s="13" t="str">
        <f aca="false">IFERROR(__xludf.dummyfunction("""COMPUTED_VALUE"""),"22ACDEEF")</f>
        <v>22ACDEEF</v>
      </c>
      <c r="N617" s="13"/>
      <c r="O617" s="13" t="str">
        <f aca="false">IFERROR(__xludf.dummyfunction("""COMPUTED_VALUE"""),"ali.raza@tajir-app.com")</f>
        <v>ali.raza@tajir-app.com</v>
      </c>
      <c r="P617" s="13" t="str">
        <f aca="false">IFERROR(__xludf.dummyfunction("""COMPUTED_VALUE"""),"Ali Raza ")</f>
        <v>Ali Raza </v>
      </c>
      <c r="Q617" s="13" t="str">
        <f aca="false">IF(L617="","",L617)</f>
        <v>[Code: 22ACDEEF] 05 units found damaged (Mouse Cut)</v>
      </c>
    </row>
    <row r="618" customFormat="false" ht="15.75" hidden="false" customHeight="false" outlineLevel="0" collapsed="false">
      <c r="A618" s="13" t="str">
        <f aca="false">IFERROR(__xludf.dummyfunction("""COMPUTED_VALUE"""),"Metro DC Faisalabad")</f>
        <v>Metro DC Faisalabad</v>
      </c>
      <c r="B618" s="13" t="str">
        <f aca="false">IFERROR(__xludf.dummyfunction("""COMPUTED_VALUE"""),"ae3c4d47-c25a-4d8a-91fe-7e939d3514ad")</f>
        <v>ae3c4d47-c25a-4d8a-91fe-7e939d3514ad</v>
      </c>
      <c r="C618" s="13" t="str">
        <f aca="false">IFERROR(__xludf.dummyfunction("""COMPUTED_VALUE"""),"Sunsilk Stunning Black Shine Shampoo x16 bundle 4.5ml")</f>
        <v>Sunsilk Stunning Black Shine Shampoo x16 bundle 4.5ml</v>
      </c>
      <c r="D618" s="13" t="str">
        <f aca="false">IFERROR(__xludf.dummyfunction("""COMPUTED_VALUE"""),"Sunsilk")</f>
        <v>Sunsilk</v>
      </c>
      <c r="E618" s="13" t="str">
        <f aca="false">IFERROR(__xludf.dummyfunction("""COMPUTED_VALUE"""),"Shampoo")</f>
        <v>Shampoo</v>
      </c>
      <c r="F618" s="11" t="n">
        <f aca="false">IFERROR(__xludf.dummyfunction("""COMPUTED_VALUE"""),45230)</f>
        <v>45230</v>
      </c>
      <c r="G618" s="16" t="n">
        <f aca="false">IFERROR(__xludf.dummyfunction("""COMPUTED_VALUE"""),0.913786377315365)</f>
        <v>0.9137863773</v>
      </c>
      <c r="H618" s="13" t="str">
        <f aca="false">IFERROR(__xludf.dummyfunction("""COMPUTED_VALUE"""),"damaged stock")</f>
        <v>damaged stock</v>
      </c>
      <c r="I618" s="13" t="n">
        <f aca="false">IFERROR(__xludf.dummyfunction("""COMPUTED_VALUE"""),1)</f>
        <v>1</v>
      </c>
      <c r="J618" s="13" t="n">
        <f aca="false">IFERROR(__xludf.dummyfunction("""COMPUTED_VALUE"""),72.92)</f>
        <v>72.92</v>
      </c>
      <c r="K618" s="13" t="n">
        <f aca="false">IFERROR(__xludf.dummyfunction("""COMPUTED_VALUE"""),72.92)</f>
        <v>72.92</v>
      </c>
      <c r="L618" s="13" t="str">
        <f aca="false">IFERROR(__xludf.dummyfunction("""COMPUTED_VALUE"""),"[Code: 2567899A]  TA:1unit damage found during display (empty packet )")</f>
        <v>[Code: 2567899A]  TA:1unit damage found during display (empty packet )</v>
      </c>
      <c r="M618" s="13" t="str">
        <f aca="false">IFERROR(__xludf.dummyfunction("""COMPUTED_VALUE"""),"2567899A")</f>
        <v>2567899A</v>
      </c>
      <c r="N618" s="13"/>
      <c r="O618" s="13" t="str">
        <f aca="false">IFERROR(__xludf.dummyfunction("""COMPUTED_VALUE"""),"taufeeq.akhtar@tajir-app.com")</f>
        <v>taufeeq.akhtar@tajir-app.com</v>
      </c>
      <c r="P618" s="13" t="str">
        <f aca="false">IFERROR(__xludf.dummyfunction("""COMPUTED_VALUE"""),"Taufeeq Akhtar ")</f>
        <v>Taufeeq Akhtar </v>
      </c>
      <c r="Q618" s="13" t="str">
        <f aca="false">IF(L618="","",L618)</f>
        <v>[Code: 2567899A]  TA:1unit damage found during display (empty packet )</v>
      </c>
    </row>
    <row r="619" customFormat="false" ht="15.75" hidden="false" customHeight="false" outlineLevel="0" collapsed="false">
      <c r="A619" s="13" t="str">
        <f aca="false">IFERROR(__xludf.dummyfunction("""COMPUTED_VALUE"""),"Metro DC Faisalabad")</f>
        <v>Metro DC Faisalabad</v>
      </c>
      <c r="B619" s="13" t="str">
        <f aca="false">IFERROR(__xludf.dummyfunction("""COMPUTED_VALUE"""),"d108dc59-da93-451f-9024-d773dad3e97a")</f>
        <v>d108dc59-da93-451f-9024-d773dad3e97a</v>
      </c>
      <c r="C619" s="13" t="str">
        <f aca="false">IFERROR(__xludf.dummyfunction("""COMPUTED_VALUE"""),"Sprite plastic 1.5L")</f>
        <v>Sprite plastic 1.5L</v>
      </c>
      <c r="D619" s="13" t="str">
        <f aca="false">IFERROR(__xludf.dummyfunction("""COMPUTED_VALUE"""),"Sprite")</f>
        <v>Sprite</v>
      </c>
      <c r="E619" s="13" t="str">
        <f aca="false">IFERROR(__xludf.dummyfunction("""COMPUTED_VALUE"""),"Beverages")</f>
        <v>Beverages</v>
      </c>
      <c r="F619" s="11" t="n">
        <f aca="false">IFERROR(__xludf.dummyfunction("""COMPUTED_VALUE"""),45230)</f>
        <v>45230</v>
      </c>
      <c r="G619" s="16" t="n">
        <f aca="false">IFERROR(__xludf.dummyfunction("""COMPUTED_VALUE"""),0.858822418982581)</f>
        <v>0.858822419</v>
      </c>
      <c r="H619" s="13" t="str">
        <f aca="false">IFERROR(__xludf.dummyfunction("""COMPUTED_VALUE"""),"damaged stock")</f>
        <v>damaged stock</v>
      </c>
      <c r="I619" s="13" t="n">
        <f aca="false">IFERROR(__xludf.dummyfunction("""COMPUTED_VALUE"""),2)</f>
        <v>2</v>
      </c>
      <c r="J619" s="13" t="n">
        <f aca="false">IFERROR(__xludf.dummyfunction("""COMPUTED_VALUE"""),870)</f>
        <v>870</v>
      </c>
      <c r="K619" s="13" t="n">
        <f aca="false">IFERROR(__xludf.dummyfunction("""COMPUTED_VALUE"""),1740)</f>
        <v>1740</v>
      </c>
      <c r="L619" s="13" t="str">
        <f aca="false">IFERROR(__xludf.dummyfunction("""COMPUTED_VALUE"""),"[Code: 2345ACDF] TA: 2unit damage found during soritng,")</f>
        <v>[Code: 2345ACDF] TA: 2unit damage found during soritng,</v>
      </c>
      <c r="M619" s="13" t="str">
        <f aca="false">IFERROR(__xludf.dummyfunction("""COMPUTED_VALUE"""),"2345ACDF")</f>
        <v>2345ACDF</v>
      </c>
      <c r="N619" s="13"/>
      <c r="O619" s="13" t="str">
        <f aca="false">IFERROR(__xludf.dummyfunction("""COMPUTED_VALUE"""),"taufeeq.akhtar@tajir-app.com")</f>
        <v>taufeeq.akhtar@tajir-app.com</v>
      </c>
      <c r="P619" s="13" t="str">
        <f aca="false">IFERROR(__xludf.dummyfunction("""COMPUTED_VALUE"""),"Taufeeq Akhtar ")</f>
        <v>Taufeeq Akhtar </v>
      </c>
      <c r="Q619" s="13" t="str">
        <f aca="false">IF(L619="","",L619)</f>
        <v>[Code: 2345ACDF] TA: 2unit damage found during soritng,</v>
      </c>
    </row>
    <row r="620" customFormat="false" ht="15.75" hidden="false" customHeight="false" outlineLevel="0" collapsed="false">
      <c r="A620" s="13" t="str">
        <f aca="false">IFERROR(__xludf.dummyfunction("""COMPUTED_VALUE"""),"Metro DC Faisalabad")</f>
        <v>Metro DC Faisalabad</v>
      </c>
      <c r="B620" s="13" t="str">
        <f aca="false">IFERROR(__xludf.dummyfunction("""COMPUTED_VALUE"""),"52258fdc-8b0c-4343-9884-310c160a213d")</f>
        <v>52258fdc-8b0c-4343-9884-310c160a213d</v>
      </c>
      <c r="C620" s="13" t="str">
        <f aca="false">IFERROR(__xludf.dummyfunction("""COMPUTED_VALUE"""),"Sunridge Fortified Chakki Atta 5kg")</f>
        <v>Sunridge Fortified Chakki Atta 5kg</v>
      </c>
      <c r="D620" s="13" t="str">
        <f aca="false">IFERROR(__xludf.dummyfunction("""COMPUTED_VALUE"""),"Sunridge")</f>
        <v>Sunridge</v>
      </c>
      <c r="E620" s="13" t="str">
        <f aca="false">IFERROR(__xludf.dummyfunction("""COMPUTED_VALUE"""),"Flour")</f>
        <v>Flour</v>
      </c>
      <c r="F620" s="11" t="n">
        <f aca="false">IFERROR(__xludf.dummyfunction("""COMPUTED_VALUE"""),45230)</f>
        <v>45230</v>
      </c>
      <c r="G620" s="16" t="n">
        <f aca="false">IFERROR(__xludf.dummyfunction("""COMPUTED_VALUE"""),0.775145347223403)</f>
        <v>0.7751453472</v>
      </c>
      <c r="H620" s="13" t="str">
        <f aca="false">IFERROR(__xludf.dummyfunction("""COMPUTED_VALUE"""),"damaged stock")</f>
        <v>damaged stock</v>
      </c>
      <c r="I620" s="13" t="n">
        <f aca="false">IFERROR(__xludf.dummyfunction("""COMPUTED_VALUE"""),7)</f>
        <v>7</v>
      </c>
      <c r="J620" s="13" t="n">
        <f aca="false">IFERROR(__xludf.dummyfunction("""COMPUTED_VALUE"""),828)</f>
        <v>828</v>
      </c>
      <c r="K620" s="13" t="n">
        <f aca="false">IFERROR(__xludf.dummyfunction("""COMPUTED_VALUE"""),5796)</f>
        <v>5796</v>
      </c>
      <c r="L620" s="13" t="str">
        <f aca="false">IFERROR(__xludf.dummyfunction("""COMPUTED_VALUE"""),"[Code: 34788ABB] AR: Stock Removed due to Damage")</f>
        <v>[Code: 34788ABB] AR: Stock Removed due to Damage</v>
      </c>
      <c r="M620" s="13" t="str">
        <f aca="false">IFERROR(__xludf.dummyfunction("""COMPUTED_VALUE"""),"34788ABB")</f>
        <v>34788ABB</v>
      </c>
      <c r="N620" s="13"/>
      <c r="O620" s="13" t="str">
        <f aca="false">IFERROR(__xludf.dummyfunction("""COMPUTED_VALUE"""),"ali.raza@tajir-app.com")</f>
        <v>ali.raza@tajir-app.com</v>
      </c>
      <c r="P620" s="13" t="str">
        <f aca="false">IFERROR(__xludf.dummyfunction("""COMPUTED_VALUE"""),"Ali Raza ")</f>
        <v>Ali Raza </v>
      </c>
      <c r="Q620" s="13" t="str">
        <f aca="false">IF(L620="","",L620)</f>
        <v>[Code: 34788ABB] AR: Stock Removed due to Damage</v>
      </c>
    </row>
    <row r="621" customFormat="false" ht="15.75" hidden="false" customHeight="false" outlineLevel="0" collapsed="false">
      <c r="A621" s="13" t="str">
        <f aca="false">IFERROR(__xludf.dummyfunction("""COMPUTED_VALUE"""),"Metro DC Faisalabad")</f>
        <v>Metro DC Faisalabad</v>
      </c>
      <c r="B621" s="13" t="str">
        <f aca="false">IFERROR(__xludf.dummyfunction("""COMPUTED_VALUE"""),"2afbf43d-075e-4e77-a688-ea8b11212b92")</f>
        <v>2afbf43d-075e-4e77-a688-ea8b11212b92</v>
      </c>
      <c r="C621" s="13" t="str">
        <f aca="false">IFERROR(__xludf.dummyfunction("""COMPUTED_VALUE"""),"Gourmet Red Anaar 300ml")</f>
        <v>Gourmet Red Anaar 300ml</v>
      </c>
      <c r="D621" s="13" t="str">
        <f aca="false">IFERROR(__xludf.dummyfunction("""COMPUTED_VALUE"""),"Gourmet")</f>
        <v>Gourmet</v>
      </c>
      <c r="E621" s="13" t="str">
        <f aca="false">IFERROR(__xludf.dummyfunction("""COMPUTED_VALUE"""),"Beverages")</f>
        <v>Beverages</v>
      </c>
      <c r="F621" s="11" t="n">
        <f aca="false">IFERROR(__xludf.dummyfunction("""COMPUTED_VALUE"""),45230)</f>
        <v>45230</v>
      </c>
      <c r="G621" s="16" t="n">
        <f aca="false">IFERROR(__xludf.dummyfunction("""COMPUTED_VALUE"""),0.507252025461357)</f>
        <v>0.5072520255</v>
      </c>
      <c r="H621" s="13" t="str">
        <f aca="false">IFERROR(__xludf.dummyfunction("""COMPUTED_VALUE"""),"expired stock")</f>
        <v>expired stock</v>
      </c>
      <c r="I621" s="13" t="n">
        <f aca="false">IFERROR(__xludf.dummyfunction("""COMPUTED_VALUE"""),320)</f>
        <v>320</v>
      </c>
      <c r="J621" s="13" t="n">
        <f aca="false">IFERROR(__xludf.dummyfunction("""COMPUTED_VALUE"""),463.26)</f>
        <v>463.26</v>
      </c>
      <c r="K621" s="13" t="n">
        <f aca="false">IFERROR(__xludf.dummyfunction("""COMPUTED_VALUE"""),148243.2)</f>
        <v>148243.2</v>
      </c>
      <c r="L621" s="13" t="str">
        <f aca="false">IFERROR(__xludf.dummyfunction("""COMPUTED_VALUE"""),"[Code: 233467AD] [Expiry: 12 Nov, 2023] AR: Stock Removed due to short Expiry")</f>
        <v>[Code: 233467AD] [Expiry: 12 Nov, 2023] AR: Stock Removed due to short Expiry</v>
      </c>
      <c r="M621" s="13" t="str">
        <f aca="false">IFERROR(__xludf.dummyfunction("""COMPUTED_VALUE"""),"233467AD")</f>
        <v>233467AD</v>
      </c>
      <c r="N621" s="13" t="str">
        <f aca="false">IFERROR(__xludf.dummyfunction("""COMPUTED_VALUE"""),"12 Nov, 2023")</f>
        <v>12 Nov, 2023</v>
      </c>
      <c r="O621" s="13" t="str">
        <f aca="false">IFERROR(__xludf.dummyfunction("""COMPUTED_VALUE"""),"ali.raza@tajir-app.com")</f>
        <v>ali.raza@tajir-app.com</v>
      </c>
      <c r="P621" s="13" t="str">
        <f aca="false">IFERROR(__xludf.dummyfunction("""COMPUTED_VALUE"""),"Ali Raza ")</f>
        <v>Ali Raza </v>
      </c>
      <c r="Q621" s="13" t="str">
        <f aca="false">IF(L621="","",L621)</f>
        <v>[Code: 233467AD] [Expiry: 12 Nov, 2023] AR: Stock Removed due to short Expiry</v>
      </c>
    </row>
    <row r="622" customFormat="false" ht="15.75" hidden="false" customHeight="false" outlineLevel="0" collapsed="false">
      <c r="A622" s="13" t="str">
        <f aca="false">IFERROR(__xludf.dummyfunction("""COMPUTED_VALUE"""),"Metro DC Faisalabad")</f>
        <v>Metro DC Faisalabad</v>
      </c>
      <c r="B622" s="13" t="str">
        <f aca="false">IFERROR(__xludf.dummyfunction("""COMPUTED_VALUE"""),"bc3a54c1-25e7-4ec6-ae1e-cef975dfb230")</f>
        <v>bc3a54c1-25e7-4ec6-ae1e-cef975dfb230</v>
      </c>
      <c r="C622" s="13" t="str">
        <f aca="false">IFERROR(__xludf.dummyfunction("""COMPUTED_VALUE"""),"Ariel Original x3 180gm Rs99")</f>
        <v>Ariel Original x3 180gm Rs99</v>
      </c>
      <c r="D622" s="13" t="str">
        <f aca="false">IFERROR(__xludf.dummyfunction("""COMPUTED_VALUE"""),"Ariel Surf")</f>
        <v>Ariel Surf</v>
      </c>
      <c r="E622" s="13" t="str">
        <f aca="false">IFERROR(__xludf.dummyfunction("""COMPUTED_VALUE"""),"Surf, Bleach")</f>
        <v>Surf, Bleach</v>
      </c>
      <c r="F622" s="11" t="n">
        <f aca="false">IFERROR(__xludf.dummyfunction("""COMPUTED_VALUE"""),45231)</f>
        <v>45231</v>
      </c>
      <c r="G622" s="16" t="n">
        <f aca="false">IFERROR(__xludf.dummyfunction("""COMPUTED_VALUE"""),0.813908518518475)</f>
        <v>0.8139085185</v>
      </c>
      <c r="H622" s="13" t="str">
        <f aca="false">IFERROR(__xludf.dummyfunction("""COMPUTED_VALUE"""),"damaged stock")</f>
        <v>damaged stock</v>
      </c>
      <c r="I622" s="13" t="n">
        <f aca="false">IFERROR(__xludf.dummyfunction("""COMPUTED_VALUE"""),1)</f>
        <v>1</v>
      </c>
      <c r="J622" s="13" t="n">
        <f aca="false">IFERROR(__xludf.dummyfunction("""COMPUTED_VALUE"""),258)</f>
        <v>258</v>
      </c>
      <c r="K622" s="13" t="n">
        <f aca="false">IFERROR(__xludf.dummyfunction("""COMPUTED_VALUE"""),258)</f>
        <v>258</v>
      </c>
      <c r="L622" s="13" t="str">
        <f aca="false">IFERROR(__xludf.dummyfunction("""COMPUTED_VALUE"""),"[Code: 347888GG]  TA: 1unit Damage Found During display  [bag sy damage mila he]")</f>
        <v>[Code: 347888GG]  TA: 1unit Damage Found During display  [bag sy damage mila he]</v>
      </c>
      <c r="M622" s="13" t="str">
        <f aca="false">IFERROR(__xludf.dummyfunction("""COMPUTED_VALUE"""),"347888GG")</f>
        <v>347888GG</v>
      </c>
      <c r="N622" s="13"/>
      <c r="O622" s="13" t="str">
        <f aca="false">IFERROR(__xludf.dummyfunction("""COMPUTED_VALUE"""),"taufeeq.akhtar@tajir-app.com")</f>
        <v>taufeeq.akhtar@tajir-app.com</v>
      </c>
      <c r="P622" s="13" t="str">
        <f aca="false">IFERROR(__xludf.dummyfunction("""COMPUTED_VALUE"""),"Taufeeq Akhtar ")</f>
        <v>Taufeeq Akhtar </v>
      </c>
      <c r="Q622" s="13" t="str">
        <f aca="false">IF(L622="","",L622)</f>
        <v>[Code: 347888GG]  TA: 1unit Damage Found During display  [bag sy damage mila he]</v>
      </c>
    </row>
    <row r="623" customFormat="false" ht="15.75" hidden="false" customHeight="false" outlineLevel="0" collapsed="false">
      <c r="A623" s="13" t="str">
        <f aca="false">IFERROR(__xludf.dummyfunction("""COMPUTED_VALUE"""),"Metro DC Faisalabad")</f>
        <v>Metro DC Faisalabad</v>
      </c>
      <c r="B623" s="13" t="str">
        <f aca="false">IFERROR(__xludf.dummyfunction("""COMPUTED_VALUE"""),"8af448e7-ff6d-4e39-a837-4e923e99504e")</f>
        <v>8af448e7-ff6d-4e39-a837-4e923e99504e</v>
      </c>
      <c r="C623" s="13" t="str">
        <f aca="false">IFERROR(__xludf.dummyfunction("""COMPUTED_VALUE"""),"Murree Brewery Bigg Apple Plastic x6 Crate 1L (One Liter)")</f>
        <v>Murree Brewery Bigg Apple Plastic x6 Crate 1L (One Liter)</v>
      </c>
      <c r="D623" s="13" t="str">
        <f aca="false">IFERROR(__xludf.dummyfunction("""COMPUTED_VALUE"""),"Murree Brewery")</f>
        <v>Murree Brewery</v>
      </c>
      <c r="E623" s="13" t="str">
        <f aca="false">IFERROR(__xludf.dummyfunction("""COMPUTED_VALUE"""),"Beverages")</f>
        <v>Beverages</v>
      </c>
      <c r="F623" s="11" t="n">
        <f aca="false">IFERROR(__xludf.dummyfunction("""COMPUTED_VALUE"""),45231)</f>
        <v>45231</v>
      </c>
      <c r="G623" s="16" t="n">
        <f aca="false">IFERROR(__xludf.dummyfunction("""COMPUTED_VALUE"""),0.811136701389773)</f>
        <v>0.8111367014</v>
      </c>
      <c r="H623" s="13" t="str">
        <f aca="false">IFERROR(__xludf.dummyfunction("""COMPUTED_VALUE"""),"damaged stock")</f>
        <v>damaged stock</v>
      </c>
      <c r="I623" s="13" t="n">
        <f aca="false">IFERROR(__xludf.dummyfunction("""COMPUTED_VALUE"""),1)</f>
        <v>1</v>
      </c>
      <c r="J623" s="13" t="n">
        <f aca="false">IFERROR(__xludf.dummyfunction("""COMPUTED_VALUE"""),508.25)</f>
        <v>508.25</v>
      </c>
      <c r="K623" s="13" t="n">
        <f aca="false">IFERROR(__xludf.dummyfunction("""COMPUTED_VALUE"""),508.25)</f>
        <v>508.25</v>
      </c>
      <c r="L623" s="13" t="str">
        <f aca="false">IFERROR(__xludf.dummyfunction("""COMPUTED_VALUE"""),"[Code: 22466BDE] TA: 1unit Damage Found During Sorting .")</f>
        <v>[Code: 22466BDE] TA: 1unit Damage Found During Sorting .</v>
      </c>
      <c r="M623" s="13" t="str">
        <f aca="false">IFERROR(__xludf.dummyfunction("""COMPUTED_VALUE"""),"22466BDE")</f>
        <v>22466BDE</v>
      </c>
      <c r="N623" s="13"/>
      <c r="O623" s="13" t="str">
        <f aca="false">IFERROR(__xludf.dummyfunction("""COMPUTED_VALUE"""),"taufeeq.akhtar@tajir-app.com")</f>
        <v>taufeeq.akhtar@tajir-app.com</v>
      </c>
      <c r="P623" s="13" t="str">
        <f aca="false">IFERROR(__xludf.dummyfunction("""COMPUTED_VALUE"""),"Taufeeq Akhtar ")</f>
        <v>Taufeeq Akhtar </v>
      </c>
      <c r="Q623" s="13" t="str">
        <f aca="false">IF(L623="","",L623)</f>
        <v>[Code: 22466BDE] TA: 1unit Damage Found During Sorting .</v>
      </c>
    </row>
    <row r="624" customFormat="false" ht="15.75" hidden="false" customHeight="false" outlineLevel="0" collapsed="false">
      <c r="A624" s="13" t="str">
        <f aca="false">IFERROR(__xludf.dummyfunction("""COMPUTED_VALUE"""),"Metro DC Faisalabad")</f>
        <v>Metro DC Faisalabad</v>
      </c>
      <c r="B624" s="13" t="str">
        <f aca="false">IFERROR(__xludf.dummyfunction("""COMPUTED_VALUE"""),"3da155b6-908d-4d4b-902c-b571d43decb4")</f>
        <v>3da155b6-908d-4d4b-902c-b571d43decb4</v>
      </c>
      <c r="C624" s="13" t="str">
        <f aca="false">IFERROR(__xludf.dummyfunction("""COMPUTED_VALUE"""),"Sheikhoo White Sugar 50kg")</f>
        <v>Sheikhoo White Sugar 50kg</v>
      </c>
      <c r="D624" s="13" t="str">
        <f aca="false">IFERROR(__xludf.dummyfunction("""COMPUTED_VALUE"""),"Sheikhoo Sugar")</f>
        <v>Sheikhoo Sugar</v>
      </c>
      <c r="E624" s="13" t="str">
        <f aca="false">IFERROR(__xludf.dummyfunction("""COMPUTED_VALUE"""),"Sugar")</f>
        <v>Sugar</v>
      </c>
      <c r="F624" s="11" t="n">
        <f aca="false">IFERROR(__xludf.dummyfunction("""COMPUTED_VALUE"""),45231)</f>
        <v>45231</v>
      </c>
      <c r="G624" s="16" t="n">
        <f aca="false">IFERROR(__xludf.dummyfunction("""COMPUTED_VALUE"""),0.80882261573893)</f>
        <v>0.8088226157</v>
      </c>
      <c r="H624" s="13" t="str">
        <f aca="false">IFERROR(__xludf.dummyfunction("""COMPUTED_VALUE"""),"damaged stock")</f>
        <v>damaged stock</v>
      </c>
      <c r="I624" s="13" t="n">
        <f aca="false">IFERROR(__xludf.dummyfunction("""COMPUTED_VALUE"""),7)</f>
        <v>7</v>
      </c>
      <c r="J624" s="13" t="n">
        <f aca="false">IFERROR(__xludf.dummyfunction("""COMPUTED_VALUE"""),6750)</f>
        <v>6750</v>
      </c>
      <c r="K624" s="13" t="n">
        <f aca="false">IFERROR(__xludf.dummyfunction("""COMPUTED_VALUE"""),47250)</f>
        <v>47250</v>
      </c>
      <c r="L624" s="13" t="str">
        <f aca="false">IFERROR(__xludf.dummyfunction("""COMPUTED_VALUE"""),"[Code: 2247FHMN] TA: 7unit  Temporary Remove Due to Wet,")</f>
        <v>[Code: 2247FHMN] TA: 7unit  Temporary Remove Due to Wet,</v>
      </c>
      <c r="M624" s="13" t="str">
        <f aca="false">IFERROR(__xludf.dummyfunction("""COMPUTED_VALUE"""),"2247FHMN")</f>
        <v>2247FHMN</v>
      </c>
      <c r="N624" s="13"/>
      <c r="O624" s="13" t="str">
        <f aca="false">IFERROR(__xludf.dummyfunction("""COMPUTED_VALUE"""),"taufeeq.akhtar@tajir-app.com")</f>
        <v>taufeeq.akhtar@tajir-app.com</v>
      </c>
      <c r="P624" s="13" t="str">
        <f aca="false">IFERROR(__xludf.dummyfunction("""COMPUTED_VALUE"""),"Taufeeq Akhtar ")</f>
        <v>Taufeeq Akhtar </v>
      </c>
      <c r="Q624" s="13" t="str">
        <f aca="false">IF(L624="","",L624)</f>
        <v>[Code: 2247FHMN] TA: 7unit  Temporary Remove Due to Wet,</v>
      </c>
    </row>
    <row r="625" customFormat="false" ht="15.75" hidden="false" customHeight="false" outlineLevel="0" collapsed="false">
      <c r="A625" s="13" t="str">
        <f aca="false">IFERROR(__xludf.dummyfunction("""COMPUTED_VALUE"""),"Metro DC Faisalabad")</f>
        <v>Metro DC Faisalabad</v>
      </c>
      <c r="B625" s="13" t="str">
        <f aca="false">IFERROR(__xludf.dummyfunction("""COMPUTED_VALUE"""),"779a871a-5819-420b-a693-f4c28ec0610b")</f>
        <v>779a871a-5819-420b-a693-f4c28ec0610b</v>
      </c>
      <c r="C625" s="13" t="str">
        <f aca="false">IFERROR(__xludf.dummyfunction("""COMPUTED_VALUE"""),"Quality Grains Daal Moung Chilka 1kg")</f>
        <v>Quality Grains Daal Moung Chilka 1kg</v>
      </c>
      <c r="D625" s="13" t="str">
        <f aca="false">IFERROR(__xludf.dummyfunction("""COMPUTED_VALUE"""),"Quality Grains")</f>
        <v>Quality Grains</v>
      </c>
      <c r="E625" s="13" t="str">
        <f aca="false">IFERROR(__xludf.dummyfunction("""COMPUTED_VALUE"""),"Pulses")</f>
        <v>Pulses</v>
      </c>
      <c r="F625" s="11" t="n">
        <f aca="false">IFERROR(__xludf.dummyfunction("""COMPUTED_VALUE"""),45231)</f>
        <v>45231</v>
      </c>
      <c r="G625" s="16" t="n">
        <f aca="false">IFERROR(__xludf.dummyfunction("""COMPUTED_VALUE"""),0.654898854166618)</f>
        <v>0.6548988542</v>
      </c>
      <c r="H625" s="13" t="str">
        <f aca="false">IFERROR(__xludf.dummyfunction("""COMPUTED_VALUE"""),"damaged stock")</f>
        <v>damaged stock</v>
      </c>
      <c r="I625" s="13" t="n">
        <f aca="false">IFERROR(__xludf.dummyfunction("""COMPUTED_VALUE"""),5)</f>
        <v>5</v>
      </c>
      <c r="J625" s="13" t="n">
        <f aca="false">IFERROR(__xludf.dummyfunction("""COMPUTED_VALUE"""),245)</f>
        <v>245</v>
      </c>
      <c r="K625" s="13" t="n">
        <f aca="false">IFERROR(__xludf.dummyfunction("""COMPUTED_VALUE"""),1225)</f>
        <v>1225</v>
      </c>
      <c r="L625" s="13" t="str">
        <f aca="false">IFERROR(__xludf.dummyfunction("""COMPUTED_VALUE"""),"[Code: 89BEEFHK] 5 units found damaged due to susri (quality issue)")</f>
        <v>[Code: 89BEEFHK] 5 units found damaged due to susri (quality issue)</v>
      </c>
      <c r="M625" s="13" t="str">
        <f aca="false">IFERROR(__xludf.dummyfunction("""COMPUTED_VALUE"""),"89BEEFHK")</f>
        <v>89BEEFHK</v>
      </c>
      <c r="N625" s="13"/>
      <c r="O625" s="13" t="str">
        <f aca="false">IFERROR(__xludf.dummyfunction("""COMPUTED_VALUE"""),"ali.raza@tajir-app.com")</f>
        <v>ali.raza@tajir-app.com</v>
      </c>
      <c r="P625" s="13" t="str">
        <f aca="false">IFERROR(__xludf.dummyfunction("""COMPUTED_VALUE"""),"Ali Raza ")</f>
        <v>Ali Raza </v>
      </c>
      <c r="Q625" s="13" t="str">
        <f aca="false">IF(L625="","",L625)</f>
        <v>[Code: 89BEEFHK] 5 units found damaged due to susri (quality issue)</v>
      </c>
    </row>
    <row r="626" customFormat="false" ht="15.75" hidden="false" customHeight="false" outlineLevel="0" collapsed="false">
      <c r="A626" s="13" t="str">
        <f aca="false">IFERROR(__xludf.dummyfunction("""COMPUTED_VALUE"""),"Metro DC Faisalabad")</f>
        <v>Metro DC Faisalabad</v>
      </c>
      <c r="B626" s="13" t="str">
        <f aca="false">IFERROR(__xludf.dummyfunction("""COMPUTED_VALUE"""),"91081a46-c248-4240-a39e-ac289775ff30")</f>
        <v>91081a46-c248-4240-a39e-ac289775ff30</v>
      </c>
      <c r="C626" s="13" t="str">
        <f aca="false">IFERROR(__xludf.dummyfunction("""COMPUTED_VALUE"""),"LU Oreo Mini Chocolate Cookies 12pcs Rs10 (mini choc)")</f>
        <v>LU Oreo Mini Chocolate Cookies 12pcs Rs10 (mini choc)</v>
      </c>
      <c r="D626" s="13" t="str">
        <f aca="false">IFERROR(__xludf.dummyfunction("""COMPUTED_VALUE"""),"LU")</f>
        <v>LU</v>
      </c>
      <c r="E626" s="13" t="str">
        <f aca="false">IFERROR(__xludf.dummyfunction("""COMPUTED_VALUE"""),"Biscuits, Wafers")</f>
        <v>Biscuits, Wafers</v>
      </c>
      <c r="F626" s="11" t="n">
        <f aca="false">IFERROR(__xludf.dummyfunction("""COMPUTED_VALUE"""),45232)</f>
        <v>45232</v>
      </c>
      <c r="G626" s="16" t="n">
        <f aca="false">IFERROR(__xludf.dummyfunction("""COMPUTED_VALUE"""),0.212647592593773)</f>
        <v>0.2126475926</v>
      </c>
      <c r="H626" s="13" t="str">
        <f aca="false">IFERROR(__xludf.dummyfunction("""COMPUTED_VALUE"""),"missing stock")</f>
        <v>missing stock</v>
      </c>
      <c r="I626" s="13" t="n">
        <f aca="false">IFERROR(__xludf.dummyfunction("""COMPUTED_VALUE"""),6)</f>
        <v>6</v>
      </c>
      <c r="J626" s="13" t="n">
        <f aca="false">IFERROR(__xludf.dummyfunction("""COMPUTED_VALUE"""),104.47)</f>
        <v>104.47</v>
      </c>
      <c r="K626" s="13" t="n">
        <f aca="false">IFERROR(__xludf.dummyfunction("""COMPUTED_VALUE"""),626.82)</f>
        <v>626.82</v>
      </c>
      <c r="L626" s="13" t="str">
        <f aca="false">IFERROR(__xludf.dummyfunction("""COMPUTED_VALUE"""),"full_in/missing")</f>
        <v>full_in/missing</v>
      </c>
      <c r="M626" s="13"/>
      <c r="N626" s="13"/>
      <c r="O626" s="13" t="str">
        <f aca="false">IFERROR(__xludf.dummyfunction("""COMPUTED_VALUE"""),"zeeshan.alimalik@tajir-app.com")</f>
        <v>zeeshan.alimalik@tajir-app.com</v>
      </c>
      <c r="P626" s="13" t="str">
        <f aca="false">IFERROR(__xludf.dummyfunction("""COMPUTED_VALUE"""),"Zeeshan Ali Malik")</f>
        <v>Zeeshan Ali Malik</v>
      </c>
      <c r="Q626" s="13" t="str">
        <f aca="false">IF(L626="","",L626)</f>
        <v>full_in/missing</v>
      </c>
    </row>
    <row r="627" customFormat="false" ht="15.75" hidden="false" customHeight="false" outlineLevel="0" collapsed="false">
      <c r="A627" s="13" t="str">
        <f aca="false">IFERROR(__xludf.dummyfunction("""COMPUTED_VALUE"""),"Metro DC Faisalabad")</f>
        <v>Metro DC Faisalabad</v>
      </c>
      <c r="B627" s="13" t="str">
        <f aca="false">IFERROR(__xludf.dummyfunction("""COMPUTED_VALUE"""),"7100e657-afd3-4a1b-ae14-2e84dd55e2fd")</f>
        <v>7100e657-afd3-4a1b-ae14-2e84dd55e2fd</v>
      </c>
      <c r="C627" s="13" t="str">
        <f aca="false">IFERROR(__xludf.dummyfunction("""COMPUTED_VALUE"""),"LU Prince Mini Chocolate Biscuits 24pcs Rs10")</f>
        <v>LU Prince Mini Chocolate Biscuits 24pcs Rs10</v>
      </c>
      <c r="D627" s="13" t="str">
        <f aca="false">IFERROR(__xludf.dummyfunction("""COMPUTED_VALUE"""),"LU")</f>
        <v>LU</v>
      </c>
      <c r="E627" s="13" t="str">
        <f aca="false">IFERROR(__xludf.dummyfunction("""COMPUTED_VALUE"""),"Biscuits, Wafers")</f>
        <v>Biscuits, Wafers</v>
      </c>
      <c r="F627" s="11" t="n">
        <f aca="false">IFERROR(__xludf.dummyfunction("""COMPUTED_VALUE"""),45232)</f>
        <v>45232</v>
      </c>
      <c r="G627" s="16" t="n">
        <f aca="false">IFERROR(__xludf.dummyfunction("""COMPUTED_VALUE"""),0.212647592593773)</f>
        <v>0.2126475926</v>
      </c>
      <c r="H627" s="13" t="str">
        <f aca="false">IFERROR(__xludf.dummyfunction("""COMPUTED_VALUE"""),"missing stock")</f>
        <v>missing stock</v>
      </c>
      <c r="I627" s="13" t="n">
        <f aca="false">IFERROR(__xludf.dummyfunction("""COMPUTED_VALUE"""),1)</f>
        <v>1</v>
      </c>
      <c r="J627" s="13" t="n">
        <f aca="false">IFERROR(__xludf.dummyfunction("""COMPUTED_VALUE"""),211)</f>
        <v>211</v>
      </c>
      <c r="K627" s="13" t="n">
        <f aca="false">IFERROR(__xludf.dummyfunction("""COMPUTED_VALUE"""),211)</f>
        <v>211</v>
      </c>
      <c r="L627" s="13" t="str">
        <f aca="false">IFERROR(__xludf.dummyfunction("""COMPUTED_VALUE"""),"full_in/missing")</f>
        <v>full_in/missing</v>
      </c>
      <c r="M627" s="13"/>
      <c r="N627" s="13"/>
      <c r="O627" s="13" t="str">
        <f aca="false">IFERROR(__xludf.dummyfunction("""COMPUTED_VALUE"""),"zeeshan.alimalik@tajir-app.com")</f>
        <v>zeeshan.alimalik@tajir-app.com</v>
      </c>
      <c r="P627" s="13" t="str">
        <f aca="false">IFERROR(__xludf.dummyfunction("""COMPUTED_VALUE"""),"Zeeshan Ali Malik")</f>
        <v>Zeeshan Ali Malik</v>
      </c>
      <c r="Q627" s="13" t="str">
        <f aca="false">IF(L627="","",L627)</f>
        <v>full_in/missing</v>
      </c>
    </row>
    <row r="628" customFormat="false" ht="15.75" hidden="false" customHeight="false" outlineLevel="0" collapsed="false">
      <c r="A628" s="13" t="str">
        <f aca="false">IFERROR(__xludf.dummyfunction("""COMPUTED_VALUE"""),"Metro DC Faisalabad")</f>
        <v>Metro DC Faisalabad</v>
      </c>
      <c r="B628" s="13" t="str">
        <f aca="false">IFERROR(__xludf.dummyfunction("""COMPUTED_VALUE"""),"5f783172-f331-4bff-8c1d-48e7522a3543")</f>
        <v>5f783172-f331-4bff-8c1d-48e7522a3543</v>
      </c>
      <c r="C628" s="13" t="str">
        <f aca="false">IFERROR(__xludf.dummyfunction("""COMPUTED_VALUE"""),"Shahi Chewra Rs100")</f>
        <v>Shahi Chewra Rs100</v>
      </c>
      <c r="D628" s="13" t="str">
        <f aca="false">IFERROR(__xludf.dummyfunction("""COMPUTED_VALUE"""),"Shahi")</f>
        <v>Shahi</v>
      </c>
      <c r="E628" s="13" t="str">
        <f aca="false">IFERROR(__xludf.dummyfunction("""COMPUTED_VALUE"""),"Snacks")</f>
        <v>Snacks</v>
      </c>
      <c r="F628" s="11" t="n">
        <f aca="false">IFERROR(__xludf.dummyfunction("""COMPUTED_VALUE"""),45233)</f>
        <v>45233</v>
      </c>
      <c r="G628" s="16" t="n">
        <f aca="false">IFERROR(__xludf.dummyfunction("""COMPUTED_VALUE"""),0.732820995368915)</f>
        <v>0.7328209954</v>
      </c>
      <c r="H628" s="13" t="str">
        <f aca="false">IFERROR(__xludf.dummyfunction("""COMPUTED_VALUE"""),"damaged stock")</f>
        <v>damaged stock</v>
      </c>
      <c r="I628" s="13" t="n">
        <f aca="false">IFERROR(__xludf.dummyfunction("""COMPUTED_VALUE"""),1)</f>
        <v>1</v>
      </c>
      <c r="J628" s="13" t="n">
        <f aca="false">IFERROR(__xludf.dummyfunction("""COMPUTED_VALUE"""),70.91)</f>
        <v>70.91</v>
      </c>
      <c r="K628" s="13" t="n">
        <f aca="false">IFERROR(__xludf.dummyfunction("""COMPUTED_VALUE"""),70.91)</f>
        <v>70.91</v>
      </c>
      <c r="L628" s="13" t="str">
        <f aca="false">IFERROR(__xludf.dummyfunction("""COMPUTED_VALUE"""),"[Code: 3589CCEH]  TA: 1unit Damage Found During Display. (cotton sy damage mila he)")</f>
        <v>[Code: 3589CCEH]  TA: 1unit Damage Found During Display. (cotton sy damage mila he)</v>
      </c>
      <c r="M628" s="13" t="str">
        <f aca="false">IFERROR(__xludf.dummyfunction("""COMPUTED_VALUE"""),"3589CCEH")</f>
        <v>3589CCEH</v>
      </c>
      <c r="N628" s="13"/>
      <c r="O628" s="13" t="str">
        <f aca="false">IFERROR(__xludf.dummyfunction("""COMPUTED_VALUE"""),"taufeeq.akhtar@tajir-app.com")</f>
        <v>taufeeq.akhtar@tajir-app.com</v>
      </c>
      <c r="P628" s="13" t="str">
        <f aca="false">IFERROR(__xludf.dummyfunction("""COMPUTED_VALUE"""),"Taufeeq Akhtar ")</f>
        <v>Taufeeq Akhtar </v>
      </c>
      <c r="Q628" s="13" t="str">
        <f aca="false">IF(L628="","",L628)</f>
        <v>[Code: 3589CCEH]  TA: 1unit Damage Found During Display. (cotton sy damage mila he)</v>
      </c>
    </row>
    <row r="629" customFormat="false" ht="15.75" hidden="false" customHeight="false" outlineLevel="0" collapsed="false">
      <c r="A629" s="13" t="str">
        <f aca="false">IFERROR(__xludf.dummyfunction("""COMPUTED_VALUE"""),"Metro DC Faisalabad")</f>
        <v>Metro DC Faisalabad</v>
      </c>
      <c r="B629" s="13" t="str">
        <f aca="false">IFERROR(__xludf.dummyfunction("""COMPUTED_VALUE"""),"09ff2b51-de1a-43dc-8e0b-d66ec9177555")</f>
        <v>09ff2b51-de1a-43dc-8e0b-d66ec9177555</v>
      </c>
      <c r="C629" s="13" t="str">
        <f aca="false">IFERROR(__xludf.dummyfunction("""COMPUTED_VALUE"""),"Aquafina Mineral Water 1.5L ")</f>
        <v>Aquafina Mineral Water 1.5L </v>
      </c>
      <c r="D629" s="13" t="str">
        <f aca="false">IFERROR(__xludf.dummyfunction("""COMPUTED_VALUE"""),"Aquafina")</f>
        <v>Aquafina</v>
      </c>
      <c r="E629" s="13" t="str">
        <f aca="false">IFERROR(__xludf.dummyfunction("""COMPUTED_VALUE"""),"Beverages")</f>
        <v>Beverages</v>
      </c>
      <c r="F629" s="11" t="n">
        <f aca="false">IFERROR(__xludf.dummyfunction("""COMPUTED_VALUE"""),45233)</f>
        <v>45233</v>
      </c>
      <c r="G629" s="16" t="n">
        <f aca="false">IFERROR(__xludf.dummyfunction("""COMPUTED_VALUE"""),0.732118842592512)</f>
        <v>0.7321188426</v>
      </c>
      <c r="H629" s="13" t="str">
        <f aca="false">IFERROR(__xludf.dummyfunction("""COMPUTED_VALUE"""),"damaged stock")</f>
        <v>damaged stock</v>
      </c>
      <c r="I629" s="13" t="n">
        <f aca="false">IFERROR(__xludf.dummyfunction("""COMPUTED_VALUE"""),1)</f>
        <v>1</v>
      </c>
      <c r="J629" s="13" t="n">
        <f aca="false">IFERROR(__xludf.dummyfunction("""COMPUTED_VALUE"""),425)</f>
        <v>425</v>
      </c>
      <c r="K629" s="13" t="n">
        <f aca="false">IFERROR(__xludf.dummyfunction("""COMPUTED_VALUE"""),425)</f>
        <v>425</v>
      </c>
      <c r="L629" s="13" t="str">
        <f aca="false">IFERROR(__xludf.dummyfunction("""COMPUTED_VALUE"""),"[Code: 359ABDHH]  TA: 1unit Damage Found During Sorting .")</f>
        <v>[Code: 359ABDHH]  TA: 1unit Damage Found During Sorting .</v>
      </c>
      <c r="M629" s="13" t="str">
        <f aca="false">IFERROR(__xludf.dummyfunction("""COMPUTED_VALUE"""),"359ABDHH")</f>
        <v>359ABDHH</v>
      </c>
      <c r="N629" s="13"/>
      <c r="O629" s="13" t="str">
        <f aca="false">IFERROR(__xludf.dummyfunction("""COMPUTED_VALUE"""),"taufeeq.akhtar@tajir-app.com")</f>
        <v>taufeeq.akhtar@tajir-app.com</v>
      </c>
      <c r="P629" s="13" t="str">
        <f aca="false">IFERROR(__xludf.dummyfunction("""COMPUTED_VALUE"""),"Taufeeq Akhtar ")</f>
        <v>Taufeeq Akhtar </v>
      </c>
      <c r="Q629" s="13" t="str">
        <f aca="false">IF(L629="","",L629)</f>
        <v>[Code: 359ABDHH]  TA: 1unit Damage Found During Sorting .</v>
      </c>
    </row>
    <row r="630" customFormat="false" ht="15.75" hidden="false" customHeight="false" outlineLevel="0" collapsed="false">
      <c r="A630" s="13" t="str">
        <f aca="false">IFERROR(__xludf.dummyfunction("""COMPUTED_VALUE"""),"Metro DC Faisalabad")</f>
        <v>Metro DC Faisalabad</v>
      </c>
      <c r="B630" s="13" t="str">
        <f aca="false">IFERROR(__xludf.dummyfunction("""COMPUTED_VALUE"""),"2078dcd4-3c88-45e1-bc7b-363dde84c6e8")</f>
        <v>2078dcd4-3c88-45e1-bc7b-363dde84c6e8</v>
      </c>
      <c r="C630" s="13" t="str">
        <f aca="false">IFERROR(__xludf.dummyfunction("""COMPUTED_VALUE"""),"Special Wooden Phool Jharoo")</f>
        <v>Special Wooden Phool Jharoo</v>
      </c>
      <c r="D630" s="13" t="str">
        <f aca="false">IFERROR(__xludf.dummyfunction("""COMPUTED_VALUE"""),"Jharoo")</f>
        <v>Jharoo</v>
      </c>
      <c r="E630" s="13" t="str">
        <f aca="false">IFERROR(__xludf.dummyfunction("""COMPUTED_VALUE"""),"Home Care")</f>
        <v>Home Care</v>
      </c>
      <c r="F630" s="11" t="n">
        <f aca="false">IFERROR(__xludf.dummyfunction("""COMPUTED_VALUE"""),45233)</f>
        <v>45233</v>
      </c>
      <c r="G630" s="16" t="n">
        <f aca="false">IFERROR(__xludf.dummyfunction("""COMPUTED_VALUE"""),0.731785324075567)</f>
        <v>0.7317853241</v>
      </c>
      <c r="H630" s="13" t="str">
        <f aca="false">IFERROR(__xludf.dummyfunction("""COMPUTED_VALUE"""),"damaged stock")</f>
        <v>damaged stock</v>
      </c>
      <c r="I630" s="13" t="n">
        <f aca="false">IFERROR(__xludf.dummyfunction("""COMPUTED_VALUE"""),1)</f>
        <v>1</v>
      </c>
      <c r="J630" s="13" t="n">
        <f aca="false">IFERROR(__xludf.dummyfunction("""COMPUTED_VALUE"""),135)</f>
        <v>135</v>
      </c>
      <c r="K630" s="13" t="n">
        <f aca="false">IFERROR(__xludf.dummyfunction("""COMPUTED_VALUE"""),135)</f>
        <v>135</v>
      </c>
      <c r="L630" s="13" t="str">
        <f aca="false">IFERROR(__xludf.dummyfunction("""COMPUTED_VALUE"""),"[Code: 69AHKPQR]  TA: 1unit Damage Found During Sorting  (stock me se damage mila he)")</f>
        <v>[Code: 69AHKPQR]  TA: 1unit Damage Found During Sorting  (stock me se damage mila he)</v>
      </c>
      <c r="M630" s="13" t="str">
        <f aca="false">IFERROR(__xludf.dummyfunction("""COMPUTED_VALUE"""),"69AHKPQR")</f>
        <v>69AHKPQR</v>
      </c>
      <c r="N630" s="13"/>
      <c r="O630" s="13" t="str">
        <f aca="false">IFERROR(__xludf.dummyfunction("""COMPUTED_VALUE"""),"taufeeq.akhtar@tajir-app.com")</f>
        <v>taufeeq.akhtar@tajir-app.com</v>
      </c>
      <c r="P630" s="13" t="str">
        <f aca="false">IFERROR(__xludf.dummyfunction("""COMPUTED_VALUE"""),"Taufeeq Akhtar ")</f>
        <v>Taufeeq Akhtar </v>
      </c>
      <c r="Q630" s="13" t="str">
        <f aca="false">IF(L630="","",L630)</f>
        <v>[Code: 69AHKPQR]  TA: 1unit Damage Found During Sorting  (stock me se damage mila he)</v>
      </c>
    </row>
    <row r="631" customFormat="false" ht="15.75" hidden="false" customHeight="false" outlineLevel="0" collapsed="false">
      <c r="A631" s="13" t="str">
        <f aca="false">IFERROR(__xludf.dummyfunction("""COMPUTED_VALUE"""),"Metro DC Faisalabad")</f>
        <v>Metro DC Faisalabad</v>
      </c>
      <c r="B631" s="13" t="str">
        <f aca="false">IFERROR(__xludf.dummyfunction("""COMPUTED_VALUE"""),"4064f4d6-26ba-4acc-a2ea-538239607256")</f>
        <v>4064f4d6-26ba-4acc-a2ea-538239607256</v>
      </c>
      <c r="C631" s="13" t="str">
        <f aca="false">IFERROR(__xludf.dummyfunction("""COMPUTED_VALUE"""),"Sunlight Pink Clean and Jasmine Fresh 380g Rs99")</f>
        <v>Sunlight Pink Clean and Jasmine Fresh 380g Rs99</v>
      </c>
      <c r="D631" s="13" t="str">
        <f aca="false">IFERROR(__xludf.dummyfunction("""COMPUTED_VALUE"""),"Sunlight")</f>
        <v>Sunlight</v>
      </c>
      <c r="E631" s="13" t="str">
        <f aca="false">IFERROR(__xludf.dummyfunction("""COMPUTED_VALUE"""),"Surf, Bleach")</f>
        <v>Surf, Bleach</v>
      </c>
      <c r="F631" s="11" t="n">
        <f aca="false">IFERROR(__xludf.dummyfunction("""COMPUTED_VALUE"""),45233)</f>
        <v>45233</v>
      </c>
      <c r="G631" s="16" t="n">
        <f aca="false">IFERROR(__xludf.dummyfunction("""COMPUTED_VALUE"""),0.731087824074236)</f>
        <v>0.7310878241</v>
      </c>
      <c r="H631" s="13" t="str">
        <f aca="false">IFERROR(__xludf.dummyfunction("""COMPUTED_VALUE"""),"damaged stock")</f>
        <v>damaged stock</v>
      </c>
      <c r="I631" s="13" t="n">
        <f aca="false">IFERROR(__xludf.dummyfunction("""COMPUTED_VALUE"""),1)</f>
        <v>1</v>
      </c>
      <c r="J631" s="13" t="n">
        <f aca="false">IFERROR(__xludf.dummyfunction("""COMPUTED_VALUE"""),84)</f>
        <v>84</v>
      </c>
      <c r="K631" s="13" t="n">
        <f aca="false">IFERROR(__xludf.dummyfunction("""COMPUTED_VALUE"""),84)</f>
        <v>84</v>
      </c>
      <c r="L631" s="13" t="str">
        <f aca="false">IFERROR(__xludf.dummyfunction("""COMPUTED_VALUE"""),"[Code: 2579CDDE]  TA: 1unit Damage Found During Sorting .")</f>
        <v>[Code: 2579CDDE]  TA: 1unit Damage Found During Sorting .</v>
      </c>
      <c r="M631" s="13" t="str">
        <f aca="false">IFERROR(__xludf.dummyfunction("""COMPUTED_VALUE"""),"2579CDDE")</f>
        <v>2579CDDE</v>
      </c>
      <c r="N631" s="13"/>
      <c r="O631" s="13" t="str">
        <f aca="false">IFERROR(__xludf.dummyfunction("""COMPUTED_VALUE"""),"taufeeq.akhtar@tajir-app.com")</f>
        <v>taufeeq.akhtar@tajir-app.com</v>
      </c>
      <c r="P631" s="13" t="str">
        <f aca="false">IFERROR(__xludf.dummyfunction("""COMPUTED_VALUE"""),"Taufeeq Akhtar ")</f>
        <v>Taufeeq Akhtar </v>
      </c>
      <c r="Q631" s="13" t="str">
        <f aca="false">IF(L631="","",L631)</f>
        <v>[Code: 2579CDDE]  TA: 1unit Damage Found During Sorting .</v>
      </c>
    </row>
    <row r="632" customFormat="false" ht="15.75" hidden="false" customHeight="false" outlineLevel="0" collapsed="false">
      <c r="A632" s="13" t="str">
        <f aca="false">IFERROR(__xludf.dummyfunction("""COMPUTED_VALUE"""),"Metro DC Faisalabad")</f>
        <v>Metro DC Faisalabad</v>
      </c>
      <c r="B632" s="13" t="str">
        <f aca="false">IFERROR(__xludf.dummyfunction("""COMPUTED_VALUE"""),"d35314e0-f3f4-47fe-90aa-af65dab10e9d")</f>
        <v>d35314e0-f3f4-47fe-90aa-af65dab10e9d</v>
      </c>
      <c r="C632" s="13" t="str">
        <f aca="false">IFERROR(__xludf.dummyfunction("""COMPUTED_VALUE"""),"Bonus tristar detergent x6 bundle 48g Rs10")</f>
        <v>Bonus tristar detergent x6 bundle 48g Rs10</v>
      </c>
      <c r="D632" s="13" t="str">
        <f aca="false">IFERROR(__xludf.dummyfunction("""COMPUTED_VALUE"""),"Bonus Surf")</f>
        <v>Bonus Surf</v>
      </c>
      <c r="E632" s="13" t="str">
        <f aca="false">IFERROR(__xludf.dummyfunction("""COMPUTED_VALUE"""),"Surf, Bleach")</f>
        <v>Surf, Bleach</v>
      </c>
      <c r="F632" s="11" t="n">
        <f aca="false">IFERROR(__xludf.dummyfunction("""COMPUTED_VALUE"""),45233)</f>
        <v>45233</v>
      </c>
      <c r="G632" s="16" t="n">
        <f aca="false">IFERROR(__xludf.dummyfunction("""COMPUTED_VALUE"""),0.730709259260154)</f>
        <v>0.7307092593</v>
      </c>
      <c r="H632" s="13" t="str">
        <f aca="false">IFERROR(__xludf.dummyfunction("""COMPUTED_VALUE"""),"damaged stock")</f>
        <v>damaged stock</v>
      </c>
      <c r="I632" s="13" t="n">
        <f aca="false">IFERROR(__xludf.dummyfunction("""COMPUTED_VALUE"""),4)</f>
        <v>4</v>
      </c>
      <c r="J632" s="13" t="n">
        <f aca="false">IFERROR(__xludf.dummyfunction("""COMPUTED_VALUE"""),55.25)</f>
        <v>55.25</v>
      </c>
      <c r="K632" s="13" t="n">
        <f aca="false">IFERROR(__xludf.dummyfunction("""COMPUTED_VALUE"""),221)</f>
        <v>221</v>
      </c>
      <c r="L632" s="13" t="str">
        <f aca="false">IFERROR(__xludf.dummyfunction("""COMPUTED_VALUE"""),"[Code: 334479AB]  TA: 4unit Damage Found During Display .")</f>
        <v>[Code: 334479AB]  TA: 4unit Damage Found During Display .</v>
      </c>
      <c r="M632" s="13" t="str">
        <f aca="false">IFERROR(__xludf.dummyfunction("""COMPUTED_VALUE"""),"334479AB")</f>
        <v>334479AB</v>
      </c>
      <c r="N632" s="13"/>
      <c r="O632" s="13" t="str">
        <f aca="false">IFERROR(__xludf.dummyfunction("""COMPUTED_VALUE"""),"taufeeq.akhtar@tajir-app.com")</f>
        <v>taufeeq.akhtar@tajir-app.com</v>
      </c>
      <c r="P632" s="13" t="str">
        <f aca="false">IFERROR(__xludf.dummyfunction("""COMPUTED_VALUE"""),"Taufeeq Akhtar ")</f>
        <v>Taufeeq Akhtar </v>
      </c>
      <c r="Q632" s="13" t="str">
        <f aca="false">IF(L632="","",L632)</f>
        <v>[Code: 334479AB]  TA: 4unit Damage Found During Display .</v>
      </c>
    </row>
    <row r="633" customFormat="false" ht="15.75" hidden="false" customHeight="false" outlineLevel="0" collapsed="false">
      <c r="A633" s="13" t="str">
        <f aca="false">IFERROR(__xludf.dummyfunction("""COMPUTED_VALUE"""),"Metro DC Faisalabad")</f>
        <v>Metro DC Faisalabad</v>
      </c>
      <c r="B633" s="13" t="str">
        <f aca="false">IFERROR(__xludf.dummyfunction("""COMPUTED_VALUE"""),"10f5c620-05d2-4bff-bf22-3c02b5a12fc2")</f>
        <v>10f5c620-05d2-4bff-bf22-3c02b5a12fc2</v>
      </c>
      <c r="C633" s="13" t="str">
        <f aca="false">IFERROR(__xludf.dummyfunction("""COMPUTED_VALUE"""),"Sherdil White Chana Bareek 5kg")</f>
        <v>Sherdil White Chana Bareek 5kg</v>
      </c>
      <c r="D633" s="13" t="str">
        <f aca="false">IFERROR(__xludf.dummyfunction("""COMPUTED_VALUE"""),"Sherdil")</f>
        <v>Sherdil</v>
      </c>
      <c r="E633" s="13" t="str">
        <f aca="false">IFERROR(__xludf.dummyfunction("""COMPUTED_VALUE"""),"Pulses")</f>
        <v>Pulses</v>
      </c>
      <c r="F633" s="11" t="n">
        <f aca="false">IFERROR(__xludf.dummyfunction("""COMPUTED_VALUE"""),45234)</f>
        <v>45234</v>
      </c>
      <c r="G633" s="16" t="n">
        <f aca="false">IFERROR(__xludf.dummyfunction("""COMPUTED_VALUE"""),0.719866099538476)</f>
        <v>0.7198660995</v>
      </c>
      <c r="H633" s="13" t="str">
        <f aca="false">IFERROR(__xludf.dummyfunction("""COMPUTED_VALUE"""),"damaged stock")</f>
        <v>damaged stock</v>
      </c>
      <c r="I633" s="13" t="n">
        <f aca="false">IFERROR(__xludf.dummyfunction("""COMPUTED_VALUE"""),1)</f>
        <v>1</v>
      </c>
      <c r="J633" s="13" t="n">
        <f aca="false">IFERROR(__xludf.dummyfunction("""COMPUTED_VALUE"""),1625)</f>
        <v>1625</v>
      </c>
      <c r="K633" s="13" t="n">
        <f aca="false">IFERROR(__xludf.dummyfunction("""COMPUTED_VALUE"""),1625)</f>
        <v>1625</v>
      </c>
      <c r="L633" s="13" t="str">
        <f aca="false">IFERROR(__xludf.dummyfunction("""COMPUTED_VALUE"""),"[Code: 35589EFG] AR Stock Removed due to Quality Issue")</f>
        <v>[Code: 35589EFG] AR Stock Removed due to Quality Issue</v>
      </c>
      <c r="M633" s="13" t="str">
        <f aca="false">IFERROR(__xludf.dummyfunction("""COMPUTED_VALUE"""),"35589EFG")</f>
        <v>35589EFG</v>
      </c>
      <c r="N633" s="13"/>
      <c r="O633" s="13" t="str">
        <f aca="false">IFERROR(__xludf.dummyfunction("""COMPUTED_VALUE"""),"ali.raza@tajir-app.com")</f>
        <v>ali.raza@tajir-app.com</v>
      </c>
      <c r="P633" s="13" t="str">
        <f aca="false">IFERROR(__xludf.dummyfunction("""COMPUTED_VALUE"""),"Ali Raza ")</f>
        <v>Ali Raza </v>
      </c>
      <c r="Q633" s="13" t="str">
        <f aca="false">IF(L633="","",L633)</f>
        <v>[Code: 35589EFG] AR Stock Removed due to Quality Issue</v>
      </c>
    </row>
    <row r="634" customFormat="false" ht="15.75" hidden="false" customHeight="false" outlineLevel="0" collapsed="false">
      <c r="A634" s="13" t="str">
        <f aca="false">IFERROR(__xludf.dummyfunction("""COMPUTED_VALUE"""),"Metro DC Faisalabad")</f>
        <v>Metro DC Faisalabad</v>
      </c>
      <c r="B634" s="13" t="str">
        <f aca="false">IFERROR(__xludf.dummyfunction("""COMPUTED_VALUE"""),"610ed5aa-0bc3-4e7f-b38e-96d957357fb2")</f>
        <v>610ed5aa-0bc3-4e7f-b38e-96d957357fb2</v>
      </c>
      <c r="C634" s="13" t="str">
        <f aca="false">IFERROR(__xludf.dummyfunction("""COMPUTED_VALUE"""),"Nestle Milkpak with cap 1L")</f>
        <v>Nestle Milkpak with cap 1L</v>
      </c>
      <c r="D634" s="13" t="str">
        <f aca="false">IFERROR(__xludf.dummyfunction("""COMPUTED_VALUE"""),"Milkpak")</f>
        <v>Milkpak</v>
      </c>
      <c r="E634" s="13" t="str">
        <f aca="false">IFERROR(__xludf.dummyfunction("""COMPUTED_VALUE"""),"Dairy")</f>
        <v>Dairy</v>
      </c>
      <c r="F634" s="11" t="n">
        <f aca="false">IFERROR(__xludf.dummyfunction("""COMPUTED_VALUE"""),45234)</f>
        <v>45234</v>
      </c>
      <c r="G634" s="16" t="n">
        <f aca="false">IFERROR(__xludf.dummyfunction("""COMPUTED_VALUE"""),0.620722384258639)</f>
        <v>0.6207223843</v>
      </c>
      <c r="H634" s="13" t="str">
        <f aca="false">IFERROR(__xludf.dummyfunction("""COMPUTED_VALUE"""),"expired stock")</f>
        <v>expired stock</v>
      </c>
      <c r="I634" s="13" t="n">
        <f aca="false">IFERROR(__xludf.dummyfunction("""COMPUTED_VALUE"""),12)</f>
        <v>12</v>
      </c>
      <c r="J634" s="13" t="n">
        <f aca="false">IFERROR(__xludf.dummyfunction("""COMPUTED_VALUE"""),3056.6)</f>
        <v>3056.6</v>
      </c>
      <c r="K634" s="13" t="n">
        <f aca="false">IFERROR(__xludf.dummyfunction("""COMPUTED_VALUE"""),36679.2)</f>
        <v>36679.2</v>
      </c>
      <c r="L634" s="13" t="str">
        <f aca="false">IFERROR(__xludf.dummyfunction("""COMPUTED_VALUE"""),"[Code: 223388AB] [Expiry: 25 Nov, 2023] 12 units found short expiry")</f>
        <v>[Code: 223388AB] [Expiry: 25 Nov, 2023] 12 units found short expiry</v>
      </c>
      <c r="M634" s="13" t="str">
        <f aca="false">IFERROR(__xludf.dummyfunction("""COMPUTED_VALUE"""),"223388AB")</f>
        <v>223388AB</v>
      </c>
      <c r="N634" s="13" t="str">
        <f aca="false">IFERROR(__xludf.dummyfunction("""COMPUTED_VALUE"""),"25 Nov, 2023")</f>
        <v>25 Nov, 2023</v>
      </c>
      <c r="O634" s="13" t="str">
        <f aca="false">IFERROR(__xludf.dummyfunction("""COMPUTED_VALUE"""),"ali.raza@tajir-app.com")</f>
        <v>ali.raza@tajir-app.com</v>
      </c>
      <c r="P634" s="13" t="str">
        <f aca="false">IFERROR(__xludf.dummyfunction("""COMPUTED_VALUE"""),"Ali Raza ")</f>
        <v>Ali Raza </v>
      </c>
      <c r="Q634" s="13" t="str">
        <f aca="false">IF(L634="","",L634)</f>
        <v>[Code: 223388AB] [Expiry: 25 Nov, 2023] 12 units found short expiry</v>
      </c>
    </row>
    <row r="635" customFormat="false" ht="15.75" hidden="false" customHeight="false" outlineLevel="0" collapsed="false">
      <c r="A635" s="13" t="str">
        <f aca="false">IFERROR(__xludf.dummyfunction("""COMPUTED_VALUE"""),"Metro DC Faisalabad")</f>
        <v>Metro DC Faisalabad</v>
      </c>
      <c r="B635" s="13" t="str">
        <f aca="false">IFERROR(__xludf.dummyfunction("""COMPUTED_VALUE"""),"d35314e0-f3f4-47fe-90aa-af65dab10e9d")</f>
        <v>d35314e0-f3f4-47fe-90aa-af65dab10e9d</v>
      </c>
      <c r="C635" s="13" t="str">
        <f aca="false">IFERROR(__xludf.dummyfunction("""COMPUTED_VALUE"""),"Bonus tristar detergent x6 bundle 48g Rs10")</f>
        <v>Bonus tristar detergent x6 bundle 48g Rs10</v>
      </c>
      <c r="D635" s="13" t="str">
        <f aca="false">IFERROR(__xludf.dummyfunction("""COMPUTED_VALUE"""),"Bonus Surf")</f>
        <v>Bonus Surf</v>
      </c>
      <c r="E635" s="13" t="str">
        <f aca="false">IFERROR(__xludf.dummyfunction("""COMPUTED_VALUE"""),"Surf, Bleach")</f>
        <v>Surf, Bleach</v>
      </c>
      <c r="F635" s="11" t="n">
        <f aca="false">IFERROR(__xludf.dummyfunction("""COMPUTED_VALUE"""),45235)</f>
        <v>45235</v>
      </c>
      <c r="G635" s="16" t="n">
        <f aca="false">IFERROR(__xludf.dummyfunction("""COMPUTED_VALUE"""),0.93410015046424)</f>
        <v>0.9341001505</v>
      </c>
      <c r="H635" s="13" t="str">
        <f aca="false">IFERROR(__xludf.dummyfunction("""COMPUTED_VALUE"""),"damaged stock")</f>
        <v>damaged stock</v>
      </c>
      <c r="I635" s="13" t="n">
        <f aca="false">IFERROR(__xludf.dummyfunction("""COMPUTED_VALUE"""),2)</f>
        <v>2</v>
      </c>
      <c r="J635" s="13" t="n">
        <f aca="false">IFERROR(__xludf.dummyfunction("""COMPUTED_VALUE"""),55.25)</f>
        <v>55.25</v>
      </c>
      <c r="K635" s="13" t="n">
        <f aca="false">IFERROR(__xludf.dummyfunction("""COMPUTED_VALUE"""),110.5)</f>
        <v>110.5</v>
      </c>
      <c r="L635" s="13" t="str">
        <f aca="false">IFERROR(__xludf.dummyfunction("""COMPUTED_VALUE"""),"[Code: 22349AAB]  TA: 1unit Damage Found During  display.")</f>
        <v>[Code: 22349AAB]  TA: 1unit Damage Found During  display.</v>
      </c>
      <c r="M635" s="13" t="str">
        <f aca="false">IFERROR(__xludf.dummyfunction("""COMPUTED_VALUE"""),"22349AAB")</f>
        <v>22349AAB</v>
      </c>
      <c r="N635" s="13"/>
      <c r="O635" s="13" t="str">
        <f aca="false">IFERROR(__xludf.dummyfunction("""COMPUTED_VALUE"""),"taufeeq.akhtar@tajir-app.com")</f>
        <v>taufeeq.akhtar@tajir-app.com</v>
      </c>
      <c r="P635" s="13" t="str">
        <f aca="false">IFERROR(__xludf.dummyfunction("""COMPUTED_VALUE"""),"Taufeeq Akhtar ")</f>
        <v>Taufeeq Akhtar </v>
      </c>
      <c r="Q635" s="13" t="str">
        <f aca="false">IF(L635="","",L635)</f>
        <v>[Code: 22349AAB]  TA: 1unit Damage Found During  display.</v>
      </c>
    </row>
    <row r="636" customFormat="false" ht="15.75" hidden="false" customHeight="false" outlineLevel="0" collapsed="false">
      <c r="A636" s="13" t="str">
        <f aca="false">IFERROR(__xludf.dummyfunction("""COMPUTED_VALUE"""),"Metro DC Faisalabad")</f>
        <v>Metro DC Faisalabad</v>
      </c>
      <c r="B636" s="13" t="str">
        <f aca="false">IFERROR(__xludf.dummyfunction("""COMPUTED_VALUE"""),"e8f9b476-5fbb-491e-8f5e-eabafac776a8")</f>
        <v>e8f9b476-5fbb-491e-8f5e-eabafac776a8</v>
      </c>
      <c r="C636" s="13" t="str">
        <f aca="false">IFERROR(__xludf.dummyfunction("""COMPUTED_VALUE"""),"Sunlight Green Clean and Fresh x6 Bundle 25g")</f>
        <v>Sunlight Green Clean and Fresh x6 Bundle 25g</v>
      </c>
      <c r="D636" s="13" t="str">
        <f aca="false">IFERROR(__xludf.dummyfunction("""COMPUTED_VALUE"""),"Sunlight")</f>
        <v>Sunlight</v>
      </c>
      <c r="E636" s="13" t="str">
        <f aca="false">IFERROR(__xludf.dummyfunction("""COMPUTED_VALUE"""),"Surf, Bleach")</f>
        <v>Surf, Bleach</v>
      </c>
      <c r="F636" s="11" t="n">
        <f aca="false">IFERROR(__xludf.dummyfunction("""COMPUTED_VALUE"""),45235)</f>
        <v>45235</v>
      </c>
      <c r="G636" s="16" t="n">
        <f aca="false">IFERROR(__xludf.dummyfunction("""COMPUTED_VALUE"""),0.932163171297784)</f>
        <v>0.9321631713</v>
      </c>
      <c r="H636" s="13" t="str">
        <f aca="false">IFERROR(__xludf.dummyfunction("""COMPUTED_VALUE"""),"damaged stock")</f>
        <v>damaged stock</v>
      </c>
      <c r="I636" s="13" t="n">
        <f aca="false">IFERROR(__xludf.dummyfunction("""COMPUTED_VALUE"""),1)</f>
        <v>1</v>
      </c>
      <c r="J636" s="13" t="n">
        <f aca="false">IFERROR(__xludf.dummyfunction("""COMPUTED_VALUE"""),55)</f>
        <v>55</v>
      </c>
      <c r="K636" s="13" t="n">
        <f aca="false">IFERROR(__xludf.dummyfunction("""COMPUTED_VALUE"""),55)</f>
        <v>55</v>
      </c>
      <c r="L636" s="13" t="str">
        <f aca="false">IFERROR(__xludf.dummyfunction("""COMPUTED_VALUE"""),"[Code: 239BGJMM]  TA: 1unit Damage Found During Sorting .")</f>
        <v>[Code: 239BGJMM]  TA: 1unit Damage Found During Sorting .</v>
      </c>
      <c r="M636" s="13" t="str">
        <f aca="false">IFERROR(__xludf.dummyfunction("""COMPUTED_VALUE"""),"239BGJMM")</f>
        <v>239BGJMM</v>
      </c>
      <c r="N636" s="13"/>
      <c r="O636" s="13" t="str">
        <f aca="false">IFERROR(__xludf.dummyfunction("""COMPUTED_VALUE"""),"taufeeq.akhtar@tajir-app.com")</f>
        <v>taufeeq.akhtar@tajir-app.com</v>
      </c>
      <c r="P636" s="13" t="str">
        <f aca="false">IFERROR(__xludf.dummyfunction("""COMPUTED_VALUE"""),"Taufeeq Akhtar ")</f>
        <v>Taufeeq Akhtar </v>
      </c>
      <c r="Q636" s="13" t="str">
        <f aca="false">IF(L636="","",L636)</f>
        <v>[Code: 239BGJMM]  TA: 1unit Damage Found During Sorting .</v>
      </c>
    </row>
    <row r="637" customFormat="false" ht="15.75" hidden="false" customHeight="false" outlineLevel="0" collapsed="false">
      <c r="A637" s="13" t="str">
        <f aca="false">IFERROR(__xludf.dummyfunction("""COMPUTED_VALUE"""),"Metro DC Faisalabad")</f>
        <v>Metro DC Faisalabad</v>
      </c>
      <c r="B637" s="13" t="str">
        <f aca="false">IFERROR(__xludf.dummyfunction("""COMPUTED_VALUE"""),"1d2b420d-9f9c-4450-8c04-687f96234eb2")</f>
        <v>1d2b420d-9f9c-4450-8c04-687f96234eb2</v>
      </c>
      <c r="C637" s="13" t="str">
        <f aca="false">IFERROR(__xludf.dummyfunction("""COMPUTED_VALUE"""),"Bahadur Fellow Fountain Pen 10pcs Box (BIP001)")</f>
        <v>Bahadur Fellow Fountain Pen 10pcs Box (BIP001)</v>
      </c>
      <c r="D637" s="13" t="str">
        <f aca="false">IFERROR(__xludf.dummyfunction("""COMPUTED_VALUE"""),"Bahadur")</f>
        <v>Bahadur</v>
      </c>
      <c r="E637" s="13" t="str">
        <f aca="false">IFERROR(__xludf.dummyfunction("""COMPUTED_VALUE"""),"Stationery")</f>
        <v>Stationery</v>
      </c>
      <c r="F637" s="11" t="n">
        <f aca="false">IFERROR(__xludf.dummyfunction("""COMPUTED_VALUE"""),45235)</f>
        <v>45235</v>
      </c>
      <c r="G637" s="16" t="n">
        <f aca="false">IFERROR(__xludf.dummyfunction("""COMPUTED_VALUE"""),0.930366203704194)</f>
        <v>0.9303662037</v>
      </c>
      <c r="H637" s="13" t="str">
        <f aca="false">IFERROR(__xludf.dummyfunction("""COMPUTED_VALUE"""),"damaged stock")</f>
        <v>damaged stock</v>
      </c>
      <c r="I637" s="13" t="n">
        <f aca="false">IFERROR(__xludf.dummyfunction("""COMPUTED_VALUE"""),2)</f>
        <v>2</v>
      </c>
      <c r="J637" s="13" t="n">
        <f aca="false">IFERROR(__xludf.dummyfunction("""COMPUTED_VALUE"""),358.1)</f>
        <v>358.1</v>
      </c>
      <c r="K637" s="13" t="n">
        <f aca="false">IFERROR(__xludf.dummyfunction("""COMPUTED_VALUE"""),716.2)</f>
        <v>716.2</v>
      </c>
      <c r="L637" s="13" t="str">
        <f aca="false">IFERROR(__xludf.dummyfunction("""COMPUTED_VALUE"""),"[Code: 36GGJLMN] TA; 2unit damage found (paking is bad qualty)")</f>
        <v>[Code: 36GGJLMN] TA; 2unit damage found (paking is bad qualty)</v>
      </c>
      <c r="M637" s="13" t="str">
        <f aca="false">IFERROR(__xludf.dummyfunction("""COMPUTED_VALUE"""),"36GGJLMN")</f>
        <v>36GGJLMN</v>
      </c>
      <c r="N637" s="13"/>
      <c r="O637" s="13" t="str">
        <f aca="false">IFERROR(__xludf.dummyfunction("""COMPUTED_VALUE"""),"taufeeq.akhtar@tajir-app.com")</f>
        <v>taufeeq.akhtar@tajir-app.com</v>
      </c>
      <c r="P637" s="13" t="str">
        <f aca="false">IFERROR(__xludf.dummyfunction("""COMPUTED_VALUE"""),"Taufeeq Akhtar ")</f>
        <v>Taufeeq Akhtar </v>
      </c>
      <c r="Q637" s="13" t="str">
        <f aca="false">IF(L637="","",L637)</f>
        <v>[Code: 36GGJLMN] TA; 2unit damage found (paking is bad qualty)</v>
      </c>
    </row>
    <row r="638" customFormat="false" ht="15.75" hidden="false" customHeight="false" outlineLevel="0" collapsed="false">
      <c r="A638" s="13" t="str">
        <f aca="false">IFERROR(__xludf.dummyfunction("""COMPUTED_VALUE"""),"Metro DC Faisalabad")</f>
        <v>Metro DC Faisalabad</v>
      </c>
      <c r="B638" s="13" t="str">
        <f aca="false">IFERROR(__xludf.dummyfunction("""COMPUTED_VALUE"""),"717c11ae-c3bc-4378-a184-2154badcf63d")</f>
        <v>717c11ae-c3bc-4378-a184-2154badcf63d</v>
      </c>
      <c r="C638" s="13" t="str">
        <f aca="false">IFERROR(__xludf.dummyfunction("""COMPUTED_VALUE"""),"Quality Grains Daal Mash Wash 500g")</f>
        <v>Quality Grains Daal Mash Wash 500g</v>
      </c>
      <c r="D638" s="13" t="str">
        <f aca="false">IFERROR(__xludf.dummyfunction("""COMPUTED_VALUE"""),"Quality Grains")</f>
        <v>Quality Grains</v>
      </c>
      <c r="E638" s="13" t="str">
        <f aca="false">IFERROR(__xludf.dummyfunction("""COMPUTED_VALUE"""),"Pulses")</f>
        <v>Pulses</v>
      </c>
      <c r="F638" s="11" t="n">
        <f aca="false">IFERROR(__xludf.dummyfunction("""COMPUTED_VALUE"""),45235)</f>
        <v>45235</v>
      </c>
      <c r="G638" s="16" t="n">
        <f aca="false">IFERROR(__xludf.dummyfunction("""COMPUTED_VALUE"""),0.881039270835042)</f>
        <v>0.8810392708</v>
      </c>
      <c r="H638" s="13" t="str">
        <f aca="false">IFERROR(__xludf.dummyfunction("""COMPUTED_VALUE"""),"damaged stock")</f>
        <v>damaged stock</v>
      </c>
      <c r="I638" s="13" t="n">
        <f aca="false">IFERROR(__xludf.dummyfunction("""COMPUTED_VALUE"""),6)</f>
        <v>6</v>
      </c>
      <c r="J638" s="13" t="n">
        <f aca="false">IFERROR(__xludf.dummyfunction("""COMPUTED_VALUE"""),281)</f>
        <v>281</v>
      </c>
      <c r="K638" s="13" t="n">
        <f aca="false">IFERROR(__xludf.dummyfunction("""COMPUTED_VALUE"""),1686)</f>
        <v>1686</v>
      </c>
      <c r="L638" s="13" t="str">
        <f aca="false">IFERROR(__xludf.dummyfunction("""COMPUTED_VALUE"""),"[Code: 5699AAAA] TA: Stock Removed due to quality issue")</f>
        <v>[Code: 5699AAAA] TA: Stock Removed due to quality issue</v>
      </c>
      <c r="M638" s="13" t="str">
        <f aca="false">IFERROR(__xludf.dummyfunction("""COMPUTED_VALUE"""),"5699AAAA")</f>
        <v>5699AAAA</v>
      </c>
      <c r="N638" s="13"/>
      <c r="O638" s="13" t="str">
        <f aca="false">IFERROR(__xludf.dummyfunction("""COMPUTED_VALUE"""),"taufeeq.akhtar@tajir-app.com")</f>
        <v>taufeeq.akhtar@tajir-app.com</v>
      </c>
      <c r="P638" s="13" t="str">
        <f aca="false">IFERROR(__xludf.dummyfunction("""COMPUTED_VALUE"""),"Taufeeq Akhtar ")</f>
        <v>Taufeeq Akhtar </v>
      </c>
      <c r="Q638" s="13" t="str">
        <f aca="false">IF(L638="","",L638)</f>
        <v>[Code: 5699AAAA] TA: Stock Removed due to quality issue</v>
      </c>
    </row>
    <row r="639" customFormat="false" ht="15.75" hidden="false" customHeight="false" outlineLevel="0" collapsed="false">
      <c r="A639" s="13" t="str">
        <f aca="false">IFERROR(__xludf.dummyfunction("""COMPUTED_VALUE"""),"Metro DC Faisalabad")</f>
        <v>Metro DC Faisalabad</v>
      </c>
      <c r="B639" s="13" t="str">
        <f aca="false">IFERROR(__xludf.dummyfunction("""COMPUTED_VALUE"""),"ae3c4d47-c25a-4d8a-91fe-7e939d3514ad")</f>
        <v>ae3c4d47-c25a-4d8a-91fe-7e939d3514ad</v>
      </c>
      <c r="C639" s="13" t="str">
        <f aca="false">IFERROR(__xludf.dummyfunction("""COMPUTED_VALUE"""),"Sunsilk Stunning Black Shine Shampoo x16 bundle 4.5ml")</f>
        <v>Sunsilk Stunning Black Shine Shampoo x16 bundle 4.5ml</v>
      </c>
      <c r="D639" s="13" t="str">
        <f aca="false">IFERROR(__xludf.dummyfunction("""COMPUTED_VALUE"""),"Sunsilk")</f>
        <v>Sunsilk</v>
      </c>
      <c r="E639" s="13" t="str">
        <f aca="false">IFERROR(__xludf.dummyfunction("""COMPUTED_VALUE"""),"Shampoo")</f>
        <v>Shampoo</v>
      </c>
      <c r="F639" s="11" t="n">
        <f aca="false">IFERROR(__xludf.dummyfunction("""COMPUTED_VALUE"""),45235)</f>
        <v>45235</v>
      </c>
      <c r="G639" s="16" t="n">
        <f aca="false">IFERROR(__xludf.dummyfunction("""COMPUTED_VALUE"""),0.822631574073131)</f>
        <v>0.8226315741</v>
      </c>
      <c r="H639" s="13" t="str">
        <f aca="false">IFERROR(__xludf.dummyfunction("""COMPUTED_VALUE"""),"damaged stock")</f>
        <v>damaged stock</v>
      </c>
      <c r="I639" s="13" t="n">
        <f aca="false">IFERROR(__xludf.dummyfunction("""COMPUTED_VALUE"""),4)</f>
        <v>4</v>
      </c>
      <c r="J639" s="13" t="n">
        <f aca="false">IFERROR(__xludf.dummyfunction("""COMPUTED_VALUE"""),72.92)</f>
        <v>72.92</v>
      </c>
      <c r="K639" s="13" t="n">
        <f aca="false">IFERROR(__xludf.dummyfunction("""COMPUTED_VALUE"""),291.68)</f>
        <v>291.68</v>
      </c>
      <c r="L639" s="13" t="str">
        <f aca="false">IFERROR(__xludf.dummyfunction("""COMPUTED_VALUE"""),"[Code: 79CFFGGH]  TA: 4 unit damage found during sorting (cotton me  sy  empty packet mily hain )")</f>
        <v>[Code: 79CFFGGH]  TA: 4 unit damage found during sorting (cotton me  sy  empty packet mily hain )</v>
      </c>
      <c r="M639" s="13" t="str">
        <f aca="false">IFERROR(__xludf.dummyfunction("""COMPUTED_VALUE"""),"79CFFGGH")</f>
        <v>79CFFGGH</v>
      </c>
      <c r="N639" s="13"/>
      <c r="O639" s="13" t="str">
        <f aca="false">IFERROR(__xludf.dummyfunction("""COMPUTED_VALUE"""),"taufeeq.akhtar@tajir-app.com")</f>
        <v>taufeeq.akhtar@tajir-app.com</v>
      </c>
      <c r="P639" s="13" t="str">
        <f aca="false">IFERROR(__xludf.dummyfunction("""COMPUTED_VALUE"""),"Taufeeq Akhtar ")</f>
        <v>Taufeeq Akhtar </v>
      </c>
      <c r="Q639" s="13" t="str">
        <f aca="false">IF(L639="","",L639)</f>
        <v>[Code: 79CFFGGH]  TA: 4 unit damage found during sorting (cotton me  sy  empty packet mily hain )</v>
      </c>
    </row>
    <row r="640" customFormat="false" ht="15.75" hidden="false" customHeight="false" outlineLevel="0" collapsed="false">
      <c r="A640" s="13" t="str">
        <f aca="false">IFERROR(__xludf.dummyfunction("""COMPUTED_VALUE"""),"Metro DC Faisalabad")</f>
        <v>Metro DC Faisalabad</v>
      </c>
      <c r="B640" s="13" t="str">
        <f aca="false">IFERROR(__xludf.dummyfunction("""COMPUTED_VALUE"""),"3fcace5b-a875-4788-8ec1-1c7dc9c451bb")</f>
        <v>3fcace5b-a875-4788-8ec1-1c7dc9c451bb</v>
      </c>
      <c r="C640" s="13" t="str">
        <f aca="false">IFERROR(__xludf.dummyfunction("""COMPUTED_VALUE"""),"Murree Brewery Lychee White Malt Glass x24 Crate 300ml (white liquid)")</f>
        <v>Murree Brewery Lychee White Malt Glass x24 Crate 300ml (white liquid)</v>
      </c>
      <c r="D640" s="13" t="str">
        <f aca="false">IFERROR(__xludf.dummyfunction("""COMPUTED_VALUE"""),"Murree Brewery")</f>
        <v>Murree Brewery</v>
      </c>
      <c r="E640" s="13" t="str">
        <f aca="false">IFERROR(__xludf.dummyfunction("""COMPUTED_VALUE"""),"Beverages")</f>
        <v>Beverages</v>
      </c>
      <c r="F640" s="11" t="n">
        <f aca="false">IFERROR(__xludf.dummyfunction("""COMPUTED_VALUE"""),45235)</f>
        <v>45235</v>
      </c>
      <c r="G640" s="16" t="n">
        <f aca="false">IFERROR(__xludf.dummyfunction("""COMPUTED_VALUE"""),0.814277974536261)</f>
        <v>0.8142779745</v>
      </c>
      <c r="H640" s="13" t="str">
        <f aca="false">IFERROR(__xludf.dummyfunction("""COMPUTED_VALUE"""),"damaged stock")</f>
        <v>damaged stock</v>
      </c>
      <c r="I640" s="13" t="n">
        <f aca="false">IFERROR(__xludf.dummyfunction("""COMPUTED_VALUE"""),1)</f>
        <v>1</v>
      </c>
      <c r="J640" s="13" t="n">
        <f aca="false">IFERROR(__xludf.dummyfunction("""COMPUTED_VALUE"""),1453.5)</f>
        <v>1453.5</v>
      </c>
      <c r="K640" s="13" t="n">
        <f aca="false">IFERROR(__xludf.dummyfunction("""COMPUTED_VALUE"""),1453.5)</f>
        <v>1453.5</v>
      </c>
      <c r="L640" s="13" t="str">
        <f aca="false">IFERROR(__xludf.dummyfunction("""COMPUTED_VALUE"""),"[Code: 356BBGGK] TA: 1 unit damage found during sorting (cotton me  sy bottels damage hain)")</f>
        <v>[Code: 356BBGGK] TA: 1 unit damage found during sorting (cotton me  sy bottels damage hain)</v>
      </c>
      <c r="M640" s="13" t="str">
        <f aca="false">IFERROR(__xludf.dummyfunction("""COMPUTED_VALUE"""),"356BBGGK")</f>
        <v>356BBGGK</v>
      </c>
      <c r="N640" s="13"/>
      <c r="O640" s="13" t="str">
        <f aca="false">IFERROR(__xludf.dummyfunction("""COMPUTED_VALUE"""),"taufeeq.akhtar@tajir-app.com")</f>
        <v>taufeeq.akhtar@tajir-app.com</v>
      </c>
      <c r="P640" s="13" t="str">
        <f aca="false">IFERROR(__xludf.dummyfunction("""COMPUTED_VALUE"""),"Taufeeq Akhtar ")</f>
        <v>Taufeeq Akhtar </v>
      </c>
      <c r="Q640" s="13" t="str">
        <f aca="false">IF(L640="","",L640)</f>
        <v>[Code: 356BBGGK] TA: 1 unit damage found during sorting (cotton me  sy bottels damage hain)</v>
      </c>
    </row>
    <row r="641" customFormat="false" ht="15.75" hidden="false" customHeight="false" outlineLevel="0" collapsed="false">
      <c r="A641" s="13" t="str">
        <f aca="false">IFERROR(__xludf.dummyfunction("""COMPUTED_VALUE"""),"Metro DC Faisalabad")</f>
        <v>Metro DC Faisalabad</v>
      </c>
      <c r="B641" s="13" t="str">
        <f aca="false">IFERROR(__xludf.dummyfunction("""COMPUTED_VALUE"""),"af76431c-0024-4bb6-a5ba-665052444ae5")</f>
        <v>af76431c-0024-4bb6-a5ba-665052444ae5</v>
      </c>
      <c r="C641" s="13" t="str">
        <f aca="false">IFERROR(__xludf.dummyfunction("""COMPUTED_VALUE"""),"Candyland Toss Peach and Mango Jelly 50pcs Rs5")</f>
        <v>Candyland Toss Peach and Mango Jelly 50pcs Rs5</v>
      </c>
      <c r="D641" s="13" t="str">
        <f aca="false">IFERROR(__xludf.dummyfunction("""COMPUTED_VALUE"""),"Candyland")</f>
        <v>Candyland</v>
      </c>
      <c r="E641" s="13" t="str">
        <f aca="false">IFERROR(__xludf.dummyfunction("""COMPUTED_VALUE"""),"Confectionary")</f>
        <v>Confectionary</v>
      </c>
      <c r="F641" s="11" t="n">
        <f aca="false">IFERROR(__xludf.dummyfunction("""COMPUTED_VALUE"""),45235)</f>
        <v>45235</v>
      </c>
      <c r="G641" s="16" t="n">
        <f aca="false">IFERROR(__xludf.dummyfunction("""COMPUTED_VALUE"""),0.647245231480226)</f>
        <v>0.6472452315</v>
      </c>
      <c r="H641" s="13" t="str">
        <f aca="false">IFERROR(__xludf.dummyfunction("""COMPUTED_VALUE"""),"expired stock")</f>
        <v>expired stock</v>
      </c>
      <c r="I641" s="13" t="n">
        <f aca="false">IFERROR(__xludf.dummyfunction("""COMPUTED_VALUE"""),18)</f>
        <v>18</v>
      </c>
      <c r="J641" s="13" t="n">
        <f aca="false">IFERROR(__xludf.dummyfunction("""COMPUTED_VALUE"""),200.8)</f>
        <v>200.8</v>
      </c>
      <c r="K641" s="13" t="n">
        <f aca="false">IFERROR(__xludf.dummyfunction("""COMPUTED_VALUE"""),3614.4)</f>
        <v>3614.4</v>
      </c>
      <c r="L641" s="13" t="str">
        <f aca="false">IFERROR(__xludf.dummyfunction("""COMPUTED_VALUE"""),"[Code: 24ADEFFH] [Expiry: 21 Nov, 2023] AR: Near to Expiry Stock removed.")</f>
        <v>[Code: 24ADEFFH] [Expiry: 21 Nov, 2023] AR: Near to Expiry Stock removed.</v>
      </c>
      <c r="M641" s="13" t="str">
        <f aca="false">IFERROR(__xludf.dummyfunction("""COMPUTED_VALUE"""),"24ADEFFH")</f>
        <v>24ADEFFH</v>
      </c>
      <c r="N641" s="13" t="str">
        <f aca="false">IFERROR(__xludf.dummyfunction("""COMPUTED_VALUE"""),"21 Nov, 2023")</f>
        <v>21 Nov, 2023</v>
      </c>
      <c r="O641" s="13" t="str">
        <f aca="false">IFERROR(__xludf.dummyfunction("""COMPUTED_VALUE"""),"ali.raza@tajir-app.com")</f>
        <v>ali.raza@tajir-app.com</v>
      </c>
      <c r="P641" s="13" t="str">
        <f aca="false">IFERROR(__xludf.dummyfunction("""COMPUTED_VALUE"""),"Ali Raza ")</f>
        <v>Ali Raza </v>
      </c>
      <c r="Q641" s="13" t="str">
        <f aca="false">IF(L641="","",L641)</f>
        <v>[Code: 24ADEFFH] [Expiry: 21 Nov, 2023] AR: Near to Expiry Stock removed.</v>
      </c>
    </row>
    <row r="642" customFormat="false" ht="15.75" hidden="false" customHeight="false" outlineLevel="0" collapsed="false">
      <c r="A642" s="13" t="str">
        <f aca="false">IFERROR(__xludf.dummyfunction("""COMPUTED_VALUE"""),"Metro DC Faisalabad")</f>
        <v>Metro DC Faisalabad</v>
      </c>
      <c r="B642" s="13" t="str">
        <f aca="false">IFERROR(__xludf.dummyfunction("""COMPUTED_VALUE"""),"51fecb38-2956-4620-8fde-e0883acd8cd4")</f>
        <v>51fecb38-2956-4620-8fde-e0883acd8cd4</v>
      </c>
      <c r="C642" s="13" t="str">
        <f aca="false">IFERROR(__xludf.dummyfunction("""COMPUTED_VALUE"""),"Candyland Toss Orange and Mango Jelly 50pcs Rs5")</f>
        <v>Candyland Toss Orange and Mango Jelly 50pcs Rs5</v>
      </c>
      <c r="D642" s="13" t="str">
        <f aca="false">IFERROR(__xludf.dummyfunction("""COMPUTED_VALUE"""),"Candyland")</f>
        <v>Candyland</v>
      </c>
      <c r="E642" s="13" t="str">
        <f aca="false">IFERROR(__xludf.dummyfunction("""COMPUTED_VALUE"""),"Confectionary")</f>
        <v>Confectionary</v>
      </c>
      <c r="F642" s="11" t="n">
        <f aca="false">IFERROR(__xludf.dummyfunction("""COMPUTED_VALUE"""),45235)</f>
        <v>45235</v>
      </c>
      <c r="G642" s="16" t="n">
        <f aca="false">IFERROR(__xludf.dummyfunction("""COMPUTED_VALUE"""),0.646870266203181)</f>
        <v>0.6468702662</v>
      </c>
      <c r="H642" s="13" t="str">
        <f aca="false">IFERROR(__xludf.dummyfunction("""COMPUTED_VALUE"""),"expired stock")</f>
        <v>expired stock</v>
      </c>
      <c r="I642" s="13" t="n">
        <f aca="false">IFERROR(__xludf.dummyfunction("""COMPUTED_VALUE"""),19)</f>
        <v>19</v>
      </c>
      <c r="J642" s="13" t="n">
        <f aca="false">IFERROR(__xludf.dummyfunction("""COMPUTED_VALUE"""),197.64)</f>
        <v>197.64</v>
      </c>
      <c r="K642" s="13" t="n">
        <f aca="false">IFERROR(__xludf.dummyfunction("""COMPUTED_VALUE"""),3755.16)</f>
        <v>3755.16</v>
      </c>
      <c r="L642" s="13" t="str">
        <f aca="false">IFERROR(__xludf.dummyfunction("""COMPUTED_VALUE"""),"[Code: 3456AEFJ] [Expiry: 25 Nov, 2023] AR: Near to Expiry stock removed.")</f>
        <v>[Code: 3456AEFJ] [Expiry: 25 Nov, 2023] AR: Near to Expiry stock removed.</v>
      </c>
      <c r="M642" s="13" t="str">
        <f aca="false">IFERROR(__xludf.dummyfunction("""COMPUTED_VALUE"""),"3456AEFJ")</f>
        <v>3456AEFJ</v>
      </c>
      <c r="N642" s="13" t="str">
        <f aca="false">IFERROR(__xludf.dummyfunction("""COMPUTED_VALUE"""),"25 Nov, 2023")</f>
        <v>25 Nov, 2023</v>
      </c>
      <c r="O642" s="13" t="str">
        <f aca="false">IFERROR(__xludf.dummyfunction("""COMPUTED_VALUE"""),"ali.raza@tajir-app.com")</f>
        <v>ali.raza@tajir-app.com</v>
      </c>
      <c r="P642" s="13" t="str">
        <f aca="false">IFERROR(__xludf.dummyfunction("""COMPUTED_VALUE"""),"Ali Raza ")</f>
        <v>Ali Raza </v>
      </c>
      <c r="Q642" s="13" t="str">
        <f aca="false">IF(L642="","",L642)</f>
        <v>[Code: 3456AEFJ] [Expiry: 25 Nov, 2023] AR: Near to Expiry stock removed.</v>
      </c>
    </row>
    <row r="643" customFormat="false" ht="15.75" hidden="false" customHeight="false" outlineLevel="0" collapsed="false">
      <c r="A643" s="13" t="str">
        <f aca="false">IFERROR(__xludf.dummyfunction("""COMPUTED_VALUE"""),"Metro DC Faisalabad")</f>
        <v>Metro DC Faisalabad</v>
      </c>
      <c r="B643" s="13" t="str">
        <f aca="false">IFERROR(__xludf.dummyfunction("""COMPUTED_VALUE"""),"ae3c4d47-c25a-4d8a-91fe-7e939d3514ad")</f>
        <v>ae3c4d47-c25a-4d8a-91fe-7e939d3514ad</v>
      </c>
      <c r="C643" s="13" t="str">
        <f aca="false">IFERROR(__xludf.dummyfunction("""COMPUTED_VALUE"""),"Sunsilk Stunning Black Shine Shampoo x16 bundle 4.5ml")</f>
        <v>Sunsilk Stunning Black Shine Shampoo x16 bundle 4.5ml</v>
      </c>
      <c r="D643" s="13" t="str">
        <f aca="false">IFERROR(__xludf.dummyfunction("""COMPUTED_VALUE"""),"Sunsilk")</f>
        <v>Sunsilk</v>
      </c>
      <c r="E643" s="13" t="str">
        <f aca="false">IFERROR(__xludf.dummyfunction("""COMPUTED_VALUE"""),"Shampoo")</f>
        <v>Shampoo</v>
      </c>
      <c r="F643" s="11" t="n">
        <f aca="false">IFERROR(__xludf.dummyfunction("""COMPUTED_VALUE"""),45236)</f>
        <v>45236</v>
      </c>
      <c r="G643" s="16" t="n">
        <f aca="false">IFERROR(__xludf.dummyfunction("""COMPUTED_VALUE"""),0.93080767361255)</f>
        <v>0.9308076736</v>
      </c>
      <c r="H643" s="13" t="str">
        <f aca="false">IFERROR(__xludf.dummyfunction("""COMPUTED_VALUE"""),"damaged stock")</f>
        <v>damaged stock</v>
      </c>
      <c r="I643" s="13" t="n">
        <f aca="false">IFERROR(__xludf.dummyfunction("""COMPUTED_VALUE"""),2)</f>
        <v>2</v>
      </c>
      <c r="J643" s="13" t="n">
        <f aca="false">IFERROR(__xludf.dummyfunction("""COMPUTED_VALUE"""),72.92)</f>
        <v>72.92</v>
      </c>
      <c r="K643" s="13" t="n">
        <f aca="false">IFERROR(__xludf.dummyfunction("""COMPUTED_VALUE"""),145.84)</f>
        <v>145.84</v>
      </c>
      <c r="L643" s="13" t="str">
        <f aca="false">IFERROR(__xludf.dummyfunction("""COMPUTED_VALUE"""),"[Code: 2478BCGJ]   TA: 2unit damage found during sorting  ")</f>
        <v>[Code: 2478BCGJ]   TA: 2unit damage found during sorting  </v>
      </c>
      <c r="M643" s="13" t="str">
        <f aca="false">IFERROR(__xludf.dummyfunction("""COMPUTED_VALUE"""),"2478BCGJ")</f>
        <v>2478BCGJ</v>
      </c>
      <c r="N643" s="13"/>
      <c r="O643" s="13" t="str">
        <f aca="false">IFERROR(__xludf.dummyfunction("""COMPUTED_VALUE"""),"taufeeq.akhtar@tajir-app.com")</f>
        <v>taufeeq.akhtar@tajir-app.com</v>
      </c>
      <c r="P643" s="13" t="str">
        <f aca="false">IFERROR(__xludf.dummyfunction("""COMPUTED_VALUE"""),"Taufeeq Akhtar ")</f>
        <v>Taufeeq Akhtar </v>
      </c>
      <c r="Q643" s="13" t="str">
        <f aca="false">IF(L643="","",L643)</f>
        <v>[Code: 2478BCGJ]   TA: 2unit damage found during sorting  </v>
      </c>
    </row>
    <row r="644" customFormat="false" ht="15.75" hidden="false" customHeight="false" outlineLevel="0" collapsed="false">
      <c r="A644" s="13" t="str">
        <f aca="false">IFERROR(__xludf.dummyfunction("""COMPUTED_VALUE"""),"Metro DC Faisalabad")</f>
        <v>Metro DC Faisalabad</v>
      </c>
      <c r="B644" s="13" t="str">
        <f aca="false">IFERROR(__xludf.dummyfunction("""COMPUTED_VALUE"""),"128d0670-3def-4796-8768-176c25cf0959")</f>
        <v>128d0670-3def-4796-8768-176c25cf0959</v>
      </c>
      <c r="C644" s="13" t="str">
        <f aca="false">IFERROR(__xludf.dummyfunction("""COMPUTED_VALUE"""),"Quality Grains White Chana Bareek 5kg")</f>
        <v>Quality Grains White Chana Bareek 5kg</v>
      </c>
      <c r="D644" s="13" t="str">
        <f aca="false">IFERROR(__xludf.dummyfunction("""COMPUTED_VALUE"""),"Quality Grains")</f>
        <v>Quality Grains</v>
      </c>
      <c r="E644" s="13" t="str">
        <f aca="false">IFERROR(__xludf.dummyfunction("""COMPUTED_VALUE"""),"Pulses")</f>
        <v>Pulses</v>
      </c>
      <c r="F644" s="11" t="n">
        <f aca="false">IFERROR(__xludf.dummyfunction("""COMPUTED_VALUE"""),45236)</f>
        <v>45236</v>
      </c>
      <c r="G644" s="16" t="n">
        <f aca="false">IFERROR(__xludf.dummyfunction("""COMPUTED_VALUE"""),0.638498495370947)</f>
        <v>0.6384984954</v>
      </c>
      <c r="H644" s="13" t="str">
        <f aca="false">IFERROR(__xludf.dummyfunction("""COMPUTED_VALUE"""),"damaged stock")</f>
        <v>damaged stock</v>
      </c>
      <c r="I644" s="13" t="n">
        <f aca="false">IFERROR(__xludf.dummyfunction("""COMPUTED_VALUE"""),5)</f>
        <v>5</v>
      </c>
      <c r="J644" s="13" t="n">
        <f aca="false">IFERROR(__xludf.dummyfunction("""COMPUTED_VALUE"""),1685)</f>
        <v>1685</v>
      </c>
      <c r="K644" s="13" t="n">
        <f aca="false">IFERROR(__xludf.dummyfunction("""COMPUTED_VALUE"""),8425)</f>
        <v>8425</v>
      </c>
      <c r="L644" s="13" t="str">
        <f aca="false">IFERROR(__xludf.dummyfunction("""COMPUTED_VALUE"""),"[Code: 2AEFJKLM] 5 units found damaged due to susri (Quality Issue)")</f>
        <v>[Code: 2AEFJKLM] 5 units found damaged due to susri (Quality Issue)</v>
      </c>
      <c r="M644" s="13" t="str">
        <f aca="false">IFERROR(__xludf.dummyfunction("""COMPUTED_VALUE"""),"2AEFJKLM")</f>
        <v>2AEFJKLM</v>
      </c>
      <c r="N644" s="13"/>
      <c r="O644" s="13" t="str">
        <f aca="false">IFERROR(__xludf.dummyfunction("""COMPUTED_VALUE"""),"ali.raza@tajir-app.com")</f>
        <v>ali.raza@tajir-app.com</v>
      </c>
      <c r="P644" s="13" t="str">
        <f aca="false">IFERROR(__xludf.dummyfunction("""COMPUTED_VALUE"""),"Ali Raza ")</f>
        <v>Ali Raza </v>
      </c>
      <c r="Q644" s="13" t="str">
        <f aca="false">IF(L644="","",L644)</f>
        <v>[Code: 2AEFJKLM] 5 units found damaged due to susri (Quality Issue)</v>
      </c>
    </row>
    <row r="645" customFormat="false" ht="15.75" hidden="false" customHeight="false" outlineLevel="0" collapsed="false">
      <c r="A645" s="13" t="str">
        <f aca="false">IFERROR(__xludf.dummyfunction("""COMPUTED_VALUE"""),"Metro DC Faisalabad")</f>
        <v>Metro DC Faisalabad</v>
      </c>
      <c r="B645" s="13" t="str">
        <f aca="false">IFERROR(__xludf.dummyfunction("""COMPUTED_VALUE"""),"ad261b39-8236-46b3-b4b8-18de2ebb3efd")</f>
        <v>ad261b39-8236-46b3-b4b8-18de2ebb3efd</v>
      </c>
      <c r="C645" s="13" t="str">
        <f aca="false">IFERROR(__xludf.dummyfunction("""COMPUTED_VALUE"""),"Lipton yellow label tea 85g Rs270")</f>
        <v>Lipton yellow label tea 85g Rs270</v>
      </c>
      <c r="D645" s="13" t="str">
        <f aca="false">IFERROR(__xludf.dummyfunction("""COMPUTED_VALUE"""),"Lipton")</f>
        <v>Lipton</v>
      </c>
      <c r="E645" s="13" t="str">
        <f aca="false">IFERROR(__xludf.dummyfunction("""COMPUTED_VALUE"""),"Tea, Coffee")</f>
        <v>Tea, Coffee</v>
      </c>
      <c r="F645" s="11" t="n">
        <f aca="false">IFERROR(__xludf.dummyfunction("""COMPUTED_VALUE"""),45237)</f>
        <v>45237</v>
      </c>
      <c r="G645" s="16" t="n">
        <f aca="false">IFERROR(__xludf.dummyfunction("""COMPUTED_VALUE"""),0.918672592592571)</f>
        <v>0.9186725926</v>
      </c>
      <c r="H645" s="13" t="str">
        <f aca="false">IFERROR(__xludf.dummyfunction("""COMPUTED_VALUE"""),"damaged stock")</f>
        <v>damaged stock</v>
      </c>
      <c r="I645" s="13" t="n">
        <f aca="false">IFERROR(__xludf.dummyfunction("""COMPUTED_VALUE"""),21)</f>
        <v>21</v>
      </c>
      <c r="J645" s="13" t="n">
        <f aca="false">IFERROR(__xludf.dummyfunction("""COMPUTED_VALUE"""),248.2)</f>
        <v>248.2</v>
      </c>
      <c r="K645" s="13" t="n">
        <f aca="false">IFERROR(__xludf.dummyfunction("""COMPUTED_VALUE"""),5212.2)</f>
        <v>5212.2</v>
      </c>
      <c r="L645" s="13" t="str">
        <f aca="false">IFERROR(__xludf.dummyfunction("""COMPUTED_VALUE"""),"[Code: 2467BDHJ]  TA: 21unit Damage Found During Display. [ cotton sy damage mily hain]")</f>
        <v>[Code: 2467BDHJ]  TA: 21unit Damage Found During Display. [ cotton sy damage mily hain]</v>
      </c>
      <c r="M645" s="13" t="str">
        <f aca="false">IFERROR(__xludf.dummyfunction("""COMPUTED_VALUE"""),"2467BDHJ")</f>
        <v>2467BDHJ</v>
      </c>
      <c r="N645" s="13"/>
      <c r="O645" s="13" t="str">
        <f aca="false">IFERROR(__xludf.dummyfunction("""COMPUTED_VALUE"""),"taufeeq.akhtar@tajir-app.com")</f>
        <v>taufeeq.akhtar@tajir-app.com</v>
      </c>
      <c r="P645" s="13" t="str">
        <f aca="false">IFERROR(__xludf.dummyfunction("""COMPUTED_VALUE"""),"Taufeeq Akhtar ")</f>
        <v>Taufeeq Akhtar </v>
      </c>
      <c r="Q645" s="13" t="str">
        <f aca="false">IF(L645="","",L645)</f>
        <v>[Code: 2467BDHJ]  TA: 21unit Damage Found During Display. [ cotton sy damage mily hain]</v>
      </c>
    </row>
    <row r="646" customFormat="false" ht="15.75" hidden="false" customHeight="false" outlineLevel="0" collapsed="false">
      <c r="A646" s="13" t="str">
        <f aca="false">IFERROR(__xludf.dummyfunction("""COMPUTED_VALUE"""),"Metro DC Faisalabad")</f>
        <v>Metro DC Faisalabad</v>
      </c>
      <c r="B646" s="13" t="str">
        <f aca="false">IFERROR(__xludf.dummyfunction("""COMPUTED_VALUE"""),"e8f9b476-5fbb-491e-8f5e-eabafac776a8")</f>
        <v>e8f9b476-5fbb-491e-8f5e-eabafac776a8</v>
      </c>
      <c r="C646" s="13" t="str">
        <f aca="false">IFERROR(__xludf.dummyfunction("""COMPUTED_VALUE"""),"Sunlight Green Clean and Fresh x6 Bundle 25g")</f>
        <v>Sunlight Green Clean and Fresh x6 Bundle 25g</v>
      </c>
      <c r="D646" s="13" t="str">
        <f aca="false">IFERROR(__xludf.dummyfunction("""COMPUTED_VALUE"""),"Sunlight")</f>
        <v>Sunlight</v>
      </c>
      <c r="E646" s="13" t="str">
        <f aca="false">IFERROR(__xludf.dummyfunction("""COMPUTED_VALUE"""),"Surf, Bleach")</f>
        <v>Surf, Bleach</v>
      </c>
      <c r="F646" s="11" t="n">
        <f aca="false">IFERROR(__xludf.dummyfunction("""COMPUTED_VALUE"""),45237)</f>
        <v>45237</v>
      </c>
      <c r="G646" s="16" t="n">
        <f aca="false">IFERROR(__xludf.dummyfunction("""COMPUTED_VALUE"""),0.868781400462553)</f>
        <v>0.8687814005</v>
      </c>
      <c r="H646" s="13" t="str">
        <f aca="false">IFERROR(__xludf.dummyfunction("""COMPUTED_VALUE"""),"damaged stock")</f>
        <v>damaged stock</v>
      </c>
      <c r="I646" s="13" t="n">
        <f aca="false">IFERROR(__xludf.dummyfunction("""COMPUTED_VALUE"""),3)</f>
        <v>3</v>
      </c>
      <c r="J646" s="13" t="n">
        <f aca="false">IFERROR(__xludf.dummyfunction("""COMPUTED_VALUE"""),55)</f>
        <v>55</v>
      </c>
      <c r="K646" s="13" t="n">
        <f aca="false">IFERROR(__xludf.dummyfunction("""COMPUTED_VALUE"""),165)</f>
        <v>165</v>
      </c>
      <c r="L646" s="13" t="str">
        <f aca="false">IFERROR(__xludf.dummyfunction("""COMPUTED_VALUE"""),"[Code: 247778AD]  TA: 1unit Damage Found During Display . [bag s damage mily hain]")</f>
        <v>[Code: 247778AD]  TA: 1unit Damage Found During Display . [bag s damage mily hain]</v>
      </c>
      <c r="M646" s="13" t="str">
        <f aca="false">IFERROR(__xludf.dummyfunction("""COMPUTED_VALUE"""),"247778AD")</f>
        <v>247778AD</v>
      </c>
      <c r="N646" s="13"/>
      <c r="O646" s="13" t="str">
        <f aca="false">IFERROR(__xludf.dummyfunction("""COMPUTED_VALUE"""),"taufeeq.akhtar@tajir-app.com")</f>
        <v>taufeeq.akhtar@tajir-app.com</v>
      </c>
      <c r="P646" s="13" t="str">
        <f aca="false">IFERROR(__xludf.dummyfunction("""COMPUTED_VALUE"""),"Taufeeq Akhtar ")</f>
        <v>Taufeeq Akhtar </v>
      </c>
      <c r="Q646" s="13" t="str">
        <f aca="false">IF(L646="","",L646)</f>
        <v>[Code: 247778AD]  TA: 1unit Damage Found During Display . [bag s damage mily hain]</v>
      </c>
    </row>
    <row r="647" customFormat="false" ht="15.75" hidden="false" customHeight="false" outlineLevel="0" collapsed="false">
      <c r="A647" s="13" t="str">
        <f aca="false">IFERROR(__xludf.dummyfunction("""COMPUTED_VALUE"""),"Metro DC Faisalabad")</f>
        <v>Metro DC Faisalabad</v>
      </c>
      <c r="B647" s="13" t="str">
        <f aca="false">IFERROR(__xludf.dummyfunction("""COMPUTED_VALUE"""),"dbdce744-b75d-431f-ad78-9522b1ea1c7a")</f>
        <v>dbdce744-b75d-431f-ad78-9522b1ea1c7a</v>
      </c>
      <c r="C647" s="13" t="str">
        <f aca="false">IFERROR(__xludf.dummyfunction("""COMPUTED_VALUE"""),"Deer Finger Crayons 6pcs x2Bundle")</f>
        <v>Deer Finger Crayons 6pcs x2Bundle</v>
      </c>
      <c r="D647" s="13" t="str">
        <f aca="false">IFERROR(__xludf.dummyfunction("""COMPUTED_VALUE"""),"Deer")</f>
        <v>Deer</v>
      </c>
      <c r="E647" s="13" t="str">
        <f aca="false">IFERROR(__xludf.dummyfunction("""COMPUTED_VALUE"""),"Stationery")</f>
        <v>Stationery</v>
      </c>
      <c r="F647" s="11" t="n">
        <f aca="false">IFERROR(__xludf.dummyfunction("""COMPUTED_VALUE"""),45238)</f>
        <v>45238</v>
      </c>
      <c r="G647" s="16" t="n">
        <f aca="false">IFERROR(__xludf.dummyfunction("""COMPUTED_VALUE"""),0.759488657407747)</f>
        <v>0.7594886574</v>
      </c>
      <c r="H647" s="13" t="str">
        <f aca="false">IFERROR(__xludf.dummyfunction("""COMPUTED_VALUE"""),"damaged stock")</f>
        <v>damaged stock</v>
      </c>
      <c r="I647" s="13" t="n">
        <f aca="false">IFERROR(__xludf.dummyfunction("""COMPUTED_VALUE"""),1)</f>
        <v>1</v>
      </c>
      <c r="J647" s="13" t="n">
        <f aca="false">IFERROR(__xludf.dummyfunction("""COMPUTED_VALUE"""),241.8)</f>
        <v>241.8</v>
      </c>
      <c r="K647" s="13" t="n">
        <f aca="false">IFERROR(__xludf.dummyfunction("""COMPUTED_VALUE"""),241.8)</f>
        <v>241.8</v>
      </c>
      <c r="L647" s="13" t="str">
        <f aca="false">IFERROR(__xludf.dummyfunction("""COMPUTED_VALUE"""),"[Code: 268ABHLL] AR: 2 Crayons found damage in one box")</f>
        <v>[Code: 268ABHLL] AR: 2 Crayons found damage in one box</v>
      </c>
      <c r="M647" s="13" t="str">
        <f aca="false">IFERROR(__xludf.dummyfunction("""COMPUTED_VALUE"""),"268ABHLL")</f>
        <v>268ABHLL</v>
      </c>
      <c r="N647" s="13"/>
      <c r="O647" s="13" t="str">
        <f aca="false">IFERROR(__xludf.dummyfunction("""COMPUTED_VALUE"""),"ali.raza@tajir-app.com")</f>
        <v>ali.raza@tajir-app.com</v>
      </c>
      <c r="P647" s="13" t="str">
        <f aca="false">IFERROR(__xludf.dummyfunction("""COMPUTED_VALUE"""),"Ali Raza ")</f>
        <v>Ali Raza </v>
      </c>
      <c r="Q647" s="13" t="str">
        <f aca="false">IF(L647="","",L647)</f>
        <v>[Code: 268ABHLL] AR: 2 Crayons found damage in one box</v>
      </c>
    </row>
    <row r="648" customFormat="false" ht="15.75" hidden="false" customHeight="false" outlineLevel="0" collapsed="false">
      <c r="A648" s="13" t="str">
        <f aca="false">IFERROR(__xludf.dummyfunction("""COMPUTED_VALUE"""),"Metro DC Faisalabad")</f>
        <v>Metro DC Faisalabad</v>
      </c>
      <c r="B648" s="13" t="str">
        <f aca="false">IFERROR(__xludf.dummyfunction("""COMPUTED_VALUE"""),"5fd9d62f-0238-4019-9bdc-1d1af6ce662a")</f>
        <v>5fd9d62f-0238-4019-9bdc-1d1af6ce662a</v>
      </c>
      <c r="C648" s="13" t="str">
        <f aca="false">IFERROR(__xludf.dummyfunction("""COMPUTED_VALUE"""),"National Chicken Tikka 20G x6 bundle Rs60")</f>
        <v>National Chicken Tikka 20G x6 bundle Rs60</v>
      </c>
      <c r="D648" s="13" t="str">
        <f aca="false">IFERROR(__xludf.dummyfunction("""COMPUTED_VALUE"""),"National")</f>
        <v>National</v>
      </c>
      <c r="E648" s="13" t="str">
        <f aca="false">IFERROR(__xludf.dummyfunction("""COMPUTED_VALUE"""),"Spices")</f>
        <v>Spices</v>
      </c>
      <c r="F648" s="11" t="n">
        <f aca="false">IFERROR(__xludf.dummyfunction("""COMPUTED_VALUE"""),45238)</f>
        <v>45238</v>
      </c>
      <c r="G648" s="16" t="n">
        <f aca="false">IFERROR(__xludf.dummyfunction("""COMPUTED_VALUE"""),0.704507939812999)</f>
        <v>0.7045079398</v>
      </c>
      <c r="H648" s="13" t="str">
        <f aca="false">IFERROR(__xludf.dummyfunction("""COMPUTED_VALUE"""),"damaged stock")</f>
        <v>damaged stock</v>
      </c>
      <c r="I648" s="13" t="n">
        <f aca="false">IFERROR(__xludf.dummyfunction("""COMPUTED_VALUE"""),1)</f>
        <v>1</v>
      </c>
      <c r="J648" s="13" t="n">
        <f aca="false">IFERROR(__xludf.dummyfunction("""COMPUTED_VALUE"""),292.25)</f>
        <v>292.25</v>
      </c>
      <c r="K648" s="13" t="n">
        <f aca="false">IFERROR(__xludf.dummyfunction("""COMPUTED_VALUE"""),292.25)</f>
        <v>292.25</v>
      </c>
      <c r="L648" s="13" t="str">
        <f aca="false">IFERROR(__xludf.dummyfunction("""COMPUTED_VALUE"""),"[Code: 239FJMNN] 1 unit found damaged (Seal Open)")</f>
        <v>[Code: 239FJMNN] 1 unit found damaged (Seal Open)</v>
      </c>
      <c r="M648" s="13" t="str">
        <f aca="false">IFERROR(__xludf.dummyfunction("""COMPUTED_VALUE"""),"239FJMNN")</f>
        <v>239FJMNN</v>
      </c>
      <c r="N648" s="13"/>
      <c r="O648" s="13" t="str">
        <f aca="false">IFERROR(__xludf.dummyfunction("""COMPUTED_VALUE"""),"ali.raza@tajir-app.com")</f>
        <v>ali.raza@tajir-app.com</v>
      </c>
      <c r="P648" s="13" t="str">
        <f aca="false">IFERROR(__xludf.dummyfunction("""COMPUTED_VALUE"""),"Ali Raza ")</f>
        <v>Ali Raza </v>
      </c>
      <c r="Q648" s="13" t="str">
        <f aca="false">IF(L648="","",L648)</f>
        <v>[Code: 239FJMNN] 1 unit found damaged (Seal Open)</v>
      </c>
    </row>
    <row r="649" customFormat="false" ht="15.75" hidden="false" customHeight="false" outlineLevel="0" collapsed="false">
      <c r="A649" s="13" t="str">
        <f aca="false">IFERROR(__xludf.dummyfunction("""COMPUTED_VALUE"""),"Metro DC Faisalabad")</f>
        <v>Metro DC Faisalabad</v>
      </c>
      <c r="B649" s="13" t="str">
        <f aca="false">IFERROR(__xludf.dummyfunction("""COMPUTED_VALUE"""),"2a782b9f-b287-4bd1-8599-4907b87ef77a")</f>
        <v>2a782b9f-b287-4bd1-8599-4907b87ef77a</v>
      </c>
      <c r="C649" s="13" t="str">
        <f aca="false">IFERROR(__xludf.dummyfunction("""COMPUTED_VALUE"""),"Sherdil White Chana Bareek 1kg")</f>
        <v>Sherdil White Chana Bareek 1kg</v>
      </c>
      <c r="D649" s="13" t="str">
        <f aca="false">IFERROR(__xludf.dummyfunction("""COMPUTED_VALUE"""),"Sherdil")</f>
        <v>Sherdil</v>
      </c>
      <c r="E649" s="13" t="str">
        <f aca="false">IFERROR(__xludf.dummyfunction("""COMPUTED_VALUE"""),"Pulses")</f>
        <v>Pulses</v>
      </c>
      <c r="F649" s="11" t="n">
        <f aca="false">IFERROR(__xludf.dummyfunction("""COMPUTED_VALUE"""),45238)</f>
        <v>45238</v>
      </c>
      <c r="G649" s="16" t="n">
        <f aca="false">IFERROR(__xludf.dummyfunction("""COMPUTED_VALUE"""),0.470579918979681)</f>
        <v>0.470579919</v>
      </c>
      <c r="H649" s="13" t="str">
        <f aca="false">IFERROR(__xludf.dummyfunction("""COMPUTED_VALUE"""),"damaged stock")</f>
        <v>damaged stock</v>
      </c>
      <c r="I649" s="13" t="n">
        <f aca="false">IFERROR(__xludf.dummyfunction("""COMPUTED_VALUE"""),1)</f>
        <v>1</v>
      </c>
      <c r="J649" s="13" t="n">
        <f aca="false">IFERROR(__xludf.dummyfunction("""COMPUTED_VALUE"""),342)</f>
        <v>342</v>
      </c>
      <c r="K649" s="13" t="n">
        <f aca="false">IFERROR(__xludf.dummyfunction("""COMPUTED_VALUE"""),342)</f>
        <v>342</v>
      </c>
      <c r="L649" s="13" t="str">
        <f aca="false">IFERROR(__xludf.dummyfunction("""COMPUTED_VALUE"""),"[Code: 7799DDDF] 1 unit found damaged due to susri (Quality Issue)")</f>
        <v>[Code: 7799DDDF] 1 unit found damaged due to susri (Quality Issue)</v>
      </c>
      <c r="M649" s="13" t="str">
        <f aca="false">IFERROR(__xludf.dummyfunction("""COMPUTED_VALUE"""),"7799DDDF")</f>
        <v>7799DDDF</v>
      </c>
      <c r="N649" s="13"/>
      <c r="O649" s="13" t="str">
        <f aca="false">IFERROR(__xludf.dummyfunction("""COMPUTED_VALUE"""),"ali.raza@tajir-app.com")</f>
        <v>ali.raza@tajir-app.com</v>
      </c>
      <c r="P649" s="13" t="str">
        <f aca="false">IFERROR(__xludf.dummyfunction("""COMPUTED_VALUE"""),"Ali Raza ")</f>
        <v>Ali Raza </v>
      </c>
      <c r="Q649" s="13" t="str">
        <f aca="false">IF(L649="","",L649)</f>
        <v>[Code: 7799DDDF] 1 unit found damaged due to susri (Quality Issue)</v>
      </c>
    </row>
    <row r="650" customFormat="false" ht="15.75" hidden="false" customHeight="false" outlineLevel="0" collapsed="false">
      <c r="A650" s="13" t="str">
        <f aca="false">IFERROR(__xludf.dummyfunction("""COMPUTED_VALUE"""),"Metro DC Faisalabad")</f>
        <v>Metro DC Faisalabad</v>
      </c>
      <c r="B650" s="13" t="str">
        <f aca="false">IFERROR(__xludf.dummyfunction("""COMPUTED_VALUE"""),"f5d0fa7a-c3e6-4b73-a02d-50506e9dd23b")</f>
        <v>f5d0fa7a-c3e6-4b73-a02d-50506e9dd23b</v>
      </c>
      <c r="C650" s="13" t="str">
        <f aca="false">IFERROR(__xludf.dummyfunction("""COMPUTED_VALUE"""),"Ultra Pure Surf 1kg Rs350")</f>
        <v>Ultra Pure Surf 1kg Rs350</v>
      </c>
      <c r="D650" s="13" t="str">
        <f aca="false">IFERROR(__xludf.dummyfunction("""COMPUTED_VALUE"""),"Ultra Pure")</f>
        <v>Ultra Pure</v>
      </c>
      <c r="E650" s="13" t="str">
        <f aca="false">IFERROR(__xludf.dummyfunction("""COMPUTED_VALUE"""),"Surf, Bleach")</f>
        <v>Surf, Bleach</v>
      </c>
      <c r="F650" s="11" t="n">
        <f aca="false">IFERROR(__xludf.dummyfunction("""COMPUTED_VALUE"""),45240)</f>
        <v>45240</v>
      </c>
      <c r="G650" s="16" t="n">
        <f aca="false">IFERROR(__xludf.dummyfunction("""COMPUTED_VALUE"""),0.839452129630875)</f>
        <v>0.8394521296</v>
      </c>
      <c r="H650" s="13" t="str">
        <f aca="false">IFERROR(__xludf.dummyfunction("""COMPUTED_VALUE"""),"damaged stock")</f>
        <v>damaged stock</v>
      </c>
      <c r="I650" s="13" t="n">
        <f aca="false">IFERROR(__xludf.dummyfunction("""COMPUTED_VALUE"""),1)</f>
        <v>1</v>
      </c>
      <c r="J650" s="13" t="n">
        <f aca="false">IFERROR(__xludf.dummyfunction("""COMPUTED_VALUE"""),189)</f>
        <v>189</v>
      </c>
      <c r="K650" s="13" t="n">
        <f aca="false">IFERROR(__xludf.dummyfunction("""COMPUTED_VALUE"""),189)</f>
        <v>189</v>
      </c>
      <c r="L650" s="13" t="str">
        <f aca="false">IFERROR(__xludf.dummyfunction("""COMPUTED_VALUE"""),"[Code: 4666ADEJ]  TA: 1unit Damage Found during display. (seal sy open hain )")</f>
        <v>[Code: 4666ADEJ]  TA: 1unit Damage Found during display. (seal sy open hain )</v>
      </c>
      <c r="M650" s="13" t="str">
        <f aca="false">IFERROR(__xludf.dummyfunction("""COMPUTED_VALUE"""),"4666ADEJ")</f>
        <v>4666ADEJ</v>
      </c>
      <c r="N650" s="13"/>
      <c r="O650" s="13" t="str">
        <f aca="false">IFERROR(__xludf.dummyfunction("""COMPUTED_VALUE"""),"taufeeq.akhtar@tajir-app.com")</f>
        <v>taufeeq.akhtar@tajir-app.com</v>
      </c>
      <c r="P650" s="13" t="str">
        <f aca="false">IFERROR(__xludf.dummyfunction("""COMPUTED_VALUE"""),"Taufeeq Akhtar ")</f>
        <v>Taufeeq Akhtar </v>
      </c>
      <c r="Q650" s="13" t="str">
        <f aca="false">IF(L650="","",L650)</f>
        <v>[Code: 4666ADEJ]  TA: 1unit Damage Found during display. (seal sy open hain )</v>
      </c>
    </row>
    <row r="651" customFormat="false" ht="15.75" hidden="false" customHeight="false" outlineLevel="0" collapsed="false">
      <c r="A651" s="13" t="str">
        <f aca="false">IFERROR(__xludf.dummyfunction("""COMPUTED_VALUE"""),"Metro DC Faisalabad")</f>
        <v>Metro DC Faisalabad</v>
      </c>
      <c r="B651" s="13" t="str">
        <f aca="false">IFERROR(__xludf.dummyfunction("""COMPUTED_VALUE"""),"f4a7c642-7555-4dfd-8198-642b8dbed45d")</f>
        <v>f4a7c642-7555-4dfd-8198-642b8dbed45d</v>
      </c>
      <c r="C651" s="13" t="str">
        <f aca="false">IFERROR(__xludf.dummyfunction("""COMPUTED_VALUE"""),"Bonus tristar yellow surf 1kg Rs230")</f>
        <v>Bonus tristar yellow surf 1kg Rs230</v>
      </c>
      <c r="D651" s="13" t="str">
        <f aca="false">IFERROR(__xludf.dummyfunction("""COMPUTED_VALUE"""),"Bonus Surf")</f>
        <v>Bonus Surf</v>
      </c>
      <c r="E651" s="13" t="str">
        <f aca="false">IFERROR(__xludf.dummyfunction("""COMPUTED_VALUE"""),"Surf, Bleach")</f>
        <v>Surf, Bleach</v>
      </c>
      <c r="F651" s="11" t="n">
        <f aca="false">IFERROR(__xludf.dummyfunction("""COMPUTED_VALUE"""),45240)</f>
        <v>45240</v>
      </c>
      <c r="G651" s="16" t="n">
        <f aca="false">IFERROR(__xludf.dummyfunction("""COMPUTED_VALUE"""),0.831255300925198)</f>
        <v>0.8312553009</v>
      </c>
      <c r="H651" s="13" t="str">
        <f aca="false">IFERROR(__xludf.dummyfunction("""COMPUTED_VALUE"""),"damaged stock")</f>
        <v>damaged stock</v>
      </c>
      <c r="I651" s="13" t="n">
        <f aca="false">IFERROR(__xludf.dummyfunction("""COMPUTED_VALUE"""),2)</f>
        <v>2</v>
      </c>
      <c r="J651" s="13" t="n">
        <f aca="false">IFERROR(__xludf.dummyfunction("""COMPUTED_VALUE"""),210.36)</f>
        <v>210.36</v>
      </c>
      <c r="K651" s="13" t="n">
        <f aca="false">IFERROR(__xludf.dummyfunction("""COMPUTED_VALUE"""),420.72)</f>
        <v>420.72</v>
      </c>
      <c r="L651" s="13" t="str">
        <f aca="false">IFERROR(__xludf.dummyfunction("""COMPUTED_VALUE"""),"[Code: 578ACEFG]  TA: 2 unit Damage Found during display. (seal sy open hain )")</f>
        <v>[Code: 578ACEFG]  TA: 2 unit Damage Found during display. (seal sy open hain )</v>
      </c>
      <c r="M651" s="13" t="str">
        <f aca="false">IFERROR(__xludf.dummyfunction("""COMPUTED_VALUE"""),"578ACEFG")</f>
        <v>578ACEFG</v>
      </c>
      <c r="N651" s="13"/>
      <c r="O651" s="13" t="str">
        <f aca="false">IFERROR(__xludf.dummyfunction("""COMPUTED_VALUE"""),"taufeeq.akhtar@tajir-app.com")</f>
        <v>taufeeq.akhtar@tajir-app.com</v>
      </c>
      <c r="P651" s="13" t="str">
        <f aca="false">IFERROR(__xludf.dummyfunction("""COMPUTED_VALUE"""),"Taufeeq Akhtar ")</f>
        <v>Taufeeq Akhtar </v>
      </c>
      <c r="Q651" s="13" t="str">
        <f aca="false">IF(L651="","",L651)</f>
        <v>[Code: 578ACEFG]  TA: 2 unit Damage Found during display. (seal sy open hain )</v>
      </c>
    </row>
    <row r="652" customFormat="false" ht="15.75" hidden="false" customHeight="false" outlineLevel="0" collapsed="false">
      <c r="A652" s="13" t="str">
        <f aca="false">IFERROR(__xludf.dummyfunction("""COMPUTED_VALUE"""),"Metro DC Faisalabad")</f>
        <v>Metro DC Faisalabad</v>
      </c>
      <c r="B652" s="13" t="str">
        <f aca="false">IFERROR(__xludf.dummyfunction("""COMPUTED_VALUE"""),"039ebff0-a54d-4ab1-a893-22ee2482fc18")</f>
        <v>039ebff0-a54d-4ab1-a893-22ee2482fc18</v>
      </c>
      <c r="C652" s="13" t="str">
        <f aca="false">IFERROR(__xludf.dummyfunction("""COMPUTED_VALUE"""),"Habib Foods Funtime Mango Flavoured Drink 200mL")</f>
        <v>Habib Foods Funtime Mango Flavoured Drink 200mL</v>
      </c>
      <c r="D652" s="13" t="str">
        <f aca="false">IFERROR(__xludf.dummyfunction("""COMPUTED_VALUE"""),"Habib Foods")</f>
        <v>Habib Foods</v>
      </c>
      <c r="E652" s="13" t="str">
        <f aca="false">IFERROR(__xludf.dummyfunction("""COMPUTED_VALUE"""),"Juice, Syrup, Squash")</f>
        <v>Juice, Syrup, Squash</v>
      </c>
      <c r="F652" s="11" t="n">
        <f aca="false">IFERROR(__xludf.dummyfunction("""COMPUTED_VALUE"""),45240)</f>
        <v>45240</v>
      </c>
      <c r="G652" s="16" t="n">
        <f aca="false">IFERROR(__xludf.dummyfunction("""COMPUTED_VALUE"""),0.82031943287037)</f>
        <v>0.8203194329</v>
      </c>
      <c r="H652" s="13" t="str">
        <f aca="false">IFERROR(__xludf.dummyfunction("""COMPUTED_VALUE"""),"damaged stock")</f>
        <v>damaged stock</v>
      </c>
      <c r="I652" s="13" t="n">
        <f aca="false">IFERROR(__xludf.dummyfunction("""COMPUTED_VALUE"""),1)</f>
        <v>1</v>
      </c>
      <c r="J652" s="13" t="n">
        <f aca="false">IFERROR(__xludf.dummyfunction("""COMPUTED_VALUE"""),500)</f>
        <v>500</v>
      </c>
      <c r="K652" s="13" t="n">
        <f aca="false">IFERROR(__xludf.dummyfunction("""COMPUTED_VALUE"""),500)</f>
        <v>500</v>
      </c>
      <c r="L652" s="13" t="str">
        <f aca="false">IFERROR(__xludf.dummyfunction("""COMPUTED_VALUE"""),"[Code: 23899CGG] TA: 1 unit Damage Found during Sorting.")</f>
        <v>[Code: 23899CGG] TA: 1 unit Damage Found during Sorting.</v>
      </c>
      <c r="M652" s="13" t="str">
        <f aca="false">IFERROR(__xludf.dummyfunction("""COMPUTED_VALUE"""),"23899CGG")</f>
        <v>23899CGG</v>
      </c>
      <c r="N652" s="13"/>
      <c r="O652" s="13" t="str">
        <f aca="false">IFERROR(__xludf.dummyfunction("""COMPUTED_VALUE"""),"taufeeq.akhtar@tajir-app.com")</f>
        <v>taufeeq.akhtar@tajir-app.com</v>
      </c>
      <c r="P652" s="13" t="str">
        <f aca="false">IFERROR(__xludf.dummyfunction("""COMPUTED_VALUE"""),"Taufeeq Akhtar ")</f>
        <v>Taufeeq Akhtar </v>
      </c>
      <c r="Q652" s="13" t="str">
        <f aca="false">IF(L652="","",L652)</f>
        <v>[Code: 23899CGG] TA: 1 unit Damage Found during Sorting.</v>
      </c>
    </row>
    <row r="653" customFormat="false" ht="15.75" hidden="false" customHeight="false" outlineLevel="0" collapsed="false">
      <c r="A653" s="13" t="str">
        <f aca="false">IFERROR(__xludf.dummyfunction("""COMPUTED_VALUE"""),"Metro DC Faisalabad")</f>
        <v>Metro DC Faisalabad</v>
      </c>
      <c r="B653" s="13" t="str">
        <f aca="false">IFERROR(__xludf.dummyfunction("""COMPUTED_VALUE"""),"31763cb5-175e-49fe-8888-5294f63f243b")</f>
        <v>31763cb5-175e-49fe-8888-5294f63f243b</v>
      </c>
      <c r="C653" s="13" t="str">
        <f aca="false">IFERROR(__xludf.dummyfunction("""COMPUTED_VALUE"""),"Softmints Ice Cool Chewy Mints 100pcs Rs2")</f>
        <v>Softmints Ice Cool Chewy Mints 100pcs Rs2</v>
      </c>
      <c r="D653" s="13" t="str">
        <f aca="false">IFERROR(__xludf.dummyfunction("""COMPUTED_VALUE"""),"Cadbury")</f>
        <v>Cadbury</v>
      </c>
      <c r="E653" s="13" t="str">
        <f aca="false">IFERROR(__xludf.dummyfunction("""COMPUTED_VALUE"""),"Confectionary")</f>
        <v>Confectionary</v>
      </c>
      <c r="F653" s="11" t="n">
        <f aca="false">IFERROR(__xludf.dummyfunction("""COMPUTED_VALUE"""),45241)</f>
        <v>45241</v>
      </c>
      <c r="G653" s="16" t="n">
        <f aca="false">IFERROR(__xludf.dummyfunction("""COMPUTED_VALUE"""),0.930902407408663)</f>
        <v>0.9309024074</v>
      </c>
      <c r="H653" s="13" t="str">
        <f aca="false">IFERROR(__xludf.dummyfunction("""COMPUTED_VALUE"""),"damaged stock")</f>
        <v>damaged stock</v>
      </c>
      <c r="I653" s="13" t="n">
        <f aca="false">IFERROR(__xludf.dummyfunction("""COMPUTED_VALUE"""),2)</f>
        <v>2</v>
      </c>
      <c r="J653" s="13" t="n">
        <f aca="false">IFERROR(__xludf.dummyfunction("""COMPUTED_VALUE"""),173.74)</f>
        <v>173.74</v>
      </c>
      <c r="K653" s="13" t="n">
        <f aca="false">IFERROR(__xludf.dummyfunction("""COMPUTED_VALUE"""),347.48)</f>
        <v>347.48</v>
      </c>
      <c r="L653" s="13" t="str">
        <f aca="false">IFERROR(__xludf.dummyfunction("""COMPUTED_VALUE"""),"[Code: 334AABCD] TA: found damaged from box during display...")</f>
        <v>[Code: 334AABCD] TA: found damaged from box during display...</v>
      </c>
      <c r="M653" s="13" t="str">
        <f aca="false">IFERROR(__xludf.dummyfunction("""COMPUTED_VALUE"""),"334AABCD")</f>
        <v>334AABCD</v>
      </c>
      <c r="N653" s="13"/>
      <c r="O653" s="13" t="str">
        <f aca="false">IFERROR(__xludf.dummyfunction("""COMPUTED_VALUE"""),"taufeeq.akhtar@tajir-app.com")</f>
        <v>taufeeq.akhtar@tajir-app.com</v>
      </c>
      <c r="P653" s="13" t="str">
        <f aca="false">IFERROR(__xludf.dummyfunction("""COMPUTED_VALUE"""),"Taufeeq Akhtar ")</f>
        <v>Taufeeq Akhtar </v>
      </c>
      <c r="Q653" s="13" t="str">
        <f aca="false">IF(L653="","",L653)</f>
        <v>[Code: 334AABCD] TA: found damaged from box during display...</v>
      </c>
    </row>
    <row r="654" customFormat="false" ht="15.75" hidden="false" customHeight="false" outlineLevel="0" collapsed="false">
      <c r="A654" s="13" t="str">
        <f aca="false">IFERROR(__xludf.dummyfunction("""COMPUTED_VALUE"""),"Metro DC Faisalabad")</f>
        <v>Metro DC Faisalabad</v>
      </c>
      <c r="B654" s="13" t="str">
        <f aca="false">IFERROR(__xludf.dummyfunction("""COMPUTED_VALUE"""),"63888977-140e-48ab-be06-54a2810ec1fe")</f>
        <v>63888977-140e-48ab-be06-54a2810ec1fe</v>
      </c>
      <c r="C654" s="13" t="str">
        <f aca="false">IFERROR(__xludf.dummyfunction("""COMPUTED_VALUE"""),"Anne French Hair Removing Cream Rose 14g Rs35")</f>
        <v>Anne French Hair Removing Cream Rose 14g Rs35</v>
      </c>
      <c r="D654" s="13" t="str">
        <f aca="false">IFERROR(__xludf.dummyfunction("""COMPUTED_VALUE"""),"Anne French")</f>
        <v>Anne French</v>
      </c>
      <c r="E654" s="13" t="str">
        <f aca="false">IFERROR(__xludf.dummyfunction("""COMPUTED_VALUE"""),"Personal Care")</f>
        <v>Personal Care</v>
      </c>
      <c r="F654" s="11" t="n">
        <f aca="false">IFERROR(__xludf.dummyfunction("""COMPUTED_VALUE"""),45242)</f>
        <v>45242</v>
      </c>
      <c r="G654" s="16" t="n">
        <f aca="false">IFERROR(__xludf.dummyfunction("""COMPUTED_VALUE"""),0.919949930554833)</f>
        <v>0.9199499306</v>
      </c>
      <c r="H654" s="13" t="str">
        <f aca="false">IFERROR(__xludf.dummyfunction("""COMPUTED_VALUE"""),"damaged stock")</f>
        <v>damaged stock</v>
      </c>
      <c r="I654" s="13" t="n">
        <f aca="false">IFERROR(__xludf.dummyfunction("""COMPUTED_VALUE"""),1)</f>
        <v>1</v>
      </c>
      <c r="J654" s="13" t="n">
        <f aca="false">IFERROR(__xludf.dummyfunction("""COMPUTED_VALUE"""),33.35)</f>
        <v>33.35</v>
      </c>
      <c r="K654" s="13" t="n">
        <f aca="false">IFERROR(__xludf.dummyfunction("""COMPUTED_VALUE"""),33.35)</f>
        <v>33.35</v>
      </c>
      <c r="L654" s="13" t="str">
        <f aca="false">IFERROR(__xludf.dummyfunction("""COMPUTED_VALUE"""),"[Code: 55566ABG] TA: 1 unit damage found during sorting")</f>
        <v>[Code: 55566ABG] TA: 1 unit damage found during sorting</v>
      </c>
      <c r="M654" s="13" t="str">
        <f aca="false">IFERROR(__xludf.dummyfunction("""COMPUTED_VALUE"""),"55566ABG")</f>
        <v>55566ABG</v>
      </c>
      <c r="N654" s="13"/>
      <c r="O654" s="13" t="str">
        <f aca="false">IFERROR(__xludf.dummyfunction("""COMPUTED_VALUE"""),"taufeeq.akhtar@tajir-app.com")</f>
        <v>taufeeq.akhtar@tajir-app.com</v>
      </c>
      <c r="P654" s="13" t="str">
        <f aca="false">IFERROR(__xludf.dummyfunction("""COMPUTED_VALUE"""),"Taufeeq Akhtar ")</f>
        <v>Taufeeq Akhtar </v>
      </c>
      <c r="Q654" s="13" t="str">
        <f aca="false">IF(L654="","",L654)</f>
        <v>[Code: 55566ABG] TA: 1 unit damage found during sorting</v>
      </c>
    </row>
    <row r="655" customFormat="false" ht="15.75" hidden="false" customHeight="false" outlineLevel="0" collapsed="false">
      <c r="A655" s="13" t="str">
        <f aca="false">IFERROR(__xludf.dummyfunction("""COMPUTED_VALUE"""),"Metro DC Faisalabad")</f>
        <v>Metro DC Faisalabad</v>
      </c>
      <c r="B655" s="13" t="str">
        <f aca="false">IFERROR(__xludf.dummyfunction("""COMPUTED_VALUE"""),"caa0e387-9f68-407e-84d3-2cbf5010bda9")</f>
        <v>caa0e387-9f68-407e-84d3-2cbf5010bda9</v>
      </c>
      <c r="C655" s="13" t="str">
        <f aca="false">IFERROR(__xludf.dummyfunction("""COMPUTED_VALUE"""),"Sunsilk Hairfall Shampoo x16 bundle 7ml Rs10")</f>
        <v>Sunsilk Hairfall Shampoo x16 bundle 7ml Rs10</v>
      </c>
      <c r="D655" s="13" t="str">
        <f aca="false">IFERROR(__xludf.dummyfunction("""COMPUTED_VALUE"""),"Sunsilk")</f>
        <v>Sunsilk</v>
      </c>
      <c r="E655" s="13" t="str">
        <f aca="false">IFERROR(__xludf.dummyfunction("""COMPUTED_VALUE"""),"Shampoo")</f>
        <v>Shampoo</v>
      </c>
      <c r="F655" s="11" t="n">
        <f aca="false">IFERROR(__xludf.dummyfunction("""COMPUTED_VALUE"""),45242)</f>
        <v>45242</v>
      </c>
      <c r="G655" s="16" t="n">
        <f aca="false">IFERROR(__xludf.dummyfunction("""COMPUTED_VALUE"""),0.918799467593229)</f>
        <v>0.9187994676</v>
      </c>
      <c r="H655" s="13" t="str">
        <f aca="false">IFERROR(__xludf.dummyfunction("""COMPUTED_VALUE"""),"damaged stock")</f>
        <v>damaged stock</v>
      </c>
      <c r="I655" s="13" t="n">
        <f aca="false">IFERROR(__xludf.dummyfunction("""COMPUTED_VALUE"""),1)</f>
        <v>1</v>
      </c>
      <c r="J655" s="13" t="n">
        <f aca="false">IFERROR(__xludf.dummyfunction("""COMPUTED_VALUE"""),142)</f>
        <v>142</v>
      </c>
      <c r="K655" s="13" t="n">
        <f aca="false">IFERROR(__xludf.dummyfunction("""COMPUTED_VALUE"""),142)</f>
        <v>142</v>
      </c>
      <c r="L655" s="13" t="str">
        <f aca="false">IFERROR(__xludf.dummyfunction("""COMPUTED_VALUE"""),"[Code: 3CDEEFHJ] TA; 1unit damage found during display")</f>
        <v>[Code: 3CDEEFHJ] TA; 1unit damage found during display</v>
      </c>
      <c r="M655" s="13" t="str">
        <f aca="false">IFERROR(__xludf.dummyfunction("""COMPUTED_VALUE"""),"3CDEEFHJ")</f>
        <v>3CDEEFHJ</v>
      </c>
      <c r="N655" s="13"/>
      <c r="O655" s="13" t="str">
        <f aca="false">IFERROR(__xludf.dummyfunction("""COMPUTED_VALUE"""),"taufeeq.akhtar@tajir-app.com")</f>
        <v>taufeeq.akhtar@tajir-app.com</v>
      </c>
      <c r="P655" s="13" t="str">
        <f aca="false">IFERROR(__xludf.dummyfunction("""COMPUTED_VALUE"""),"Taufeeq Akhtar ")</f>
        <v>Taufeeq Akhtar </v>
      </c>
      <c r="Q655" s="13" t="str">
        <f aca="false">IF(L655="","",L655)</f>
        <v>[Code: 3CDEEFHJ] TA; 1unit damage found during display</v>
      </c>
    </row>
    <row r="656" customFormat="false" ht="15.75" hidden="false" customHeight="false" outlineLevel="0" collapsed="false">
      <c r="A656" s="13" t="str">
        <f aca="false">IFERROR(__xludf.dummyfunction("""COMPUTED_VALUE"""),"Metro DC Faisalabad")</f>
        <v>Metro DC Faisalabad</v>
      </c>
      <c r="B656" s="13" t="str">
        <f aca="false">IFERROR(__xludf.dummyfunction("""COMPUTED_VALUE"""),"24eda97a-547d-4730-a019-073bc438fe6c")</f>
        <v>24eda97a-547d-4730-a019-073bc438fe6c</v>
      </c>
      <c r="C656" s="13" t="str">
        <f aca="false">IFERROR(__xludf.dummyfunction("""COMPUTED_VALUE"""),"Al-Munawar Special Muzafati Dates Box")</f>
        <v>Al-Munawar Special Muzafati Dates Box</v>
      </c>
      <c r="D656" s="13" t="str">
        <f aca="false">IFERROR(__xludf.dummyfunction("""COMPUTED_VALUE"""),"Al-Munawar")</f>
        <v>Al-Munawar</v>
      </c>
      <c r="E656" s="13" t="str">
        <f aca="false">IFERROR(__xludf.dummyfunction("""COMPUTED_VALUE"""),"Khajoor &amp; Pakoriyan")</f>
        <v>Khajoor &amp; Pakoriyan</v>
      </c>
      <c r="F656" s="11" t="n">
        <f aca="false">IFERROR(__xludf.dummyfunction("""COMPUTED_VALUE"""),45243)</f>
        <v>45243</v>
      </c>
      <c r="G656" s="16" t="n">
        <f aca="false">IFERROR(__xludf.dummyfunction("""COMPUTED_VALUE"""),0.88915035879559)</f>
        <v>0.8891503588</v>
      </c>
      <c r="H656" s="13" t="str">
        <f aca="false">IFERROR(__xludf.dummyfunction("""COMPUTED_VALUE"""),"damaged stock")</f>
        <v>damaged stock</v>
      </c>
      <c r="I656" s="13" t="n">
        <f aca="false">IFERROR(__xludf.dummyfunction("""COMPUTED_VALUE"""),1)</f>
        <v>1</v>
      </c>
      <c r="J656" s="13" t="n">
        <f aca="false">IFERROR(__xludf.dummyfunction("""COMPUTED_VALUE"""),420)</f>
        <v>420</v>
      </c>
      <c r="K656" s="13" t="n">
        <f aca="false">IFERROR(__xludf.dummyfunction("""COMPUTED_VALUE"""),420)</f>
        <v>420</v>
      </c>
      <c r="L656" s="13" t="str">
        <f aca="false">IFERROR(__xludf.dummyfunction("""COMPUTED_VALUE"""),"[Code: 4666CEHJ] TA; 1unit found damage due to bad quality (box ky andr sundi lgi he)")</f>
        <v>[Code: 4666CEHJ] TA; 1unit found damage due to bad quality (box ky andr sundi lgi he)</v>
      </c>
      <c r="M656" s="13" t="str">
        <f aca="false">IFERROR(__xludf.dummyfunction("""COMPUTED_VALUE"""),"4666CEHJ")</f>
        <v>4666CEHJ</v>
      </c>
      <c r="N656" s="13"/>
      <c r="O656" s="13" t="str">
        <f aca="false">IFERROR(__xludf.dummyfunction("""COMPUTED_VALUE"""),"taufeeq.akhtar@tajir-app.com")</f>
        <v>taufeeq.akhtar@tajir-app.com</v>
      </c>
      <c r="P656" s="13" t="str">
        <f aca="false">IFERROR(__xludf.dummyfunction("""COMPUTED_VALUE"""),"Taufeeq Akhtar ")</f>
        <v>Taufeeq Akhtar </v>
      </c>
      <c r="Q656" s="13" t="str">
        <f aca="false">IF(L656="","",L656)</f>
        <v>[Code: 4666CEHJ] TA; 1unit found damage due to bad quality (box ky andr sundi lgi he)</v>
      </c>
    </row>
    <row r="657" customFormat="false" ht="15.75" hidden="false" customHeight="false" outlineLevel="0" collapsed="false">
      <c r="A657" s="13" t="str">
        <f aca="false">IFERROR(__xludf.dummyfunction("""COMPUTED_VALUE"""),"Metro DC Faisalabad")</f>
        <v>Metro DC Faisalabad</v>
      </c>
      <c r="B657" s="13" t="str">
        <f aca="false">IFERROR(__xludf.dummyfunction("""COMPUTED_VALUE"""),"23294e84-86d3-4867-bf69-7035fbfaef59")</f>
        <v>23294e84-86d3-4867-bf69-7035fbfaef59</v>
      </c>
      <c r="C657" s="13" t="str">
        <f aca="false">IFERROR(__xludf.dummyfunction("""COMPUTED_VALUE"""),"Bisconni Nice Biscuit 16pcs Rs15")</f>
        <v>Bisconni Nice Biscuit 16pcs Rs15</v>
      </c>
      <c r="D657" s="13" t="str">
        <f aca="false">IFERROR(__xludf.dummyfunction("""COMPUTED_VALUE"""),"Bisconni")</f>
        <v>Bisconni</v>
      </c>
      <c r="E657" s="13" t="str">
        <f aca="false">IFERROR(__xludf.dummyfunction("""COMPUTED_VALUE"""),"Biscuits, Wafers")</f>
        <v>Biscuits, Wafers</v>
      </c>
      <c r="F657" s="11" t="n">
        <f aca="false">IFERROR(__xludf.dummyfunction("""COMPUTED_VALUE"""),45243)</f>
        <v>45243</v>
      </c>
      <c r="G657" s="16" t="n">
        <f aca="false">IFERROR(__xludf.dummyfunction("""COMPUTED_VALUE"""),0.887758634257664)</f>
        <v>0.8877586343</v>
      </c>
      <c r="H657" s="13" t="str">
        <f aca="false">IFERROR(__xludf.dummyfunction("""COMPUTED_VALUE"""),"expired stock")</f>
        <v>expired stock</v>
      </c>
      <c r="I657" s="13" t="n">
        <f aca="false">IFERROR(__xludf.dummyfunction("""COMPUTED_VALUE"""),38)</f>
        <v>38</v>
      </c>
      <c r="J657" s="13" t="n">
        <f aca="false">IFERROR(__xludf.dummyfunction("""COMPUTED_VALUE"""),211.5)</f>
        <v>211.5</v>
      </c>
      <c r="K657" s="13" t="n">
        <f aca="false">IFERROR(__xludf.dummyfunction("""COMPUTED_VALUE"""),8037)</f>
        <v>8037</v>
      </c>
      <c r="L657" s="13" t="str">
        <f aca="false">IFERROR(__xludf.dummyfunction("""COMPUTED_VALUE"""),"[Code: 257CCDFF  { Expiry:30 nov,23 } TA; 38unit found Short expiry")</f>
        <v>[Code: 257CCDFF  { Expiry:30 nov,23 } TA; 38unit found Short expiry</v>
      </c>
      <c r="M657" s="13" t="str">
        <f aca="false">IFERROR(__xludf.dummyfunction("""COMPUTED_VALUE"""),"257CCDFF")</f>
        <v>257CCDFF</v>
      </c>
      <c r="N657" s="13"/>
      <c r="O657" s="13" t="str">
        <f aca="false">IFERROR(__xludf.dummyfunction("""COMPUTED_VALUE"""),"taufeeq.akhtar@tajir-app.com")</f>
        <v>taufeeq.akhtar@tajir-app.com</v>
      </c>
      <c r="P657" s="13" t="str">
        <f aca="false">IFERROR(__xludf.dummyfunction("""COMPUTED_VALUE"""),"Taufeeq Akhtar ")</f>
        <v>Taufeeq Akhtar </v>
      </c>
      <c r="Q657" s="13" t="str">
        <f aca="false">IF(L657="","",L657)</f>
        <v>[Code: 257CCDFF  { Expiry:30 nov,23 } TA; 38unit found Short expiry</v>
      </c>
    </row>
    <row r="658" customFormat="false" ht="15.75" hidden="false" customHeight="false" outlineLevel="0" collapsed="false">
      <c r="A658" s="13" t="str">
        <f aca="false">IFERROR(__xludf.dummyfunction("""COMPUTED_VALUE"""),"Metro DC Faisalabad")</f>
        <v>Metro DC Faisalabad</v>
      </c>
      <c r="B658" s="13" t="str">
        <f aca="false">IFERROR(__xludf.dummyfunction("""COMPUTED_VALUE"""),"8402bd3d-b067-4d0c-b197-4e5dba5a97d9")</f>
        <v>8402bd3d-b067-4d0c-b197-4e5dba5a97d9</v>
      </c>
      <c r="C658" s="13" t="str">
        <f aca="false">IFERROR(__xludf.dummyfunction("""COMPUTED_VALUE"""),"Bonus tristar yellow surf 225g Rs50")</f>
        <v>Bonus tristar yellow surf 225g Rs50</v>
      </c>
      <c r="D658" s="13" t="str">
        <f aca="false">IFERROR(__xludf.dummyfunction("""COMPUTED_VALUE"""),"Bonus Surf")</f>
        <v>Bonus Surf</v>
      </c>
      <c r="E658" s="13" t="str">
        <f aca="false">IFERROR(__xludf.dummyfunction("""COMPUTED_VALUE"""),"Surf, Bleach")</f>
        <v>Surf, Bleach</v>
      </c>
      <c r="F658" s="11" t="n">
        <f aca="false">IFERROR(__xludf.dummyfunction("""COMPUTED_VALUE"""),45244)</f>
        <v>45244</v>
      </c>
      <c r="G658" s="16" t="n">
        <f aca="false">IFERROR(__xludf.dummyfunction("""COMPUTED_VALUE"""),0.899121435184743)</f>
        <v>0.8991214352</v>
      </c>
      <c r="H658" s="13" t="str">
        <f aca="false">IFERROR(__xludf.dummyfunction("""COMPUTED_VALUE"""),"damaged stock")</f>
        <v>damaged stock</v>
      </c>
      <c r="I658" s="13" t="n">
        <f aca="false">IFERROR(__xludf.dummyfunction("""COMPUTED_VALUE"""),3)</f>
        <v>3</v>
      </c>
      <c r="J658" s="13" t="n">
        <f aca="false">IFERROR(__xludf.dummyfunction("""COMPUTED_VALUE"""),45.59)</f>
        <v>45.59</v>
      </c>
      <c r="K658" s="13" t="n">
        <f aca="false">IFERROR(__xludf.dummyfunction("""COMPUTED_VALUE"""),136.77)</f>
        <v>136.77</v>
      </c>
      <c r="L658" s="13" t="str">
        <f aca="false">IFERROR(__xludf.dummyfunction("""COMPUTED_VALUE"""),"[Code: 68ABCEJL] TA: 3unit Damage Found during Display (bag sy damage mily hain)")</f>
        <v>[Code: 68ABCEJL] TA: 3unit Damage Found during Display (bag sy damage mily hain)</v>
      </c>
      <c r="M658" s="13" t="str">
        <f aca="false">IFERROR(__xludf.dummyfunction("""COMPUTED_VALUE"""),"68ABCEJL")</f>
        <v>68ABCEJL</v>
      </c>
      <c r="N658" s="13"/>
      <c r="O658" s="13" t="str">
        <f aca="false">IFERROR(__xludf.dummyfunction("""COMPUTED_VALUE"""),"taufeeq.akhtar@tajir-app.com")</f>
        <v>taufeeq.akhtar@tajir-app.com</v>
      </c>
      <c r="P658" s="13" t="str">
        <f aca="false">IFERROR(__xludf.dummyfunction("""COMPUTED_VALUE"""),"Taufeeq Akhtar ")</f>
        <v>Taufeeq Akhtar </v>
      </c>
      <c r="Q658" s="13" t="str">
        <f aca="false">IF(L658="","",L658)</f>
        <v>[Code: 68ABCEJL] TA: 3unit Damage Found during Display (bag sy damage mily hain)</v>
      </c>
    </row>
    <row r="659" customFormat="false" ht="15.75" hidden="false" customHeight="false" outlineLevel="0" collapsed="false">
      <c r="A659" s="13" t="str">
        <f aca="false">IFERROR(__xludf.dummyfunction("""COMPUTED_VALUE"""),"Metro DC Faisalabad")</f>
        <v>Metro DC Faisalabad</v>
      </c>
      <c r="B659" s="13" t="str">
        <f aca="false">IFERROR(__xludf.dummyfunction("""COMPUTED_VALUE"""),"23294e84-86d3-4867-bf69-7035fbfaef59")</f>
        <v>23294e84-86d3-4867-bf69-7035fbfaef59</v>
      </c>
      <c r="C659" s="13" t="str">
        <f aca="false">IFERROR(__xludf.dummyfunction("""COMPUTED_VALUE"""),"Bisconni Nice Biscuit 16pcs Rs15")</f>
        <v>Bisconni Nice Biscuit 16pcs Rs15</v>
      </c>
      <c r="D659" s="13" t="str">
        <f aca="false">IFERROR(__xludf.dummyfunction("""COMPUTED_VALUE"""),"Bisconni")</f>
        <v>Bisconni</v>
      </c>
      <c r="E659" s="13" t="str">
        <f aca="false">IFERROR(__xludf.dummyfunction("""COMPUTED_VALUE"""),"Biscuits, Wafers")</f>
        <v>Biscuits, Wafers</v>
      </c>
      <c r="F659" s="11" t="n">
        <f aca="false">IFERROR(__xludf.dummyfunction("""COMPUTED_VALUE"""),45244)</f>
        <v>45244</v>
      </c>
      <c r="G659" s="16" t="n">
        <f aca="false">IFERROR(__xludf.dummyfunction("""COMPUTED_VALUE"""),0.674936064816044)</f>
        <v>0.6749360648</v>
      </c>
      <c r="H659" s="13" t="str">
        <f aca="false">IFERROR(__xludf.dummyfunction("""COMPUTED_VALUE"""),"expired stock")</f>
        <v>expired stock</v>
      </c>
      <c r="I659" s="13" t="n">
        <f aca="false">IFERROR(__xludf.dummyfunction("""COMPUTED_VALUE"""),9)</f>
        <v>9</v>
      </c>
      <c r="J659" s="13" t="n">
        <f aca="false">IFERROR(__xludf.dummyfunction("""COMPUTED_VALUE"""),211.5)</f>
        <v>211.5</v>
      </c>
      <c r="K659" s="13" t="n">
        <f aca="false">IFERROR(__xludf.dummyfunction("""COMPUTED_VALUE"""),1903.5)</f>
        <v>1903.5</v>
      </c>
      <c r="L659" s="13" t="str">
        <f aca="false">IFERROR(__xludf.dummyfunction("""COMPUTED_VALUE"""),"[Code: 55CEFJLM] [Expiry: 7 Dec, 2023] 9 units found short expiry")</f>
        <v>[Code: 55CEFJLM] [Expiry: 7 Dec, 2023] 9 units found short expiry</v>
      </c>
      <c r="M659" s="13" t="str">
        <f aca="false">IFERROR(__xludf.dummyfunction("""COMPUTED_VALUE"""),"55CEFJLM")</f>
        <v>55CEFJLM</v>
      </c>
      <c r="N659" s="13" t="str">
        <f aca="false">IFERROR(__xludf.dummyfunction("""COMPUTED_VALUE"""),"7 Dec, 2023")</f>
        <v>7 Dec, 2023</v>
      </c>
      <c r="O659" s="13" t="str">
        <f aca="false">IFERROR(__xludf.dummyfunction("""COMPUTED_VALUE"""),"ali.raza@tajir-app.com")</f>
        <v>ali.raza@tajir-app.com</v>
      </c>
      <c r="P659" s="13" t="str">
        <f aca="false">IFERROR(__xludf.dummyfunction("""COMPUTED_VALUE"""),"Ali Raza ")</f>
        <v>Ali Raza </v>
      </c>
      <c r="Q659" s="13" t="str">
        <f aca="false">IF(L659="","",L659)</f>
        <v>[Code: 55CEFJLM] [Expiry: 7 Dec, 2023] 9 units found short expiry</v>
      </c>
    </row>
    <row r="660" customFormat="false" ht="15.75" hidden="false" customHeight="false" outlineLevel="0" collapsed="false">
      <c r="A660" s="13" t="str">
        <f aca="false">IFERROR(__xludf.dummyfunction("""COMPUTED_VALUE"""),"Metro DC Faisalabad")</f>
        <v>Metro DC Faisalabad</v>
      </c>
      <c r="B660" s="13" t="str">
        <f aca="false">IFERROR(__xludf.dummyfunction("""COMPUTED_VALUE"""),"23294e84-86d3-4867-bf69-7035fbfaef59")</f>
        <v>23294e84-86d3-4867-bf69-7035fbfaef59</v>
      </c>
      <c r="C660" s="13" t="str">
        <f aca="false">IFERROR(__xludf.dummyfunction("""COMPUTED_VALUE"""),"Bisconni Nice Biscuit 16pcs Rs15")</f>
        <v>Bisconni Nice Biscuit 16pcs Rs15</v>
      </c>
      <c r="D660" s="13" t="str">
        <f aca="false">IFERROR(__xludf.dummyfunction("""COMPUTED_VALUE"""),"Bisconni")</f>
        <v>Bisconni</v>
      </c>
      <c r="E660" s="13" t="str">
        <f aca="false">IFERROR(__xludf.dummyfunction("""COMPUTED_VALUE"""),"Biscuits, Wafers")</f>
        <v>Biscuits, Wafers</v>
      </c>
      <c r="F660" s="11" t="n">
        <f aca="false">IFERROR(__xludf.dummyfunction("""COMPUTED_VALUE"""),45244)</f>
        <v>45244</v>
      </c>
      <c r="G660" s="16" t="n">
        <f aca="false">IFERROR(__xludf.dummyfunction("""COMPUTED_VALUE"""),0.674615798609343)</f>
        <v>0.6746157986</v>
      </c>
      <c r="H660" s="13" t="str">
        <f aca="false">IFERROR(__xludf.dummyfunction("""COMPUTED_VALUE"""),"expired stock")</f>
        <v>expired stock</v>
      </c>
      <c r="I660" s="13" t="n">
        <f aca="false">IFERROR(__xludf.dummyfunction("""COMPUTED_VALUE"""),5)</f>
        <v>5</v>
      </c>
      <c r="J660" s="13" t="n">
        <f aca="false">IFERROR(__xludf.dummyfunction("""COMPUTED_VALUE"""),211.5)</f>
        <v>211.5</v>
      </c>
      <c r="K660" s="13" t="n">
        <f aca="false">IFERROR(__xludf.dummyfunction("""COMPUTED_VALUE"""),1057.5)</f>
        <v>1057.5</v>
      </c>
      <c r="L660" s="13" t="str">
        <f aca="false">IFERROR(__xludf.dummyfunction("""COMPUTED_VALUE"""),"[Code: 24457CGL] [Expiry: 6 Dec, 2023] 5 units found short expiry")</f>
        <v>[Code: 24457CGL] [Expiry: 6 Dec, 2023] 5 units found short expiry</v>
      </c>
      <c r="M660" s="13" t="str">
        <f aca="false">IFERROR(__xludf.dummyfunction("""COMPUTED_VALUE"""),"24457CGL")</f>
        <v>24457CGL</v>
      </c>
      <c r="N660" s="13" t="str">
        <f aca="false">IFERROR(__xludf.dummyfunction("""COMPUTED_VALUE"""),"6 Dec, 2023")</f>
        <v>6 Dec, 2023</v>
      </c>
      <c r="O660" s="13" t="str">
        <f aca="false">IFERROR(__xludf.dummyfunction("""COMPUTED_VALUE"""),"ali.raza@tajir-app.com")</f>
        <v>ali.raza@tajir-app.com</v>
      </c>
      <c r="P660" s="13" t="str">
        <f aca="false">IFERROR(__xludf.dummyfunction("""COMPUTED_VALUE"""),"Ali Raza ")</f>
        <v>Ali Raza </v>
      </c>
      <c r="Q660" s="13" t="str">
        <f aca="false">IF(L660="","",L660)</f>
        <v>[Code: 24457CGL] [Expiry: 6 Dec, 2023] 5 units found short expiry</v>
      </c>
    </row>
    <row r="661" customFormat="false" ht="15.75" hidden="false" customHeight="false" outlineLevel="0" collapsed="false">
      <c r="A661" s="13" t="str">
        <f aca="false">IFERROR(__xludf.dummyfunction("""COMPUTED_VALUE"""),"Metro DC Faisalabad")</f>
        <v>Metro DC Faisalabad</v>
      </c>
      <c r="B661" s="13" t="str">
        <f aca="false">IFERROR(__xludf.dummyfunction("""COMPUTED_VALUE"""),"23294e84-86d3-4867-bf69-7035fbfaef59")</f>
        <v>23294e84-86d3-4867-bf69-7035fbfaef59</v>
      </c>
      <c r="C661" s="13" t="str">
        <f aca="false">IFERROR(__xludf.dummyfunction("""COMPUTED_VALUE"""),"Bisconni Nice Biscuit 16pcs Rs15")</f>
        <v>Bisconni Nice Biscuit 16pcs Rs15</v>
      </c>
      <c r="D661" s="13" t="str">
        <f aca="false">IFERROR(__xludf.dummyfunction("""COMPUTED_VALUE"""),"Bisconni")</f>
        <v>Bisconni</v>
      </c>
      <c r="E661" s="13" t="str">
        <f aca="false">IFERROR(__xludf.dummyfunction("""COMPUTED_VALUE"""),"Biscuits, Wafers")</f>
        <v>Biscuits, Wafers</v>
      </c>
      <c r="F661" s="11" t="n">
        <f aca="false">IFERROR(__xludf.dummyfunction("""COMPUTED_VALUE"""),45244)</f>
        <v>45244</v>
      </c>
      <c r="G661" s="16" t="n">
        <f aca="false">IFERROR(__xludf.dummyfunction("""COMPUTED_VALUE"""),0.674194861110168)</f>
        <v>0.6741948611</v>
      </c>
      <c r="H661" s="13" t="str">
        <f aca="false">IFERROR(__xludf.dummyfunction("""COMPUTED_VALUE"""),"expired stock")</f>
        <v>expired stock</v>
      </c>
      <c r="I661" s="13" t="n">
        <f aca="false">IFERROR(__xludf.dummyfunction("""COMPUTED_VALUE"""),2)</f>
        <v>2</v>
      </c>
      <c r="J661" s="13" t="n">
        <f aca="false">IFERROR(__xludf.dummyfunction("""COMPUTED_VALUE"""),211.5)</f>
        <v>211.5</v>
      </c>
      <c r="K661" s="13" t="n">
        <f aca="false">IFERROR(__xludf.dummyfunction("""COMPUTED_VALUE"""),423)</f>
        <v>423</v>
      </c>
      <c r="L661" s="13" t="str">
        <f aca="false">IFERROR(__xludf.dummyfunction("""COMPUTED_VALUE"""),"[Code: 2345667D] [Expiry: 5 Dec, 2023] 2 units found short expiry")</f>
        <v>[Code: 2345667D] [Expiry: 5 Dec, 2023] 2 units found short expiry</v>
      </c>
      <c r="M661" s="13" t="str">
        <f aca="false">IFERROR(__xludf.dummyfunction("""COMPUTED_VALUE"""),"2345667D")</f>
        <v>2345667D</v>
      </c>
      <c r="N661" s="13" t="str">
        <f aca="false">IFERROR(__xludf.dummyfunction("""COMPUTED_VALUE"""),"5 Dec, 2023")</f>
        <v>5 Dec, 2023</v>
      </c>
      <c r="O661" s="13" t="str">
        <f aca="false">IFERROR(__xludf.dummyfunction("""COMPUTED_VALUE"""),"ali.raza@tajir-app.com")</f>
        <v>ali.raza@tajir-app.com</v>
      </c>
      <c r="P661" s="13" t="str">
        <f aca="false">IFERROR(__xludf.dummyfunction("""COMPUTED_VALUE"""),"Ali Raza ")</f>
        <v>Ali Raza </v>
      </c>
      <c r="Q661" s="13" t="str">
        <f aca="false">IF(L661="","",L661)</f>
        <v>[Code: 2345667D] [Expiry: 5 Dec, 2023] 2 units found short expiry</v>
      </c>
    </row>
    <row r="662" customFormat="false" ht="15.75" hidden="false" customHeight="false" outlineLevel="0" collapsed="false">
      <c r="A662" s="13" t="str">
        <f aca="false">IFERROR(__xludf.dummyfunction("""COMPUTED_VALUE"""),"Metro DC Faisalabad")</f>
        <v>Metro DC Faisalabad</v>
      </c>
      <c r="B662" s="13" t="str">
        <f aca="false">IFERROR(__xludf.dummyfunction("""COMPUTED_VALUE"""),"89d464f6-022a-41b2-8847-e5d6f1123566")</f>
        <v>89d464f6-022a-41b2-8847-e5d6f1123566</v>
      </c>
      <c r="C662" s="13" t="str">
        <f aca="false">IFERROR(__xludf.dummyfunction("""COMPUTED_VALUE"""),"Guard Long Grain Rice 1kg Rs225")</f>
        <v>Guard Long Grain Rice 1kg Rs225</v>
      </c>
      <c r="D662" s="13" t="str">
        <f aca="false">IFERROR(__xludf.dummyfunction("""COMPUTED_VALUE"""),"Guard Agri")</f>
        <v>Guard Agri</v>
      </c>
      <c r="E662" s="13" t="str">
        <f aca="false">IFERROR(__xludf.dummyfunction("""COMPUTED_VALUE"""),"Rice")</f>
        <v>Rice</v>
      </c>
      <c r="F662" s="11" t="n">
        <f aca="false">IFERROR(__xludf.dummyfunction("""COMPUTED_VALUE"""),45245)</f>
        <v>45245</v>
      </c>
      <c r="G662" s="16" t="n">
        <f aca="false">IFERROR(__xludf.dummyfunction("""COMPUTED_VALUE"""),0.912500046294841)</f>
        <v>0.9125000463</v>
      </c>
      <c r="H662" s="13" t="str">
        <f aca="false">IFERROR(__xludf.dummyfunction("""COMPUTED_VALUE"""),"damaged stock")</f>
        <v>damaged stock</v>
      </c>
      <c r="I662" s="13" t="n">
        <f aca="false">IFERROR(__xludf.dummyfunction("""COMPUTED_VALUE"""),173)</f>
        <v>173</v>
      </c>
      <c r="J662" s="13" t="n">
        <f aca="false">IFERROR(__xludf.dummyfunction("""COMPUTED_VALUE"""),191.67)</f>
        <v>191.67</v>
      </c>
      <c r="K662" s="13" t="n">
        <f aca="false">IFERROR(__xludf.dummyfunction("""COMPUTED_VALUE"""),33158.91)</f>
        <v>33158.91</v>
      </c>
      <c r="L662" s="13" t="str">
        <f aca="false">IFERROR(__xludf.dummyfunction("""COMPUTED_VALUE"""),"[Code: 66666ACG] TA: Quality bohot ziada kharab hay..(susri lagi hay) ")</f>
        <v>[Code: 66666ACG] TA: Quality bohot ziada kharab hay..(susri lagi hay) </v>
      </c>
      <c r="M662" s="13" t="str">
        <f aca="false">IFERROR(__xludf.dummyfunction("""COMPUTED_VALUE"""),"66666ACG")</f>
        <v>66666ACG</v>
      </c>
      <c r="N662" s="13"/>
      <c r="O662" s="13" t="str">
        <f aca="false">IFERROR(__xludf.dummyfunction("""COMPUTED_VALUE"""),"taufeeq.akhtar@tajir-app.com")</f>
        <v>taufeeq.akhtar@tajir-app.com</v>
      </c>
      <c r="P662" s="13" t="str">
        <f aca="false">IFERROR(__xludf.dummyfunction("""COMPUTED_VALUE"""),"Taufeeq Akhtar ")</f>
        <v>Taufeeq Akhtar </v>
      </c>
      <c r="Q662" s="13" t="str">
        <f aca="false">IF(L662="","",L662)</f>
        <v>[Code: 66666ACG] TA: Quality bohot ziada kharab hay..(susri lagi hay) </v>
      </c>
    </row>
    <row r="663" customFormat="false" ht="15.75" hidden="false" customHeight="false" outlineLevel="0" collapsed="false">
      <c r="A663" s="13" t="str">
        <f aca="false">IFERROR(__xludf.dummyfunction("""COMPUTED_VALUE"""),"Metro DC Faisalabad")</f>
        <v>Metro DC Faisalabad</v>
      </c>
      <c r="B663" s="13" t="str">
        <f aca="false">IFERROR(__xludf.dummyfunction("""COMPUTED_VALUE"""),"c72c27ef-ae66-44e4-a637-35674a58a114")</f>
        <v>c72c27ef-ae66-44e4-a637-35674a58a114</v>
      </c>
      <c r="C663" s="13" t="str">
        <f aca="false">IFERROR(__xludf.dummyfunction("""COMPUTED_VALUE"""),"Super Crisp Mix Nimko Spicy Family Pack Rs50 30g")</f>
        <v>Super Crisp Mix Nimko Spicy Family Pack Rs50 30g</v>
      </c>
      <c r="D663" s="13" t="str">
        <f aca="false">IFERROR(__xludf.dummyfunction("""COMPUTED_VALUE"""),"Super Crisp")</f>
        <v>Super Crisp</v>
      </c>
      <c r="E663" s="13" t="str">
        <f aca="false">IFERROR(__xludf.dummyfunction("""COMPUTED_VALUE"""),"Snacks")</f>
        <v>Snacks</v>
      </c>
      <c r="F663" s="11" t="n">
        <f aca="false">IFERROR(__xludf.dummyfunction("""COMPUTED_VALUE"""),45245)</f>
        <v>45245</v>
      </c>
      <c r="G663" s="16" t="n">
        <f aca="false">IFERROR(__xludf.dummyfunction("""COMPUTED_VALUE"""),0.534916296296334)</f>
        <v>0.5349162963</v>
      </c>
      <c r="H663" s="13" t="str">
        <f aca="false">IFERROR(__xludf.dummyfunction("""COMPUTED_VALUE"""),"damaged stock")</f>
        <v>damaged stock</v>
      </c>
      <c r="I663" s="13" t="n">
        <f aca="false">IFERROR(__xludf.dummyfunction("""COMPUTED_VALUE"""),24)</f>
        <v>24</v>
      </c>
      <c r="J663" s="13" t="n">
        <f aca="false">IFERROR(__xludf.dummyfunction("""COMPUTED_VALUE"""),40.42)</f>
        <v>40.42</v>
      </c>
      <c r="K663" s="13" t="n">
        <f aca="false">IFERROR(__xludf.dummyfunction("""COMPUTED_VALUE"""),970.08)</f>
        <v>970.08</v>
      </c>
      <c r="L663" s="13" t="str">
        <f aca="false">IFERROR(__xludf.dummyfunction("""COMPUTED_VALUE"""),"[Code: 3578ADDD] 1 ctn having 24 units but when open found 19 units")</f>
        <v>[Code: 3578ADDD] 1 ctn having 24 units but when open found 19 units</v>
      </c>
      <c r="M663" s="13" t="str">
        <f aca="false">IFERROR(__xludf.dummyfunction("""COMPUTED_VALUE"""),"3578ADDD")</f>
        <v>3578ADDD</v>
      </c>
      <c r="N663" s="13"/>
      <c r="O663" s="13" t="str">
        <f aca="false">IFERROR(__xludf.dummyfunction("""COMPUTED_VALUE"""),"ali.raza@tajir-app.com")</f>
        <v>ali.raza@tajir-app.com</v>
      </c>
      <c r="P663" s="13" t="str">
        <f aca="false">IFERROR(__xludf.dummyfunction("""COMPUTED_VALUE"""),"Ali Raza ")</f>
        <v>Ali Raza </v>
      </c>
      <c r="Q663" s="13" t="str">
        <f aca="false">IF(L663="","",L663)</f>
        <v>[Code: 3578ADDD] 1 ctn having 24 units but when open found 19 units</v>
      </c>
    </row>
    <row r="664" customFormat="false" ht="15.75" hidden="false" customHeight="false" outlineLevel="0" collapsed="false">
      <c r="A664" s="13" t="str">
        <f aca="false">IFERROR(__xludf.dummyfunction("""COMPUTED_VALUE"""),"Metro DC Faisalabad")</f>
        <v>Metro DC Faisalabad</v>
      </c>
      <c r="B664" s="13" t="str">
        <f aca="false">IFERROR(__xludf.dummyfunction("""COMPUTED_VALUE"""),"ae3c4d47-c25a-4d8a-91fe-7e939d3514ad")</f>
        <v>ae3c4d47-c25a-4d8a-91fe-7e939d3514ad</v>
      </c>
      <c r="C664" s="13" t="str">
        <f aca="false">IFERROR(__xludf.dummyfunction("""COMPUTED_VALUE"""),"Sunsilk Stunning Black Shine Shampoo x16 bundle 4.5ml")</f>
        <v>Sunsilk Stunning Black Shine Shampoo x16 bundle 4.5ml</v>
      </c>
      <c r="D664" s="13" t="str">
        <f aca="false">IFERROR(__xludf.dummyfunction("""COMPUTED_VALUE"""),"Sunsilk")</f>
        <v>Sunsilk</v>
      </c>
      <c r="E664" s="13" t="str">
        <f aca="false">IFERROR(__xludf.dummyfunction("""COMPUTED_VALUE"""),"Shampoo")</f>
        <v>Shampoo</v>
      </c>
      <c r="F664" s="11" t="n">
        <f aca="false">IFERROR(__xludf.dummyfunction("""COMPUTED_VALUE"""),45247)</f>
        <v>45247</v>
      </c>
      <c r="G664" s="16" t="n">
        <f aca="false">IFERROR(__xludf.dummyfunction("""COMPUTED_VALUE"""),0.79367392361109)</f>
        <v>0.7936739236</v>
      </c>
      <c r="H664" s="13" t="str">
        <f aca="false">IFERROR(__xludf.dummyfunction("""COMPUTED_VALUE"""),"damaged stock")</f>
        <v>damaged stock</v>
      </c>
      <c r="I664" s="13" t="n">
        <f aca="false">IFERROR(__xludf.dummyfunction("""COMPUTED_VALUE"""),1)</f>
        <v>1</v>
      </c>
      <c r="J664" s="13" t="n">
        <f aca="false">IFERROR(__xludf.dummyfunction("""COMPUTED_VALUE"""),72.92)</f>
        <v>72.92</v>
      </c>
      <c r="K664" s="13" t="n">
        <f aca="false">IFERROR(__xludf.dummyfunction("""COMPUTED_VALUE"""),72.92)</f>
        <v>72.92</v>
      </c>
      <c r="L664" s="13" t="str">
        <f aca="false">IFERROR(__xludf.dummyfunction("""COMPUTED_VALUE"""),"[Code: 3699DDGG]   TA: 1unit damage found during sorting ")</f>
        <v>[Code: 3699DDGG]   TA: 1unit damage found during sorting </v>
      </c>
      <c r="M664" s="13" t="str">
        <f aca="false">IFERROR(__xludf.dummyfunction("""COMPUTED_VALUE"""),"3699DDGG")</f>
        <v>3699DDGG</v>
      </c>
      <c r="N664" s="13"/>
      <c r="O664" s="13" t="str">
        <f aca="false">IFERROR(__xludf.dummyfunction("""COMPUTED_VALUE"""),"taufeeq.akhtar@tajir-app.com")</f>
        <v>taufeeq.akhtar@tajir-app.com</v>
      </c>
      <c r="P664" s="13" t="str">
        <f aca="false">IFERROR(__xludf.dummyfunction("""COMPUTED_VALUE"""),"Taufeeq Akhtar ")</f>
        <v>Taufeeq Akhtar </v>
      </c>
      <c r="Q664" s="13" t="str">
        <f aca="false">IF(L664="","",L664)</f>
        <v>[Code: 3699DDGG]   TA: 1unit damage found during sorting </v>
      </c>
    </row>
    <row r="665" customFormat="false" ht="15.75" hidden="false" customHeight="false" outlineLevel="0" collapsed="false">
      <c r="A665" s="13" t="str">
        <f aca="false">IFERROR(__xludf.dummyfunction("""COMPUTED_VALUE"""),"Metro DC Faisalabad")</f>
        <v>Metro DC Faisalabad</v>
      </c>
      <c r="B665" s="13" t="str">
        <f aca="false">IFERROR(__xludf.dummyfunction("""COMPUTED_VALUE"""),"2078dcd4-3c88-45e1-bc7b-363dde84c6e8")</f>
        <v>2078dcd4-3c88-45e1-bc7b-363dde84c6e8</v>
      </c>
      <c r="C665" s="13" t="str">
        <f aca="false">IFERROR(__xludf.dummyfunction("""COMPUTED_VALUE"""),"Special Wooden Phool Jharoo")</f>
        <v>Special Wooden Phool Jharoo</v>
      </c>
      <c r="D665" s="13" t="str">
        <f aca="false">IFERROR(__xludf.dummyfunction("""COMPUTED_VALUE"""),"Jharoo")</f>
        <v>Jharoo</v>
      </c>
      <c r="E665" s="13" t="str">
        <f aca="false">IFERROR(__xludf.dummyfunction("""COMPUTED_VALUE"""),"Home Care")</f>
        <v>Home Care</v>
      </c>
      <c r="F665" s="11" t="n">
        <f aca="false">IFERROR(__xludf.dummyfunction("""COMPUTED_VALUE"""),45247)</f>
        <v>45247</v>
      </c>
      <c r="G665" s="16" t="n">
        <f aca="false">IFERROR(__xludf.dummyfunction("""COMPUTED_VALUE"""),0.792575381945689)</f>
        <v>0.7925753819</v>
      </c>
      <c r="H665" s="13" t="str">
        <f aca="false">IFERROR(__xludf.dummyfunction("""COMPUTED_VALUE"""),"damaged stock")</f>
        <v>damaged stock</v>
      </c>
      <c r="I665" s="13" t="n">
        <f aca="false">IFERROR(__xludf.dummyfunction("""COMPUTED_VALUE"""),1)</f>
        <v>1</v>
      </c>
      <c r="J665" s="13" t="n">
        <f aca="false">IFERROR(__xludf.dummyfunction("""COMPUTED_VALUE"""),135)</f>
        <v>135</v>
      </c>
      <c r="K665" s="13" t="n">
        <f aca="false">IFERROR(__xludf.dummyfunction("""COMPUTED_VALUE"""),135)</f>
        <v>135</v>
      </c>
      <c r="L665" s="13" t="str">
        <f aca="false">IFERROR(__xludf.dummyfunction("""COMPUTED_VALUE"""),"[Code: 456ABGGJ]  TA: 1unit damage found during sorting ")</f>
        <v>[Code: 456ABGGJ]  TA: 1unit damage found during sorting </v>
      </c>
      <c r="M665" s="13" t="str">
        <f aca="false">IFERROR(__xludf.dummyfunction("""COMPUTED_VALUE"""),"456ABGGJ")</f>
        <v>456ABGGJ</v>
      </c>
      <c r="N665" s="13"/>
      <c r="O665" s="13" t="str">
        <f aca="false">IFERROR(__xludf.dummyfunction("""COMPUTED_VALUE"""),"taufeeq.akhtar@tajir-app.com")</f>
        <v>taufeeq.akhtar@tajir-app.com</v>
      </c>
      <c r="P665" s="13" t="str">
        <f aca="false">IFERROR(__xludf.dummyfunction("""COMPUTED_VALUE"""),"Taufeeq Akhtar ")</f>
        <v>Taufeeq Akhtar </v>
      </c>
      <c r="Q665" s="13" t="str">
        <f aca="false">IF(L665="","",L665)</f>
        <v>[Code: 456ABGGJ]  TA: 1unit damage found during sorting </v>
      </c>
    </row>
    <row r="666" customFormat="false" ht="15.75" hidden="false" customHeight="false" outlineLevel="0" collapsed="false">
      <c r="A666" s="13" t="str">
        <f aca="false">IFERROR(__xludf.dummyfunction("""COMPUTED_VALUE"""),"Metro DC Faisalabad")</f>
        <v>Metro DC Faisalabad</v>
      </c>
      <c r="B666" s="13" t="str">
        <f aca="false">IFERROR(__xludf.dummyfunction("""COMPUTED_VALUE"""),"8caa7e2b-bd86-4e77-b9b4-ee4bf18f6ba8")</f>
        <v>8caa7e2b-bd86-4e77-b9b4-ee4bf18f6ba8</v>
      </c>
      <c r="C666" s="13" t="str">
        <f aca="false">IFERROR(__xludf.dummyfunction("""COMPUTED_VALUE"""),"Jan Peach 1L")</f>
        <v>Jan Peach 1L</v>
      </c>
      <c r="D666" s="13" t="str">
        <f aca="false">IFERROR(__xludf.dummyfunction("""COMPUTED_VALUE"""),"Jan")</f>
        <v>Jan</v>
      </c>
      <c r="E666" s="13" t="str">
        <f aca="false">IFERROR(__xludf.dummyfunction("""COMPUTED_VALUE"""),"Juice, Syrup, Squash")</f>
        <v>Juice, Syrup, Squash</v>
      </c>
      <c r="F666" s="11" t="n">
        <f aca="false">IFERROR(__xludf.dummyfunction("""COMPUTED_VALUE"""),45247)</f>
        <v>45247</v>
      </c>
      <c r="G666" s="16" t="n">
        <f aca="false">IFERROR(__xludf.dummyfunction("""COMPUTED_VALUE"""),0.734780138888997)</f>
        <v>0.7347801389</v>
      </c>
      <c r="H666" s="13" t="str">
        <f aca="false">IFERROR(__xludf.dummyfunction("""COMPUTED_VALUE"""),"damaged stock")</f>
        <v>damaged stock</v>
      </c>
      <c r="I666" s="13" t="n">
        <f aca="false">IFERROR(__xludf.dummyfunction("""COMPUTED_VALUE"""),1)</f>
        <v>1</v>
      </c>
      <c r="J666" s="13" t="n">
        <f aca="false">IFERROR(__xludf.dummyfunction("""COMPUTED_VALUE"""),130.83)</f>
        <v>130.83</v>
      </c>
      <c r="K666" s="13" t="n">
        <f aca="false">IFERROR(__xludf.dummyfunction("""COMPUTED_VALUE"""),130.83)</f>
        <v>130.83</v>
      </c>
      <c r="L666" s="13" t="str">
        <f aca="false">IFERROR(__xludf.dummyfunction("""COMPUTED_VALUE"""),"[Code: 2378BCCG] TA: 1unit damage found during sorting ")</f>
        <v>[Code: 2378BCCG] TA: 1unit damage found during sorting </v>
      </c>
      <c r="M666" s="13" t="str">
        <f aca="false">IFERROR(__xludf.dummyfunction("""COMPUTED_VALUE"""),"2378BCCG")</f>
        <v>2378BCCG</v>
      </c>
      <c r="N666" s="13"/>
      <c r="O666" s="13" t="str">
        <f aca="false">IFERROR(__xludf.dummyfunction("""COMPUTED_VALUE"""),"taufeeq.akhtar@tajir-app.com")</f>
        <v>taufeeq.akhtar@tajir-app.com</v>
      </c>
      <c r="P666" s="13" t="str">
        <f aca="false">IFERROR(__xludf.dummyfunction("""COMPUTED_VALUE"""),"Taufeeq Akhtar ")</f>
        <v>Taufeeq Akhtar </v>
      </c>
      <c r="Q666" s="13" t="str">
        <f aca="false">IF(L666="","",L666)</f>
        <v>[Code: 2378BCCG] TA: 1unit damage found during sorting </v>
      </c>
    </row>
    <row r="667" customFormat="false" ht="15.75" hidden="false" customHeight="false" outlineLevel="0" collapsed="false">
      <c r="A667" s="13" t="str">
        <f aca="false">IFERROR(__xludf.dummyfunction("""COMPUTED_VALUE"""),"Metro DC Faisalabad")</f>
        <v>Metro DC Faisalabad</v>
      </c>
      <c r="B667" s="13" t="str">
        <f aca="false">IFERROR(__xludf.dummyfunction("""COMPUTED_VALUE"""),"f72d2fbe-547e-4e3d-a70a-9912b5922254")</f>
        <v>f72d2fbe-547e-4e3d-a70a-9912b5922254</v>
      </c>
      <c r="C667" s="13" t="str">
        <f aca="false">IFERROR(__xludf.dummyfunction("""COMPUTED_VALUE"""),"Sunlight Pink Clean and Jasmine Fresh 700g Rs199")</f>
        <v>Sunlight Pink Clean and Jasmine Fresh 700g Rs199</v>
      </c>
      <c r="D667" s="13" t="str">
        <f aca="false">IFERROR(__xludf.dummyfunction("""COMPUTED_VALUE"""),"Sunlight")</f>
        <v>Sunlight</v>
      </c>
      <c r="E667" s="13" t="str">
        <f aca="false">IFERROR(__xludf.dummyfunction("""COMPUTED_VALUE"""),"Surf, Bleach")</f>
        <v>Surf, Bleach</v>
      </c>
      <c r="F667" s="11" t="n">
        <f aca="false">IFERROR(__xludf.dummyfunction("""COMPUTED_VALUE"""),45248)</f>
        <v>45248</v>
      </c>
      <c r="G667" s="16" t="n">
        <f aca="false">IFERROR(__xludf.dummyfunction("""COMPUTED_VALUE"""),0.955661226851383)</f>
        <v>0.9556612269</v>
      </c>
      <c r="H667" s="13" t="str">
        <f aca="false">IFERROR(__xludf.dummyfunction("""COMPUTED_VALUE"""),"damaged stock")</f>
        <v>damaged stock</v>
      </c>
      <c r="I667" s="13" t="n">
        <f aca="false">IFERROR(__xludf.dummyfunction("""COMPUTED_VALUE"""),1)</f>
        <v>1</v>
      </c>
      <c r="J667" s="13" t="n">
        <f aca="false">IFERROR(__xludf.dummyfunction("""COMPUTED_VALUE"""),180.2)</f>
        <v>180.2</v>
      </c>
      <c r="K667" s="13" t="n">
        <f aca="false">IFERROR(__xludf.dummyfunction("""COMPUTED_VALUE"""),180.2)</f>
        <v>180.2</v>
      </c>
      <c r="L667" s="13" t="str">
        <f aca="false">IFERROR(__xludf.dummyfunction("""COMPUTED_VALUE"""),"[Code: 278CDEJN] TA: 1unit damage found during display.")</f>
        <v>[Code: 278CDEJN] TA: 1unit damage found during display.</v>
      </c>
      <c r="M667" s="13" t="str">
        <f aca="false">IFERROR(__xludf.dummyfunction("""COMPUTED_VALUE"""),"278CDEJN")</f>
        <v>278CDEJN</v>
      </c>
      <c r="N667" s="13"/>
      <c r="O667" s="13" t="str">
        <f aca="false">IFERROR(__xludf.dummyfunction("""COMPUTED_VALUE"""),"taufeeq.akhtar@tajir-app.com")</f>
        <v>taufeeq.akhtar@tajir-app.com</v>
      </c>
      <c r="P667" s="13" t="str">
        <f aca="false">IFERROR(__xludf.dummyfunction("""COMPUTED_VALUE"""),"Taufeeq Akhtar ")</f>
        <v>Taufeeq Akhtar </v>
      </c>
      <c r="Q667" s="13" t="str">
        <f aca="false">IF(L667="","",L667)</f>
        <v>[Code: 278CDEJN] TA: 1unit damage found during display.</v>
      </c>
    </row>
    <row r="668" customFormat="false" ht="15.75" hidden="false" customHeight="false" outlineLevel="0" collapsed="false">
      <c r="A668" s="13" t="str">
        <f aca="false">IFERROR(__xludf.dummyfunction("""COMPUTED_VALUE"""),"Metro DC Faisalabad")</f>
        <v>Metro DC Faisalabad</v>
      </c>
      <c r="B668" s="13" t="str">
        <f aca="false">IFERROR(__xludf.dummyfunction("""COMPUTED_VALUE"""),"65650175-df92-4ef5-ae18-f525df57d160")</f>
        <v>65650175-df92-4ef5-ae18-f525df57d160</v>
      </c>
      <c r="C668" s="13" t="str">
        <f aca="false">IFERROR(__xludf.dummyfunction("""COMPUTED_VALUE"""),"Coca Cola plastic 500ml (Half Liter)")</f>
        <v>Coca Cola plastic 500ml (Half Liter)</v>
      </c>
      <c r="D668" s="13" t="str">
        <f aca="false">IFERROR(__xludf.dummyfunction("""COMPUTED_VALUE"""),"Coca Cola")</f>
        <v>Coca Cola</v>
      </c>
      <c r="E668" s="13" t="str">
        <f aca="false">IFERROR(__xludf.dummyfunction("""COMPUTED_VALUE"""),"Beverages")</f>
        <v>Beverages</v>
      </c>
      <c r="F668" s="11" t="n">
        <f aca="false">IFERROR(__xludf.dummyfunction("""COMPUTED_VALUE"""),45248)</f>
        <v>45248</v>
      </c>
      <c r="G668" s="16" t="n">
        <f aca="false">IFERROR(__xludf.dummyfunction("""COMPUTED_VALUE"""),0.902701678239587)</f>
        <v>0.9027016782</v>
      </c>
      <c r="H668" s="13" t="str">
        <f aca="false">IFERROR(__xludf.dummyfunction("""COMPUTED_VALUE"""),"damaged stock")</f>
        <v>damaged stock</v>
      </c>
      <c r="I668" s="13" t="n">
        <f aca="false">IFERROR(__xludf.dummyfunction("""COMPUTED_VALUE"""),1)</f>
        <v>1</v>
      </c>
      <c r="J668" s="13" t="n">
        <f aca="false">IFERROR(__xludf.dummyfunction("""COMPUTED_VALUE"""),905.36)</f>
        <v>905.36</v>
      </c>
      <c r="K668" s="13" t="n">
        <f aca="false">IFERROR(__xludf.dummyfunction("""COMPUTED_VALUE"""),905.36)</f>
        <v>905.36</v>
      </c>
      <c r="L668" s="13" t="str">
        <f aca="false">IFERROR(__xludf.dummyfunction("""COMPUTED_VALUE"""),"[Code: 235678GH] TA: Found damaged during sorting.")</f>
        <v>[Code: 235678GH] TA: Found damaged during sorting.</v>
      </c>
      <c r="M668" s="13" t="str">
        <f aca="false">IFERROR(__xludf.dummyfunction("""COMPUTED_VALUE"""),"235678GH")</f>
        <v>235678GH</v>
      </c>
      <c r="N668" s="13"/>
      <c r="O668" s="13" t="str">
        <f aca="false">IFERROR(__xludf.dummyfunction("""COMPUTED_VALUE"""),"taufeeq.akhtar@tajir-app.com")</f>
        <v>taufeeq.akhtar@tajir-app.com</v>
      </c>
      <c r="P668" s="13" t="str">
        <f aca="false">IFERROR(__xludf.dummyfunction("""COMPUTED_VALUE"""),"Taufeeq Akhtar ")</f>
        <v>Taufeeq Akhtar </v>
      </c>
      <c r="Q668" s="13" t="str">
        <f aca="false">IF(L668="","",L668)</f>
        <v>[Code: 235678GH] TA: Found damaged during sorting.</v>
      </c>
    </row>
    <row r="669" customFormat="false" ht="15.75" hidden="false" customHeight="false" outlineLevel="0" collapsed="false">
      <c r="A669" s="13" t="str">
        <f aca="false">IFERROR(__xludf.dummyfunction("""COMPUTED_VALUE"""),"Metro DC Faisalabad")</f>
        <v>Metro DC Faisalabad</v>
      </c>
      <c r="B669" s="13" t="str">
        <f aca="false">IFERROR(__xludf.dummyfunction("""COMPUTED_VALUE"""),"caa0e387-9f68-407e-84d3-2cbf5010bda9")</f>
        <v>caa0e387-9f68-407e-84d3-2cbf5010bda9</v>
      </c>
      <c r="C669" s="13" t="str">
        <f aca="false">IFERROR(__xludf.dummyfunction("""COMPUTED_VALUE"""),"Sunsilk Hairfall Shampoo x16 bundle 7ml Rs10")</f>
        <v>Sunsilk Hairfall Shampoo x16 bundle 7ml Rs10</v>
      </c>
      <c r="D669" s="13" t="str">
        <f aca="false">IFERROR(__xludf.dummyfunction("""COMPUTED_VALUE"""),"Sunsilk")</f>
        <v>Sunsilk</v>
      </c>
      <c r="E669" s="13" t="str">
        <f aca="false">IFERROR(__xludf.dummyfunction("""COMPUTED_VALUE"""),"Shampoo")</f>
        <v>Shampoo</v>
      </c>
      <c r="F669" s="11" t="n">
        <f aca="false">IFERROR(__xludf.dummyfunction("""COMPUTED_VALUE"""),45249)</f>
        <v>45249</v>
      </c>
      <c r="G669" s="16" t="n">
        <f aca="false">IFERROR(__xludf.dummyfunction("""COMPUTED_VALUE"""),0.881474386573093)</f>
        <v>0.8814743866</v>
      </c>
      <c r="H669" s="13" t="str">
        <f aca="false">IFERROR(__xludf.dummyfunction("""COMPUTED_VALUE"""),"damaged stock")</f>
        <v>damaged stock</v>
      </c>
      <c r="I669" s="13" t="n">
        <f aca="false">IFERROR(__xludf.dummyfunction("""COMPUTED_VALUE"""),1)</f>
        <v>1</v>
      </c>
      <c r="J669" s="13" t="n">
        <f aca="false">IFERROR(__xludf.dummyfunction("""COMPUTED_VALUE"""),142)</f>
        <v>142</v>
      </c>
      <c r="K669" s="13" t="n">
        <f aca="false">IFERROR(__xludf.dummyfunction("""COMPUTED_VALUE"""),142)</f>
        <v>142</v>
      </c>
      <c r="L669" s="13" t="str">
        <f aca="false">IFERROR(__xludf.dummyfunction("""COMPUTED_VALUE"""),"[Code: 2458ABBD]   TA: 1unit damage found during sorting ")</f>
        <v>[Code: 2458ABBD]   TA: 1unit damage found during sorting </v>
      </c>
      <c r="M669" s="13" t="str">
        <f aca="false">IFERROR(__xludf.dummyfunction("""COMPUTED_VALUE"""),"2458ABBD")</f>
        <v>2458ABBD</v>
      </c>
      <c r="N669" s="13"/>
      <c r="O669" s="13" t="str">
        <f aca="false">IFERROR(__xludf.dummyfunction("""COMPUTED_VALUE"""),"taufeeq.akhtar@tajir-app.com")</f>
        <v>taufeeq.akhtar@tajir-app.com</v>
      </c>
      <c r="P669" s="13" t="str">
        <f aca="false">IFERROR(__xludf.dummyfunction("""COMPUTED_VALUE"""),"Taufeeq Akhtar ")</f>
        <v>Taufeeq Akhtar </v>
      </c>
      <c r="Q669" s="13" t="str">
        <f aca="false">IF(L669="","",L669)</f>
        <v>[Code: 2458ABBD]   TA: 1unit damage found during sorting </v>
      </c>
    </row>
    <row r="670" customFormat="false" ht="15.75" hidden="false" customHeight="false" outlineLevel="0" collapsed="false">
      <c r="A670" s="13" t="str">
        <f aca="false">IFERROR(__xludf.dummyfunction("""COMPUTED_VALUE"""),"Metro DC Faisalabad")</f>
        <v>Metro DC Faisalabad</v>
      </c>
      <c r="B670" s="13" t="str">
        <f aca="false">IFERROR(__xludf.dummyfunction("""COMPUTED_VALUE"""),"ae3c4d47-c25a-4d8a-91fe-7e939d3514ad")</f>
        <v>ae3c4d47-c25a-4d8a-91fe-7e939d3514ad</v>
      </c>
      <c r="C670" s="13" t="str">
        <f aca="false">IFERROR(__xludf.dummyfunction("""COMPUTED_VALUE"""),"Sunsilk Stunning Black Shine Shampoo x16 bundle 4.5ml")</f>
        <v>Sunsilk Stunning Black Shine Shampoo x16 bundle 4.5ml</v>
      </c>
      <c r="D670" s="13" t="str">
        <f aca="false">IFERROR(__xludf.dummyfunction("""COMPUTED_VALUE"""),"Sunsilk")</f>
        <v>Sunsilk</v>
      </c>
      <c r="E670" s="13" t="str">
        <f aca="false">IFERROR(__xludf.dummyfunction("""COMPUTED_VALUE"""),"Shampoo")</f>
        <v>Shampoo</v>
      </c>
      <c r="F670" s="11" t="n">
        <f aca="false">IFERROR(__xludf.dummyfunction("""COMPUTED_VALUE"""),45249)</f>
        <v>45249</v>
      </c>
      <c r="G670" s="16" t="n">
        <f aca="false">IFERROR(__xludf.dummyfunction("""COMPUTED_VALUE"""),0.878024467592981)</f>
        <v>0.8780244676</v>
      </c>
      <c r="H670" s="13" t="str">
        <f aca="false">IFERROR(__xludf.dummyfunction("""COMPUTED_VALUE"""),"damaged stock")</f>
        <v>damaged stock</v>
      </c>
      <c r="I670" s="13" t="n">
        <f aca="false">IFERROR(__xludf.dummyfunction("""COMPUTED_VALUE"""),4)</f>
        <v>4</v>
      </c>
      <c r="J670" s="13" t="n">
        <f aca="false">IFERROR(__xludf.dummyfunction("""COMPUTED_VALUE"""),72.92)</f>
        <v>72.92</v>
      </c>
      <c r="K670" s="13" t="n">
        <f aca="false">IFERROR(__xludf.dummyfunction("""COMPUTED_VALUE"""),291.68)</f>
        <v>291.68</v>
      </c>
      <c r="L670" s="13" t="str">
        <f aca="false">IFERROR(__xludf.dummyfunction("""COMPUTED_VALUE"""),"[Code: 34559ABC]  TA; 4unit damage found during display. ( cotton sy leak mile hain )")</f>
        <v>[Code: 34559ABC]  TA; 4unit damage found during display. ( cotton sy leak mile hain )</v>
      </c>
      <c r="M670" s="13" t="str">
        <f aca="false">IFERROR(__xludf.dummyfunction("""COMPUTED_VALUE"""),"34559ABC")</f>
        <v>34559ABC</v>
      </c>
      <c r="N670" s="13"/>
      <c r="O670" s="13" t="str">
        <f aca="false">IFERROR(__xludf.dummyfunction("""COMPUTED_VALUE"""),"taufeeq.akhtar@tajir-app.com")</f>
        <v>taufeeq.akhtar@tajir-app.com</v>
      </c>
      <c r="P670" s="13" t="str">
        <f aca="false">IFERROR(__xludf.dummyfunction("""COMPUTED_VALUE"""),"Taufeeq Akhtar ")</f>
        <v>Taufeeq Akhtar </v>
      </c>
      <c r="Q670" s="13" t="str">
        <f aca="false">IF(L670="","",L670)</f>
        <v>[Code: 34559ABC]  TA; 4unit damage found during display. ( cotton sy leak mile hain )</v>
      </c>
    </row>
    <row r="671" customFormat="false" ht="15.75" hidden="false" customHeight="false" outlineLevel="0" collapsed="false">
      <c r="A671" s="13" t="str">
        <f aca="false">IFERROR(__xludf.dummyfunction("""COMPUTED_VALUE"""),"Metro DC Faisalabad")</f>
        <v>Metro DC Faisalabad</v>
      </c>
      <c r="B671" s="13" t="str">
        <f aca="false">IFERROR(__xludf.dummyfunction("""COMPUTED_VALUE"""),"00faca46-8c0b-46d0-bd19-1c2cff790a83")</f>
        <v>00faca46-8c0b-46d0-bd19-1c2cff790a83</v>
      </c>
      <c r="C671" s="13" t="str">
        <f aca="false">IFERROR(__xludf.dummyfunction("""COMPUTED_VALUE"""),"Ultra Pure Bleach 300ml Rs 80")</f>
        <v>Ultra Pure Bleach 300ml Rs 80</v>
      </c>
      <c r="D671" s="13" t="str">
        <f aca="false">IFERROR(__xludf.dummyfunction("""COMPUTED_VALUE"""),"Ultra Pure")</f>
        <v>Ultra Pure</v>
      </c>
      <c r="E671" s="13" t="str">
        <f aca="false">IFERROR(__xludf.dummyfunction("""COMPUTED_VALUE"""),"Surf, Bleach")</f>
        <v>Surf, Bleach</v>
      </c>
      <c r="F671" s="11" t="n">
        <f aca="false">IFERROR(__xludf.dummyfunction("""COMPUTED_VALUE"""),45249)</f>
        <v>45249</v>
      </c>
      <c r="G671" s="16" t="n">
        <f aca="false">IFERROR(__xludf.dummyfunction("""COMPUTED_VALUE"""),0.808860462961993)</f>
        <v>0.808860463</v>
      </c>
      <c r="H671" s="13" t="str">
        <f aca="false">IFERROR(__xludf.dummyfunction("""COMPUTED_VALUE"""),"damaged stock")</f>
        <v>damaged stock</v>
      </c>
      <c r="I671" s="13" t="n">
        <f aca="false">IFERROR(__xludf.dummyfunction("""COMPUTED_VALUE"""),1)</f>
        <v>1</v>
      </c>
      <c r="J671" s="13" t="n">
        <f aca="false">IFERROR(__xludf.dummyfunction("""COMPUTED_VALUE"""),39)</f>
        <v>39</v>
      </c>
      <c r="K671" s="13" t="n">
        <f aca="false">IFERROR(__xludf.dummyfunction("""COMPUTED_VALUE"""),39)</f>
        <v>39</v>
      </c>
      <c r="L671" s="13" t="str">
        <f aca="false">IFERROR(__xludf.dummyfunction("""COMPUTED_VALUE"""),"[Code: 2237BDEK] TA; 1unit damage found during display. (cotton sy leak mili he )")</f>
        <v>[Code: 2237BDEK] TA; 1unit damage found during display. (cotton sy leak mili he )</v>
      </c>
      <c r="M671" s="13" t="str">
        <f aca="false">IFERROR(__xludf.dummyfunction("""COMPUTED_VALUE"""),"2237BDEK")</f>
        <v>2237BDEK</v>
      </c>
      <c r="N671" s="13"/>
      <c r="O671" s="13" t="str">
        <f aca="false">IFERROR(__xludf.dummyfunction("""COMPUTED_VALUE"""),"taufeeq.akhtar@tajir-app.com")</f>
        <v>taufeeq.akhtar@tajir-app.com</v>
      </c>
      <c r="P671" s="13" t="str">
        <f aca="false">IFERROR(__xludf.dummyfunction("""COMPUTED_VALUE"""),"Taufeeq Akhtar ")</f>
        <v>Taufeeq Akhtar </v>
      </c>
      <c r="Q671" s="13" t="str">
        <f aca="false">IF(L671="","",L671)</f>
        <v>[Code: 2237BDEK] TA; 1unit damage found during display. (cotton sy leak mili he )</v>
      </c>
    </row>
    <row r="672" customFormat="false" ht="15.75" hidden="false" customHeight="false" outlineLevel="0" collapsed="false">
      <c r="A672" s="13" t="str">
        <f aca="false">IFERROR(__xludf.dummyfunction("""COMPUTED_VALUE"""),"Metro DC Faisalabad")</f>
        <v>Metro DC Faisalabad</v>
      </c>
      <c r="B672" s="13" t="str">
        <f aca="false">IFERROR(__xludf.dummyfunction("""COMPUTED_VALUE"""),"2734a39b-c21a-48c0-b552-50dfa9bff187")</f>
        <v>2734a39b-c21a-48c0-b552-50dfa9bff187</v>
      </c>
      <c r="C672" s="13" t="str">
        <f aca="false">IFERROR(__xludf.dummyfunction("""COMPUTED_VALUE"""),"Swadi Zeera 1kg")</f>
        <v>Swadi Zeera 1kg</v>
      </c>
      <c r="D672" s="13" t="str">
        <f aca="false">IFERROR(__xludf.dummyfunction("""COMPUTED_VALUE"""),"Swadi")</f>
        <v>Swadi</v>
      </c>
      <c r="E672" s="13" t="str">
        <f aca="false">IFERROR(__xludf.dummyfunction("""COMPUTED_VALUE"""),"Spices")</f>
        <v>Spices</v>
      </c>
      <c r="F672" s="11" t="n">
        <f aca="false">IFERROR(__xludf.dummyfunction("""COMPUTED_VALUE"""),45249)</f>
        <v>45249</v>
      </c>
      <c r="G672" s="16" t="n">
        <f aca="false">IFERROR(__xludf.dummyfunction("""COMPUTED_VALUE"""),0.557481111111957)</f>
        <v>0.5574811111</v>
      </c>
      <c r="H672" s="13" t="str">
        <f aca="false">IFERROR(__xludf.dummyfunction("""COMPUTED_VALUE"""),"damaged stock")</f>
        <v>damaged stock</v>
      </c>
      <c r="I672" s="13" t="n">
        <f aca="false">IFERROR(__xludf.dummyfunction("""COMPUTED_VALUE"""),7)</f>
        <v>7</v>
      </c>
      <c r="J672" s="13" t="n">
        <f aca="false">IFERROR(__xludf.dummyfunction("""COMPUTED_VALUE"""),2425)</f>
        <v>2425</v>
      </c>
      <c r="K672" s="13" t="n">
        <f aca="false">IFERROR(__xludf.dummyfunction("""COMPUTED_VALUE"""),16975)</f>
        <v>16975</v>
      </c>
      <c r="L672" s="13" t="str">
        <f aca="false">IFERROR(__xludf.dummyfunction("""COMPUTED_VALUE"""),"[Code: 445688CF] 7 units found quality issue.")</f>
        <v>[Code: 445688CF] 7 units found quality issue.</v>
      </c>
      <c r="M672" s="13" t="str">
        <f aca="false">IFERROR(__xludf.dummyfunction("""COMPUTED_VALUE"""),"445688CF")</f>
        <v>445688CF</v>
      </c>
      <c r="N672" s="13"/>
      <c r="O672" s="13" t="str">
        <f aca="false">IFERROR(__xludf.dummyfunction("""COMPUTED_VALUE"""),"ali.raza@tajir-app.com")</f>
        <v>ali.raza@tajir-app.com</v>
      </c>
      <c r="P672" s="13" t="str">
        <f aca="false">IFERROR(__xludf.dummyfunction("""COMPUTED_VALUE"""),"Ali Raza ")</f>
        <v>Ali Raza </v>
      </c>
      <c r="Q672" s="13" t="str">
        <f aca="false">IF(L672="","",L672)</f>
        <v>[Code: 445688CF] 7 units found quality issue.</v>
      </c>
    </row>
    <row r="673" customFormat="false" ht="15.75" hidden="false" customHeight="false" outlineLevel="0" collapsed="false">
      <c r="A673" s="13" t="str">
        <f aca="false">IFERROR(__xludf.dummyfunction("""COMPUTED_VALUE"""),"Metro DC Faisalabad")</f>
        <v>Metro DC Faisalabad</v>
      </c>
      <c r="B673" s="13" t="str">
        <f aca="false">IFERROR(__xludf.dummyfunction("""COMPUTED_VALUE"""),"81281dce-fe81-497a-88e9-fa44b8f2742d")</f>
        <v>81281dce-fe81-497a-88e9-fa44b8f2742d</v>
      </c>
      <c r="C673" s="13" t="str">
        <f aca="false">IFERROR(__xludf.dummyfunction("""COMPUTED_VALUE"""),"Sunridge FiberFit Digestive Atta 5kg")</f>
        <v>Sunridge FiberFit Digestive Atta 5kg</v>
      </c>
      <c r="D673" s="13" t="str">
        <f aca="false">IFERROR(__xludf.dummyfunction("""COMPUTED_VALUE"""),"Sunridge")</f>
        <v>Sunridge</v>
      </c>
      <c r="E673" s="13" t="str">
        <f aca="false">IFERROR(__xludf.dummyfunction("""COMPUTED_VALUE"""),"Flour")</f>
        <v>Flour</v>
      </c>
      <c r="F673" s="11" t="n">
        <f aca="false">IFERROR(__xludf.dummyfunction("""COMPUTED_VALUE"""),45249)</f>
        <v>45249</v>
      </c>
      <c r="G673" s="16" t="n">
        <f aca="false">IFERROR(__xludf.dummyfunction("""COMPUTED_VALUE"""),0.417973773146795)</f>
        <v>0.4179737731</v>
      </c>
      <c r="H673" s="13" t="str">
        <f aca="false">IFERROR(__xludf.dummyfunction("""COMPUTED_VALUE"""),"expired stock")</f>
        <v>expired stock</v>
      </c>
      <c r="I673" s="13" t="n">
        <f aca="false">IFERROR(__xludf.dummyfunction("""COMPUTED_VALUE"""),18)</f>
        <v>18</v>
      </c>
      <c r="J673" s="13" t="n">
        <f aca="false">IFERROR(__xludf.dummyfunction("""COMPUTED_VALUE"""),837.2)</f>
        <v>837.2</v>
      </c>
      <c r="K673" s="13" t="n">
        <f aca="false">IFERROR(__xludf.dummyfunction("""COMPUTED_VALUE"""),15069.6)</f>
        <v>15069.6</v>
      </c>
      <c r="L673" s="13" t="str">
        <f aca="false">IFERROR(__xludf.dummyfunction("""COMPUTED_VALUE"""),"[Code: 345668BE] [Expiry: 1 Dec, 2023] AR:short expiry stock ")</f>
        <v>[Code: 345668BE] [Expiry: 1 Dec, 2023] AR:short expiry stock </v>
      </c>
      <c r="M673" s="13" t="str">
        <f aca="false">IFERROR(__xludf.dummyfunction("""COMPUTED_VALUE"""),"345668BE")</f>
        <v>345668BE</v>
      </c>
      <c r="N673" s="13" t="str">
        <f aca="false">IFERROR(__xludf.dummyfunction("""COMPUTED_VALUE"""),"1 Dec, 2023")</f>
        <v>1 Dec, 2023</v>
      </c>
      <c r="O673" s="13" t="str">
        <f aca="false">IFERROR(__xludf.dummyfunction("""COMPUTED_VALUE"""),"ali.raza@tajir-app.com")</f>
        <v>ali.raza@tajir-app.com</v>
      </c>
      <c r="P673" s="13" t="str">
        <f aca="false">IFERROR(__xludf.dummyfunction("""COMPUTED_VALUE"""),"Ali Raza ")</f>
        <v>Ali Raza </v>
      </c>
      <c r="Q673" s="13" t="str">
        <f aca="false">IF(L673="","",L673)</f>
        <v>[Code: 345668BE] [Expiry: 1 Dec, 2023] AR:short expiry stock </v>
      </c>
    </row>
    <row r="674" customFormat="false" ht="15.75" hidden="false" customHeight="false" outlineLevel="0" collapsed="false">
      <c r="A674" s="13" t="str">
        <f aca="false">IFERROR(__xludf.dummyfunction("""COMPUTED_VALUE"""),"Metro DC Faisalabad")</f>
        <v>Metro DC Faisalabad</v>
      </c>
      <c r="B674" s="13" t="str">
        <f aca="false">IFERROR(__xludf.dummyfunction("""COMPUTED_VALUE"""),"48e66272-abb5-4aab-a2b8-e935573e8137")</f>
        <v>48e66272-abb5-4aab-a2b8-e935573e8137</v>
      </c>
      <c r="C674" s="13" t="str">
        <f aca="false">IFERROR(__xludf.dummyfunction("""COMPUTED_VALUE"""),"Sunridge FiberFit Digestive Atta 2kg")</f>
        <v>Sunridge FiberFit Digestive Atta 2kg</v>
      </c>
      <c r="D674" s="13" t="str">
        <f aca="false">IFERROR(__xludf.dummyfunction("""COMPUTED_VALUE"""),"Sunridge")</f>
        <v>Sunridge</v>
      </c>
      <c r="E674" s="13" t="str">
        <f aca="false">IFERROR(__xludf.dummyfunction("""COMPUTED_VALUE"""),"Flour")</f>
        <v>Flour</v>
      </c>
      <c r="F674" s="11" t="n">
        <f aca="false">IFERROR(__xludf.dummyfunction("""COMPUTED_VALUE"""),45249)</f>
        <v>45249</v>
      </c>
      <c r="G674" s="16" t="n">
        <f aca="false">IFERROR(__xludf.dummyfunction("""COMPUTED_VALUE"""),0.417315011574004)</f>
        <v>0.4173150116</v>
      </c>
      <c r="H674" s="13" t="str">
        <f aca="false">IFERROR(__xludf.dummyfunction("""COMPUTED_VALUE"""),"expired stock")</f>
        <v>expired stock</v>
      </c>
      <c r="I674" s="13" t="n">
        <f aca="false">IFERROR(__xludf.dummyfunction("""COMPUTED_VALUE"""),8)</f>
        <v>8</v>
      </c>
      <c r="J674" s="13" t="n">
        <f aca="false">IFERROR(__xludf.dummyfunction("""COMPUTED_VALUE"""),335.8)</f>
        <v>335.8</v>
      </c>
      <c r="K674" s="13" t="n">
        <f aca="false">IFERROR(__xludf.dummyfunction("""COMPUTED_VALUE"""),2686.4)</f>
        <v>2686.4</v>
      </c>
      <c r="L674" s="13" t="str">
        <f aca="false">IFERROR(__xludf.dummyfunction("""COMPUTED_VALUE"""),"[Code: 24558ABD] [Expiry: 1 Dec, 2023] AR: Short expiry stock ")</f>
        <v>[Code: 24558ABD] [Expiry: 1 Dec, 2023] AR: Short expiry stock </v>
      </c>
      <c r="M674" s="13" t="str">
        <f aca="false">IFERROR(__xludf.dummyfunction("""COMPUTED_VALUE"""),"24558ABD")</f>
        <v>24558ABD</v>
      </c>
      <c r="N674" s="13" t="str">
        <f aca="false">IFERROR(__xludf.dummyfunction("""COMPUTED_VALUE"""),"1 Dec, 2023")</f>
        <v>1 Dec, 2023</v>
      </c>
      <c r="O674" s="13" t="str">
        <f aca="false">IFERROR(__xludf.dummyfunction("""COMPUTED_VALUE"""),"ali.raza@tajir-app.com")</f>
        <v>ali.raza@tajir-app.com</v>
      </c>
      <c r="P674" s="13" t="str">
        <f aca="false">IFERROR(__xludf.dummyfunction("""COMPUTED_VALUE"""),"Ali Raza ")</f>
        <v>Ali Raza </v>
      </c>
      <c r="Q674" s="13" t="str">
        <f aca="false">IF(L674="","",L674)</f>
        <v>[Code: 24558ABD] [Expiry: 1 Dec, 2023] AR: Short expiry stock </v>
      </c>
    </row>
    <row r="675" customFormat="false" ht="15.75" hidden="false" customHeight="false" outlineLevel="0" collapsed="false">
      <c r="A675" s="13" t="str">
        <f aca="false">IFERROR(__xludf.dummyfunction("""COMPUTED_VALUE"""),"Metro DC Faisalabad")</f>
        <v>Metro DC Faisalabad</v>
      </c>
      <c r="B675" s="13" t="str">
        <f aca="false">IFERROR(__xludf.dummyfunction("""COMPUTED_VALUE"""),"3c97c06d-a3d4-4f5b-b694-2b2023aefe1d")</f>
        <v>3c97c06d-a3d4-4f5b-b694-2b2023aefe1d</v>
      </c>
      <c r="C675" s="13" t="str">
        <f aca="false">IFERROR(__xludf.dummyfunction("""COMPUTED_VALUE"""),"Bio Amla Praima Hair Colour Dark brown 43")</f>
        <v>Bio Amla Praima Hair Colour Dark brown 43</v>
      </c>
      <c r="D675" s="13" t="str">
        <f aca="false">IFERROR(__xludf.dummyfunction("""COMPUTED_VALUE"""),"Bio Amla")</f>
        <v>Bio Amla</v>
      </c>
      <c r="E675" s="13" t="str">
        <f aca="false">IFERROR(__xludf.dummyfunction("""COMPUTED_VALUE"""),"Personal Care")</f>
        <v>Personal Care</v>
      </c>
      <c r="F675" s="11" t="n">
        <f aca="false">IFERROR(__xludf.dummyfunction("""COMPUTED_VALUE"""),45250)</f>
        <v>45250</v>
      </c>
      <c r="G675" s="16" t="n">
        <f aca="false">IFERROR(__xludf.dummyfunction("""COMPUTED_VALUE"""),0.917904548611715)</f>
        <v>0.9179045486</v>
      </c>
      <c r="H675" s="13" t="str">
        <f aca="false">IFERROR(__xludf.dummyfunction("""COMPUTED_VALUE"""),"damaged stock")</f>
        <v>damaged stock</v>
      </c>
      <c r="I675" s="13" t="n">
        <f aca="false">IFERROR(__xludf.dummyfunction("""COMPUTED_VALUE"""),1)</f>
        <v>1</v>
      </c>
      <c r="J675" s="13" t="n">
        <f aca="false">IFERROR(__xludf.dummyfunction("""COMPUTED_VALUE"""),45)</f>
        <v>45</v>
      </c>
      <c r="K675" s="13" t="n">
        <f aca="false">IFERROR(__xludf.dummyfunction("""COMPUTED_VALUE"""),45)</f>
        <v>45</v>
      </c>
      <c r="L675" s="13" t="str">
        <f aca="false">IFERROR(__xludf.dummyfunction("""COMPUTED_VALUE"""),"[Code: 35679ACD] TA: box may say damaged nikla.")</f>
        <v>[Code: 35679ACD] TA: box may say damaged nikla.</v>
      </c>
      <c r="M675" s="13" t="str">
        <f aca="false">IFERROR(__xludf.dummyfunction("""COMPUTED_VALUE"""),"35679ACD")</f>
        <v>35679ACD</v>
      </c>
      <c r="N675" s="13"/>
      <c r="O675" s="13" t="str">
        <f aca="false">IFERROR(__xludf.dummyfunction("""COMPUTED_VALUE"""),"taufeeq.akhtar@tajir-app.com")</f>
        <v>taufeeq.akhtar@tajir-app.com</v>
      </c>
      <c r="P675" s="13" t="str">
        <f aca="false">IFERROR(__xludf.dummyfunction("""COMPUTED_VALUE"""),"Taufeeq Akhtar ")</f>
        <v>Taufeeq Akhtar </v>
      </c>
      <c r="Q675" s="13" t="str">
        <f aca="false">IF(L675="","",L675)</f>
        <v>[Code: 35679ACD] TA: box may say damaged nikla.</v>
      </c>
    </row>
    <row r="676" customFormat="false" ht="15.75" hidden="false" customHeight="false" outlineLevel="0" collapsed="false">
      <c r="A676" s="13"/>
      <c r="B676" s="13"/>
      <c r="C676" s="13"/>
      <c r="D676" s="13"/>
      <c r="E676" s="13"/>
      <c r="F676" s="11"/>
      <c r="G676" s="16"/>
      <c r="H676" s="13"/>
      <c r="I676" s="13"/>
      <c r="J676" s="13"/>
      <c r="K676" s="13"/>
      <c r="L676" s="13"/>
      <c r="M676" s="13"/>
      <c r="N676" s="13"/>
      <c r="O676" s="13"/>
      <c r="P676" s="13"/>
      <c r="Q676" s="13" t="str">
        <f aca="false">IF(L676="","",L676)</f>
        <v/>
      </c>
    </row>
    <row r="677" customFormat="false" ht="15.75" hidden="false" customHeight="false" outlineLevel="0" collapsed="false">
      <c r="A677" s="13"/>
      <c r="B677" s="13"/>
      <c r="C677" s="13"/>
      <c r="D677" s="13"/>
      <c r="E677" s="13"/>
      <c r="F677" s="11"/>
      <c r="G677" s="16"/>
      <c r="H677" s="13"/>
      <c r="I677" s="13"/>
      <c r="J677" s="13"/>
      <c r="K677" s="13"/>
      <c r="L677" s="13"/>
      <c r="M677" s="13"/>
      <c r="N677" s="13"/>
      <c r="O677" s="13"/>
      <c r="P677" s="13"/>
      <c r="Q677" s="13" t="str">
        <f aca="false">IF(L677="","",L677)</f>
        <v/>
      </c>
    </row>
    <row r="678" customFormat="false" ht="15.75" hidden="false" customHeight="false" outlineLevel="0" collapsed="false">
      <c r="A678" s="13"/>
      <c r="B678" s="13"/>
      <c r="C678" s="13"/>
      <c r="D678" s="13"/>
      <c r="E678" s="13"/>
      <c r="F678" s="11"/>
      <c r="G678" s="16"/>
      <c r="H678" s="13"/>
      <c r="I678" s="13"/>
      <c r="J678" s="13"/>
      <c r="K678" s="13"/>
      <c r="L678" s="13"/>
      <c r="M678" s="13"/>
      <c r="N678" s="13"/>
      <c r="O678" s="13"/>
      <c r="P678" s="13"/>
      <c r="Q678" s="13" t="str">
        <f aca="false">IF(L678="","",L678)</f>
        <v/>
      </c>
    </row>
    <row r="679" customFormat="false" ht="15.75" hidden="false" customHeight="false" outlineLevel="0" collapsed="false">
      <c r="A679" s="13"/>
      <c r="B679" s="13"/>
      <c r="C679" s="13"/>
      <c r="D679" s="13"/>
      <c r="E679" s="13"/>
      <c r="F679" s="11"/>
      <c r="G679" s="16"/>
      <c r="H679" s="13"/>
      <c r="I679" s="13"/>
      <c r="J679" s="13"/>
      <c r="K679" s="13"/>
      <c r="L679" s="13"/>
      <c r="M679" s="13"/>
      <c r="N679" s="13"/>
      <c r="O679" s="13"/>
      <c r="P679" s="13"/>
      <c r="Q679" s="13" t="str">
        <f aca="false">IF(L679="","",L679)</f>
        <v/>
      </c>
    </row>
    <row r="680" customFormat="false" ht="15.75" hidden="false" customHeight="false" outlineLevel="0" collapsed="false">
      <c r="A680" s="13"/>
      <c r="B680" s="13"/>
      <c r="C680" s="13"/>
      <c r="D680" s="13"/>
      <c r="E680" s="13"/>
      <c r="F680" s="11"/>
      <c r="G680" s="16"/>
      <c r="H680" s="13"/>
      <c r="I680" s="13"/>
      <c r="J680" s="13"/>
      <c r="K680" s="13"/>
      <c r="L680" s="13"/>
      <c r="M680" s="13"/>
      <c r="N680" s="13"/>
      <c r="O680" s="13"/>
      <c r="P680" s="13"/>
      <c r="Q680" s="13" t="str">
        <f aca="false">IF(L680="","",L680)</f>
        <v/>
      </c>
    </row>
    <row r="681" customFormat="false" ht="15.75" hidden="false" customHeight="false" outlineLevel="0" collapsed="false">
      <c r="A681" s="13"/>
      <c r="B681" s="13"/>
      <c r="C681" s="13"/>
      <c r="D681" s="13"/>
      <c r="E681" s="13"/>
      <c r="F681" s="11"/>
      <c r="G681" s="16"/>
      <c r="H681" s="13"/>
      <c r="I681" s="13"/>
      <c r="J681" s="13"/>
      <c r="K681" s="13"/>
      <c r="L681" s="13"/>
      <c r="M681" s="13"/>
      <c r="N681" s="13"/>
      <c r="O681" s="13"/>
      <c r="P681" s="13"/>
      <c r="Q681" s="13" t="str">
        <f aca="false">IF(L681="","",L681)</f>
        <v/>
      </c>
    </row>
    <row r="682" customFormat="false" ht="15.75" hidden="false" customHeight="false" outlineLevel="0" collapsed="false">
      <c r="A682" s="13"/>
      <c r="B682" s="13"/>
      <c r="C682" s="13"/>
      <c r="D682" s="13"/>
      <c r="E682" s="13"/>
      <c r="F682" s="11"/>
      <c r="G682" s="16"/>
      <c r="H682" s="13"/>
      <c r="I682" s="13"/>
      <c r="J682" s="13"/>
      <c r="K682" s="13"/>
      <c r="L682" s="13"/>
      <c r="M682" s="13"/>
      <c r="N682" s="13"/>
      <c r="O682" s="13"/>
      <c r="P682" s="13"/>
      <c r="Q682" s="13" t="str">
        <f aca="false">IF(L682="","",L682)</f>
        <v/>
      </c>
    </row>
    <row r="683" customFormat="false" ht="15.75" hidden="false" customHeight="false" outlineLevel="0" collapsed="false">
      <c r="A683" s="13"/>
      <c r="B683" s="13"/>
      <c r="C683" s="13"/>
      <c r="D683" s="13"/>
      <c r="E683" s="13"/>
      <c r="F683" s="11"/>
      <c r="G683" s="16"/>
      <c r="H683" s="13"/>
      <c r="I683" s="13"/>
      <c r="J683" s="13"/>
      <c r="K683" s="13"/>
      <c r="L683" s="13"/>
      <c r="M683" s="13"/>
      <c r="N683" s="13"/>
      <c r="O683" s="13"/>
      <c r="P683" s="13"/>
      <c r="Q683" s="13" t="str">
        <f aca="false">IF(L683="","",L683)</f>
        <v/>
      </c>
    </row>
    <row r="684" customFormat="false" ht="15.75" hidden="false" customHeight="false" outlineLevel="0" collapsed="false">
      <c r="A684" s="13"/>
      <c r="B684" s="13"/>
      <c r="C684" s="13"/>
      <c r="D684" s="13"/>
      <c r="E684" s="13"/>
      <c r="F684" s="11"/>
      <c r="G684" s="16"/>
      <c r="H684" s="13"/>
      <c r="I684" s="13"/>
      <c r="J684" s="13"/>
      <c r="K684" s="13"/>
      <c r="L684" s="13"/>
      <c r="M684" s="13"/>
      <c r="N684" s="13"/>
      <c r="O684" s="13"/>
      <c r="P684" s="13"/>
      <c r="Q684" s="13" t="str">
        <f aca="false">IF(L684="","",L684)</f>
        <v/>
      </c>
    </row>
    <row r="685" customFormat="false" ht="15.75" hidden="false" customHeight="false" outlineLevel="0" collapsed="false">
      <c r="A685" s="13"/>
      <c r="B685" s="13"/>
      <c r="C685" s="13"/>
      <c r="D685" s="13"/>
      <c r="E685" s="13"/>
      <c r="F685" s="11"/>
      <c r="G685" s="16"/>
      <c r="H685" s="13"/>
      <c r="I685" s="13"/>
      <c r="J685" s="13"/>
      <c r="K685" s="13"/>
      <c r="L685" s="13"/>
      <c r="M685" s="13"/>
      <c r="N685" s="13"/>
      <c r="O685" s="13"/>
      <c r="P685" s="13"/>
      <c r="Q685" s="13" t="str">
        <f aca="false">IF(L685="","",L685)</f>
        <v/>
      </c>
    </row>
    <row r="686" customFormat="false" ht="15.75" hidden="false" customHeight="false" outlineLevel="0" collapsed="false">
      <c r="A686" s="13"/>
      <c r="B686" s="13"/>
      <c r="C686" s="13"/>
      <c r="D686" s="13"/>
      <c r="E686" s="13"/>
      <c r="F686" s="11"/>
      <c r="G686" s="16"/>
      <c r="H686" s="13"/>
      <c r="I686" s="13"/>
      <c r="J686" s="13"/>
      <c r="K686" s="13"/>
      <c r="L686" s="13"/>
      <c r="M686" s="13"/>
      <c r="N686" s="13"/>
      <c r="O686" s="13"/>
      <c r="P686" s="13"/>
      <c r="Q686" s="13" t="str">
        <f aca="false">IF(L686="","",L686)</f>
        <v/>
      </c>
    </row>
    <row r="687" customFormat="false" ht="15.75" hidden="false" customHeight="false" outlineLevel="0" collapsed="false">
      <c r="A687" s="13"/>
      <c r="B687" s="13"/>
      <c r="C687" s="13"/>
      <c r="D687" s="13"/>
      <c r="E687" s="13"/>
      <c r="F687" s="11"/>
      <c r="G687" s="16"/>
      <c r="H687" s="13"/>
      <c r="I687" s="13"/>
      <c r="J687" s="13"/>
      <c r="K687" s="13"/>
      <c r="L687" s="13"/>
      <c r="M687" s="13"/>
      <c r="N687" s="13"/>
      <c r="O687" s="13"/>
      <c r="P687" s="13"/>
      <c r="Q687" s="13" t="str">
        <f aca="false">IF(L687="","",L687)</f>
        <v/>
      </c>
    </row>
    <row r="688" customFormat="false" ht="15.75" hidden="false" customHeight="false" outlineLevel="0" collapsed="false">
      <c r="A688" s="13"/>
      <c r="B688" s="13"/>
      <c r="C688" s="13"/>
      <c r="D688" s="13"/>
      <c r="E688" s="13"/>
      <c r="F688" s="11"/>
      <c r="G688" s="16"/>
      <c r="H688" s="13"/>
      <c r="I688" s="13"/>
      <c r="J688" s="13"/>
      <c r="K688" s="13"/>
      <c r="L688" s="13"/>
      <c r="M688" s="13"/>
      <c r="N688" s="13"/>
      <c r="O688" s="13"/>
      <c r="P688" s="13"/>
      <c r="Q688" s="13" t="str">
        <f aca="false">IF(L688="","",L688)</f>
        <v/>
      </c>
    </row>
    <row r="689" customFormat="false" ht="15.75" hidden="false" customHeight="false" outlineLevel="0" collapsed="false">
      <c r="A689" s="13"/>
      <c r="B689" s="13"/>
      <c r="C689" s="13"/>
      <c r="D689" s="13"/>
      <c r="E689" s="13"/>
      <c r="F689" s="11"/>
      <c r="G689" s="16"/>
      <c r="H689" s="13"/>
      <c r="I689" s="13"/>
      <c r="J689" s="13"/>
      <c r="K689" s="13"/>
      <c r="L689" s="13"/>
      <c r="M689" s="13"/>
      <c r="N689" s="13"/>
      <c r="O689" s="13"/>
      <c r="P689" s="13"/>
      <c r="Q689" s="13" t="str">
        <f aca="false">IF(L689="","",L689)</f>
        <v/>
      </c>
    </row>
    <row r="690" customFormat="false" ht="15.75" hidden="false" customHeight="false" outlineLevel="0" collapsed="false">
      <c r="A690" s="13"/>
      <c r="B690" s="13"/>
      <c r="C690" s="13"/>
      <c r="D690" s="13"/>
      <c r="E690" s="13"/>
      <c r="F690" s="11"/>
      <c r="G690" s="16"/>
      <c r="H690" s="13"/>
      <c r="I690" s="13"/>
      <c r="J690" s="13"/>
      <c r="K690" s="13"/>
      <c r="L690" s="13"/>
      <c r="M690" s="13"/>
      <c r="N690" s="13"/>
      <c r="O690" s="13"/>
      <c r="P690" s="13"/>
      <c r="Q690" s="13" t="str">
        <f aca="false">IF(L690="","",L690)</f>
        <v/>
      </c>
    </row>
    <row r="691" customFormat="false" ht="15.75" hidden="false" customHeight="false" outlineLevel="0" collapsed="false">
      <c r="A691" s="13"/>
      <c r="B691" s="13"/>
      <c r="C691" s="13"/>
      <c r="D691" s="13"/>
      <c r="E691" s="13"/>
      <c r="F691" s="11"/>
      <c r="G691" s="16"/>
      <c r="H691" s="13"/>
      <c r="I691" s="13"/>
      <c r="J691" s="13"/>
      <c r="K691" s="13"/>
      <c r="L691" s="13"/>
      <c r="M691" s="13"/>
      <c r="N691" s="13"/>
      <c r="O691" s="13"/>
      <c r="P691" s="13"/>
      <c r="Q691" s="13" t="str">
        <f aca="false">IF(L691="","",L691)</f>
        <v/>
      </c>
    </row>
    <row r="692" customFormat="false" ht="15.75" hidden="false" customHeight="false" outlineLevel="0" collapsed="false">
      <c r="A692" s="13"/>
      <c r="B692" s="13"/>
      <c r="C692" s="13"/>
      <c r="D692" s="13"/>
      <c r="E692" s="13"/>
      <c r="F692" s="11"/>
      <c r="G692" s="16"/>
      <c r="H692" s="13"/>
      <c r="I692" s="13"/>
      <c r="J692" s="13"/>
      <c r="K692" s="13"/>
      <c r="L692" s="13"/>
      <c r="M692" s="13"/>
      <c r="N692" s="13"/>
      <c r="O692" s="13"/>
      <c r="P692" s="13"/>
      <c r="Q692" s="13" t="str">
        <f aca="false">IF(L692="","",L692)</f>
        <v/>
      </c>
    </row>
    <row r="693" customFormat="false" ht="15.75" hidden="false" customHeight="false" outlineLevel="0" collapsed="false">
      <c r="A693" s="13"/>
      <c r="B693" s="13"/>
      <c r="C693" s="13"/>
      <c r="D693" s="13"/>
      <c r="E693" s="13"/>
      <c r="F693" s="11"/>
      <c r="G693" s="16"/>
      <c r="H693" s="13"/>
      <c r="I693" s="13"/>
      <c r="J693" s="13"/>
      <c r="K693" s="13"/>
      <c r="L693" s="13"/>
      <c r="M693" s="13"/>
      <c r="N693" s="13"/>
      <c r="O693" s="13"/>
      <c r="P693" s="13"/>
      <c r="Q693" s="13" t="str">
        <f aca="false">IF(L693="","",L693)</f>
        <v/>
      </c>
    </row>
    <row r="694" customFormat="false" ht="15.75" hidden="false" customHeight="false" outlineLevel="0" collapsed="false">
      <c r="A694" s="13"/>
      <c r="B694" s="13"/>
      <c r="C694" s="13"/>
      <c r="D694" s="13"/>
      <c r="E694" s="13"/>
      <c r="F694" s="11"/>
      <c r="G694" s="16"/>
      <c r="H694" s="13"/>
      <c r="I694" s="13"/>
      <c r="J694" s="13"/>
      <c r="K694" s="13"/>
      <c r="L694" s="13"/>
      <c r="M694" s="13"/>
      <c r="N694" s="13"/>
      <c r="O694" s="13"/>
      <c r="P694" s="13"/>
      <c r="Q694" s="13" t="str">
        <f aca="false">IF(L694="","",L694)</f>
        <v/>
      </c>
    </row>
    <row r="695" customFormat="false" ht="15.75" hidden="false" customHeight="false" outlineLevel="0" collapsed="false">
      <c r="A695" s="13"/>
      <c r="B695" s="13"/>
      <c r="C695" s="13"/>
      <c r="D695" s="13"/>
      <c r="E695" s="13"/>
      <c r="F695" s="11"/>
      <c r="G695" s="16"/>
      <c r="H695" s="13"/>
      <c r="I695" s="13"/>
      <c r="J695" s="13"/>
      <c r="K695" s="13"/>
      <c r="L695" s="13"/>
      <c r="M695" s="13"/>
      <c r="N695" s="13"/>
      <c r="O695" s="13"/>
      <c r="P695" s="13"/>
      <c r="Q695" s="13" t="str">
        <f aca="false">IF(L695="","",L695)</f>
        <v/>
      </c>
    </row>
    <row r="696" customFormat="false" ht="15.75" hidden="false" customHeight="false" outlineLevel="0" collapsed="false">
      <c r="A696" s="13"/>
      <c r="B696" s="13"/>
      <c r="C696" s="13"/>
      <c r="D696" s="13"/>
      <c r="E696" s="13"/>
      <c r="F696" s="11"/>
      <c r="G696" s="16"/>
      <c r="H696" s="13"/>
      <c r="I696" s="13"/>
      <c r="J696" s="13"/>
      <c r="K696" s="13"/>
      <c r="L696" s="13"/>
      <c r="M696" s="13"/>
      <c r="N696" s="13"/>
      <c r="O696" s="13"/>
      <c r="P696" s="13"/>
      <c r="Q696" s="13" t="str">
        <f aca="false">IF(L696="","",L696)</f>
        <v/>
      </c>
    </row>
    <row r="697" customFormat="false" ht="15.75" hidden="false" customHeight="false" outlineLevel="0" collapsed="false">
      <c r="A697" s="13"/>
      <c r="B697" s="13"/>
      <c r="C697" s="13"/>
      <c r="D697" s="13"/>
      <c r="E697" s="13"/>
      <c r="F697" s="11"/>
      <c r="G697" s="16"/>
      <c r="H697" s="13"/>
      <c r="I697" s="13"/>
      <c r="J697" s="13"/>
      <c r="K697" s="13"/>
      <c r="L697" s="13"/>
      <c r="M697" s="13"/>
      <c r="N697" s="13"/>
      <c r="O697" s="13"/>
      <c r="P697" s="13"/>
      <c r="Q697" s="13" t="str">
        <f aca="false">IF(L697="","",L697)</f>
        <v/>
      </c>
    </row>
    <row r="698" customFormat="false" ht="15.75" hidden="false" customHeight="false" outlineLevel="0" collapsed="false">
      <c r="A698" s="13"/>
      <c r="B698" s="13"/>
      <c r="C698" s="13"/>
      <c r="D698" s="13"/>
      <c r="E698" s="13"/>
      <c r="F698" s="11"/>
      <c r="G698" s="16"/>
      <c r="H698" s="13"/>
      <c r="I698" s="13"/>
      <c r="J698" s="13"/>
      <c r="K698" s="13"/>
      <c r="L698" s="13"/>
      <c r="M698" s="13"/>
      <c r="N698" s="13"/>
      <c r="O698" s="13"/>
      <c r="P698" s="13"/>
      <c r="Q698" s="13" t="str">
        <f aca="false">IF(L698="","",L698)</f>
        <v/>
      </c>
    </row>
    <row r="699" customFormat="false" ht="15.75" hidden="false" customHeight="false" outlineLevel="0" collapsed="false">
      <c r="A699" s="13"/>
      <c r="B699" s="13"/>
      <c r="C699" s="13"/>
      <c r="D699" s="13"/>
      <c r="E699" s="13"/>
      <c r="F699" s="11"/>
      <c r="G699" s="16"/>
      <c r="H699" s="13"/>
      <c r="I699" s="13"/>
      <c r="J699" s="13"/>
      <c r="K699" s="13"/>
      <c r="L699" s="13"/>
      <c r="M699" s="13"/>
      <c r="N699" s="13"/>
      <c r="O699" s="13"/>
      <c r="P699" s="13"/>
      <c r="Q699" s="13" t="str">
        <f aca="false">IF(L699="","",L699)</f>
        <v/>
      </c>
    </row>
    <row r="700" customFormat="false" ht="15.75" hidden="false" customHeight="false" outlineLevel="0" collapsed="false">
      <c r="A700" s="13"/>
      <c r="B700" s="13"/>
      <c r="C700" s="13"/>
      <c r="D700" s="13"/>
      <c r="E700" s="13"/>
      <c r="F700" s="11"/>
      <c r="G700" s="16"/>
      <c r="H700" s="13"/>
      <c r="I700" s="13"/>
      <c r="J700" s="13"/>
      <c r="K700" s="13"/>
      <c r="L700" s="13"/>
      <c r="M700" s="13"/>
      <c r="N700" s="13"/>
      <c r="O700" s="13"/>
      <c r="P700" s="13"/>
      <c r="Q700" s="13" t="str">
        <f aca="false">IF(L700="","",L700)</f>
        <v/>
      </c>
    </row>
    <row r="701" customFormat="false" ht="15.75" hidden="false" customHeight="false" outlineLevel="0" collapsed="false">
      <c r="A701" s="13"/>
      <c r="B701" s="13"/>
      <c r="C701" s="13"/>
      <c r="D701" s="13"/>
      <c r="E701" s="13"/>
      <c r="F701" s="11"/>
      <c r="G701" s="16"/>
      <c r="H701" s="13"/>
      <c r="I701" s="13"/>
      <c r="J701" s="13"/>
      <c r="K701" s="13"/>
      <c r="L701" s="13"/>
      <c r="M701" s="13"/>
      <c r="N701" s="13"/>
      <c r="O701" s="13"/>
      <c r="P701" s="13"/>
      <c r="Q701" s="13" t="str">
        <f aca="false">IF(L701="","",L701)</f>
        <v/>
      </c>
    </row>
    <row r="702" customFormat="false" ht="15.75" hidden="false" customHeight="false" outlineLevel="0" collapsed="false">
      <c r="A702" s="13"/>
      <c r="B702" s="13"/>
      <c r="C702" s="13"/>
      <c r="D702" s="13"/>
      <c r="E702" s="13"/>
      <c r="F702" s="11"/>
      <c r="G702" s="16"/>
      <c r="H702" s="13"/>
      <c r="I702" s="13"/>
      <c r="J702" s="13"/>
      <c r="K702" s="13"/>
      <c r="L702" s="13"/>
      <c r="M702" s="13"/>
      <c r="N702" s="13"/>
      <c r="O702" s="13"/>
      <c r="P702" s="13"/>
      <c r="Q702" s="13" t="str">
        <f aca="false">IF(L702="","",L702)</f>
        <v/>
      </c>
    </row>
    <row r="703" customFormat="false" ht="15.75" hidden="false" customHeight="false" outlineLevel="0" collapsed="false">
      <c r="A703" s="13"/>
      <c r="B703" s="13"/>
      <c r="C703" s="13"/>
      <c r="D703" s="13"/>
      <c r="E703" s="13"/>
      <c r="F703" s="11"/>
      <c r="G703" s="16"/>
      <c r="H703" s="13"/>
      <c r="I703" s="13"/>
      <c r="J703" s="13"/>
      <c r="K703" s="13"/>
      <c r="L703" s="13"/>
      <c r="M703" s="13"/>
      <c r="N703" s="13"/>
      <c r="O703" s="13"/>
      <c r="P703" s="13"/>
      <c r="Q703" s="13" t="str">
        <f aca="false">IF(L703="","",L703)</f>
        <v/>
      </c>
    </row>
    <row r="704" customFormat="false" ht="15.75" hidden="false" customHeight="false" outlineLevel="0" collapsed="false">
      <c r="A704" s="13"/>
      <c r="B704" s="13"/>
      <c r="C704" s="13"/>
      <c r="D704" s="13"/>
      <c r="E704" s="13"/>
      <c r="F704" s="11"/>
      <c r="G704" s="16"/>
      <c r="H704" s="13"/>
      <c r="I704" s="13"/>
      <c r="J704" s="13"/>
      <c r="K704" s="13"/>
      <c r="L704" s="13"/>
      <c r="M704" s="13"/>
      <c r="N704" s="13"/>
      <c r="O704" s="13"/>
      <c r="P704" s="13"/>
      <c r="Q704" s="13" t="str">
        <f aca="false">IF(L704="","",L704)</f>
        <v/>
      </c>
    </row>
    <row r="705" customFormat="false" ht="15.75" hidden="false" customHeight="false" outlineLevel="0" collapsed="false">
      <c r="A705" s="13"/>
      <c r="B705" s="13"/>
      <c r="C705" s="13"/>
      <c r="D705" s="13"/>
      <c r="E705" s="13"/>
      <c r="F705" s="11"/>
      <c r="G705" s="16"/>
      <c r="H705" s="13"/>
      <c r="I705" s="13"/>
      <c r="J705" s="13"/>
      <c r="K705" s="13"/>
      <c r="L705" s="13"/>
      <c r="M705" s="13"/>
      <c r="N705" s="13"/>
      <c r="O705" s="13"/>
      <c r="P705" s="13"/>
      <c r="Q705" s="13" t="str">
        <f aca="false">IF(L705="","",L705)</f>
        <v/>
      </c>
    </row>
    <row r="706" customFormat="false" ht="15.75" hidden="false" customHeight="false" outlineLevel="0" collapsed="false">
      <c r="A706" s="13"/>
      <c r="B706" s="13"/>
      <c r="C706" s="13"/>
      <c r="D706" s="13"/>
      <c r="E706" s="13"/>
      <c r="F706" s="11"/>
      <c r="G706" s="16"/>
      <c r="H706" s="13"/>
      <c r="I706" s="13"/>
      <c r="J706" s="13"/>
      <c r="K706" s="13"/>
      <c r="L706" s="13"/>
      <c r="M706" s="13"/>
      <c r="N706" s="13"/>
      <c r="O706" s="13"/>
      <c r="P706" s="13"/>
      <c r="Q706" s="13" t="str">
        <f aca="false">IF(L706="","",L706)</f>
        <v/>
      </c>
    </row>
    <row r="707" customFormat="false" ht="15.75" hidden="false" customHeight="false" outlineLevel="0" collapsed="false">
      <c r="A707" s="13"/>
      <c r="B707" s="13"/>
      <c r="C707" s="13"/>
      <c r="D707" s="13"/>
      <c r="E707" s="13"/>
      <c r="F707" s="11"/>
      <c r="G707" s="16"/>
      <c r="H707" s="13"/>
      <c r="I707" s="13"/>
      <c r="J707" s="13"/>
      <c r="K707" s="13"/>
      <c r="L707" s="13"/>
      <c r="M707" s="13"/>
      <c r="N707" s="13"/>
      <c r="O707" s="13"/>
      <c r="P707" s="13"/>
      <c r="Q707" s="13" t="str">
        <f aca="false">IF(L707="","",L707)</f>
        <v/>
      </c>
    </row>
    <row r="708" customFormat="false" ht="15.75" hidden="false" customHeight="false" outlineLevel="0" collapsed="false">
      <c r="A708" s="13"/>
      <c r="B708" s="13"/>
      <c r="C708" s="13"/>
      <c r="D708" s="13"/>
      <c r="E708" s="13"/>
      <c r="F708" s="11"/>
      <c r="G708" s="16"/>
      <c r="H708" s="13"/>
      <c r="I708" s="13"/>
      <c r="J708" s="13"/>
      <c r="K708" s="13"/>
      <c r="L708" s="13"/>
      <c r="M708" s="13"/>
      <c r="N708" s="13"/>
      <c r="O708" s="13"/>
      <c r="P708" s="13"/>
      <c r="Q708" s="13" t="str">
        <f aca="false">IF(L708="","",L708)</f>
        <v/>
      </c>
    </row>
    <row r="709" customFormat="false" ht="15.75" hidden="false" customHeight="false" outlineLevel="0" collapsed="false">
      <c r="A709" s="13"/>
      <c r="B709" s="13"/>
      <c r="C709" s="13"/>
      <c r="D709" s="13"/>
      <c r="E709" s="13"/>
      <c r="F709" s="11"/>
      <c r="G709" s="16"/>
      <c r="H709" s="13"/>
      <c r="I709" s="13"/>
      <c r="J709" s="13"/>
      <c r="K709" s="13"/>
      <c r="L709" s="13"/>
      <c r="M709" s="13"/>
      <c r="N709" s="13"/>
      <c r="O709" s="13"/>
      <c r="P709" s="13"/>
      <c r="Q709" s="13" t="str">
        <f aca="false">IF(L709="","",L709)</f>
        <v/>
      </c>
    </row>
    <row r="710" customFormat="false" ht="15.75" hidden="false" customHeight="false" outlineLevel="0" collapsed="false">
      <c r="A710" s="13"/>
      <c r="B710" s="13"/>
      <c r="C710" s="13"/>
      <c r="D710" s="13"/>
      <c r="E710" s="13"/>
      <c r="F710" s="11"/>
      <c r="G710" s="16"/>
      <c r="H710" s="13"/>
      <c r="I710" s="13"/>
      <c r="J710" s="13"/>
      <c r="K710" s="13"/>
      <c r="L710" s="13"/>
      <c r="M710" s="13"/>
      <c r="N710" s="13"/>
      <c r="O710" s="13"/>
      <c r="P710" s="13"/>
      <c r="Q710" s="13" t="str">
        <f aca="false">IF(L710="","",L710)</f>
        <v/>
      </c>
    </row>
    <row r="711" customFormat="false" ht="15.75" hidden="false" customHeight="false" outlineLevel="0" collapsed="false">
      <c r="A711" s="13"/>
      <c r="B711" s="13"/>
      <c r="C711" s="13"/>
      <c r="D711" s="13"/>
      <c r="E711" s="13"/>
      <c r="F711" s="11"/>
      <c r="G711" s="16"/>
      <c r="H711" s="13"/>
      <c r="I711" s="13"/>
      <c r="J711" s="13"/>
      <c r="K711" s="13"/>
      <c r="L711" s="13"/>
      <c r="M711" s="13"/>
      <c r="N711" s="13"/>
      <c r="O711" s="13"/>
      <c r="P711" s="13"/>
      <c r="Q711" s="13" t="str">
        <f aca="false">IF(L711="","",L711)</f>
        <v/>
      </c>
    </row>
    <row r="712" customFormat="false" ht="15.75" hidden="false" customHeight="false" outlineLevel="0" collapsed="false">
      <c r="A712" s="13"/>
      <c r="B712" s="13"/>
      <c r="C712" s="13"/>
      <c r="D712" s="13"/>
      <c r="E712" s="13"/>
      <c r="F712" s="11"/>
      <c r="G712" s="16"/>
      <c r="H712" s="13"/>
      <c r="I712" s="13"/>
      <c r="J712" s="13"/>
      <c r="K712" s="13"/>
      <c r="L712" s="13"/>
      <c r="M712" s="13"/>
      <c r="N712" s="13"/>
      <c r="O712" s="13"/>
      <c r="P712" s="13"/>
      <c r="Q712" s="13" t="str">
        <f aca="false">IF(L712="","",L712)</f>
        <v/>
      </c>
    </row>
    <row r="713" customFormat="false" ht="15.75" hidden="false" customHeight="false" outlineLevel="0" collapsed="false">
      <c r="A713" s="13"/>
      <c r="B713" s="13"/>
      <c r="C713" s="13"/>
      <c r="D713" s="13"/>
      <c r="E713" s="13"/>
      <c r="F713" s="11"/>
      <c r="G713" s="16"/>
      <c r="H713" s="13"/>
      <c r="I713" s="13"/>
      <c r="J713" s="13"/>
      <c r="K713" s="13"/>
      <c r="L713" s="13"/>
      <c r="M713" s="13"/>
      <c r="N713" s="13"/>
      <c r="O713" s="13"/>
      <c r="P713" s="13"/>
      <c r="Q713" s="13" t="str">
        <f aca="false">IF(L713="","",L713)</f>
        <v/>
      </c>
    </row>
    <row r="714" customFormat="false" ht="15.75" hidden="false" customHeight="false" outlineLevel="0" collapsed="false">
      <c r="A714" s="13"/>
      <c r="B714" s="13"/>
      <c r="C714" s="13"/>
      <c r="D714" s="13"/>
      <c r="E714" s="13"/>
      <c r="F714" s="11"/>
      <c r="G714" s="16"/>
      <c r="H714" s="13"/>
      <c r="I714" s="13"/>
      <c r="J714" s="13"/>
      <c r="K714" s="13"/>
      <c r="L714" s="13"/>
      <c r="M714" s="13"/>
      <c r="N714" s="13"/>
      <c r="O714" s="13"/>
      <c r="P714" s="13"/>
      <c r="Q714" s="13" t="str">
        <f aca="false">IF(L714="","",L714)</f>
        <v/>
      </c>
    </row>
    <row r="715" customFormat="false" ht="15.75" hidden="false" customHeight="false" outlineLevel="0" collapsed="false">
      <c r="A715" s="13"/>
      <c r="B715" s="13"/>
      <c r="C715" s="13"/>
      <c r="D715" s="13"/>
      <c r="E715" s="13"/>
      <c r="F715" s="11"/>
      <c r="G715" s="16"/>
      <c r="H715" s="13"/>
      <c r="I715" s="13"/>
      <c r="J715" s="13"/>
      <c r="K715" s="13"/>
      <c r="L715" s="13"/>
      <c r="M715" s="13"/>
      <c r="N715" s="13"/>
      <c r="O715" s="13"/>
      <c r="P715" s="13"/>
      <c r="Q715" s="13" t="str">
        <f aca="false">IF(L715="","",L715)</f>
        <v/>
      </c>
    </row>
    <row r="716" customFormat="false" ht="15.75" hidden="false" customHeight="false" outlineLevel="0" collapsed="false">
      <c r="A716" s="13"/>
      <c r="B716" s="13"/>
      <c r="C716" s="13"/>
      <c r="D716" s="13"/>
      <c r="E716" s="13"/>
      <c r="F716" s="11"/>
      <c r="G716" s="16"/>
      <c r="H716" s="13"/>
      <c r="I716" s="13"/>
      <c r="J716" s="13"/>
      <c r="K716" s="13"/>
      <c r="L716" s="13"/>
      <c r="M716" s="13"/>
      <c r="N716" s="13"/>
      <c r="O716" s="13"/>
      <c r="P716" s="13"/>
      <c r="Q716" s="13" t="str">
        <f aca="false">IF(L716="","",L716)</f>
        <v/>
      </c>
    </row>
    <row r="717" customFormat="false" ht="15.75" hidden="false" customHeight="false" outlineLevel="0" collapsed="false">
      <c r="A717" s="13"/>
      <c r="B717" s="13"/>
      <c r="C717" s="13"/>
      <c r="D717" s="13"/>
      <c r="E717" s="13"/>
      <c r="F717" s="11"/>
      <c r="G717" s="16"/>
      <c r="H717" s="13"/>
      <c r="I717" s="13"/>
      <c r="J717" s="13"/>
      <c r="K717" s="13"/>
      <c r="L717" s="13"/>
      <c r="M717" s="13"/>
      <c r="N717" s="13"/>
      <c r="O717" s="13"/>
      <c r="P717" s="13"/>
      <c r="Q717" s="13" t="str">
        <f aca="false">IF(L717="","",L717)</f>
        <v/>
      </c>
    </row>
    <row r="718" customFormat="false" ht="15.75" hidden="false" customHeight="false" outlineLevel="0" collapsed="false">
      <c r="A718" s="13"/>
      <c r="B718" s="13"/>
      <c r="C718" s="13"/>
      <c r="D718" s="13"/>
      <c r="E718" s="13"/>
      <c r="F718" s="11"/>
      <c r="G718" s="16"/>
      <c r="H718" s="13"/>
      <c r="I718" s="13"/>
      <c r="J718" s="13"/>
      <c r="K718" s="13"/>
      <c r="L718" s="13"/>
      <c r="M718" s="13"/>
      <c r="N718" s="13"/>
      <c r="O718" s="13"/>
      <c r="P718" s="13"/>
      <c r="Q718" s="13" t="str">
        <f aca="false">IF(L718="","",L718)</f>
        <v/>
      </c>
    </row>
    <row r="719" customFormat="false" ht="15.75" hidden="false" customHeight="false" outlineLevel="0" collapsed="false">
      <c r="A719" s="13"/>
      <c r="B719" s="13"/>
      <c r="C719" s="13"/>
      <c r="D719" s="13"/>
      <c r="E719" s="13"/>
      <c r="F719" s="11"/>
      <c r="G719" s="16"/>
      <c r="H719" s="13"/>
      <c r="I719" s="13"/>
      <c r="J719" s="13"/>
      <c r="K719" s="13"/>
      <c r="L719" s="13"/>
      <c r="M719" s="13"/>
      <c r="N719" s="13"/>
      <c r="O719" s="13"/>
      <c r="P719" s="13"/>
      <c r="Q719" s="13" t="str">
        <f aca="false">IF(L719="","",L719)</f>
        <v/>
      </c>
    </row>
    <row r="720" customFormat="false" ht="15.75" hidden="false" customHeight="false" outlineLevel="0" collapsed="false">
      <c r="A720" s="13"/>
      <c r="B720" s="13"/>
      <c r="C720" s="13"/>
      <c r="D720" s="13"/>
      <c r="E720" s="13"/>
      <c r="F720" s="11"/>
      <c r="G720" s="16"/>
      <c r="H720" s="13"/>
      <c r="I720" s="13"/>
      <c r="J720" s="13"/>
      <c r="K720" s="13"/>
      <c r="L720" s="13"/>
      <c r="M720" s="13"/>
      <c r="N720" s="13"/>
      <c r="O720" s="13"/>
      <c r="P720" s="13"/>
      <c r="Q720" s="13" t="str">
        <f aca="false">IF(L720="","",L720)</f>
        <v/>
      </c>
    </row>
    <row r="721" customFormat="false" ht="15.75" hidden="false" customHeight="false" outlineLevel="0" collapsed="false">
      <c r="A721" s="13"/>
      <c r="B721" s="13"/>
      <c r="C721" s="13"/>
      <c r="D721" s="13"/>
      <c r="E721" s="13"/>
      <c r="F721" s="11"/>
      <c r="G721" s="16"/>
      <c r="H721" s="13"/>
      <c r="I721" s="13"/>
      <c r="J721" s="13"/>
      <c r="K721" s="13"/>
      <c r="L721" s="13"/>
      <c r="M721" s="13"/>
      <c r="N721" s="13"/>
      <c r="O721" s="13"/>
      <c r="P721" s="13"/>
      <c r="Q721" s="13" t="str">
        <f aca="false">IF(L721="","",L721)</f>
        <v/>
      </c>
    </row>
    <row r="722" customFormat="false" ht="15.75" hidden="false" customHeight="false" outlineLevel="0" collapsed="false">
      <c r="A722" s="13"/>
      <c r="B722" s="13"/>
      <c r="C722" s="13"/>
      <c r="D722" s="13"/>
      <c r="E722" s="13"/>
      <c r="F722" s="11"/>
      <c r="G722" s="16"/>
      <c r="H722" s="13"/>
      <c r="I722" s="13"/>
      <c r="J722" s="13"/>
      <c r="K722" s="13"/>
      <c r="L722" s="13"/>
      <c r="M722" s="13"/>
      <c r="N722" s="13"/>
      <c r="O722" s="13"/>
      <c r="P722" s="13"/>
      <c r="Q722" s="13" t="str">
        <f aca="false">IF(L722="","",L722)</f>
        <v/>
      </c>
    </row>
    <row r="723" customFormat="false" ht="15.75" hidden="false" customHeight="false" outlineLevel="0" collapsed="false">
      <c r="A723" s="13"/>
      <c r="B723" s="13"/>
      <c r="C723" s="13"/>
      <c r="D723" s="13"/>
      <c r="E723" s="13"/>
      <c r="F723" s="11"/>
      <c r="G723" s="16"/>
      <c r="H723" s="13"/>
      <c r="I723" s="13"/>
      <c r="J723" s="13"/>
      <c r="K723" s="13"/>
      <c r="L723" s="13"/>
      <c r="M723" s="13"/>
      <c r="N723" s="13"/>
      <c r="O723" s="13"/>
      <c r="P723" s="13"/>
      <c r="Q723" s="13" t="str">
        <f aca="false">IF(L723="","",L723)</f>
        <v/>
      </c>
    </row>
    <row r="724" customFormat="false" ht="15.75" hidden="false" customHeight="false" outlineLevel="0" collapsed="false">
      <c r="A724" s="13"/>
      <c r="B724" s="13"/>
      <c r="C724" s="13"/>
      <c r="D724" s="13"/>
      <c r="E724" s="13"/>
      <c r="F724" s="11"/>
      <c r="G724" s="16"/>
      <c r="H724" s="13"/>
      <c r="I724" s="13"/>
      <c r="J724" s="13"/>
      <c r="K724" s="13"/>
      <c r="L724" s="13"/>
      <c r="M724" s="13"/>
      <c r="N724" s="13"/>
      <c r="O724" s="13"/>
      <c r="P724" s="13"/>
      <c r="Q724" s="13" t="str">
        <f aca="false">IF(L724="","",L724)</f>
        <v/>
      </c>
    </row>
    <row r="725" customFormat="false" ht="15.75" hidden="false" customHeight="false" outlineLevel="0" collapsed="false">
      <c r="A725" s="13"/>
      <c r="B725" s="13"/>
      <c r="C725" s="13"/>
      <c r="D725" s="13"/>
      <c r="E725" s="13"/>
      <c r="F725" s="11"/>
      <c r="G725" s="16"/>
      <c r="H725" s="13"/>
      <c r="I725" s="13"/>
      <c r="J725" s="13"/>
      <c r="K725" s="13"/>
      <c r="L725" s="13"/>
      <c r="M725" s="13"/>
      <c r="N725" s="13"/>
      <c r="O725" s="13"/>
      <c r="P725" s="13"/>
      <c r="Q725" s="13" t="str">
        <f aca="false">IF(L725="","",L725)</f>
        <v/>
      </c>
    </row>
    <row r="726" customFormat="false" ht="15.75" hidden="false" customHeight="false" outlineLevel="0" collapsed="false">
      <c r="A726" s="13"/>
      <c r="B726" s="13"/>
      <c r="C726" s="13"/>
      <c r="D726" s="13"/>
      <c r="E726" s="13"/>
      <c r="F726" s="11"/>
      <c r="G726" s="16"/>
      <c r="H726" s="13"/>
      <c r="I726" s="13"/>
      <c r="J726" s="13"/>
      <c r="K726" s="13"/>
      <c r="L726" s="13"/>
      <c r="M726" s="13"/>
      <c r="N726" s="13"/>
      <c r="O726" s="13"/>
      <c r="P726" s="13"/>
      <c r="Q726" s="13" t="str">
        <f aca="false">IF(L726="","",L726)</f>
        <v/>
      </c>
    </row>
    <row r="727" customFormat="false" ht="15.75" hidden="false" customHeight="false" outlineLevel="0" collapsed="false">
      <c r="A727" s="13"/>
      <c r="B727" s="13"/>
      <c r="C727" s="13"/>
      <c r="D727" s="13"/>
      <c r="E727" s="13"/>
      <c r="F727" s="11"/>
      <c r="G727" s="16"/>
      <c r="H727" s="13"/>
      <c r="I727" s="13"/>
      <c r="J727" s="13"/>
      <c r="K727" s="13"/>
      <c r="L727" s="13"/>
      <c r="M727" s="13"/>
      <c r="N727" s="13"/>
      <c r="O727" s="13"/>
      <c r="P727" s="13"/>
      <c r="Q727" s="13" t="str">
        <f aca="false">IF(L727="","",L727)</f>
        <v/>
      </c>
    </row>
    <row r="728" customFormat="false" ht="15.75" hidden="false" customHeight="false" outlineLevel="0" collapsed="false">
      <c r="A728" s="13"/>
      <c r="B728" s="13"/>
      <c r="C728" s="13"/>
      <c r="D728" s="13"/>
      <c r="E728" s="13"/>
      <c r="F728" s="11"/>
      <c r="G728" s="16"/>
      <c r="H728" s="13"/>
      <c r="I728" s="13"/>
      <c r="J728" s="13"/>
      <c r="K728" s="13"/>
      <c r="L728" s="13"/>
      <c r="M728" s="13"/>
      <c r="N728" s="13"/>
      <c r="O728" s="13"/>
      <c r="P728" s="13"/>
      <c r="Q728" s="13" t="str">
        <f aca="false">IF(L728="","",L728)</f>
        <v/>
      </c>
    </row>
    <row r="729" customFormat="false" ht="15.75" hidden="false" customHeight="false" outlineLevel="0" collapsed="false">
      <c r="A729" s="13"/>
      <c r="B729" s="13"/>
      <c r="C729" s="13"/>
      <c r="D729" s="13"/>
      <c r="E729" s="13"/>
      <c r="F729" s="11"/>
      <c r="G729" s="16"/>
      <c r="H729" s="13"/>
      <c r="I729" s="13"/>
      <c r="J729" s="13"/>
      <c r="K729" s="13"/>
      <c r="L729" s="13"/>
      <c r="M729" s="13"/>
      <c r="N729" s="13"/>
      <c r="O729" s="13"/>
      <c r="P729" s="13"/>
      <c r="Q729" s="13" t="str">
        <f aca="false">IF(L729="","",L729)</f>
        <v/>
      </c>
    </row>
    <row r="730" customFormat="false" ht="15.75" hidden="false" customHeight="false" outlineLevel="0" collapsed="false">
      <c r="A730" s="13"/>
      <c r="B730" s="13"/>
      <c r="C730" s="13"/>
      <c r="D730" s="13"/>
      <c r="E730" s="13"/>
      <c r="F730" s="11"/>
      <c r="G730" s="16"/>
      <c r="H730" s="13"/>
      <c r="I730" s="13"/>
      <c r="J730" s="13"/>
      <c r="K730" s="13"/>
      <c r="L730" s="13"/>
      <c r="M730" s="13"/>
      <c r="N730" s="13"/>
      <c r="O730" s="13"/>
      <c r="P730" s="13"/>
      <c r="Q730" s="13" t="str">
        <f aca="false">IF(L730="","",L730)</f>
        <v/>
      </c>
    </row>
    <row r="731" customFormat="false" ht="15.75" hidden="false" customHeight="false" outlineLevel="0" collapsed="false">
      <c r="A731" s="13"/>
      <c r="B731" s="13"/>
      <c r="C731" s="13"/>
      <c r="D731" s="13"/>
      <c r="E731" s="13"/>
      <c r="F731" s="11"/>
      <c r="G731" s="16"/>
      <c r="H731" s="13"/>
      <c r="I731" s="13"/>
      <c r="J731" s="13"/>
      <c r="K731" s="13"/>
      <c r="L731" s="13"/>
      <c r="M731" s="13"/>
      <c r="N731" s="13"/>
      <c r="O731" s="13"/>
      <c r="P731" s="13"/>
      <c r="Q731" s="13" t="str">
        <f aca="false">IF(L731="","",L731)</f>
        <v/>
      </c>
    </row>
    <row r="732" customFormat="false" ht="15.75" hidden="false" customHeight="false" outlineLevel="0" collapsed="false">
      <c r="A732" s="13"/>
      <c r="B732" s="13"/>
      <c r="C732" s="13"/>
      <c r="D732" s="13"/>
      <c r="E732" s="13"/>
      <c r="F732" s="11"/>
      <c r="G732" s="16"/>
      <c r="H732" s="13"/>
      <c r="I732" s="13"/>
      <c r="J732" s="13"/>
      <c r="K732" s="13"/>
      <c r="L732" s="13"/>
      <c r="M732" s="13"/>
      <c r="N732" s="13"/>
      <c r="O732" s="13"/>
      <c r="P732" s="13"/>
      <c r="Q732" s="13" t="str">
        <f aca="false">IF(L732="","",L732)</f>
        <v/>
      </c>
    </row>
    <row r="733" customFormat="false" ht="15.75" hidden="false" customHeight="false" outlineLevel="0" collapsed="false">
      <c r="A733" s="13"/>
      <c r="B733" s="13"/>
      <c r="C733" s="13"/>
      <c r="D733" s="13"/>
      <c r="E733" s="13"/>
      <c r="F733" s="11"/>
      <c r="G733" s="16"/>
      <c r="H733" s="13"/>
      <c r="I733" s="13"/>
      <c r="J733" s="13"/>
      <c r="K733" s="13"/>
      <c r="L733" s="13"/>
      <c r="M733" s="13"/>
      <c r="N733" s="13"/>
      <c r="O733" s="13"/>
      <c r="P733" s="13"/>
      <c r="Q733" s="13" t="str">
        <f aca="false">IF(L733="","",L733)</f>
        <v/>
      </c>
    </row>
    <row r="734" customFormat="false" ht="15.75" hidden="false" customHeight="false" outlineLevel="0" collapsed="false">
      <c r="A734" s="13"/>
      <c r="B734" s="13"/>
      <c r="C734" s="13"/>
      <c r="D734" s="13"/>
      <c r="E734" s="13"/>
      <c r="F734" s="11"/>
      <c r="G734" s="16"/>
      <c r="H734" s="13"/>
      <c r="I734" s="13"/>
      <c r="J734" s="13"/>
      <c r="K734" s="13"/>
      <c r="L734" s="13"/>
      <c r="M734" s="13"/>
      <c r="N734" s="13"/>
      <c r="O734" s="13"/>
      <c r="P734" s="13"/>
      <c r="Q734" s="13" t="str">
        <f aca="false">IF(L734="","",L734)</f>
        <v/>
      </c>
    </row>
    <row r="735" customFormat="false" ht="15.75" hidden="false" customHeight="false" outlineLevel="0" collapsed="false">
      <c r="A735" s="13"/>
      <c r="B735" s="13"/>
      <c r="C735" s="13"/>
      <c r="D735" s="13"/>
      <c r="E735" s="13"/>
      <c r="F735" s="11"/>
      <c r="G735" s="16"/>
      <c r="H735" s="13"/>
      <c r="I735" s="13"/>
      <c r="J735" s="13"/>
      <c r="K735" s="13"/>
      <c r="L735" s="13"/>
      <c r="M735" s="13"/>
      <c r="N735" s="13"/>
      <c r="O735" s="13"/>
      <c r="P735" s="13"/>
      <c r="Q735" s="13" t="str">
        <f aca="false">IF(L735="","",L735)</f>
        <v/>
      </c>
    </row>
    <row r="736" customFormat="false" ht="15.75" hidden="false" customHeight="false" outlineLevel="0" collapsed="false">
      <c r="A736" s="13"/>
      <c r="B736" s="13"/>
      <c r="C736" s="13"/>
      <c r="D736" s="13"/>
      <c r="E736" s="13"/>
      <c r="F736" s="11"/>
      <c r="G736" s="16"/>
      <c r="H736" s="13"/>
      <c r="I736" s="13"/>
      <c r="J736" s="13"/>
      <c r="K736" s="13"/>
      <c r="L736" s="13"/>
      <c r="M736" s="13"/>
      <c r="N736" s="13"/>
      <c r="O736" s="13"/>
      <c r="P736" s="13"/>
      <c r="Q736" s="13" t="str">
        <f aca="false">IF(L736="","",L736)</f>
        <v/>
      </c>
    </row>
    <row r="737" customFormat="false" ht="15.75" hidden="false" customHeight="false" outlineLevel="0" collapsed="false">
      <c r="A737" s="13"/>
      <c r="B737" s="13"/>
      <c r="C737" s="13"/>
      <c r="D737" s="13"/>
      <c r="E737" s="13"/>
      <c r="F737" s="11"/>
      <c r="G737" s="16"/>
      <c r="H737" s="13"/>
      <c r="I737" s="13"/>
      <c r="J737" s="13"/>
      <c r="K737" s="13"/>
      <c r="L737" s="13"/>
      <c r="M737" s="13"/>
      <c r="N737" s="13"/>
      <c r="O737" s="13"/>
      <c r="P737" s="13"/>
      <c r="Q737" s="13" t="str">
        <f aca="false">IF(L737="","",L737)</f>
        <v/>
      </c>
    </row>
    <row r="738" customFormat="false" ht="15.75" hidden="false" customHeight="false" outlineLevel="0" collapsed="false">
      <c r="A738" s="13"/>
      <c r="B738" s="13"/>
      <c r="C738" s="13"/>
      <c r="D738" s="13"/>
      <c r="E738" s="13"/>
      <c r="F738" s="11"/>
      <c r="G738" s="16"/>
      <c r="H738" s="13"/>
      <c r="I738" s="13"/>
      <c r="J738" s="13"/>
      <c r="K738" s="13"/>
      <c r="L738" s="13"/>
      <c r="M738" s="13"/>
      <c r="N738" s="13"/>
      <c r="O738" s="13"/>
      <c r="P738" s="13"/>
      <c r="Q738" s="13" t="str">
        <f aca="false">IF(L738="","",L738)</f>
        <v/>
      </c>
    </row>
    <row r="739" customFormat="false" ht="15.75" hidden="false" customHeight="false" outlineLevel="0" collapsed="false">
      <c r="A739" s="13"/>
      <c r="B739" s="13"/>
      <c r="C739" s="13"/>
      <c r="D739" s="13"/>
      <c r="E739" s="13"/>
      <c r="F739" s="11"/>
      <c r="G739" s="16"/>
      <c r="H739" s="13"/>
      <c r="I739" s="13"/>
      <c r="J739" s="13"/>
      <c r="K739" s="13"/>
      <c r="L739" s="13"/>
      <c r="M739" s="13"/>
      <c r="N739" s="13"/>
      <c r="O739" s="13"/>
      <c r="P739" s="13"/>
      <c r="Q739" s="13" t="str">
        <f aca="false">IF(L739="","",L739)</f>
        <v/>
      </c>
    </row>
    <row r="740" customFormat="false" ht="15.75" hidden="false" customHeight="false" outlineLevel="0" collapsed="false">
      <c r="A740" s="13"/>
      <c r="B740" s="13"/>
      <c r="C740" s="13"/>
      <c r="D740" s="13"/>
      <c r="E740" s="13"/>
      <c r="F740" s="11"/>
      <c r="G740" s="16"/>
      <c r="H740" s="13"/>
      <c r="I740" s="13"/>
      <c r="J740" s="13"/>
      <c r="K740" s="13"/>
      <c r="L740" s="13"/>
      <c r="M740" s="13"/>
      <c r="N740" s="13"/>
      <c r="O740" s="13"/>
      <c r="P740" s="13"/>
      <c r="Q740" s="13" t="str">
        <f aca="false">IF(L740="","",L740)</f>
        <v/>
      </c>
    </row>
    <row r="741" customFormat="false" ht="15.75" hidden="false" customHeight="false" outlineLevel="0" collapsed="false">
      <c r="A741" s="13"/>
      <c r="B741" s="13"/>
      <c r="C741" s="13"/>
      <c r="D741" s="13"/>
      <c r="E741" s="13"/>
      <c r="F741" s="11"/>
      <c r="G741" s="16"/>
      <c r="H741" s="13"/>
      <c r="I741" s="13"/>
      <c r="J741" s="13"/>
      <c r="K741" s="13"/>
      <c r="L741" s="13"/>
      <c r="M741" s="13"/>
      <c r="N741" s="13"/>
      <c r="O741" s="13"/>
      <c r="P741" s="13"/>
      <c r="Q741" s="13" t="str">
        <f aca="false">IF(L741="","",L741)</f>
        <v/>
      </c>
    </row>
    <row r="742" customFormat="false" ht="15.75" hidden="false" customHeight="false" outlineLevel="0" collapsed="false">
      <c r="A742" s="13"/>
      <c r="B742" s="13"/>
      <c r="C742" s="13"/>
      <c r="D742" s="13"/>
      <c r="E742" s="13"/>
      <c r="F742" s="11"/>
      <c r="G742" s="16"/>
      <c r="H742" s="13"/>
      <c r="I742" s="13"/>
      <c r="J742" s="13"/>
      <c r="K742" s="13"/>
      <c r="L742" s="13"/>
      <c r="M742" s="13"/>
      <c r="N742" s="13"/>
      <c r="O742" s="13"/>
      <c r="P742" s="13"/>
      <c r="Q742" s="13" t="str">
        <f aca="false">IF(L742="","",L742)</f>
        <v/>
      </c>
    </row>
    <row r="743" customFormat="false" ht="15.75" hidden="false" customHeight="false" outlineLevel="0" collapsed="false">
      <c r="A743" s="13"/>
      <c r="B743" s="13"/>
      <c r="C743" s="13"/>
      <c r="D743" s="13"/>
      <c r="E743" s="13"/>
      <c r="F743" s="11"/>
      <c r="G743" s="16"/>
      <c r="H743" s="13"/>
      <c r="I743" s="13"/>
      <c r="J743" s="13"/>
      <c r="K743" s="13"/>
      <c r="L743" s="13"/>
      <c r="M743" s="13"/>
      <c r="N743" s="13"/>
      <c r="O743" s="13"/>
      <c r="P743" s="13"/>
      <c r="Q743" s="13" t="str">
        <f aca="false">IF(L743="","",L743)</f>
        <v/>
      </c>
    </row>
    <row r="744" customFormat="false" ht="15.75" hidden="false" customHeight="false" outlineLevel="0" collapsed="false">
      <c r="A744" s="13"/>
      <c r="B744" s="13"/>
      <c r="C744" s="13"/>
      <c r="D744" s="13"/>
      <c r="E744" s="13"/>
      <c r="F744" s="11"/>
      <c r="G744" s="16"/>
      <c r="H744" s="13"/>
      <c r="I744" s="13"/>
      <c r="J744" s="13"/>
      <c r="K744" s="13"/>
      <c r="L744" s="13"/>
      <c r="M744" s="13"/>
      <c r="N744" s="13"/>
      <c r="O744" s="13"/>
      <c r="P744" s="13"/>
      <c r="Q744" s="13" t="str">
        <f aca="false">IF(L744="","",L744)</f>
        <v/>
      </c>
    </row>
    <row r="745" customFormat="false" ht="15.75" hidden="false" customHeight="false" outlineLevel="0" collapsed="false">
      <c r="A745" s="13"/>
      <c r="B745" s="13"/>
      <c r="C745" s="13"/>
      <c r="D745" s="13"/>
      <c r="E745" s="13"/>
      <c r="F745" s="11"/>
      <c r="G745" s="16"/>
      <c r="H745" s="13"/>
      <c r="I745" s="13"/>
      <c r="J745" s="13"/>
      <c r="K745" s="13"/>
      <c r="L745" s="13"/>
      <c r="M745" s="13"/>
      <c r="N745" s="13"/>
      <c r="O745" s="13"/>
      <c r="P745" s="13"/>
      <c r="Q745" s="13" t="str">
        <f aca="false">IF(L745="","",L745)</f>
        <v/>
      </c>
    </row>
    <row r="746" customFormat="false" ht="15.75" hidden="false" customHeight="false" outlineLevel="0" collapsed="false">
      <c r="A746" s="13"/>
      <c r="B746" s="13"/>
      <c r="C746" s="13"/>
      <c r="D746" s="13"/>
      <c r="E746" s="13"/>
      <c r="F746" s="11"/>
      <c r="G746" s="16"/>
      <c r="H746" s="13"/>
      <c r="I746" s="13"/>
      <c r="J746" s="13"/>
      <c r="K746" s="13"/>
      <c r="L746" s="13"/>
      <c r="M746" s="13"/>
      <c r="N746" s="13"/>
      <c r="O746" s="13"/>
      <c r="P746" s="13"/>
      <c r="Q746" s="13" t="str">
        <f aca="false">IF(L746="","",L746)</f>
        <v/>
      </c>
    </row>
    <row r="747" customFormat="false" ht="15.75" hidden="false" customHeight="false" outlineLevel="0" collapsed="false">
      <c r="A747" s="13"/>
      <c r="B747" s="13"/>
      <c r="C747" s="13"/>
      <c r="D747" s="13"/>
      <c r="E747" s="13"/>
      <c r="F747" s="11"/>
      <c r="G747" s="16"/>
      <c r="H747" s="13"/>
      <c r="I747" s="13"/>
      <c r="J747" s="13"/>
      <c r="K747" s="13"/>
      <c r="L747" s="13"/>
      <c r="M747" s="13"/>
      <c r="N747" s="13"/>
      <c r="O747" s="13"/>
      <c r="P747" s="13"/>
      <c r="Q747" s="13" t="str">
        <f aca="false">IF(L747="","",L747)</f>
        <v/>
      </c>
    </row>
    <row r="748" customFormat="false" ht="15.75" hidden="false" customHeight="false" outlineLevel="0" collapsed="false">
      <c r="A748" s="13"/>
      <c r="B748" s="13"/>
      <c r="C748" s="13"/>
      <c r="D748" s="13"/>
      <c r="E748" s="13"/>
      <c r="F748" s="11"/>
      <c r="G748" s="16"/>
      <c r="H748" s="13"/>
      <c r="I748" s="13"/>
      <c r="J748" s="13"/>
      <c r="K748" s="13"/>
      <c r="L748" s="13"/>
      <c r="M748" s="13"/>
      <c r="N748" s="13"/>
      <c r="O748" s="13"/>
      <c r="P748" s="13"/>
      <c r="Q748" s="13" t="str">
        <f aca="false">IF(L748="","",L748)</f>
        <v/>
      </c>
    </row>
    <row r="749" customFormat="false" ht="15.75" hidden="false" customHeight="false" outlineLevel="0" collapsed="false">
      <c r="A749" s="13"/>
      <c r="B749" s="13"/>
      <c r="C749" s="13"/>
      <c r="D749" s="13"/>
      <c r="E749" s="13"/>
      <c r="F749" s="11"/>
      <c r="G749" s="16"/>
      <c r="H749" s="13"/>
      <c r="I749" s="13"/>
      <c r="J749" s="13"/>
      <c r="K749" s="13"/>
      <c r="L749" s="13"/>
      <c r="M749" s="13"/>
      <c r="N749" s="13"/>
      <c r="O749" s="13"/>
      <c r="P749" s="13"/>
      <c r="Q749" s="13" t="str">
        <f aca="false">IF(L749="","",L749)</f>
        <v/>
      </c>
    </row>
    <row r="750" customFormat="false" ht="15.75" hidden="false" customHeight="false" outlineLevel="0" collapsed="false">
      <c r="A750" s="13"/>
      <c r="B750" s="13"/>
      <c r="C750" s="13"/>
      <c r="D750" s="13"/>
      <c r="E750" s="13"/>
      <c r="F750" s="11"/>
      <c r="G750" s="16"/>
      <c r="H750" s="13"/>
      <c r="I750" s="13"/>
      <c r="J750" s="13"/>
      <c r="K750" s="13"/>
      <c r="L750" s="13"/>
      <c r="M750" s="13"/>
      <c r="N750" s="13"/>
      <c r="O750" s="13"/>
      <c r="P750" s="13"/>
      <c r="Q750" s="13" t="str">
        <f aca="false">IF(L750="","",L750)</f>
        <v/>
      </c>
    </row>
    <row r="751" customFormat="false" ht="15.75" hidden="false" customHeight="false" outlineLevel="0" collapsed="false">
      <c r="A751" s="13"/>
      <c r="B751" s="13"/>
      <c r="C751" s="13"/>
      <c r="D751" s="13"/>
      <c r="E751" s="13"/>
      <c r="F751" s="11"/>
      <c r="G751" s="16"/>
      <c r="H751" s="13"/>
      <c r="I751" s="13"/>
      <c r="J751" s="13"/>
      <c r="K751" s="13"/>
      <c r="L751" s="13"/>
      <c r="M751" s="13"/>
      <c r="N751" s="13"/>
      <c r="O751" s="13"/>
      <c r="P751" s="13"/>
      <c r="Q751" s="13" t="str">
        <f aca="false">IF(L751="","",L751)</f>
        <v/>
      </c>
    </row>
    <row r="752" customFormat="false" ht="15.75" hidden="false" customHeight="false" outlineLevel="0" collapsed="false">
      <c r="A752" s="13"/>
      <c r="B752" s="13"/>
      <c r="C752" s="13"/>
      <c r="D752" s="13"/>
      <c r="E752" s="13"/>
      <c r="F752" s="11"/>
      <c r="G752" s="16"/>
      <c r="H752" s="13"/>
      <c r="I752" s="13"/>
      <c r="J752" s="13"/>
      <c r="K752" s="13"/>
      <c r="L752" s="13"/>
      <c r="M752" s="13"/>
      <c r="N752" s="13"/>
      <c r="O752" s="13"/>
      <c r="P752" s="13"/>
      <c r="Q752" s="13" t="str">
        <f aca="false">IF(L752="","",L752)</f>
        <v/>
      </c>
    </row>
    <row r="753" customFormat="false" ht="15.75" hidden="false" customHeight="false" outlineLevel="0" collapsed="false">
      <c r="A753" s="13"/>
      <c r="B753" s="13"/>
      <c r="C753" s="13"/>
      <c r="D753" s="13"/>
      <c r="E753" s="13"/>
      <c r="F753" s="11"/>
      <c r="G753" s="16"/>
      <c r="H753" s="13"/>
      <c r="I753" s="13"/>
      <c r="J753" s="13"/>
      <c r="K753" s="13"/>
      <c r="L753" s="13"/>
      <c r="M753" s="13"/>
      <c r="N753" s="13"/>
      <c r="O753" s="13"/>
      <c r="P753" s="13"/>
      <c r="Q753" s="13" t="str">
        <f aca="false">IF(L753="","",L753)</f>
        <v/>
      </c>
    </row>
    <row r="754" customFormat="false" ht="15.75" hidden="false" customHeight="false" outlineLevel="0" collapsed="false">
      <c r="A754" s="13"/>
      <c r="B754" s="13"/>
      <c r="C754" s="13"/>
      <c r="D754" s="13"/>
      <c r="E754" s="13"/>
      <c r="F754" s="11"/>
      <c r="G754" s="16"/>
      <c r="H754" s="13"/>
      <c r="I754" s="13"/>
      <c r="J754" s="13"/>
      <c r="K754" s="13"/>
      <c r="L754" s="13"/>
      <c r="M754" s="13"/>
      <c r="N754" s="13"/>
      <c r="O754" s="13"/>
      <c r="P754" s="13"/>
      <c r="Q754" s="13" t="str">
        <f aca="false">IF(L754="","",L754)</f>
        <v/>
      </c>
    </row>
    <row r="755" customFormat="false" ht="15.75" hidden="false" customHeight="false" outlineLevel="0" collapsed="false">
      <c r="A755" s="13"/>
      <c r="B755" s="13"/>
      <c r="C755" s="13"/>
      <c r="D755" s="13"/>
      <c r="E755" s="13"/>
      <c r="F755" s="11"/>
      <c r="G755" s="16"/>
      <c r="H755" s="13"/>
      <c r="I755" s="13"/>
      <c r="J755" s="13"/>
      <c r="K755" s="13"/>
      <c r="L755" s="13"/>
      <c r="M755" s="13"/>
      <c r="N755" s="13"/>
      <c r="O755" s="13"/>
      <c r="P755" s="13"/>
      <c r="Q755" s="13" t="str">
        <f aca="false">IF(L755="","",L755)</f>
        <v/>
      </c>
    </row>
    <row r="756" customFormat="false" ht="15.75" hidden="false" customHeight="false" outlineLevel="0" collapsed="false">
      <c r="A756" s="13"/>
      <c r="B756" s="13"/>
      <c r="C756" s="13"/>
      <c r="D756" s="13"/>
      <c r="E756" s="13"/>
      <c r="F756" s="11"/>
      <c r="G756" s="16"/>
      <c r="H756" s="13"/>
      <c r="I756" s="13"/>
      <c r="J756" s="13"/>
      <c r="K756" s="13"/>
      <c r="L756" s="13"/>
      <c r="M756" s="13"/>
      <c r="N756" s="13"/>
      <c r="O756" s="13"/>
      <c r="P756" s="13"/>
      <c r="Q756" s="13" t="str">
        <f aca="false">IF(L756="","",L756)</f>
        <v/>
      </c>
    </row>
    <row r="757" customFormat="false" ht="15.75" hidden="false" customHeight="false" outlineLevel="0" collapsed="false">
      <c r="A757" s="13"/>
      <c r="B757" s="13"/>
      <c r="C757" s="13"/>
      <c r="D757" s="13"/>
      <c r="E757" s="13"/>
      <c r="F757" s="11"/>
      <c r="G757" s="16"/>
      <c r="H757" s="13"/>
      <c r="I757" s="13"/>
      <c r="J757" s="13"/>
      <c r="K757" s="13"/>
      <c r="L757" s="13"/>
      <c r="M757" s="13"/>
      <c r="N757" s="13"/>
      <c r="O757" s="13"/>
      <c r="P757" s="13"/>
      <c r="Q757" s="13" t="str">
        <f aca="false">IF(L757="","",L757)</f>
        <v/>
      </c>
    </row>
    <row r="758" customFormat="false" ht="15.75" hidden="false" customHeight="false" outlineLevel="0" collapsed="false">
      <c r="A758" s="13"/>
      <c r="B758" s="13"/>
      <c r="C758" s="13"/>
      <c r="D758" s="13"/>
      <c r="E758" s="13"/>
      <c r="F758" s="11"/>
      <c r="G758" s="16"/>
      <c r="H758" s="13"/>
      <c r="I758" s="13"/>
      <c r="J758" s="13"/>
      <c r="K758" s="13"/>
      <c r="L758" s="13"/>
      <c r="M758" s="13"/>
      <c r="N758" s="13"/>
      <c r="O758" s="13"/>
      <c r="P758" s="13"/>
      <c r="Q758" s="13" t="str">
        <f aca="false">IF(L758="","",L758)</f>
        <v/>
      </c>
    </row>
    <row r="759" customFormat="false" ht="15.75" hidden="false" customHeight="false" outlineLevel="0" collapsed="false">
      <c r="A759" s="13"/>
      <c r="B759" s="13"/>
      <c r="C759" s="13"/>
      <c r="D759" s="13"/>
      <c r="E759" s="13"/>
      <c r="F759" s="11"/>
      <c r="G759" s="16"/>
      <c r="H759" s="13"/>
      <c r="I759" s="13"/>
      <c r="J759" s="13"/>
      <c r="K759" s="13"/>
      <c r="L759" s="13"/>
      <c r="M759" s="13"/>
      <c r="N759" s="13"/>
      <c r="O759" s="13"/>
      <c r="P759" s="13"/>
      <c r="Q759" s="13" t="str">
        <f aca="false">IF(L759="","",L759)</f>
        <v/>
      </c>
    </row>
    <row r="760" customFormat="false" ht="15.75" hidden="false" customHeight="false" outlineLevel="0" collapsed="false">
      <c r="A760" s="13"/>
      <c r="B760" s="13"/>
      <c r="C760" s="13"/>
      <c r="D760" s="13"/>
      <c r="E760" s="13"/>
      <c r="F760" s="11"/>
      <c r="G760" s="16"/>
      <c r="H760" s="13"/>
      <c r="I760" s="13"/>
      <c r="J760" s="13"/>
      <c r="K760" s="13"/>
      <c r="L760" s="13"/>
      <c r="M760" s="13"/>
      <c r="N760" s="13"/>
      <c r="O760" s="13"/>
      <c r="P760" s="13"/>
      <c r="Q760" s="13" t="str">
        <f aca="false">IF(L760="","",L760)</f>
        <v/>
      </c>
    </row>
    <row r="761" customFormat="false" ht="15.75" hidden="false" customHeight="false" outlineLevel="0" collapsed="false">
      <c r="A761" s="13"/>
      <c r="B761" s="13"/>
      <c r="C761" s="13"/>
      <c r="D761" s="13"/>
      <c r="E761" s="13"/>
      <c r="F761" s="11"/>
      <c r="G761" s="16"/>
      <c r="H761" s="13"/>
      <c r="I761" s="13"/>
      <c r="J761" s="13"/>
      <c r="K761" s="13"/>
      <c r="L761" s="13"/>
      <c r="M761" s="13"/>
      <c r="N761" s="13"/>
      <c r="O761" s="13"/>
      <c r="P761" s="13"/>
      <c r="Q761" s="13" t="str">
        <f aca="false">IF(L761="","",L761)</f>
        <v/>
      </c>
    </row>
    <row r="762" customFormat="false" ht="15.75" hidden="false" customHeight="false" outlineLevel="0" collapsed="false">
      <c r="A762" s="13"/>
      <c r="B762" s="13"/>
      <c r="C762" s="13"/>
      <c r="D762" s="13"/>
      <c r="E762" s="13"/>
      <c r="F762" s="11"/>
      <c r="G762" s="16"/>
      <c r="H762" s="13"/>
      <c r="I762" s="13"/>
      <c r="J762" s="13"/>
      <c r="K762" s="13"/>
      <c r="L762" s="13"/>
      <c r="M762" s="13"/>
      <c r="N762" s="13"/>
      <c r="O762" s="13"/>
      <c r="P762" s="13"/>
      <c r="Q762" s="13" t="str">
        <f aca="false">IF(L762="","",L762)</f>
        <v/>
      </c>
    </row>
    <row r="763" customFormat="false" ht="15.75" hidden="false" customHeight="false" outlineLevel="0" collapsed="false">
      <c r="A763" s="13"/>
      <c r="B763" s="13"/>
      <c r="C763" s="13"/>
      <c r="D763" s="13"/>
      <c r="E763" s="13"/>
      <c r="F763" s="11"/>
      <c r="G763" s="16"/>
      <c r="H763" s="13"/>
      <c r="I763" s="13"/>
      <c r="J763" s="13"/>
      <c r="K763" s="13"/>
      <c r="L763" s="13"/>
      <c r="M763" s="13"/>
      <c r="N763" s="13"/>
      <c r="O763" s="13"/>
      <c r="P763" s="13"/>
      <c r="Q763" s="13" t="str">
        <f aca="false">IF(L763="","",L763)</f>
        <v/>
      </c>
    </row>
    <row r="764" customFormat="false" ht="15.75" hidden="false" customHeight="false" outlineLevel="0" collapsed="false">
      <c r="A764" s="13"/>
      <c r="B764" s="13"/>
      <c r="C764" s="13"/>
      <c r="D764" s="13"/>
      <c r="E764" s="13"/>
      <c r="F764" s="11"/>
      <c r="G764" s="16"/>
      <c r="H764" s="13"/>
      <c r="I764" s="13"/>
      <c r="J764" s="13"/>
      <c r="K764" s="13"/>
      <c r="L764" s="13"/>
      <c r="M764" s="13"/>
      <c r="N764" s="13"/>
      <c r="O764" s="13"/>
      <c r="P764" s="13"/>
      <c r="Q764" s="13" t="str">
        <f aca="false">IF(L764="","",L764)</f>
        <v/>
      </c>
    </row>
    <row r="765" customFormat="false" ht="15.75" hidden="false" customHeight="false" outlineLevel="0" collapsed="false">
      <c r="A765" s="13"/>
      <c r="B765" s="13"/>
      <c r="C765" s="13"/>
      <c r="D765" s="13"/>
      <c r="E765" s="13"/>
      <c r="F765" s="11"/>
      <c r="G765" s="16"/>
      <c r="H765" s="13"/>
      <c r="I765" s="13"/>
      <c r="J765" s="13"/>
      <c r="K765" s="13"/>
      <c r="L765" s="13"/>
      <c r="M765" s="13"/>
      <c r="N765" s="13"/>
      <c r="O765" s="13"/>
      <c r="P765" s="13"/>
      <c r="Q765" s="13" t="str">
        <f aca="false">IF(L765="","",L765)</f>
        <v/>
      </c>
    </row>
    <row r="766" customFormat="false" ht="15.75" hidden="false" customHeight="false" outlineLevel="0" collapsed="false">
      <c r="A766" s="13"/>
      <c r="B766" s="13"/>
      <c r="C766" s="13"/>
      <c r="D766" s="13"/>
      <c r="E766" s="13"/>
      <c r="F766" s="11"/>
      <c r="G766" s="16"/>
      <c r="H766" s="13"/>
      <c r="I766" s="13"/>
      <c r="J766" s="13"/>
      <c r="K766" s="13"/>
      <c r="L766" s="13"/>
      <c r="M766" s="13"/>
      <c r="N766" s="13"/>
      <c r="O766" s="13"/>
      <c r="P766" s="13"/>
      <c r="Q766" s="13" t="str">
        <f aca="false">IF(L766="","",L766)</f>
        <v/>
      </c>
    </row>
    <row r="767" customFormat="false" ht="15.75" hidden="false" customHeight="false" outlineLevel="0" collapsed="false">
      <c r="A767" s="13"/>
      <c r="B767" s="13"/>
      <c r="C767" s="13"/>
      <c r="D767" s="13"/>
      <c r="E767" s="13"/>
      <c r="F767" s="11"/>
      <c r="G767" s="16"/>
      <c r="H767" s="13"/>
      <c r="I767" s="13"/>
      <c r="J767" s="13"/>
      <c r="K767" s="13"/>
      <c r="L767" s="13"/>
      <c r="M767" s="13"/>
      <c r="N767" s="13"/>
      <c r="O767" s="13"/>
      <c r="P767" s="13"/>
      <c r="Q767" s="13" t="str">
        <f aca="false">IF(L767="","",L767)</f>
        <v/>
      </c>
    </row>
    <row r="768" customFormat="false" ht="15.75" hidden="false" customHeight="false" outlineLevel="0" collapsed="false">
      <c r="A768" s="13"/>
      <c r="B768" s="13"/>
      <c r="C768" s="13"/>
      <c r="D768" s="13"/>
      <c r="E768" s="13"/>
      <c r="F768" s="11"/>
      <c r="G768" s="16"/>
      <c r="H768" s="13"/>
      <c r="I768" s="13"/>
      <c r="J768" s="13"/>
      <c r="K768" s="13"/>
      <c r="L768" s="13"/>
      <c r="M768" s="13"/>
      <c r="N768" s="13"/>
      <c r="O768" s="13"/>
      <c r="P768" s="13"/>
      <c r="Q768" s="13" t="str">
        <f aca="false">IF(L768="","",L768)</f>
        <v/>
      </c>
    </row>
    <row r="769" customFormat="false" ht="15.75" hidden="false" customHeight="false" outlineLevel="0" collapsed="false">
      <c r="A769" s="13"/>
      <c r="B769" s="13"/>
      <c r="C769" s="13"/>
      <c r="D769" s="13"/>
      <c r="E769" s="13"/>
      <c r="F769" s="11"/>
      <c r="G769" s="16"/>
      <c r="H769" s="13"/>
      <c r="I769" s="13"/>
      <c r="J769" s="13"/>
      <c r="K769" s="13"/>
      <c r="L769" s="13"/>
      <c r="M769" s="13"/>
      <c r="N769" s="13"/>
      <c r="O769" s="13"/>
      <c r="P769" s="13"/>
      <c r="Q769" s="13" t="str">
        <f aca="false">IF(L769="","",L769)</f>
        <v/>
      </c>
    </row>
    <row r="770" customFormat="false" ht="15.75" hidden="false" customHeight="false" outlineLevel="0" collapsed="false">
      <c r="A770" s="13"/>
      <c r="B770" s="13"/>
      <c r="C770" s="13"/>
      <c r="D770" s="13"/>
      <c r="E770" s="13"/>
      <c r="F770" s="11"/>
      <c r="G770" s="16"/>
      <c r="H770" s="13"/>
      <c r="I770" s="13"/>
      <c r="J770" s="13"/>
      <c r="K770" s="13"/>
      <c r="L770" s="13"/>
      <c r="M770" s="13"/>
      <c r="N770" s="13"/>
      <c r="O770" s="13"/>
      <c r="P770" s="13"/>
      <c r="Q770" s="13" t="str">
        <f aca="false">IF(L770="","",L770)</f>
        <v/>
      </c>
    </row>
    <row r="771" customFormat="false" ht="15.75" hidden="false" customHeight="false" outlineLevel="0" collapsed="false">
      <c r="A771" s="13"/>
      <c r="B771" s="13"/>
      <c r="C771" s="13"/>
      <c r="D771" s="13"/>
      <c r="E771" s="13"/>
      <c r="F771" s="11"/>
      <c r="G771" s="16"/>
      <c r="H771" s="13"/>
      <c r="I771" s="13"/>
      <c r="J771" s="13"/>
      <c r="K771" s="13"/>
      <c r="L771" s="13"/>
      <c r="M771" s="13"/>
      <c r="N771" s="13"/>
      <c r="O771" s="13"/>
      <c r="P771" s="13"/>
      <c r="Q771" s="13" t="str">
        <f aca="false">IF(L771="","",L771)</f>
        <v/>
      </c>
    </row>
    <row r="772" customFormat="false" ht="15.75" hidden="false" customHeight="false" outlineLevel="0" collapsed="false">
      <c r="A772" s="13"/>
      <c r="B772" s="13"/>
      <c r="C772" s="13"/>
      <c r="D772" s="13"/>
      <c r="E772" s="13"/>
      <c r="F772" s="11"/>
      <c r="G772" s="16"/>
      <c r="H772" s="13"/>
      <c r="I772" s="13"/>
      <c r="J772" s="13"/>
      <c r="K772" s="13"/>
      <c r="L772" s="13"/>
      <c r="M772" s="13"/>
      <c r="N772" s="13"/>
      <c r="O772" s="13"/>
      <c r="P772" s="13"/>
      <c r="Q772" s="13" t="str">
        <f aca="false">IF(L772="","",L772)</f>
        <v/>
      </c>
    </row>
    <row r="773" customFormat="false" ht="15.75" hidden="false" customHeight="false" outlineLevel="0" collapsed="false">
      <c r="A773" s="13"/>
      <c r="B773" s="13"/>
      <c r="C773" s="13"/>
      <c r="D773" s="13"/>
      <c r="E773" s="13"/>
      <c r="F773" s="11"/>
      <c r="G773" s="16"/>
      <c r="H773" s="13"/>
      <c r="I773" s="13"/>
      <c r="J773" s="13"/>
      <c r="K773" s="13"/>
      <c r="L773" s="13"/>
      <c r="M773" s="13"/>
      <c r="N773" s="13"/>
      <c r="O773" s="13"/>
      <c r="P773" s="13"/>
      <c r="Q773" s="13" t="str">
        <f aca="false">IF(L773="","",L773)</f>
        <v/>
      </c>
    </row>
    <row r="774" customFormat="false" ht="15.75" hidden="false" customHeight="false" outlineLevel="0" collapsed="false">
      <c r="A774" s="13"/>
      <c r="B774" s="13"/>
      <c r="C774" s="13"/>
      <c r="D774" s="13"/>
      <c r="E774" s="13"/>
      <c r="F774" s="11"/>
      <c r="G774" s="16"/>
      <c r="H774" s="13"/>
      <c r="I774" s="13"/>
      <c r="J774" s="13"/>
      <c r="K774" s="13"/>
      <c r="L774" s="13"/>
      <c r="M774" s="13"/>
      <c r="N774" s="13"/>
      <c r="O774" s="13"/>
      <c r="P774" s="13"/>
      <c r="Q774" s="13" t="str">
        <f aca="false">IF(L774="","",L774)</f>
        <v/>
      </c>
    </row>
    <row r="775" customFormat="false" ht="15.75" hidden="false" customHeight="false" outlineLevel="0" collapsed="false">
      <c r="A775" s="13"/>
      <c r="B775" s="13"/>
      <c r="C775" s="13"/>
      <c r="D775" s="13"/>
      <c r="E775" s="13"/>
      <c r="F775" s="11"/>
      <c r="G775" s="16"/>
      <c r="H775" s="13"/>
      <c r="I775" s="13"/>
      <c r="J775" s="13"/>
      <c r="K775" s="13"/>
      <c r="L775" s="13"/>
      <c r="M775" s="13"/>
      <c r="N775" s="13"/>
      <c r="O775" s="13"/>
      <c r="P775" s="13"/>
      <c r="Q775" s="13" t="str">
        <f aca="false">IF(L775="","",L775)</f>
        <v/>
      </c>
    </row>
    <row r="776" customFormat="false" ht="15.75" hidden="false" customHeight="false" outlineLevel="0" collapsed="false">
      <c r="A776" s="13"/>
      <c r="B776" s="13"/>
      <c r="C776" s="13"/>
      <c r="D776" s="13"/>
      <c r="E776" s="13"/>
      <c r="F776" s="11"/>
      <c r="G776" s="16"/>
      <c r="H776" s="13"/>
      <c r="I776" s="13"/>
      <c r="J776" s="13"/>
      <c r="K776" s="13"/>
      <c r="L776" s="13"/>
      <c r="M776" s="13"/>
      <c r="N776" s="13"/>
      <c r="O776" s="13"/>
      <c r="P776" s="13"/>
      <c r="Q776" s="13" t="str">
        <f aca="false">IF(L776="","",L776)</f>
        <v/>
      </c>
    </row>
    <row r="777" customFormat="false" ht="15.75" hidden="false" customHeight="false" outlineLevel="0" collapsed="false">
      <c r="A777" s="13"/>
      <c r="B777" s="13"/>
      <c r="C777" s="13"/>
      <c r="D777" s="13"/>
      <c r="E777" s="13"/>
      <c r="F777" s="11"/>
      <c r="G777" s="16"/>
      <c r="H777" s="13"/>
      <c r="I777" s="13"/>
      <c r="J777" s="13"/>
      <c r="K777" s="13"/>
      <c r="L777" s="13"/>
      <c r="M777" s="13"/>
      <c r="N777" s="13"/>
      <c r="O777" s="13"/>
      <c r="P777" s="13"/>
      <c r="Q777" s="13" t="str">
        <f aca="false">IF(L777="","",L777)</f>
        <v/>
      </c>
    </row>
    <row r="778" customFormat="false" ht="15.75" hidden="false" customHeight="false" outlineLevel="0" collapsed="false">
      <c r="A778" s="13"/>
      <c r="B778" s="13"/>
      <c r="C778" s="13"/>
      <c r="D778" s="13"/>
      <c r="E778" s="13"/>
      <c r="F778" s="11"/>
      <c r="G778" s="16"/>
      <c r="H778" s="13"/>
      <c r="I778" s="13"/>
      <c r="J778" s="13"/>
      <c r="K778" s="13"/>
      <c r="L778" s="13"/>
      <c r="M778" s="13"/>
      <c r="N778" s="13"/>
      <c r="O778" s="13"/>
      <c r="P778" s="13"/>
      <c r="Q778" s="13" t="str">
        <f aca="false">IF(L778="","",L778)</f>
        <v/>
      </c>
    </row>
    <row r="779" customFormat="false" ht="15.75" hidden="false" customHeight="false" outlineLevel="0" collapsed="false">
      <c r="A779" s="13"/>
      <c r="B779" s="13"/>
      <c r="C779" s="13"/>
      <c r="D779" s="13"/>
      <c r="E779" s="13"/>
      <c r="F779" s="11"/>
      <c r="G779" s="16"/>
      <c r="H779" s="13"/>
      <c r="I779" s="13"/>
      <c r="J779" s="13"/>
      <c r="K779" s="13"/>
      <c r="L779" s="13"/>
      <c r="M779" s="13"/>
      <c r="N779" s="13"/>
      <c r="O779" s="13"/>
      <c r="P779" s="13"/>
      <c r="Q779" s="13" t="str">
        <f aca="false">IF(L779="","",L779)</f>
        <v/>
      </c>
    </row>
    <row r="780" customFormat="false" ht="15.75" hidden="false" customHeight="false" outlineLevel="0" collapsed="false">
      <c r="A780" s="13"/>
      <c r="B780" s="13"/>
      <c r="C780" s="13"/>
      <c r="D780" s="13"/>
      <c r="E780" s="13"/>
      <c r="F780" s="11"/>
      <c r="G780" s="16"/>
      <c r="H780" s="13"/>
      <c r="I780" s="13"/>
      <c r="J780" s="13"/>
      <c r="K780" s="13"/>
      <c r="L780" s="13"/>
      <c r="M780" s="13"/>
      <c r="N780" s="13"/>
      <c r="O780" s="13"/>
      <c r="P780" s="13"/>
      <c r="Q780" s="13" t="str">
        <f aca="false">IF(L780="","",L780)</f>
        <v/>
      </c>
    </row>
    <row r="781" customFormat="false" ht="15.75" hidden="false" customHeight="false" outlineLevel="0" collapsed="false">
      <c r="A781" s="13"/>
      <c r="B781" s="13"/>
      <c r="C781" s="13"/>
      <c r="D781" s="13"/>
      <c r="E781" s="13"/>
      <c r="F781" s="11"/>
      <c r="G781" s="16"/>
      <c r="H781" s="13"/>
      <c r="I781" s="13"/>
      <c r="J781" s="13"/>
      <c r="K781" s="13"/>
      <c r="L781" s="13"/>
      <c r="M781" s="13"/>
      <c r="N781" s="13"/>
      <c r="O781" s="13"/>
      <c r="P781" s="13"/>
      <c r="Q781" s="13" t="str">
        <f aca="false">IF(L781="","",L781)</f>
        <v/>
      </c>
    </row>
    <row r="782" customFormat="false" ht="15.75" hidden="false" customHeight="false" outlineLevel="0" collapsed="false">
      <c r="A782" s="13"/>
      <c r="B782" s="13"/>
      <c r="C782" s="13"/>
      <c r="D782" s="13"/>
      <c r="E782" s="13"/>
      <c r="F782" s="11"/>
      <c r="G782" s="16"/>
      <c r="H782" s="13"/>
      <c r="I782" s="13"/>
      <c r="J782" s="13"/>
      <c r="K782" s="13"/>
      <c r="L782" s="13"/>
      <c r="M782" s="13"/>
      <c r="N782" s="13"/>
      <c r="O782" s="13"/>
      <c r="P782" s="13"/>
      <c r="Q782" s="13" t="str">
        <f aca="false">IF(L782="","",L782)</f>
        <v/>
      </c>
    </row>
    <row r="783" customFormat="false" ht="15.75" hidden="false" customHeight="false" outlineLevel="0" collapsed="false">
      <c r="A783" s="13"/>
      <c r="B783" s="13"/>
      <c r="C783" s="13"/>
      <c r="D783" s="13"/>
      <c r="E783" s="13"/>
      <c r="F783" s="11"/>
      <c r="G783" s="16"/>
      <c r="H783" s="13"/>
      <c r="I783" s="13"/>
      <c r="J783" s="13"/>
      <c r="K783" s="13"/>
      <c r="L783" s="13"/>
      <c r="M783" s="13"/>
      <c r="N783" s="13"/>
      <c r="O783" s="13"/>
      <c r="P783" s="13"/>
      <c r="Q783" s="13" t="str">
        <f aca="false">IF(L783="","",L783)</f>
        <v/>
      </c>
    </row>
    <row r="784" customFormat="false" ht="15.75" hidden="false" customHeight="false" outlineLevel="0" collapsed="false">
      <c r="A784" s="13"/>
      <c r="B784" s="13"/>
      <c r="C784" s="13"/>
      <c r="D784" s="13"/>
      <c r="E784" s="13"/>
      <c r="F784" s="11"/>
      <c r="G784" s="16"/>
      <c r="H784" s="13"/>
      <c r="I784" s="13"/>
      <c r="J784" s="13"/>
      <c r="K784" s="13"/>
      <c r="L784" s="13"/>
      <c r="M784" s="13"/>
      <c r="N784" s="13"/>
      <c r="O784" s="13"/>
      <c r="P784" s="13"/>
      <c r="Q784" s="13" t="str">
        <f aca="false">IF(L784="","",L784)</f>
        <v/>
      </c>
    </row>
    <row r="785" customFormat="false" ht="15.75" hidden="false" customHeight="false" outlineLevel="0" collapsed="false">
      <c r="A785" s="13"/>
      <c r="B785" s="13"/>
      <c r="C785" s="13"/>
      <c r="D785" s="13"/>
      <c r="E785" s="13"/>
      <c r="F785" s="11"/>
      <c r="G785" s="16"/>
      <c r="H785" s="13"/>
      <c r="I785" s="13"/>
      <c r="J785" s="13"/>
      <c r="K785" s="13"/>
      <c r="L785" s="13"/>
      <c r="M785" s="13"/>
      <c r="N785" s="13"/>
      <c r="O785" s="13"/>
      <c r="P785" s="13"/>
      <c r="Q785" s="13" t="str">
        <f aca="false">IF(L785="","",L785)</f>
        <v/>
      </c>
    </row>
    <row r="786" customFormat="false" ht="15.75" hidden="false" customHeight="false" outlineLevel="0" collapsed="false">
      <c r="A786" s="13"/>
      <c r="B786" s="13"/>
      <c r="C786" s="13"/>
      <c r="D786" s="13"/>
      <c r="E786" s="13"/>
      <c r="F786" s="11"/>
      <c r="G786" s="16"/>
      <c r="H786" s="13"/>
      <c r="I786" s="13"/>
      <c r="J786" s="13"/>
      <c r="K786" s="13"/>
      <c r="L786" s="13"/>
      <c r="M786" s="13"/>
      <c r="N786" s="13"/>
      <c r="O786" s="13"/>
      <c r="P786" s="13"/>
      <c r="Q786" s="13" t="str">
        <f aca="false">IF(L786="","",L786)</f>
        <v/>
      </c>
    </row>
    <row r="787" customFormat="false" ht="15.75" hidden="false" customHeight="false" outlineLevel="0" collapsed="false">
      <c r="A787" s="13"/>
      <c r="B787" s="13"/>
      <c r="C787" s="13"/>
      <c r="D787" s="13"/>
      <c r="E787" s="13"/>
      <c r="F787" s="11"/>
      <c r="G787" s="16"/>
      <c r="H787" s="13"/>
      <c r="I787" s="13"/>
      <c r="J787" s="13"/>
      <c r="K787" s="13"/>
      <c r="L787" s="13"/>
      <c r="M787" s="13"/>
      <c r="N787" s="13"/>
      <c r="O787" s="13"/>
      <c r="P787" s="13"/>
      <c r="Q787" s="13" t="str">
        <f aca="false">IF(L787="","",L787)</f>
        <v/>
      </c>
    </row>
    <row r="788" customFormat="false" ht="15.75" hidden="false" customHeight="false" outlineLevel="0" collapsed="false">
      <c r="A788" s="13"/>
      <c r="B788" s="13"/>
      <c r="C788" s="13"/>
      <c r="D788" s="13"/>
      <c r="E788" s="13"/>
      <c r="F788" s="11"/>
      <c r="G788" s="16"/>
      <c r="H788" s="13"/>
      <c r="I788" s="13"/>
      <c r="J788" s="13"/>
      <c r="K788" s="13"/>
      <c r="L788" s="13"/>
      <c r="M788" s="13"/>
      <c r="N788" s="13"/>
      <c r="O788" s="13"/>
      <c r="P788" s="13"/>
      <c r="Q788" s="13" t="str">
        <f aca="false">IF(L788="","",L788)</f>
        <v/>
      </c>
    </row>
    <row r="789" customFormat="false" ht="15.75" hidden="false" customHeight="false" outlineLevel="0" collapsed="false">
      <c r="A789" s="13"/>
      <c r="B789" s="13"/>
      <c r="C789" s="13"/>
      <c r="D789" s="13"/>
      <c r="E789" s="13"/>
      <c r="F789" s="11"/>
      <c r="G789" s="16"/>
      <c r="H789" s="13"/>
      <c r="I789" s="13"/>
      <c r="J789" s="13"/>
      <c r="K789" s="13"/>
      <c r="L789" s="13"/>
      <c r="M789" s="13"/>
      <c r="N789" s="13"/>
      <c r="O789" s="13"/>
      <c r="P789" s="13"/>
      <c r="Q789" s="13" t="str">
        <f aca="false">IF(L789="","",L789)</f>
        <v/>
      </c>
    </row>
    <row r="790" customFormat="false" ht="15.75" hidden="false" customHeight="false" outlineLevel="0" collapsed="false">
      <c r="A790" s="13"/>
      <c r="B790" s="13"/>
      <c r="C790" s="13"/>
      <c r="D790" s="13"/>
      <c r="E790" s="13"/>
      <c r="F790" s="11"/>
      <c r="G790" s="16"/>
      <c r="H790" s="13"/>
      <c r="I790" s="13"/>
      <c r="J790" s="13"/>
      <c r="K790" s="13"/>
      <c r="L790" s="13"/>
      <c r="M790" s="13"/>
      <c r="N790" s="13"/>
      <c r="O790" s="13"/>
      <c r="P790" s="13"/>
      <c r="Q790" s="13" t="str">
        <f aca="false">IF(L790="","",L790)</f>
        <v/>
      </c>
    </row>
    <row r="791" customFormat="false" ht="15.75" hidden="false" customHeight="false" outlineLevel="0" collapsed="false">
      <c r="A791" s="13"/>
      <c r="B791" s="13"/>
      <c r="C791" s="13"/>
      <c r="D791" s="13"/>
      <c r="E791" s="13"/>
      <c r="F791" s="11"/>
      <c r="G791" s="16"/>
      <c r="H791" s="13"/>
      <c r="I791" s="13"/>
      <c r="J791" s="13"/>
      <c r="K791" s="13"/>
      <c r="L791" s="13"/>
      <c r="M791" s="13"/>
      <c r="N791" s="13"/>
      <c r="O791" s="13"/>
      <c r="P791" s="13"/>
      <c r="Q791" s="13" t="str">
        <f aca="false">IF(L791="","",L791)</f>
        <v/>
      </c>
    </row>
    <row r="792" customFormat="false" ht="15.75" hidden="false" customHeight="false" outlineLevel="0" collapsed="false">
      <c r="A792" s="13"/>
      <c r="B792" s="13"/>
      <c r="C792" s="13"/>
      <c r="D792" s="13"/>
      <c r="E792" s="13"/>
      <c r="F792" s="11"/>
      <c r="G792" s="16"/>
      <c r="H792" s="13"/>
      <c r="I792" s="13"/>
      <c r="J792" s="13"/>
      <c r="K792" s="13"/>
      <c r="L792" s="13"/>
      <c r="M792" s="13"/>
      <c r="N792" s="13"/>
      <c r="O792" s="13"/>
      <c r="P792" s="13"/>
      <c r="Q792" s="13" t="str">
        <f aca="false">IF(L792="","",L792)</f>
        <v/>
      </c>
    </row>
    <row r="793" customFormat="false" ht="15.75" hidden="false" customHeight="false" outlineLevel="0" collapsed="false">
      <c r="A793" s="13"/>
      <c r="B793" s="13"/>
      <c r="C793" s="13"/>
      <c r="D793" s="13"/>
      <c r="E793" s="13"/>
      <c r="F793" s="11"/>
      <c r="G793" s="16"/>
      <c r="H793" s="13"/>
      <c r="I793" s="13"/>
      <c r="J793" s="13"/>
      <c r="K793" s="13"/>
      <c r="L793" s="13"/>
      <c r="M793" s="13"/>
      <c r="N793" s="13"/>
      <c r="O793" s="13"/>
      <c r="P793" s="13"/>
      <c r="Q793" s="13" t="str">
        <f aca="false">IF(L793="","",L793)</f>
        <v/>
      </c>
    </row>
    <row r="794" customFormat="false" ht="15.75" hidden="false" customHeight="false" outlineLevel="0" collapsed="false">
      <c r="A794" s="13"/>
      <c r="B794" s="13"/>
      <c r="C794" s="13"/>
      <c r="D794" s="13"/>
      <c r="E794" s="13"/>
      <c r="F794" s="11"/>
      <c r="G794" s="16"/>
      <c r="H794" s="13"/>
      <c r="I794" s="13"/>
      <c r="J794" s="13"/>
      <c r="K794" s="13"/>
      <c r="L794" s="13"/>
      <c r="M794" s="13"/>
      <c r="N794" s="13"/>
      <c r="O794" s="13"/>
      <c r="P794" s="13"/>
      <c r="Q794" s="13" t="str">
        <f aca="false">IF(L794="","",L794)</f>
        <v/>
      </c>
    </row>
    <row r="795" customFormat="false" ht="15.75" hidden="false" customHeight="false" outlineLevel="0" collapsed="false">
      <c r="A795" s="13"/>
      <c r="B795" s="13"/>
      <c r="C795" s="13"/>
      <c r="D795" s="13"/>
      <c r="E795" s="13"/>
      <c r="F795" s="11"/>
      <c r="G795" s="16"/>
      <c r="H795" s="13"/>
      <c r="I795" s="13"/>
      <c r="J795" s="13"/>
      <c r="K795" s="13"/>
      <c r="L795" s="13"/>
      <c r="M795" s="13"/>
      <c r="N795" s="13"/>
      <c r="O795" s="13"/>
      <c r="P795" s="13"/>
      <c r="Q795" s="13" t="str">
        <f aca="false">IF(L795="","",L795)</f>
        <v/>
      </c>
    </row>
    <row r="796" customFormat="false" ht="15.75" hidden="false" customHeight="false" outlineLevel="0" collapsed="false">
      <c r="A796" s="13"/>
      <c r="B796" s="13"/>
      <c r="C796" s="13"/>
      <c r="D796" s="13"/>
      <c r="E796" s="13"/>
      <c r="F796" s="11"/>
      <c r="G796" s="16"/>
      <c r="H796" s="13"/>
      <c r="I796" s="13"/>
      <c r="J796" s="13"/>
      <c r="K796" s="13"/>
      <c r="L796" s="13"/>
      <c r="M796" s="13"/>
      <c r="N796" s="13"/>
      <c r="O796" s="13"/>
      <c r="P796" s="13"/>
      <c r="Q796" s="13" t="str">
        <f aca="false">IF(L796="","",L796)</f>
        <v/>
      </c>
    </row>
    <row r="797" customFormat="false" ht="15.75" hidden="false" customHeight="false" outlineLevel="0" collapsed="false">
      <c r="A797" s="13"/>
      <c r="B797" s="13"/>
      <c r="C797" s="13"/>
      <c r="D797" s="13"/>
      <c r="E797" s="13"/>
      <c r="F797" s="11"/>
      <c r="G797" s="16"/>
      <c r="H797" s="13"/>
      <c r="I797" s="13"/>
      <c r="J797" s="13"/>
      <c r="K797" s="13"/>
      <c r="L797" s="13"/>
      <c r="M797" s="13"/>
      <c r="N797" s="13"/>
      <c r="O797" s="13"/>
      <c r="P797" s="13"/>
      <c r="Q797" s="13" t="str">
        <f aca="false">IF(L797="","",L797)</f>
        <v/>
      </c>
    </row>
    <row r="798" customFormat="false" ht="15.75" hidden="false" customHeight="false" outlineLevel="0" collapsed="false">
      <c r="A798" s="13"/>
      <c r="B798" s="13"/>
      <c r="C798" s="13"/>
      <c r="D798" s="13"/>
      <c r="E798" s="13"/>
      <c r="F798" s="11"/>
      <c r="G798" s="16"/>
      <c r="H798" s="13"/>
      <c r="I798" s="13"/>
      <c r="J798" s="13"/>
      <c r="K798" s="13"/>
      <c r="L798" s="13"/>
      <c r="M798" s="13"/>
      <c r="N798" s="13"/>
      <c r="O798" s="13"/>
      <c r="P798" s="13"/>
      <c r="Q798" s="13" t="str">
        <f aca="false">IF(L798="","",L798)</f>
        <v/>
      </c>
    </row>
    <row r="799" customFormat="false" ht="15.75" hidden="false" customHeight="false" outlineLevel="0" collapsed="false">
      <c r="A799" s="13"/>
      <c r="B799" s="13"/>
      <c r="C799" s="13"/>
      <c r="D799" s="13"/>
      <c r="E799" s="13"/>
      <c r="F799" s="11"/>
      <c r="G799" s="16"/>
      <c r="H799" s="13"/>
      <c r="I799" s="13"/>
      <c r="J799" s="13"/>
      <c r="K799" s="13"/>
      <c r="L799" s="13"/>
      <c r="M799" s="13"/>
      <c r="N799" s="13"/>
      <c r="O799" s="13"/>
      <c r="P799" s="13"/>
      <c r="Q799" s="13" t="str">
        <f aca="false">IF(L799="","",L799)</f>
        <v/>
      </c>
    </row>
    <row r="800" customFormat="false" ht="15.75" hidden="false" customHeight="false" outlineLevel="0" collapsed="false">
      <c r="A800" s="13"/>
      <c r="B800" s="13"/>
      <c r="C800" s="13"/>
      <c r="D800" s="13"/>
      <c r="E800" s="13"/>
      <c r="F800" s="11"/>
      <c r="G800" s="16"/>
      <c r="H800" s="13"/>
      <c r="I800" s="13"/>
      <c r="J800" s="13"/>
      <c r="K800" s="13"/>
      <c r="L800" s="13"/>
      <c r="M800" s="13"/>
      <c r="N800" s="13"/>
      <c r="O800" s="13"/>
      <c r="P800" s="13"/>
      <c r="Q800" s="13" t="str">
        <f aca="false">IF(L800="","",L800)</f>
        <v/>
      </c>
    </row>
    <row r="801" customFormat="false" ht="15.75" hidden="false" customHeight="false" outlineLevel="0" collapsed="false">
      <c r="A801" s="13"/>
      <c r="B801" s="13"/>
      <c r="C801" s="13"/>
      <c r="D801" s="13"/>
      <c r="E801" s="13"/>
      <c r="F801" s="11"/>
      <c r="G801" s="16"/>
      <c r="H801" s="13"/>
      <c r="I801" s="13"/>
      <c r="J801" s="13"/>
      <c r="K801" s="13"/>
      <c r="L801" s="13"/>
      <c r="M801" s="13"/>
      <c r="N801" s="13"/>
      <c r="O801" s="13"/>
      <c r="P801" s="13"/>
      <c r="Q801" s="13" t="str">
        <f aca="false">IF(L801="","",L801)</f>
        <v/>
      </c>
    </row>
    <row r="802" customFormat="false" ht="15.75" hidden="false" customHeight="false" outlineLevel="0" collapsed="false">
      <c r="A802" s="13"/>
      <c r="B802" s="13"/>
      <c r="C802" s="13"/>
      <c r="D802" s="13"/>
      <c r="E802" s="13"/>
      <c r="F802" s="11"/>
      <c r="G802" s="16"/>
      <c r="H802" s="13"/>
      <c r="I802" s="13"/>
      <c r="J802" s="13"/>
      <c r="K802" s="13"/>
      <c r="L802" s="13"/>
      <c r="M802" s="13"/>
      <c r="N802" s="13"/>
      <c r="O802" s="13"/>
      <c r="P802" s="13"/>
      <c r="Q802" s="13" t="str">
        <f aca="false">IF(L802="","",L802)</f>
        <v/>
      </c>
    </row>
    <row r="803" customFormat="false" ht="15.75" hidden="false" customHeight="false" outlineLevel="0" collapsed="false">
      <c r="A803" s="13"/>
      <c r="B803" s="13"/>
      <c r="C803" s="13"/>
      <c r="D803" s="13"/>
      <c r="E803" s="13"/>
      <c r="F803" s="11"/>
      <c r="G803" s="16"/>
      <c r="H803" s="13"/>
      <c r="I803" s="13"/>
      <c r="J803" s="13"/>
      <c r="K803" s="13"/>
      <c r="L803" s="13"/>
      <c r="M803" s="13"/>
      <c r="N803" s="13"/>
      <c r="O803" s="13"/>
      <c r="P803" s="13"/>
      <c r="Q803" s="13" t="str">
        <f aca="false">IF(L803="","",L803)</f>
        <v/>
      </c>
    </row>
    <row r="804" customFormat="false" ht="15.75" hidden="false" customHeight="false" outlineLevel="0" collapsed="false">
      <c r="A804" s="13"/>
      <c r="B804" s="13"/>
      <c r="C804" s="13"/>
      <c r="D804" s="13"/>
      <c r="E804" s="13"/>
      <c r="F804" s="11"/>
      <c r="G804" s="16"/>
      <c r="H804" s="13"/>
      <c r="I804" s="13"/>
      <c r="J804" s="13"/>
      <c r="K804" s="13"/>
      <c r="L804" s="13"/>
      <c r="M804" s="13"/>
      <c r="N804" s="13"/>
      <c r="O804" s="13"/>
      <c r="P804" s="13"/>
      <c r="Q804" s="13" t="str">
        <f aca="false">IF(L804="","",L804)</f>
        <v/>
      </c>
    </row>
    <row r="805" customFormat="false" ht="15.75" hidden="false" customHeight="false" outlineLevel="0" collapsed="false">
      <c r="A805" s="13"/>
      <c r="B805" s="13"/>
      <c r="C805" s="13"/>
      <c r="D805" s="13"/>
      <c r="E805" s="13"/>
      <c r="F805" s="11"/>
      <c r="G805" s="16"/>
      <c r="H805" s="13"/>
      <c r="I805" s="13"/>
      <c r="J805" s="13"/>
      <c r="K805" s="13"/>
      <c r="L805" s="13"/>
      <c r="M805" s="13"/>
      <c r="N805" s="13"/>
      <c r="O805" s="13"/>
      <c r="P805" s="13"/>
      <c r="Q805" s="13" t="str">
        <f aca="false">IF(L805="","",L805)</f>
        <v/>
      </c>
    </row>
    <row r="806" customFormat="false" ht="15.75" hidden="false" customHeight="false" outlineLevel="0" collapsed="false">
      <c r="A806" s="13"/>
      <c r="B806" s="13"/>
      <c r="C806" s="13"/>
      <c r="D806" s="13"/>
      <c r="E806" s="13"/>
      <c r="F806" s="11"/>
      <c r="G806" s="16"/>
      <c r="H806" s="13"/>
      <c r="I806" s="13"/>
      <c r="J806" s="13"/>
      <c r="K806" s="13"/>
      <c r="L806" s="13"/>
      <c r="M806" s="13"/>
      <c r="N806" s="13"/>
      <c r="O806" s="13"/>
      <c r="P806" s="13"/>
      <c r="Q806" s="13" t="str">
        <f aca="false">IF(L806="","",L806)</f>
        <v/>
      </c>
    </row>
    <row r="807" customFormat="false" ht="15.75" hidden="false" customHeight="false" outlineLevel="0" collapsed="false">
      <c r="A807" s="13"/>
      <c r="B807" s="13"/>
      <c r="C807" s="13"/>
      <c r="D807" s="13"/>
      <c r="E807" s="13"/>
      <c r="F807" s="11"/>
      <c r="G807" s="16"/>
      <c r="H807" s="13"/>
      <c r="I807" s="13"/>
      <c r="J807" s="13"/>
      <c r="K807" s="13"/>
      <c r="L807" s="13"/>
      <c r="M807" s="13"/>
      <c r="N807" s="13"/>
      <c r="O807" s="13"/>
      <c r="P807" s="13"/>
      <c r="Q807" s="13" t="str">
        <f aca="false">IF(L807="","",L807)</f>
        <v/>
      </c>
    </row>
    <row r="808" customFormat="false" ht="15.75" hidden="false" customHeight="false" outlineLevel="0" collapsed="false">
      <c r="A808" s="13"/>
      <c r="B808" s="13"/>
      <c r="C808" s="13"/>
      <c r="D808" s="13"/>
      <c r="E808" s="13"/>
      <c r="F808" s="11"/>
      <c r="G808" s="16"/>
      <c r="H808" s="13"/>
      <c r="I808" s="13"/>
      <c r="J808" s="13"/>
      <c r="K808" s="13"/>
      <c r="L808" s="13"/>
      <c r="M808" s="13"/>
      <c r="N808" s="13"/>
      <c r="O808" s="13"/>
      <c r="P808" s="13"/>
      <c r="Q808" s="13" t="str">
        <f aca="false">IF(L808="","",L808)</f>
        <v/>
      </c>
    </row>
    <row r="809" customFormat="false" ht="15.75" hidden="false" customHeight="false" outlineLevel="0" collapsed="false">
      <c r="A809" s="13"/>
      <c r="B809" s="13"/>
      <c r="C809" s="13"/>
      <c r="D809" s="13"/>
      <c r="E809" s="13"/>
      <c r="F809" s="11"/>
      <c r="G809" s="16"/>
      <c r="H809" s="13"/>
      <c r="I809" s="13"/>
      <c r="J809" s="13"/>
      <c r="K809" s="13"/>
      <c r="L809" s="13"/>
      <c r="M809" s="13"/>
      <c r="N809" s="13"/>
      <c r="O809" s="13"/>
      <c r="P809" s="13"/>
      <c r="Q809" s="13" t="str">
        <f aca="false">IF(L809="","",L809)</f>
        <v/>
      </c>
    </row>
    <row r="810" customFormat="false" ht="15.75" hidden="false" customHeight="false" outlineLevel="0" collapsed="false">
      <c r="A810" s="13"/>
      <c r="B810" s="13"/>
      <c r="C810" s="13"/>
      <c r="D810" s="13"/>
      <c r="E810" s="13"/>
      <c r="F810" s="11"/>
      <c r="G810" s="16"/>
      <c r="H810" s="13"/>
      <c r="I810" s="13"/>
      <c r="J810" s="13"/>
      <c r="K810" s="13"/>
      <c r="L810" s="13"/>
      <c r="M810" s="13"/>
      <c r="N810" s="13"/>
      <c r="O810" s="13"/>
      <c r="P810" s="13"/>
      <c r="Q810" s="13" t="str">
        <f aca="false">IF(L810="","",L810)</f>
        <v/>
      </c>
    </row>
    <row r="811" customFormat="false" ht="15.75" hidden="false" customHeight="false" outlineLevel="0" collapsed="false">
      <c r="A811" s="13"/>
      <c r="B811" s="13"/>
      <c r="C811" s="13"/>
      <c r="D811" s="13"/>
      <c r="E811" s="13"/>
      <c r="F811" s="11"/>
      <c r="G811" s="16"/>
      <c r="H811" s="13"/>
      <c r="I811" s="13"/>
      <c r="J811" s="13"/>
      <c r="K811" s="13"/>
      <c r="L811" s="13"/>
      <c r="M811" s="13"/>
      <c r="N811" s="13"/>
      <c r="O811" s="13"/>
      <c r="P811" s="13"/>
      <c r="Q811" s="13" t="str">
        <f aca="false">IF(L811="","",L811)</f>
        <v/>
      </c>
    </row>
    <row r="812" customFormat="false" ht="15.75" hidden="false" customHeight="false" outlineLevel="0" collapsed="false">
      <c r="A812" s="13"/>
      <c r="B812" s="13"/>
      <c r="C812" s="13"/>
      <c r="D812" s="13"/>
      <c r="E812" s="13"/>
      <c r="F812" s="11"/>
      <c r="G812" s="16"/>
      <c r="H812" s="13"/>
      <c r="I812" s="13"/>
      <c r="J812" s="13"/>
      <c r="K812" s="13"/>
      <c r="L812" s="13"/>
      <c r="M812" s="13"/>
      <c r="N812" s="13"/>
      <c r="O812" s="13"/>
      <c r="P812" s="13"/>
      <c r="Q812" s="13" t="str">
        <f aca="false">IF(L812="","",L812)</f>
        <v/>
      </c>
    </row>
    <row r="813" customFormat="false" ht="15.75" hidden="false" customHeight="false" outlineLevel="0" collapsed="false">
      <c r="A813" s="13"/>
      <c r="B813" s="13"/>
      <c r="C813" s="13"/>
      <c r="D813" s="13"/>
      <c r="E813" s="13"/>
      <c r="F813" s="11"/>
      <c r="G813" s="16"/>
      <c r="H813" s="13"/>
      <c r="I813" s="13"/>
      <c r="J813" s="13"/>
      <c r="K813" s="13"/>
      <c r="L813" s="13"/>
      <c r="M813" s="13"/>
      <c r="N813" s="13"/>
      <c r="O813" s="13"/>
      <c r="P813" s="13"/>
      <c r="Q813" s="13" t="str">
        <f aca="false">IF(L813="","",L813)</f>
        <v/>
      </c>
    </row>
    <row r="814" customFormat="false" ht="15.75" hidden="false" customHeight="false" outlineLevel="0" collapsed="false">
      <c r="A814" s="13"/>
      <c r="B814" s="13"/>
      <c r="C814" s="13"/>
      <c r="D814" s="13"/>
      <c r="E814" s="13"/>
      <c r="F814" s="11"/>
      <c r="G814" s="16"/>
      <c r="H814" s="13"/>
      <c r="I814" s="13"/>
      <c r="J814" s="13"/>
      <c r="K814" s="13"/>
      <c r="L814" s="13"/>
      <c r="M814" s="13"/>
      <c r="N814" s="13"/>
      <c r="O814" s="13"/>
      <c r="P814" s="13"/>
      <c r="Q814" s="13" t="str">
        <f aca="false">IF(L814="","",L814)</f>
        <v/>
      </c>
    </row>
    <row r="815" customFormat="false" ht="15.75" hidden="false" customHeight="false" outlineLevel="0" collapsed="false">
      <c r="A815" s="13"/>
      <c r="B815" s="13"/>
      <c r="C815" s="13"/>
      <c r="D815" s="13"/>
      <c r="E815" s="13"/>
      <c r="F815" s="11"/>
      <c r="G815" s="16"/>
      <c r="H815" s="13"/>
      <c r="I815" s="13"/>
      <c r="J815" s="13"/>
      <c r="K815" s="13"/>
      <c r="L815" s="13"/>
      <c r="M815" s="13"/>
      <c r="N815" s="13"/>
      <c r="O815" s="13"/>
      <c r="P815" s="13"/>
      <c r="Q815" s="13" t="str">
        <f aca="false">IF(L815="","",L815)</f>
        <v/>
      </c>
    </row>
    <row r="816" customFormat="false" ht="15.75" hidden="false" customHeight="false" outlineLevel="0" collapsed="false">
      <c r="A816" s="13"/>
      <c r="B816" s="13"/>
      <c r="C816" s="13"/>
      <c r="D816" s="13"/>
      <c r="E816" s="13"/>
      <c r="F816" s="11"/>
      <c r="G816" s="16"/>
      <c r="H816" s="13"/>
      <c r="I816" s="13"/>
      <c r="J816" s="13"/>
      <c r="K816" s="13"/>
      <c r="L816" s="13"/>
      <c r="M816" s="13"/>
      <c r="N816" s="13"/>
      <c r="O816" s="13"/>
      <c r="P816" s="13"/>
      <c r="Q816" s="13" t="str">
        <f aca="false">IF(L816="","",L816)</f>
        <v/>
      </c>
    </row>
    <row r="817" customFormat="false" ht="15.75" hidden="false" customHeight="false" outlineLevel="0" collapsed="false">
      <c r="A817" s="13"/>
      <c r="B817" s="13"/>
      <c r="C817" s="13"/>
      <c r="D817" s="13"/>
      <c r="E817" s="13"/>
      <c r="F817" s="11"/>
      <c r="G817" s="16"/>
      <c r="H817" s="13"/>
      <c r="I817" s="13"/>
      <c r="J817" s="13"/>
      <c r="K817" s="13"/>
      <c r="L817" s="13"/>
      <c r="M817" s="13"/>
      <c r="N817" s="13"/>
      <c r="O817" s="13"/>
      <c r="P817" s="13"/>
      <c r="Q817" s="13" t="str">
        <f aca="false">IF(L817="","",L817)</f>
        <v/>
      </c>
    </row>
    <row r="818" customFormat="false" ht="15.75" hidden="false" customHeight="false" outlineLevel="0" collapsed="false">
      <c r="A818" s="13"/>
      <c r="B818" s="13"/>
      <c r="C818" s="13"/>
      <c r="D818" s="13"/>
      <c r="E818" s="13"/>
      <c r="F818" s="11"/>
      <c r="G818" s="16"/>
      <c r="H818" s="13"/>
      <c r="I818" s="13"/>
      <c r="J818" s="13"/>
      <c r="K818" s="13"/>
      <c r="L818" s="13"/>
      <c r="M818" s="13"/>
      <c r="N818" s="13"/>
      <c r="O818" s="13"/>
      <c r="P818" s="13"/>
      <c r="Q818" s="13" t="str">
        <f aca="false">IF(L818="","",L818)</f>
        <v/>
      </c>
    </row>
    <row r="819" customFormat="false" ht="15.75" hidden="false" customHeight="false" outlineLevel="0" collapsed="false">
      <c r="A819" s="13"/>
      <c r="B819" s="13"/>
      <c r="C819" s="13"/>
      <c r="D819" s="13"/>
      <c r="E819" s="13"/>
      <c r="F819" s="11"/>
      <c r="G819" s="16"/>
      <c r="H819" s="13"/>
      <c r="I819" s="13"/>
      <c r="J819" s="13"/>
      <c r="K819" s="13"/>
      <c r="L819" s="13"/>
      <c r="M819" s="13"/>
      <c r="N819" s="13"/>
      <c r="O819" s="13"/>
      <c r="P819" s="13"/>
      <c r="Q819" s="13" t="str">
        <f aca="false">IF(L819="","",L819)</f>
        <v/>
      </c>
    </row>
    <row r="820" customFormat="false" ht="15.75" hidden="false" customHeight="false" outlineLevel="0" collapsed="false">
      <c r="A820" s="13"/>
      <c r="B820" s="13"/>
      <c r="C820" s="13"/>
      <c r="D820" s="13"/>
      <c r="E820" s="13"/>
      <c r="F820" s="11"/>
      <c r="G820" s="16"/>
      <c r="H820" s="13"/>
      <c r="I820" s="13"/>
      <c r="J820" s="13"/>
      <c r="K820" s="13"/>
      <c r="L820" s="13"/>
      <c r="M820" s="13"/>
      <c r="N820" s="13"/>
      <c r="O820" s="13"/>
      <c r="P820" s="13"/>
      <c r="Q820" s="13" t="str">
        <f aca="false">IF(L820="","",L820)</f>
        <v/>
      </c>
    </row>
    <row r="821" customFormat="false" ht="15.75" hidden="false" customHeight="false" outlineLevel="0" collapsed="false">
      <c r="A821" s="13"/>
      <c r="B821" s="13"/>
      <c r="C821" s="13"/>
      <c r="D821" s="13"/>
      <c r="E821" s="13"/>
      <c r="F821" s="11"/>
      <c r="G821" s="16"/>
      <c r="H821" s="13"/>
      <c r="I821" s="13"/>
      <c r="J821" s="13"/>
      <c r="K821" s="13"/>
      <c r="L821" s="13"/>
      <c r="M821" s="13"/>
      <c r="N821" s="13"/>
      <c r="O821" s="13"/>
      <c r="P821" s="13"/>
      <c r="Q821" s="13" t="str">
        <f aca="false">IF(L821="","",L821)</f>
        <v/>
      </c>
    </row>
    <row r="822" customFormat="false" ht="15.75" hidden="false" customHeight="false" outlineLevel="0" collapsed="false">
      <c r="A822" s="13"/>
      <c r="B822" s="13"/>
      <c r="C822" s="13"/>
      <c r="D822" s="13"/>
      <c r="E822" s="13"/>
      <c r="F822" s="11"/>
      <c r="G822" s="16"/>
      <c r="H822" s="13"/>
      <c r="I822" s="13"/>
      <c r="J822" s="13"/>
      <c r="K822" s="13"/>
      <c r="L822" s="13"/>
      <c r="M822" s="13"/>
      <c r="N822" s="13"/>
      <c r="O822" s="13"/>
      <c r="P822" s="13"/>
      <c r="Q822" s="13" t="str">
        <f aca="false">IF(L822="","",L822)</f>
        <v/>
      </c>
    </row>
    <row r="823" customFormat="false" ht="15.75" hidden="false" customHeight="false" outlineLevel="0" collapsed="false">
      <c r="A823" s="13"/>
      <c r="B823" s="13"/>
      <c r="C823" s="13"/>
      <c r="D823" s="13"/>
      <c r="E823" s="13"/>
      <c r="F823" s="11"/>
      <c r="G823" s="16"/>
      <c r="H823" s="13"/>
      <c r="I823" s="13"/>
      <c r="J823" s="13"/>
      <c r="K823" s="13"/>
      <c r="L823" s="13"/>
      <c r="M823" s="13"/>
      <c r="N823" s="13"/>
      <c r="O823" s="13"/>
      <c r="P823" s="13"/>
      <c r="Q823" s="13" t="str">
        <f aca="false">IF(L823="","",L823)</f>
        <v/>
      </c>
    </row>
    <row r="824" customFormat="false" ht="15.75" hidden="false" customHeight="false" outlineLevel="0" collapsed="false">
      <c r="A824" s="13"/>
      <c r="B824" s="13"/>
      <c r="C824" s="13"/>
      <c r="D824" s="13"/>
      <c r="E824" s="13"/>
      <c r="F824" s="11"/>
      <c r="G824" s="16"/>
      <c r="H824" s="13"/>
      <c r="I824" s="13"/>
      <c r="J824" s="13"/>
      <c r="K824" s="13"/>
      <c r="L824" s="13"/>
      <c r="M824" s="13"/>
      <c r="N824" s="13"/>
      <c r="O824" s="13"/>
      <c r="P824" s="13"/>
      <c r="Q824" s="13" t="str">
        <f aca="false">IF(L824="","",L824)</f>
        <v/>
      </c>
    </row>
    <row r="825" customFormat="false" ht="15.75" hidden="false" customHeight="false" outlineLevel="0" collapsed="false">
      <c r="A825" s="13"/>
      <c r="B825" s="13"/>
      <c r="C825" s="13"/>
      <c r="D825" s="13"/>
      <c r="E825" s="13"/>
      <c r="F825" s="11"/>
      <c r="G825" s="16"/>
      <c r="H825" s="13"/>
      <c r="I825" s="13"/>
      <c r="J825" s="13"/>
      <c r="K825" s="13"/>
      <c r="L825" s="13"/>
      <c r="M825" s="13"/>
      <c r="N825" s="13"/>
      <c r="O825" s="13"/>
      <c r="P825" s="13"/>
      <c r="Q825" s="13" t="str">
        <f aca="false">IF(L825="","",L825)</f>
        <v/>
      </c>
    </row>
    <row r="826" customFormat="false" ht="15.75" hidden="false" customHeight="false" outlineLevel="0" collapsed="false">
      <c r="A826" s="13"/>
      <c r="B826" s="13"/>
      <c r="C826" s="13"/>
      <c r="D826" s="13"/>
      <c r="E826" s="13"/>
      <c r="F826" s="11"/>
      <c r="G826" s="16"/>
      <c r="H826" s="13"/>
      <c r="I826" s="13"/>
      <c r="J826" s="13"/>
      <c r="K826" s="13"/>
      <c r="L826" s="13"/>
      <c r="M826" s="13"/>
      <c r="N826" s="13"/>
      <c r="O826" s="13"/>
      <c r="P826" s="13"/>
      <c r="Q826" s="13" t="str">
        <f aca="false">IF(L826="","",L826)</f>
        <v/>
      </c>
    </row>
    <row r="827" customFormat="false" ht="15.75" hidden="false" customHeight="false" outlineLevel="0" collapsed="false">
      <c r="A827" s="13"/>
      <c r="B827" s="13"/>
      <c r="C827" s="13"/>
      <c r="D827" s="13"/>
      <c r="E827" s="13"/>
      <c r="F827" s="11"/>
      <c r="G827" s="16"/>
      <c r="H827" s="13"/>
      <c r="I827" s="13"/>
      <c r="J827" s="13"/>
      <c r="K827" s="13"/>
      <c r="L827" s="13"/>
      <c r="M827" s="13"/>
      <c r="N827" s="13"/>
      <c r="O827" s="13"/>
      <c r="P827" s="13"/>
      <c r="Q827" s="13" t="str">
        <f aca="false">IF(L827="","",L827)</f>
        <v/>
      </c>
    </row>
    <row r="828" customFormat="false" ht="15.75" hidden="false" customHeight="false" outlineLevel="0" collapsed="false">
      <c r="A828" s="13"/>
      <c r="B828" s="13"/>
      <c r="C828" s="13"/>
      <c r="D828" s="13"/>
      <c r="E828" s="13"/>
      <c r="F828" s="11"/>
      <c r="G828" s="16"/>
      <c r="H828" s="13"/>
      <c r="I828" s="13"/>
      <c r="J828" s="13"/>
      <c r="K828" s="13"/>
      <c r="L828" s="13"/>
      <c r="M828" s="13"/>
      <c r="N828" s="13"/>
      <c r="O828" s="13"/>
      <c r="P828" s="13"/>
      <c r="Q828" s="13" t="str">
        <f aca="false">IF(L828="","",L828)</f>
        <v/>
      </c>
    </row>
    <row r="829" customFormat="false" ht="15.75" hidden="false" customHeight="false" outlineLevel="0" collapsed="false">
      <c r="A829" s="13"/>
      <c r="B829" s="13"/>
      <c r="C829" s="13"/>
      <c r="D829" s="13"/>
      <c r="E829" s="13"/>
      <c r="F829" s="11"/>
      <c r="G829" s="16"/>
      <c r="H829" s="13"/>
      <c r="I829" s="13"/>
      <c r="J829" s="13"/>
      <c r="K829" s="13"/>
      <c r="L829" s="13"/>
      <c r="M829" s="13"/>
      <c r="N829" s="13"/>
      <c r="O829" s="13"/>
      <c r="P829" s="13"/>
      <c r="Q829" s="13" t="str">
        <f aca="false">IF(L829="","",L829)</f>
        <v/>
      </c>
    </row>
    <row r="830" customFormat="false" ht="15.75" hidden="false" customHeight="false" outlineLevel="0" collapsed="false">
      <c r="A830" s="13"/>
      <c r="B830" s="13"/>
      <c r="C830" s="13"/>
      <c r="D830" s="13"/>
      <c r="E830" s="13"/>
      <c r="F830" s="11"/>
      <c r="G830" s="16"/>
      <c r="H830" s="13"/>
      <c r="I830" s="13"/>
      <c r="J830" s="13"/>
      <c r="K830" s="13"/>
      <c r="L830" s="13"/>
      <c r="M830" s="13"/>
      <c r="N830" s="13"/>
      <c r="O830" s="13"/>
      <c r="P830" s="13"/>
      <c r="Q830" s="13" t="str">
        <f aca="false">IF(L830="","",L830)</f>
        <v/>
      </c>
    </row>
    <row r="831" customFormat="false" ht="15.75" hidden="false" customHeight="false" outlineLevel="0" collapsed="false">
      <c r="A831" s="13"/>
      <c r="B831" s="13"/>
      <c r="C831" s="13"/>
      <c r="D831" s="13"/>
      <c r="E831" s="13"/>
      <c r="F831" s="11"/>
      <c r="G831" s="16"/>
      <c r="H831" s="13"/>
      <c r="I831" s="13"/>
      <c r="J831" s="13"/>
      <c r="K831" s="13"/>
      <c r="L831" s="13"/>
      <c r="M831" s="13"/>
      <c r="N831" s="13"/>
      <c r="O831" s="13"/>
      <c r="P831" s="13"/>
      <c r="Q831" s="13" t="str">
        <f aca="false">IF(L831="","",L831)</f>
        <v/>
      </c>
    </row>
    <row r="832" customFormat="false" ht="15.75" hidden="false" customHeight="false" outlineLevel="0" collapsed="false">
      <c r="A832" s="13"/>
      <c r="B832" s="13"/>
      <c r="C832" s="13"/>
      <c r="D832" s="13"/>
      <c r="E832" s="13"/>
      <c r="F832" s="11"/>
      <c r="G832" s="16"/>
      <c r="H832" s="13"/>
      <c r="I832" s="13"/>
      <c r="J832" s="13"/>
      <c r="K832" s="13"/>
      <c r="L832" s="13"/>
      <c r="M832" s="13"/>
      <c r="N832" s="13"/>
      <c r="O832" s="13"/>
      <c r="P832" s="13"/>
      <c r="Q832" s="13" t="str">
        <f aca="false">IF(L832="","",L832)</f>
        <v/>
      </c>
    </row>
    <row r="833" customFormat="false" ht="15.75" hidden="false" customHeight="false" outlineLevel="0" collapsed="false">
      <c r="A833" s="13"/>
      <c r="B833" s="13"/>
      <c r="C833" s="13"/>
      <c r="D833" s="13"/>
      <c r="E833" s="13"/>
      <c r="F833" s="11"/>
      <c r="G833" s="16"/>
      <c r="H833" s="13"/>
      <c r="I833" s="13"/>
      <c r="J833" s="13"/>
      <c r="K833" s="13"/>
      <c r="L833" s="13"/>
      <c r="M833" s="13"/>
      <c r="N833" s="13"/>
      <c r="O833" s="13"/>
      <c r="P833" s="13"/>
      <c r="Q833" s="13" t="str">
        <f aca="false">IF(L833="","",L833)</f>
        <v/>
      </c>
    </row>
    <row r="834" customFormat="false" ht="15.75" hidden="false" customHeight="false" outlineLevel="0" collapsed="false">
      <c r="A834" s="13"/>
      <c r="B834" s="13"/>
      <c r="C834" s="13"/>
      <c r="D834" s="13"/>
      <c r="E834" s="13"/>
      <c r="F834" s="11"/>
      <c r="G834" s="16"/>
      <c r="H834" s="13"/>
      <c r="I834" s="13"/>
      <c r="J834" s="13"/>
      <c r="K834" s="13"/>
      <c r="L834" s="13"/>
      <c r="M834" s="13"/>
      <c r="N834" s="13"/>
      <c r="O834" s="13"/>
      <c r="P834" s="13"/>
      <c r="Q834" s="13" t="str">
        <f aca="false">IF(L834="","",L834)</f>
        <v/>
      </c>
    </row>
    <row r="835" customFormat="false" ht="15.75" hidden="false" customHeight="false" outlineLevel="0" collapsed="false">
      <c r="A835" s="13"/>
      <c r="B835" s="13"/>
      <c r="C835" s="13"/>
      <c r="D835" s="13"/>
      <c r="E835" s="13"/>
      <c r="F835" s="11"/>
      <c r="G835" s="16"/>
      <c r="H835" s="13"/>
      <c r="I835" s="13"/>
      <c r="J835" s="13"/>
      <c r="K835" s="13"/>
      <c r="L835" s="13"/>
      <c r="M835" s="13"/>
      <c r="N835" s="13"/>
      <c r="O835" s="13"/>
      <c r="P835" s="13"/>
      <c r="Q835" s="13" t="str">
        <f aca="false">IF(L835="","",L835)</f>
        <v/>
      </c>
    </row>
    <row r="836" customFormat="false" ht="15.75" hidden="false" customHeight="false" outlineLevel="0" collapsed="false">
      <c r="A836" s="13"/>
      <c r="B836" s="13"/>
      <c r="C836" s="13"/>
      <c r="D836" s="13"/>
      <c r="E836" s="13"/>
      <c r="F836" s="11"/>
      <c r="G836" s="16"/>
      <c r="H836" s="13"/>
      <c r="I836" s="13"/>
      <c r="J836" s="13"/>
      <c r="K836" s="13"/>
      <c r="L836" s="13"/>
      <c r="M836" s="13"/>
      <c r="N836" s="13"/>
      <c r="O836" s="13"/>
      <c r="P836" s="13"/>
      <c r="Q836" s="13" t="str">
        <f aca="false">IF(L836="","",L836)</f>
        <v/>
      </c>
    </row>
    <row r="837" customFormat="false" ht="15.75" hidden="false" customHeight="false" outlineLevel="0" collapsed="false">
      <c r="A837" s="13"/>
      <c r="B837" s="13"/>
      <c r="C837" s="13"/>
      <c r="D837" s="13"/>
      <c r="E837" s="13"/>
      <c r="F837" s="11"/>
      <c r="G837" s="16"/>
      <c r="H837" s="13"/>
      <c r="I837" s="13"/>
      <c r="J837" s="13"/>
      <c r="K837" s="13"/>
      <c r="L837" s="13"/>
      <c r="M837" s="13"/>
      <c r="N837" s="13"/>
      <c r="O837" s="13"/>
      <c r="P837" s="13"/>
      <c r="Q837" s="13" t="str">
        <f aca="false">IF(L837="","",L837)</f>
        <v/>
      </c>
    </row>
    <row r="838" customFormat="false" ht="15.75" hidden="false" customHeight="false" outlineLevel="0" collapsed="false">
      <c r="A838" s="13"/>
      <c r="B838" s="13"/>
      <c r="C838" s="13"/>
      <c r="D838" s="13"/>
      <c r="E838" s="13"/>
      <c r="F838" s="11"/>
      <c r="G838" s="16"/>
      <c r="H838" s="13"/>
      <c r="I838" s="13"/>
      <c r="J838" s="13"/>
      <c r="K838" s="13"/>
      <c r="L838" s="13"/>
      <c r="M838" s="13"/>
      <c r="N838" s="13"/>
      <c r="O838" s="13"/>
      <c r="P838" s="13"/>
      <c r="Q838" s="13" t="str">
        <f aca="false">IF(L838="","",L838)</f>
        <v/>
      </c>
    </row>
    <row r="839" customFormat="false" ht="15.75" hidden="false" customHeight="false" outlineLevel="0" collapsed="false">
      <c r="A839" s="13"/>
      <c r="B839" s="13"/>
      <c r="C839" s="13"/>
      <c r="D839" s="13"/>
      <c r="E839" s="13"/>
      <c r="F839" s="11"/>
      <c r="G839" s="16"/>
      <c r="H839" s="13"/>
      <c r="I839" s="13"/>
      <c r="J839" s="13"/>
      <c r="K839" s="13"/>
      <c r="L839" s="13"/>
      <c r="M839" s="13"/>
      <c r="N839" s="13"/>
      <c r="O839" s="13"/>
      <c r="P839" s="13"/>
      <c r="Q839" s="13" t="str">
        <f aca="false">IF(L839="","",L839)</f>
        <v/>
      </c>
    </row>
    <row r="840" customFormat="false" ht="15.75" hidden="false" customHeight="false" outlineLevel="0" collapsed="false">
      <c r="A840" s="13"/>
      <c r="B840" s="13"/>
      <c r="C840" s="13"/>
      <c r="D840" s="13"/>
      <c r="E840" s="13"/>
      <c r="F840" s="11"/>
      <c r="G840" s="16"/>
      <c r="H840" s="13"/>
      <c r="I840" s="13"/>
      <c r="J840" s="13"/>
      <c r="K840" s="13"/>
      <c r="L840" s="13"/>
      <c r="M840" s="13"/>
      <c r="N840" s="13"/>
      <c r="O840" s="13"/>
      <c r="P840" s="13"/>
      <c r="Q840" s="13" t="str">
        <f aca="false">IF(L840="","",L840)</f>
        <v/>
      </c>
    </row>
    <row r="841" customFormat="false" ht="15.75" hidden="false" customHeight="false" outlineLevel="0" collapsed="false">
      <c r="A841" s="13"/>
      <c r="B841" s="13"/>
      <c r="C841" s="13"/>
      <c r="D841" s="13"/>
      <c r="E841" s="13"/>
      <c r="F841" s="11"/>
      <c r="G841" s="16"/>
      <c r="H841" s="13"/>
      <c r="I841" s="13"/>
      <c r="J841" s="13"/>
      <c r="K841" s="13"/>
      <c r="L841" s="13"/>
      <c r="M841" s="13"/>
      <c r="N841" s="13"/>
      <c r="O841" s="13"/>
      <c r="P841" s="13"/>
      <c r="Q841" s="13" t="str">
        <f aca="false">IF(L841="","",L841)</f>
        <v/>
      </c>
    </row>
    <row r="842" customFormat="false" ht="15.75" hidden="false" customHeight="false" outlineLevel="0" collapsed="false">
      <c r="A842" s="13"/>
      <c r="B842" s="13"/>
      <c r="C842" s="13"/>
      <c r="D842" s="13"/>
      <c r="E842" s="13"/>
      <c r="F842" s="11"/>
      <c r="G842" s="16"/>
      <c r="H842" s="13"/>
      <c r="I842" s="13"/>
      <c r="J842" s="13"/>
      <c r="K842" s="13"/>
      <c r="L842" s="13"/>
      <c r="M842" s="13"/>
      <c r="N842" s="13"/>
      <c r="O842" s="13"/>
      <c r="P842" s="13"/>
      <c r="Q842" s="13" t="str">
        <f aca="false">IF(L842="","",L842)</f>
        <v/>
      </c>
    </row>
    <row r="843" customFormat="false" ht="15.75" hidden="false" customHeight="false" outlineLevel="0" collapsed="false">
      <c r="A843" s="13"/>
      <c r="B843" s="13"/>
      <c r="C843" s="13"/>
      <c r="D843" s="13"/>
      <c r="E843" s="13"/>
      <c r="F843" s="11"/>
      <c r="G843" s="16"/>
      <c r="H843" s="13"/>
      <c r="I843" s="13"/>
      <c r="J843" s="13"/>
      <c r="K843" s="13"/>
      <c r="L843" s="13"/>
      <c r="M843" s="13"/>
      <c r="N843" s="13"/>
      <c r="O843" s="13"/>
      <c r="P843" s="13"/>
      <c r="Q843" s="13" t="str">
        <f aca="false">IF(L843="","",L843)</f>
        <v/>
      </c>
    </row>
    <row r="844" customFormat="false" ht="15.75" hidden="false" customHeight="false" outlineLevel="0" collapsed="false">
      <c r="A844" s="13"/>
      <c r="B844" s="13"/>
      <c r="C844" s="13"/>
      <c r="D844" s="13"/>
      <c r="E844" s="13"/>
      <c r="F844" s="11"/>
      <c r="G844" s="16"/>
      <c r="H844" s="13"/>
      <c r="I844" s="13"/>
      <c r="J844" s="13"/>
      <c r="K844" s="13"/>
      <c r="L844" s="13"/>
      <c r="M844" s="13"/>
      <c r="N844" s="13"/>
      <c r="O844" s="13"/>
      <c r="P844" s="13"/>
      <c r="Q844" s="13" t="str">
        <f aca="false">IF(L844="","",L844)</f>
        <v/>
      </c>
    </row>
    <row r="845" customFormat="false" ht="15.75" hidden="false" customHeight="false" outlineLevel="0" collapsed="false">
      <c r="A845" s="13"/>
      <c r="B845" s="13"/>
      <c r="C845" s="13"/>
      <c r="D845" s="13"/>
      <c r="E845" s="13"/>
      <c r="F845" s="11"/>
      <c r="G845" s="16"/>
      <c r="H845" s="13"/>
      <c r="I845" s="13"/>
      <c r="J845" s="13"/>
      <c r="K845" s="13"/>
      <c r="L845" s="13"/>
      <c r="M845" s="13"/>
      <c r="N845" s="13"/>
      <c r="O845" s="13"/>
      <c r="P845" s="13"/>
      <c r="Q845" s="13" t="str">
        <f aca="false">IF(L845="","",L845)</f>
        <v/>
      </c>
    </row>
    <row r="846" customFormat="false" ht="15.75" hidden="false" customHeight="false" outlineLevel="0" collapsed="false">
      <c r="A846" s="13"/>
      <c r="B846" s="13"/>
      <c r="C846" s="13"/>
      <c r="D846" s="13"/>
      <c r="E846" s="13"/>
      <c r="F846" s="11"/>
      <c r="G846" s="16"/>
      <c r="H846" s="13"/>
      <c r="I846" s="13"/>
      <c r="J846" s="13"/>
      <c r="K846" s="13"/>
      <c r="L846" s="13"/>
      <c r="M846" s="13"/>
      <c r="N846" s="13"/>
      <c r="O846" s="13"/>
      <c r="P846" s="13"/>
      <c r="Q846" s="13" t="str">
        <f aca="false">IF(L846="","",L846)</f>
        <v/>
      </c>
    </row>
    <row r="847" customFormat="false" ht="15.75" hidden="false" customHeight="false" outlineLevel="0" collapsed="false">
      <c r="A847" s="13"/>
      <c r="B847" s="13"/>
      <c r="C847" s="13"/>
      <c r="D847" s="13"/>
      <c r="E847" s="13"/>
      <c r="F847" s="11"/>
      <c r="G847" s="16"/>
      <c r="H847" s="13"/>
      <c r="I847" s="13"/>
      <c r="J847" s="13"/>
      <c r="K847" s="13"/>
      <c r="L847" s="13"/>
      <c r="M847" s="13"/>
      <c r="N847" s="13"/>
      <c r="O847" s="13"/>
      <c r="P847" s="13"/>
      <c r="Q847" s="13" t="str">
        <f aca="false">IF(L847="","",L847)</f>
        <v/>
      </c>
    </row>
    <row r="848" customFormat="false" ht="15.75" hidden="false" customHeight="false" outlineLevel="0" collapsed="false">
      <c r="A848" s="13"/>
      <c r="B848" s="13"/>
      <c r="C848" s="13"/>
      <c r="D848" s="13"/>
      <c r="E848" s="13"/>
      <c r="F848" s="11"/>
      <c r="G848" s="16"/>
      <c r="H848" s="13"/>
      <c r="I848" s="13"/>
      <c r="J848" s="13"/>
      <c r="K848" s="13"/>
      <c r="L848" s="13"/>
      <c r="M848" s="13"/>
      <c r="N848" s="13"/>
      <c r="O848" s="13"/>
      <c r="P848" s="13"/>
      <c r="Q848" s="13" t="str">
        <f aca="false">IF(L848="","",L848)</f>
        <v/>
      </c>
    </row>
    <row r="849" customFormat="false" ht="15.75" hidden="false" customHeight="false" outlineLevel="0" collapsed="false">
      <c r="A849" s="13"/>
      <c r="B849" s="13"/>
      <c r="C849" s="13"/>
      <c r="D849" s="13"/>
      <c r="E849" s="13"/>
      <c r="F849" s="11"/>
      <c r="G849" s="16"/>
      <c r="H849" s="13"/>
      <c r="I849" s="13"/>
      <c r="J849" s="13"/>
      <c r="K849" s="13"/>
      <c r="L849" s="13"/>
      <c r="M849" s="13"/>
      <c r="N849" s="13"/>
      <c r="O849" s="13"/>
      <c r="P849" s="13"/>
      <c r="Q849" s="13" t="str">
        <f aca="false">IF(L849="","",L849)</f>
        <v/>
      </c>
    </row>
    <row r="850" customFormat="false" ht="15.75" hidden="false" customHeight="false" outlineLevel="0" collapsed="false">
      <c r="A850" s="13"/>
      <c r="B850" s="13"/>
      <c r="C850" s="13"/>
      <c r="D850" s="13"/>
      <c r="E850" s="13"/>
      <c r="F850" s="11"/>
      <c r="G850" s="16"/>
      <c r="H850" s="13"/>
      <c r="I850" s="13"/>
      <c r="J850" s="13"/>
      <c r="K850" s="13"/>
      <c r="L850" s="13"/>
      <c r="M850" s="13"/>
      <c r="N850" s="13"/>
      <c r="O850" s="13"/>
      <c r="P850" s="13"/>
      <c r="Q850" s="13" t="str">
        <f aca="false">IF(L850="","",L850)</f>
        <v/>
      </c>
    </row>
    <row r="851" customFormat="false" ht="15.75" hidden="false" customHeight="false" outlineLevel="0" collapsed="false">
      <c r="A851" s="13"/>
      <c r="B851" s="13"/>
      <c r="C851" s="13"/>
      <c r="D851" s="13"/>
      <c r="E851" s="13"/>
      <c r="F851" s="11"/>
      <c r="G851" s="16"/>
      <c r="H851" s="13"/>
      <c r="I851" s="13"/>
      <c r="J851" s="13"/>
      <c r="K851" s="13"/>
      <c r="L851" s="13"/>
      <c r="M851" s="13"/>
      <c r="N851" s="13"/>
      <c r="O851" s="13"/>
      <c r="P851" s="13"/>
      <c r="Q851" s="13" t="str">
        <f aca="false">IF(L851="","",L851)</f>
        <v/>
      </c>
    </row>
    <row r="852" customFormat="false" ht="15.75" hidden="false" customHeight="false" outlineLevel="0" collapsed="false">
      <c r="A852" s="13"/>
      <c r="B852" s="13"/>
      <c r="C852" s="13"/>
      <c r="D852" s="13"/>
      <c r="E852" s="13"/>
      <c r="F852" s="11"/>
      <c r="G852" s="16"/>
      <c r="H852" s="13"/>
      <c r="I852" s="13"/>
      <c r="J852" s="13"/>
      <c r="K852" s="13"/>
      <c r="L852" s="13"/>
      <c r="M852" s="13"/>
      <c r="N852" s="13"/>
      <c r="O852" s="13"/>
      <c r="P852" s="13"/>
      <c r="Q852" s="13" t="str">
        <f aca="false">IF(L852="","",L852)</f>
        <v/>
      </c>
    </row>
    <row r="853" customFormat="false" ht="15.75" hidden="false" customHeight="false" outlineLevel="0" collapsed="false">
      <c r="A853" s="13"/>
      <c r="B853" s="13"/>
      <c r="C853" s="13"/>
      <c r="D853" s="13"/>
      <c r="E853" s="13"/>
      <c r="F853" s="11"/>
      <c r="G853" s="16"/>
      <c r="H853" s="13"/>
      <c r="I853" s="13"/>
      <c r="J853" s="13"/>
      <c r="K853" s="13"/>
      <c r="L853" s="13"/>
      <c r="M853" s="13"/>
      <c r="N853" s="13"/>
      <c r="O853" s="13"/>
      <c r="P853" s="13"/>
      <c r="Q853" s="13" t="str">
        <f aca="false">IF(L853="","",L853)</f>
        <v/>
      </c>
    </row>
    <row r="854" customFormat="false" ht="15.75" hidden="false" customHeight="false" outlineLevel="0" collapsed="false">
      <c r="A854" s="13"/>
      <c r="B854" s="13"/>
      <c r="C854" s="13"/>
      <c r="D854" s="13"/>
      <c r="E854" s="13"/>
      <c r="F854" s="11"/>
      <c r="G854" s="16"/>
      <c r="H854" s="13"/>
      <c r="I854" s="13"/>
      <c r="J854" s="13"/>
      <c r="K854" s="13"/>
      <c r="L854" s="13"/>
      <c r="M854" s="13"/>
      <c r="N854" s="13"/>
      <c r="O854" s="13"/>
      <c r="P854" s="13"/>
      <c r="Q854" s="13" t="str">
        <f aca="false">IF(L854="","",L854)</f>
        <v/>
      </c>
    </row>
    <row r="855" customFormat="false" ht="15.75" hidden="false" customHeight="false" outlineLevel="0" collapsed="false">
      <c r="A855" s="13"/>
      <c r="B855" s="13"/>
      <c r="C855" s="13"/>
      <c r="D855" s="13"/>
      <c r="E855" s="13"/>
      <c r="F855" s="11"/>
      <c r="G855" s="16"/>
      <c r="H855" s="13"/>
      <c r="I855" s="13"/>
      <c r="J855" s="13"/>
      <c r="K855" s="13"/>
      <c r="L855" s="13"/>
      <c r="M855" s="13"/>
      <c r="N855" s="13"/>
      <c r="O855" s="13"/>
      <c r="P855" s="13"/>
      <c r="Q855" s="13" t="str">
        <f aca="false">IF(L855="","",L855)</f>
        <v/>
      </c>
    </row>
    <row r="856" customFormat="false" ht="15.75" hidden="false" customHeight="false" outlineLevel="0" collapsed="false">
      <c r="A856" s="13"/>
      <c r="B856" s="13"/>
      <c r="C856" s="13"/>
      <c r="D856" s="13"/>
      <c r="E856" s="13"/>
      <c r="F856" s="11"/>
      <c r="G856" s="16"/>
      <c r="H856" s="13"/>
      <c r="I856" s="13"/>
      <c r="J856" s="13"/>
      <c r="K856" s="13"/>
      <c r="L856" s="13"/>
      <c r="M856" s="13"/>
      <c r="N856" s="13"/>
      <c r="O856" s="13"/>
      <c r="P856" s="13"/>
      <c r="Q856" s="13" t="str">
        <f aca="false">IF(L856="","",L856)</f>
        <v/>
      </c>
    </row>
    <row r="857" customFormat="false" ht="15.75" hidden="false" customHeight="false" outlineLevel="0" collapsed="false">
      <c r="A857" s="13"/>
      <c r="B857" s="13"/>
      <c r="C857" s="13"/>
      <c r="D857" s="13"/>
      <c r="E857" s="13"/>
      <c r="F857" s="11"/>
      <c r="G857" s="16"/>
      <c r="H857" s="13"/>
      <c r="I857" s="13"/>
      <c r="J857" s="13"/>
      <c r="K857" s="13"/>
      <c r="L857" s="13"/>
      <c r="M857" s="13"/>
      <c r="N857" s="13"/>
      <c r="O857" s="13"/>
      <c r="P857" s="13"/>
      <c r="Q857" s="13" t="str">
        <f aca="false">IF(L857="","",L857)</f>
        <v/>
      </c>
    </row>
    <row r="858" customFormat="false" ht="15.75" hidden="false" customHeight="false" outlineLevel="0" collapsed="false">
      <c r="A858" s="13"/>
      <c r="B858" s="13"/>
      <c r="C858" s="13"/>
      <c r="D858" s="13"/>
      <c r="E858" s="13"/>
      <c r="F858" s="11"/>
      <c r="G858" s="16"/>
      <c r="H858" s="13"/>
      <c r="I858" s="13"/>
      <c r="J858" s="13"/>
      <c r="K858" s="13"/>
      <c r="L858" s="13"/>
      <c r="M858" s="13"/>
      <c r="N858" s="13"/>
      <c r="O858" s="13"/>
      <c r="P858" s="13"/>
      <c r="Q858" s="13" t="str">
        <f aca="false">IF(L858="","",L858)</f>
        <v/>
      </c>
    </row>
    <row r="859" customFormat="false" ht="15.75" hidden="false" customHeight="false" outlineLevel="0" collapsed="false">
      <c r="A859" s="13"/>
      <c r="B859" s="13"/>
      <c r="C859" s="13"/>
      <c r="D859" s="13"/>
      <c r="E859" s="13"/>
      <c r="F859" s="11"/>
      <c r="G859" s="16"/>
      <c r="H859" s="13"/>
      <c r="I859" s="13"/>
      <c r="J859" s="13"/>
      <c r="K859" s="13"/>
      <c r="L859" s="13"/>
      <c r="M859" s="13"/>
      <c r="N859" s="13"/>
      <c r="O859" s="13"/>
      <c r="P859" s="13"/>
      <c r="Q859" s="13" t="str">
        <f aca="false">IF(L859="","",L859)</f>
        <v/>
      </c>
    </row>
    <row r="860" customFormat="false" ht="15.75" hidden="false" customHeight="false" outlineLevel="0" collapsed="false">
      <c r="A860" s="13"/>
      <c r="B860" s="13"/>
      <c r="C860" s="13"/>
      <c r="D860" s="13"/>
      <c r="E860" s="13"/>
      <c r="F860" s="11"/>
      <c r="G860" s="16"/>
      <c r="H860" s="13"/>
      <c r="I860" s="13"/>
      <c r="J860" s="13"/>
      <c r="K860" s="13"/>
      <c r="L860" s="13"/>
      <c r="M860" s="13"/>
      <c r="N860" s="13"/>
      <c r="O860" s="13"/>
      <c r="P860" s="13"/>
      <c r="Q860" s="13" t="str">
        <f aca="false">IF(L860="","",L860)</f>
        <v/>
      </c>
    </row>
    <row r="861" customFormat="false" ht="15.75" hidden="false" customHeight="false" outlineLevel="0" collapsed="false">
      <c r="A861" s="13"/>
      <c r="B861" s="13"/>
      <c r="C861" s="13"/>
      <c r="D861" s="13"/>
      <c r="E861" s="13"/>
      <c r="F861" s="11"/>
      <c r="G861" s="16"/>
      <c r="H861" s="13"/>
      <c r="I861" s="13"/>
      <c r="J861" s="13"/>
      <c r="K861" s="13"/>
      <c r="L861" s="13"/>
      <c r="M861" s="13"/>
      <c r="N861" s="13"/>
      <c r="O861" s="13"/>
      <c r="P861" s="13"/>
      <c r="Q861" s="13" t="str">
        <f aca="false">IF(L861="","",L861)</f>
        <v/>
      </c>
    </row>
    <row r="862" customFormat="false" ht="15.75" hidden="false" customHeight="false" outlineLevel="0" collapsed="false">
      <c r="A862" s="13"/>
      <c r="B862" s="13"/>
      <c r="C862" s="13"/>
      <c r="D862" s="13"/>
      <c r="E862" s="13"/>
      <c r="F862" s="11"/>
      <c r="G862" s="16"/>
      <c r="H862" s="13"/>
      <c r="I862" s="13"/>
      <c r="J862" s="13"/>
      <c r="K862" s="13"/>
      <c r="L862" s="13"/>
      <c r="M862" s="13"/>
      <c r="N862" s="13"/>
      <c r="O862" s="13"/>
      <c r="P862" s="13"/>
      <c r="Q862" s="13" t="str">
        <f aca="false">IF(L862="","",L862)</f>
        <v/>
      </c>
    </row>
    <row r="863" customFormat="false" ht="15.75" hidden="false" customHeight="false" outlineLevel="0" collapsed="false">
      <c r="A863" s="13"/>
      <c r="B863" s="13"/>
      <c r="C863" s="13"/>
      <c r="D863" s="13"/>
      <c r="E863" s="13"/>
      <c r="F863" s="11"/>
      <c r="G863" s="16"/>
      <c r="H863" s="13"/>
      <c r="I863" s="13"/>
      <c r="J863" s="13"/>
      <c r="K863" s="13"/>
      <c r="L863" s="13"/>
      <c r="M863" s="13"/>
      <c r="N863" s="13"/>
      <c r="O863" s="13"/>
      <c r="P863" s="13"/>
      <c r="Q863" s="13" t="str">
        <f aca="false">IF(L863="","",L863)</f>
        <v/>
      </c>
    </row>
    <row r="864" customFormat="false" ht="15.75" hidden="false" customHeight="false" outlineLevel="0" collapsed="false">
      <c r="A864" s="13"/>
      <c r="B864" s="13"/>
      <c r="C864" s="13"/>
      <c r="D864" s="13"/>
      <c r="E864" s="13"/>
      <c r="F864" s="11"/>
      <c r="G864" s="16"/>
      <c r="H864" s="13"/>
      <c r="I864" s="13"/>
      <c r="J864" s="13"/>
      <c r="K864" s="13"/>
      <c r="L864" s="13"/>
      <c r="M864" s="13"/>
      <c r="N864" s="13"/>
      <c r="O864" s="13"/>
      <c r="P864" s="13"/>
      <c r="Q864" s="13" t="str">
        <f aca="false">IF(L864="","",L864)</f>
        <v/>
      </c>
    </row>
    <row r="865" customFormat="false" ht="15.75" hidden="false" customHeight="false" outlineLevel="0" collapsed="false">
      <c r="A865" s="13"/>
      <c r="B865" s="13"/>
      <c r="C865" s="13"/>
      <c r="D865" s="13"/>
      <c r="E865" s="13"/>
      <c r="F865" s="11"/>
      <c r="G865" s="16"/>
      <c r="H865" s="13"/>
      <c r="I865" s="13"/>
      <c r="J865" s="13"/>
      <c r="K865" s="13"/>
      <c r="L865" s="13"/>
      <c r="M865" s="13"/>
      <c r="N865" s="13"/>
      <c r="O865" s="13"/>
      <c r="P865" s="13"/>
      <c r="Q865" s="13" t="str">
        <f aca="false">IF(L865="","",L865)</f>
        <v/>
      </c>
    </row>
    <row r="866" customFormat="false" ht="15.75" hidden="false" customHeight="false" outlineLevel="0" collapsed="false">
      <c r="A866" s="13"/>
      <c r="B866" s="13"/>
      <c r="C866" s="13"/>
      <c r="D866" s="13"/>
      <c r="E866" s="13"/>
      <c r="F866" s="11"/>
      <c r="G866" s="16"/>
      <c r="H866" s="13"/>
      <c r="I866" s="13"/>
      <c r="J866" s="13"/>
      <c r="K866" s="13"/>
      <c r="L866" s="13"/>
      <c r="M866" s="13"/>
      <c r="N866" s="13"/>
      <c r="O866" s="13"/>
      <c r="P866" s="13"/>
      <c r="Q866" s="13" t="str">
        <f aca="false">IF(L866="","",L866)</f>
        <v/>
      </c>
    </row>
    <row r="867" customFormat="false" ht="15.75" hidden="false" customHeight="false" outlineLevel="0" collapsed="false">
      <c r="A867" s="13"/>
      <c r="B867" s="13"/>
      <c r="C867" s="13"/>
      <c r="D867" s="13"/>
      <c r="E867" s="13"/>
      <c r="F867" s="11"/>
      <c r="G867" s="16"/>
      <c r="H867" s="13"/>
      <c r="I867" s="13"/>
      <c r="J867" s="13"/>
      <c r="K867" s="13"/>
      <c r="L867" s="13"/>
      <c r="M867" s="13"/>
      <c r="N867" s="13"/>
      <c r="O867" s="13"/>
      <c r="P867" s="13"/>
      <c r="Q867" s="13" t="str">
        <f aca="false">IF(L867="","",L867)</f>
        <v/>
      </c>
    </row>
    <row r="868" customFormat="false" ht="15.75" hidden="false" customHeight="false" outlineLevel="0" collapsed="false">
      <c r="A868" s="13"/>
      <c r="B868" s="13"/>
      <c r="C868" s="13"/>
      <c r="D868" s="13"/>
      <c r="E868" s="13"/>
      <c r="F868" s="11"/>
      <c r="G868" s="16"/>
      <c r="H868" s="13"/>
      <c r="I868" s="13"/>
      <c r="J868" s="13"/>
      <c r="K868" s="13"/>
      <c r="L868" s="13"/>
      <c r="M868" s="13"/>
      <c r="N868" s="13"/>
      <c r="O868" s="13"/>
      <c r="P868" s="13"/>
      <c r="Q868" s="13" t="str">
        <f aca="false">IF(L868="","",L868)</f>
        <v/>
      </c>
    </row>
    <row r="869" customFormat="false" ht="15.75" hidden="false" customHeight="false" outlineLevel="0" collapsed="false">
      <c r="A869" s="13"/>
      <c r="B869" s="13"/>
      <c r="C869" s="13"/>
      <c r="D869" s="13"/>
      <c r="E869" s="13"/>
      <c r="F869" s="11"/>
      <c r="G869" s="16"/>
      <c r="H869" s="13"/>
      <c r="I869" s="13"/>
      <c r="J869" s="13"/>
      <c r="K869" s="13"/>
      <c r="L869" s="13"/>
      <c r="M869" s="13"/>
      <c r="N869" s="13"/>
      <c r="O869" s="13"/>
      <c r="P869" s="13"/>
      <c r="Q869" s="13" t="str">
        <f aca="false">IF(L869="","",L869)</f>
        <v/>
      </c>
    </row>
    <row r="870" customFormat="false" ht="15.75" hidden="false" customHeight="false" outlineLevel="0" collapsed="false">
      <c r="A870" s="13"/>
      <c r="B870" s="13"/>
      <c r="C870" s="13"/>
      <c r="D870" s="13"/>
      <c r="E870" s="13"/>
      <c r="F870" s="11"/>
      <c r="G870" s="16"/>
      <c r="H870" s="13"/>
      <c r="I870" s="13"/>
      <c r="J870" s="13"/>
      <c r="K870" s="13"/>
      <c r="L870" s="13"/>
      <c r="M870" s="13"/>
      <c r="N870" s="13"/>
      <c r="O870" s="13"/>
      <c r="P870" s="13"/>
      <c r="Q870" s="13" t="str">
        <f aca="false">IF(L870="","",L870)</f>
        <v/>
      </c>
    </row>
    <row r="871" customFormat="false" ht="15.75" hidden="false" customHeight="false" outlineLevel="0" collapsed="false">
      <c r="A871" s="13"/>
      <c r="B871" s="13"/>
      <c r="C871" s="13"/>
      <c r="D871" s="13"/>
      <c r="E871" s="13"/>
      <c r="F871" s="11"/>
      <c r="G871" s="16"/>
      <c r="H871" s="13"/>
      <c r="I871" s="13"/>
      <c r="J871" s="13"/>
      <c r="K871" s="13"/>
      <c r="L871" s="13"/>
      <c r="M871" s="13"/>
      <c r="N871" s="13"/>
      <c r="O871" s="13"/>
      <c r="P871" s="13"/>
      <c r="Q871" s="13" t="str">
        <f aca="false">IF(L871="","",L871)</f>
        <v/>
      </c>
    </row>
    <row r="872" customFormat="false" ht="15.75" hidden="false" customHeight="false" outlineLevel="0" collapsed="false">
      <c r="A872" s="13"/>
      <c r="B872" s="13"/>
      <c r="C872" s="13"/>
      <c r="D872" s="13"/>
      <c r="E872" s="13"/>
      <c r="F872" s="11"/>
      <c r="G872" s="16"/>
      <c r="H872" s="13"/>
      <c r="I872" s="13"/>
      <c r="J872" s="13"/>
      <c r="K872" s="13"/>
      <c r="L872" s="13"/>
      <c r="M872" s="13"/>
      <c r="N872" s="13"/>
      <c r="O872" s="13"/>
      <c r="P872" s="13"/>
      <c r="Q872" s="13" t="str">
        <f aca="false">IF(L872="","",L872)</f>
        <v/>
      </c>
    </row>
    <row r="873" customFormat="false" ht="15.75" hidden="false" customHeight="false" outlineLevel="0" collapsed="false">
      <c r="A873" s="13"/>
      <c r="B873" s="13"/>
      <c r="C873" s="13"/>
      <c r="D873" s="13"/>
      <c r="E873" s="13"/>
      <c r="F873" s="11"/>
      <c r="G873" s="16"/>
      <c r="H873" s="13"/>
      <c r="I873" s="13"/>
      <c r="J873" s="13"/>
      <c r="K873" s="13"/>
      <c r="L873" s="13"/>
      <c r="M873" s="13"/>
      <c r="N873" s="13"/>
      <c r="O873" s="13"/>
      <c r="P873" s="13"/>
      <c r="Q873" s="13" t="str">
        <f aca="false">IF(L873="","",L873)</f>
        <v/>
      </c>
    </row>
    <row r="874" customFormat="false" ht="15.75" hidden="false" customHeight="false" outlineLevel="0" collapsed="false">
      <c r="A874" s="13"/>
      <c r="B874" s="13"/>
      <c r="C874" s="13"/>
      <c r="D874" s="13"/>
      <c r="E874" s="13"/>
      <c r="F874" s="11"/>
      <c r="G874" s="16"/>
      <c r="H874" s="13"/>
      <c r="I874" s="13"/>
      <c r="J874" s="13"/>
      <c r="K874" s="13"/>
      <c r="L874" s="13"/>
      <c r="M874" s="13"/>
      <c r="N874" s="13"/>
      <c r="O874" s="13"/>
      <c r="P874" s="13"/>
      <c r="Q874" s="13" t="str">
        <f aca="false">IF(L874="","",L874)</f>
        <v/>
      </c>
    </row>
    <row r="875" customFormat="false" ht="15.75" hidden="false" customHeight="false" outlineLevel="0" collapsed="false">
      <c r="A875" s="13"/>
      <c r="B875" s="13"/>
      <c r="C875" s="13"/>
      <c r="D875" s="13"/>
      <c r="E875" s="13"/>
      <c r="F875" s="11"/>
      <c r="G875" s="16"/>
      <c r="H875" s="13"/>
      <c r="I875" s="13"/>
      <c r="J875" s="13"/>
      <c r="K875" s="13"/>
      <c r="L875" s="13"/>
      <c r="M875" s="13"/>
      <c r="N875" s="13"/>
      <c r="O875" s="13"/>
      <c r="P875" s="13"/>
      <c r="Q875" s="13" t="str">
        <f aca="false">IF(L875="","",L875)</f>
        <v/>
      </c>
    </row>
    <row r="876" customFormat="false" ht="15.75" hidden="false" customHeight="false" outlineLevel="0" collapsed="false">
      <c r="A876" s="13"/>
      <c r="B876" s="13"/>
      <c r="C876" s="13"/>
      <c r="D876" s="13"/>
      <c r="E876" s="13"/>
      <c r="F876" s="11"/>
      <c r="G876" s="16"/>
      <c r="H876" s="13"/>
      <c r="I876" s="13"/>
      <c r="J876" s="13"/>
      <c r="K876" s="13"/>
      <c r="L876" s="13"/>
      <c r="M876" s="13"/>
      <c r="N876" s="13"/>
      <c r="O876" s="13"/>
      <c r="P876" s="13"/>
      <c r="Q876" s="13" t="str">
        <f aca="false">IF(L876="","",L876)</f>
        <v/>
      </c>
    </row>
    <row r="877" customFormat="false" ht="15.75" hidden="false" customHeight="false" outlineLevel="0" collapsed="false">
      <c r="A877" s="13"/>
      <c r="B877" s="13"/>
      <c r="C877" s="13"/>
      <c r="D877" s="13"/>
      <c r="E877" s="13"/>
      <c r="F877" s="11"/>
      <c r="G877" s="16"/>
      <c r="H877" s="13"/>
      <c r="I877" s="13"/>
      <c r="J877" s="13"/>
      <c r="K877" s="13"/>
      <c r="L877" s="13"/>
      <c r="M877" s="13"/>
      <c r="N877" s="13"/>
      <c r="O877" s="13"/>
      <c r="P877" s="13"/>
      <c r="Q877" s="13" t="str">
        <f aca="false">IF(L877="","",L877)</f>
        <v/>
      </c>
    </row>
    <row r="878" customFormat="false" ht="15.75" hidden="false" customHeight="false" outlineLevel="0" collapsed="false">
      <c r="A878" s="13"/>
      <c r="B878" s="13"/>
      <c r="C878" s="13"/>
      <c r="D878" s="13"/>
      <c r="E878" s="13"/>
      <c r="F878" s="11"/>
      <c r="G878" s="16"/>
      <c r="H878" s="13"/>
      <c r="I878" s="13"/>
      <c r="J878" s="13"/>
      <c r="K878" s="13"/>
      <c r="L878" s="13"/>
      <c r="M878" s="13"/>
      <c r="N878" s="13"/>
      <c r="O878" s="13"/>
      <c r="P878" s="13"/>
      <c r="Q878" s="13" t="str">
        <f aca="false">IF(L878="","",L878)</f>
        <v/>
      </c>
    </row>
    <row r="879" customFormat="false" ht="15.75" hidden="false" customHeight="false" outlineLevel="0" collapsed="false">
      <c r="A879" s="13"/>
      <c r="B879" s="13"/>
      <c r="C879" s="13"/>
      <c r="D879" s="13"/>
      <c r="E879" s="13"/>
      <c r="F879" s="11"/>
      <c r="G879" s="16"/>
      <c r="H879" s="13"/>
      <c r="I879" s="13"/>
      <c r="J879" s="13"/>
      <c r="K879" s="13"/>
      <c r="L879" s="13"/>
      <c r="M879" s="13"/>
      <c r="N879" s="13"/>
      <c r="O879" s="13"/>
      <c r="P879" s="13"/>
      <c r="Q879" s="13" t="str">
        <f aca="false">IF(L879="","",L879)</f>
        <v/>
      </c>
    </row>
    <row r="880" customFormat="false" ht="15.75" hidden="false" customHeight="false" outlineLevel="0" collapsed="false">
      <c r="A880" s="13"/>
      <c r="B880" s="13"/>
      <c r="C880" s="13"/>
      <c r="D880" s="13"/>
      <c r="E880" s="13"/>
      <c r="F880" s="11"/>
      <c r="G880" s="16"/>
      <c r="H880" s="13"/>
      <c r="I880" s="13"/>
      <c r="J880" s="13"/>
      <c r="K880" s="13"/>
      <c r="L880" s="13"/>
      <c r="M880" s="13"/>
      <c r="N880" s="13"/>
      <c r="O880" s="13"/>
      <c r="P880" s="13"/>
      <c r="Q880" s="13" t="str">
        <f aca="false">IF(L880="","",L880)</f>
        <v/>
      </c>
    </row>
    <row r="881" customFormat="false" ht="15.75" hidden="false" customHeight="false" outlineLevel="0" collapsed="false">
      <c r="A881" s="13"/>
      <c r="B881" s="13"/>
      <c r="C881" s="13"/>
      <c r="D881" s="13"/>
      <c r="E881" s="13"/>
      <c r="F881" s="11"/>
      <c r="G881" s="16"/>
      <c r="H881" s="13"/>
      <c r="I881" s="13"/>
      <c r="J881" s="13"/>
      <c r="K881" s="13"/>
      <c r="L881" s="13"/>
      <c r="M881" s="13"/>
      <c r="N881" s="13"/>
      <c r="O881" s="13"/>
      <c r="P881" s="13"/>
      <c r="Q881" s="13" t="str">
        <f aca="false">IF(L881="","",L881)</f>
        <v/>
      </c>
    </row>
    <row r="882" customFormat="false" ht="15.75" hidden="false" customHeight="false" outlineLevel="0" collapsed="false">
      <c r="A882" s="13"/>
      <c r="B882" s="13"/>
      <c r="C882" s="13"/>
      <c r="D882" s="13"/>
      <c r="E882" s="13"/>
      <c r="F882" s="11"/>
      <c r="G882" s="16"/>
      <c r="H882" s="13"/>
      <c r="I882" s="13"/>
      <c r="J882" s="13"/>
      <c r="K882" s="13"/>
      <c r="L882" s="13"/>
      <c r="M882" s="13"/>
      <c r="N882" s="13"/>
      <c r="O882" s="13"/>
      <c r="P882" s="13"/>
      <c r="Q882" s="13" t="str">
        <f aca="false">IF(L882="","",L882)</f>
        <v/>
      </c>
    </row>
    <row r="883" customFormat="false" ht="15.75" hidden="false" customHeight="false" outlineLevel="0" collapsed="false">
      <c r="A883" s="13"/>
      <c r="B883" s="13"/>
      <c r="C883" s="13"/>
      <c r="D883" s="13"/>
      <c r="E883" s="13"/>
      <c r="F883" s="11"/>
      <c r="G883" s="16"/>
      <c r="H883" s="13"/>
      <c r="I883" s="13"/>
      <c r="J883" s="13"/>
      <c r="K883" s="13"/>
      <c r="L883" s="13"/>
      <c r="M883" s="13"/>
      <c r="N883" s="13"/>
      <c r="O883" s="13"/>
      <c r="P883" s="13"/>
      <c r="Q883" s="13" t="str">
        <f aca="false">IF(L883="","",L883)</f>
        <v/>
      </c>
    </row>
    <row r="884" customFormat="false" ht="15.75" hidden="false" customHeight="false" outlineLevel="0" collapsed="false">
      <c r="A884" s="13"/>
      <c r="B884" s="13"/>
      <c r="C884" s="13"/>
      <c r="D884" s="13"/>
      <c r="E884" s="13"/>
      <c r="F884" s="11"/>
      <c r="G884" s="16"/>
      <c r="H884" s="13"/>
      <c r="I884" s="13"/>
      <c r="J884" s="13"/>
      <c r="K884" s="13"/>
      <c r="L884" s="13"/>
      <c r="M884" s="13"/>
      <c r="N884" s="13"/>
      <c r="O884" s="13"/>
      <c r="P884" s="13"/>
      <c r="Q884" s="13" t="str">
        <f aca="false">IF(L884="","",L884)</f>
        <v/>
      </c>
    </row>
    <row r="885" customFormat="false" ht="15.75" hidden="false" customHeight="false" outlineLevel="0" collapsed="false">
      <c r="A885" s="13"/>
      <c r="B885" s="13"/>
      <c r="C885" s="13"/>
      <c r="D885" s="13"/>
      <c r="E885" s="13"/>
      <c r="F885" s="11"/>
      <c r="G885" s="16"/>
      <c r="H885" s="13"/>
      <c r="I885" s="13"/>
      <c r="J885" s="13"/>
      <c r="K885" s="13"/>
      <c r="L885" s="13"/>
      <c r="M885" s="13"/>
      <c r="N885" s="13"/>
      <c r="O885" s="13"/>
      <c r="P885" s="13"/>
      <c r="Q885" s="13" t="str">
        <f aca="false">IF(L885="","",L885)</f>
        <v/>
      </c>
    </row>
    <row r="886" customFormat="false" ht="15.75" hidden="false" customHeight="false" outlineLevel="0" collapsed="false">
      <c r="A886" s="13"/>
      <c r="B886" s="13"/>
      <c r="C886" s="13"/>
      <c r="D886" s="13"/>
      <c r="E886" s="13"/>
      <c r="F886" s="11"/>
      <c r="G886" s="16"/>
      <c r="H886" s="13"/>
      <c r="I886" s="13"/>
      <c r="J886" s="13"/>
      <c r="K886" s="13"/>
      <c r="L886" s="13"/>
      <c r="M886" s="13"/>
      <c r="N886" s="13"/>
      <c r="O886" s="13"/>
      <c r="P886" s="13"/>
      <c r="Q886" s="13" t="str">
        <f aca="false">IF(L886="","",L886)</f>
        <v/>
      </c>
    </row>
    <row r="887" customFormat="false" ht="15.75" hidden="false" customHeight="false" outlineLevel="0" collapsed="false">
      <c r="A887" s="13"/>
      <c r="B887" s="13"/>
      <c r="C887" s="13"/>
      <c r="D887" s="13"/>
      <c r="E887" s="13"/>
      <c r="F887" s="11"/>
      <c r="G887" s="16"/>
      <c r="H887" s="13"/>
      <c r="I887" s="13"/>
      <c r="J887" s="13"/>
      <c r="K887" s="13"/>
      <c r="L887" s="13"/>
      <c r="M887" s="13"/>
      <c r="N887" s="13"/>
      <c r="O887" s="13"/>
      <c r="P887" s="13"/>
      <c r="Q887" s="13" t="str">
        <f aca="false">IF(L887="","",L887)</f>
        <v/>
      </c>
    </row>
    <row r="888" customFormat="false" ht="15.75" hidden="false" customHeight="false" outlineLevel="0" collapsed="false">
      <c r="A888" s="13"/>
      <c r="B888" s="13"/>
      <c r="C888" s="13"/>
      <c r="D888" s="13"/>
      <c r="E888" s="13"/>
      <c r="F888" s="11"/>
      <c r="G888" s="16"/>
      <c r="H888" s="13"/>
      <c r="I888" s="13"/>
      <c r="J888" s="13"/>
      <c r="K888" s="13"/>
      <c r="L888" s="13"/>
      <c r="M888" s="13"/>
      <c r="N888" s="13"/>
      <c r="O888" s="13"/>
      <c r="P888" s="13"/>
      <c r="Q888" s="13" t="str">
        <f aca="false">IF(L888="","",L888)</f>
        <v/>
      </c>
    </row>
    <row r="889" customFormat="false" ht="15.75" hidden="false" customHeight="false" outlineLevel="0" collapsed="false">
      <c r="A889" s="13"/>
      <c r="B889" s="13"/>
      <c r="C889" s="13"/>
      <c r="D889" s="13"/>
      <c r="E889" s="13"/>
      <c r="F889" s="11"/>
      <c r="G889" s="16"/>
      <c r="H889" s="13"/>
      <c r="I889" s="13"/>
      <c r="J889" s="13"/>
      <c r="K889" s="13"/>
      <c r="L889" s="13"/>
      <c r="M889" s="13"/>
      <c r="N889" s="13"/>
      <c r="O889" s="13"/>
      <c r="P889" s="13"/>
      <c r="Q889" s="13" t="str">
        <f aca="false">IF(L889="","",L889)</f>
        <v/>
      </c>
    </row>
    <row r="890" customFormat="false" ht="15.75" hidden="false" customHeight="false" outlineLevel="0" collapsed="false">
      <c r="A890" s="13"/>
      <c r="B890" s="13"/>
      <c r="C890" s="13"/>
      <c r="D890" s="13"/>
      <c r="E890" s="13"/>
      <c r="F890" s="11"/>
      <c r="G890" s="16"/>
      <c r="H890" s="13"/>
      <c r="I890" s="13"/>
      <c r="J890" s="13"/>
      <c r="K890" s="13"/>
      <c r="L890" s="13"/>
      <c r="M890" s="13"/>
      <c r="N890" s="13"/>
      <c r="O890" s="13"/>
      <c r="P890" s="13"/>
      <c r="Q890" s="13" t="str">
        <f aca="false">IF(L890="","",L890)</f>
        <v/>
      </c>
    </row>
    <row r="891" customFormat="false" ht="15.75" hidden="false" customHeight="false" outlineLevel="0" collapsed="false">
      <c r="A891" s="13"/>
      <c r="B891" s="13"/>
      <c r="C891" s="13"/>
      <c r="D891" s="13"/>
      <c r="E891" s="13"/>
      <c r="F891" s="11"/>
      <c r="G891" s="16"/>
      <c r="H891" s="13"/>
      <c r="I891" s="13"/>
      <c r="J891" s="13"/>
      <c r="K891" s="13"/>
      <c r="L891" s="13"/>
      <c r="M891" s="13"/>
      <c r="N891" s="13"/>
      <c r="O891" s="13"/>
      <c r="P891" s="13"/>
      <c r="Q891" s="13" t="str">
        <f aca="false">IF(L891="","",L891)</f>
        <v/>
      </c>
    </row>
    <row r="892" customFormat="false" ht="15.75" hidden="false" customHeight="false" outlineLevel="0" collapsed="false">
      <c r="A892" s="13"/>
      <c r="B892" s="13"/>
      <c r="C892" s="13"/>
      <c r="D892" s="13"/>
      <c r="E892" s="13"/>
      <c r="F892" s="11"/>
      <c r="G892" s="16"/>
      <c r="H892" s="13"/>
      <c r="I892" s="13"/>
      <c r="J892" s="13"/>
      <c r="K892" s="13"/>
      <c r="L892" s="13"/>
      <c r="M892" s="13"/>
      <c r="N892" s="13"/>
      <c r="O892" s="13"/>
      <c r="P892" s="13"/>
      <c r="Q892" s="13" t="str">
        <f aca="false">IF(L892="","",L892)</f>
        <v/>
      </c>
    </row>
    <row r="893" customFormat="false" ht="15.75" hidden="false" customHeight="false" outlineLevel="0" collapsed="false">
      <c r="A893" s="13"/>
      <c r="B893" s="13"/>
      <c r="C893" s="13"/>
      <c r="D893" s="13"/>
      <c r="E893" s="13"/>
      <c r="F893" s="11"/>
      <c r="G893" s="16"/>
      <c r="H893" s="13"/>
      <c r="I893" s="13"/>
      <c r="J893" s="13"/>
      <c r="K893" s="13"/>
      <c r="L893" s="13"/>
      <c r="M893" s="13"/>
      <c r="N893" s="13"/>
      <c r="O893" s="13"/>
      <c r="P893" s="13"/>
      <c r="Q893" s="13" t="str">
        <f aca="false">IF(L893="","",L893)</f>
        <v/>
      </c>
    </row>
    <row r="894" customFormat="false" ht="15.75" hidden="false" customHeight="false" outlineLevel="0" collapsed="false">
      <c r="A894" s="13"/>
      <c r="B894" s="13"/>
      <c r="C894" s="13"/>
      <c r="D894" s="13"/>
      <c r="E894" s="13"/>
      <c r="F894" s="11"/>
      <c r="G894" s="16"/>
      <c r="H894" s="13"/>
      <c r="I894" s="13"/>
      <c r="J894" s="13"/>
      <c r="K894" s="13"/>
      <c r="L894" s="13"/>
      <c r="M894" s="13"/>
      <c r="N894" s="13"/>
      <c r="O894" s="13"/>
      <c r="P894" s="13"/>
      <c r="Q894" s="13" t="str">
        <f aca="false">IF(L894="","",L894)</f>
        <v/>
      </c>
    </row>
    <row r="895" customFormat="false" ht="15.75" hidden="false" customHeight="false" outlineLevel="0" collapsed="false">
      <c r="A895" s="13"/>
      <c r="B895" s="13"/>
      <c r="C895" s="13"/>
      <c r="D895" s="13"/>
      <c r="E895" s="13"/>
      <c r="F895" s="11"/>
      <c r="G895" s="16"/>
      <c r="H895" s="13"/>
      <c r="I895" s="13"/>
      <c r="J895" s="13"/>
      <c r="K895" s="13"/>
      <c r="L895" s="13"/>
      <c r="M895" s="13"/>
      <c r="N895" s="13"/>
      <c r="O895" s="13"/>
      <c r="P895" s="13"/>
      <c r="Q895" s="13" t="str">
        <f aca="false">IF(L895="","",L895)</f>
        <v/>
      </c>
    </row>
    <row r="896" customFormat="false" ht="15.75" hidden="false" customHeight="false" outlineLevel="0" collapsed="false">
      <c r="A896" s="13"/>
      <c r="B896" s="13"/>
      <c r="C896" s="13"/>
      <c r="D896" s="13"/>
      <c r="E896" s="13"/>
      <c r="F896" s="11"/>
      <c r="G896" s="16"/>
      <c r="H896" s="13"/>
      <c r="I896" s="13"/>
      <c r="J896" s="13"/>
      <c r="K896" s="13"/>
      <c r="L896" s="13"/>
      <c r="M896" s="13"/>
      <c r="N896" s="13"/>
      <c r="O896" s="13"/>
      <c r="P896" s="13"/>
      <c r="Q896" s="13" t="str">
        <f aca="false">IF(L896="","",L896)</f>
        <v/>
      </c>
    </row>
    <row r="897" customFormat="false" ht="15.75" hidden="false" customHeight="false" outlineLevel="0" collapsed="false">
      <c r="A897" s="13"/>
      <c r="B897" s="13"/>
      <c r="C897" s="13"/>
      <c r="D897" s="13"/>
      <c r="E897" s="13"/>
      <c r="F897" s="11"/>
      <c r="G897" s="16"/>
      <c r="H897" s="13"/>
      <c r="I897" s="13"/>
      <c r="J897" s="13"/>
      <c r="K897" s="13"/>
      <c r="L897" s="13"/>
      <c r="M897" s="13"/>
      <c r="N897" s="13"/>
      <c r="O897" s="13"/>
      <c r="P897" s="13"/>
      <c r="Q897" s="13" t="str">
        <f aca="false">IF(L897="","",L897)</f>
        <v/>
      </c>
    </row>
    <row r="898" customFormat="false" ht="15.75" hidden="false" customHeight="false" outlineLevel="0" collapsed="false">
      <c r="A898" s="13"/>
      <c r="B898" s="13"/>
      <c r="C898" s="13"/>
      <c r="D898" s="13"/>
      <c r="E898" s="13"/>
      <c r="F898" s="11"/>
      <c r="G898" s="16"/>
      <c r="H898" s="13"/>
      <c r="I898" s="13"/>
      <c r="J898" s="13"/>
      <c r="K898" s="13"/>
      <c r="L898" s="13"/>
      <c r="M898" s="13"/>
      <c r="N898" s="13"/>
      <c r="O898" s="13"/>
      <c r="P898" s="13"/>
      <c r="Q898" s="13" t="str">
        <f aca="false">IF(L898="","",L898)</f>
        <v/>
      </c>
    </row>
    <row r="899" customFormat="false" ht="15.75" hidden="false" customHeight="false" outlineLevel="0" collapsed="false">
      <c r="A899" s="13"/>
      <c r="B899" s="13"/>
      <c r="C899" s="13"/>
      <c r="D899" s="13"/>
      <c r="E899" s="13"/>
      <c r="F899" s="11"/>
      <c r="G899" s="16"/>
      <c r="H899" s="13"/>
      <c r="I899" s="13"/>
      <c r="J899" s="13"/>
      <c r="K899" s="13"/>
      <c r="L899" s="13"/>
      <c r="M899" s="13"/>
      <c r="N899" s="13"/>
      <c r="O899" s="13"/>
      <c r="P899" s="13"/>
      <c r="Q899" s="13" t="str">
        <f aca="false">IF(L899="","",L899)</f>
        <v/>
      </c>
    </row>
    <row r="900" customFormat="false" ht="15.75" hidden="false" customHeight="false" outlineLevel="0" collapsed="false">
      <c r="A900" s="13"/>
      <c r="B900" s="13"/>
      <c r="C900" s="13"/>
      <c r="D900" s="13"/>
      <c r="E900" s="13"/>
      <c r="F900" s="11"/>
      <c r="G900" s="16"/>
      <c r="H900" s="13"/>
      <c r="I900" s="13"/>
      <c r="J900" s="13"/>
      <c r="K900" s="13"/>
      <c r="L900" s="13"/>
      <c r="M900" s="13"/>
      <c r="N900" s="13"/>
      <c r="O900" s="13"/>
      <c r="P900" s="13"/>
      <c r="Q900" s="13" t="str">
        <f aca="false">IF(L900="","",L900)</f>
        <v/>
      </c>
    </row>
    <row r="901" customFormat="false" ht="15.75" hidden="false" customHeight="false" outlineLevel="0" collapsed="false">
      <c r="A901" s="13"/>
      <c r="B901" s="13"/>
      <c r="C901" s="13"/>
      <c r="D901" s="13"/>
      <c r="E901" s="13"/>
      <c r="F901" s="11"/>
      <c r="G901" s="16"/>
      <c r="H901" s="13"/>
      <c r="I901" s="13"/>
      <c r="J901" s="13"/>
      <c r="K901" s="13"/>
      <c r="L901" s="13"/>
      <c r="M901" s="13"/>
      <c r="N901" s="13"/>
      <c r="O901" s="13"/>
      <c r="P901" s="13"/>
      <c r="Q901" s="13" t="str">
        <f aca="false">IF(L901="","",L901)</f>
        <v/>
      </c>
    </row>
    <row r="902" customFormat="false" ht="15.75" hidden="false" customHeight="false" outlineLevel="0" collapsed="false">
      <c r="A902" s="13"/>
      <c r="B902" s="13"/>
      <c r="C902" s="13"/>
      <c r="D902" s="13"/>
      <c r="E902" s="13"/>
      <c r="F902" s="11"/>
      <c r="G902" s="16"/>
      <c r="H902" s="13"/>
      <c r="I902" s="13"/>
      <c r="J902" s="13"/>
      <c r="K902" s="13"/>
      <c r="L902" s="13"/>
      <c r="M902" s="13"/>
      <c r="N902" s="13"/>
      <c r="O902" s="13"/>
      <c r="P902" s="13"/>
      <c r="Q902" s="13" t="str">
        <f aca="false">IF(L902="","",L902)</f>
        <v/>
      </c>
    </row>
    <row r="903" customFormat="false" ht="15.75" hidden="false" customHeight="false" outlineLevel="0" collapsed="false">
      <c r="A903" s="13"/>
      <c r="B903" s="13"/>
      <c r="C903" s="13"/>
      <c r="D903" s="13"/>
      <c r="E903" s="13"/>
      <c r="F903" s="11"/>
      <c r="G903" s="16"/>
      <c r="H903" s="13"/>
      <c r="I903" s="13"/>
      <c r="J903" s="13"/>
      <c r="K903" s="13"/>
      <c r="L903" s="13"/>
      <c r="M903" s="13"/>
      <c r="N903" s="13"/>
      <c r="O903" s="13"/>
      <c r="P903" s="13"/>
      <c r="Q903" s="13" t="str">
        <f aca="false">IF(L903="","",L903)</f>
        <v/>
      </c>
    </row>
    <row r="904" customFormat="false" ht="15.75" hidden="false" customHeight="false" outlineLevel="0" collapsed="false">
      <c r="A904" s="13"/>
      <c r="B904" s="13"/>
      <c r="C904" s="13"/>
      <c r="D904" s="13"/>
      <c r="E904" s="13"/>
      <c r="F904" s="11"/>
      <c r="G904" s="16"/>
      <c r="H904" s="13"/>
      <c r="I904" s="13"/>
      <c r="J904" s="13"/>
      <c r="K904" s="13"/>
      <c r="L904" s="13"/>
      <c r="M904" s="13"/>
      <c r="N904" s="13"/>
      <c r="O904" s="13"/>
      <c r="P904" s="13"/>
      <c r="Q904" s="13" t="str">
        <f aca="false">IF(L904="","",L904)</f>
        <v/>
      </c>
    </row>
    <row r="905" customFormat="false" ht="15.75" hidden="false" customHeight="false" outlineLevel="0" collapsed="false">
      <c r="A905" s="13"/>
      <c r="B905" s="13"/>
      <c r="C905" s="13"/>
      <c r="D905" s="13"/>
      <c r="E905" s="13"/>
      <c r="F905" s="11"/>
      <c r="G905" s="16"/>
      <c r="H905" s="13"/>
      <c r="I905" s="13"/>
      <c r="J905" s="13"/>
      <c r="K905" s="13"/>
      <c r="L905" s="13"/>
      <c r="M905" s="13"/>
      <c r="N905" s="13"/>
      <c r="O905" s="13"/>
      <c r="P905" s="13"/>
      <c r="Q905" s="13" t="str">
        <f aca="false">IF(L905="","",L905)</f>
        <v/>
      </c>
    </row>
    <row r="906" customFormat="false" ht="15.75" hidden="false" customHeight="false" outlineLevel="0" collapsed="false">
      <c r="A906" s="13"/>
      <c r="B906" s="13"/>
      <c r="C906" s="13"/>
      <c r="D906" s="13"/>
      <c r="E906" s="13"/>
      <c r="F906" s="11"/>
      <c r="G906" s="16"/>
      <c r="H906" s="13"/>
      <c r="I906" s="13"/>
      <c r="J906" s="13"/>
      <c r="K906" s="13"/>
      <c r="L906" s="13"/>
      <c r="M906" s="13"/>
      <c r="N906" s="13"/>
      <c r="O906" s="13"/>
      <c r="P906" s="13"/>
      <c r="Q906" s="13" t="str">
        <f aca="false">IF(L906="","",L906)</f>
        <v/>
      </c>
    </row>
    <row r="907" customFormat="false" ht="15.75" hidden="false" customHeight="false" outlineLevel="0" collapsed="false">
      <c r="A907" s="13"/>
      <c r="B907" s="13"/>
      <c r="C907" s="13"/>
      <c r="D907" s="13"/>
      <c r="E907" s="13"/>
      <c r="F907" s="11"/>
      <c r="G907" s="16"/>
      <c r="H907" s="13"/>
      <c r="I907" s="13"/>
      <c r="J907" s="13"/>
      <c r="K907" s="13"/>
      <c r="L907" s="13"/>
      <c r="M907" s="13"/>
      <c r="N907" s="13"/>
      <c r="O907" s="13"/>
      <c r="P907" s="13"/>
      <c r="Q907" s="13" t="str">
        <f aca="false">IF(L907="","",L907)</f>
        <v/>
      </c>
    </row>
    <row r="908" customFormat="false" ht="15.75" hidden="false" customHeight="false" outlineLevel="0" collapsed="false">
      <c r="A908" s="13"/>
      <c r="B908" s="13"/>
      <c r="C908" s="13"/>
      <c r="D908" s="13"/>
      <c r="E908" s="13"/>
      <c r="F908" s="11"/>
      <c r="G908" s="16"/>
      <c r="H908" s="13"/>
      <c r="I908" s="13"/>
      <c r="J908" s="13"/>
      <c r="K908" s="13"/>
      <c r="L908" s="13"/>
      <c r="M908" s="13"/>
      <c r="N908" s="13"/>
      <c r="O908" s="13"/>
      <c r="P908" s="13"/>
      <c r="Q908" s="13" t="str">
        <f aca="false">IF(L908="","",L908)</f>
        <v/>
      </c>
    </row>
    <row r="909" customFormat="false" ht="15.75" hidden="false" customHeight="false" outlineLevel="0" collapsed="false">
      <c r="A909" s="13"/>
      <c r="B909" s="13"/>
      <c r="C909" s="13"/>
      <c r="D909" s="13"/>
      <c r="E909" s="13"/>
      <c r="F909" s="11"/>
      <c r="G909" s="16"/>
      <c r="H909" s="13"/>
      <c r="I909" s="13"/>
      <c r="J909" s="13"/>
      <c r="K909" s="13"/>
      <c r="L909" s="13"/>
      <c r="M909" s="13"/>
      <c r="N909" s="13"/>
      <c r="O909" s="13"/>
      <c r="P909" s="13"/>
      <c r="Q909" s="13" t="str">
        <f aca="false">IF(L909="","",L909)</f>
        <v/>
      </c>
    </row>
    <row r="910" customFormat="false" ht="15.75" hidden="false" customHeight="false" outlineLevel="0" collapsed="false">
      <c r="A910" s="13"/>
      <c r="B910" s="13"/>
      <c r="C910" s="13"/>
      <c r="D910" s="13"/>
      <c r="E910" s="13"/>
      <c r="F910" s="11"/>
      <c r="G910" s="16"/>
      <c r="H910" s="13"/>
      <c r="I910" s="13"/>
      <c r="J910" s="13"/>
      <c r="K910" s="13"/>
      <c r="L910" s="13"/>
      <c r="M910" s="13"/>
      <c r="N910" s="13"/>
      <c r="O910" s="13"/>
      <c r="P910" s="13"/>
      <c r="Q910" s="13" t="str">
        <f aca="false">IF(L910="","",L910)</f>
        <v/>
      </c>
    </row>
    <row r="911" customFormat="false" ht="15.75" hidden="false" customHeight="false" outlineLevel="0" collapsed="false">
      <c r="A911" s="13"/>
      <c r="B911" s="13"/>
      <c r="C911" s="13"/>
      <c r="D911" s="13"/>
      <c r="E911" s="13"/>
      <c r="F911" s="11"/>
      <c r="G911" s="16"/>
      <c r="H911" s="13"/>
      <c r="I911" s="13"/>
      <c r="J911" s="13"/>
      <c r="K911" s="13"/>
      <c r="L911" s="13"/>
      <c r="M911" s="13"/>
      <c r="N911" s="13"/>
      <c r="O911" s="13"/>
      <c r="P911" s="13"/>
      <c r="Q911" s="13" t="str">
        <f aca="false">IF(L911="","",L911)</f>
        <v/>
      </c>
    </row>
    <row r="912" customFormat="false" ht="15.75" hidden="false" customHeight="false" outlineLevel="0" collapsed="false">
      <c r="A912" s="13"/>
      <c r="B912" s="13"/>
      <c r="C912" s="13"/>
      <c r="D912" s="13"/>
      <c r="E912" s="13"/>
      <c r="F912" s="11"/>
      <c r="G912" s="16"/>
      <c r="H912" s="13"/>
      <c r="I912" s="13"/>
      <c r="J912" s="13"/>
      <c r="K912" s="13"/>
      <c r="L912" s="13"/>
      <c r="M912" s="13"/>
      <c r="N912" s="13"/>
      <c r="O912" s="13"/>
      <c r="P912" s="13"/>
      <c r="Q912" s="13" t="str">
        <f aca="false">IF(L912="","",L912)</f>
        <v/>
      </c>
    </row>
    <row r="913" customFormat="false" ht="15.75" hidden="false" customHeight="false" outlineLevel="0" collapsed="false">
      <c r="A913" s="13"/>
      <c r="B913" s="13"/>
      <c r="C913" s="13"/>
      <c r="D913" s="13"/>
      <c r="E913" s="13"/>
      <c r="F913" s="11"/>
      <c r="G913" s="16"/>
      <c r="H913" s="13"/>
      <c r="I913" s="13"/>
      <c r="J913" s="13"/>
      <c r="K913" s="13"/>
      <c r="L913" s="13"/>
      <c r="M913" s="13"/>
      <c r="N913" s="13"/>
      <c r="O913" s="13"/>
      <c r="P913" s="13"/>
      <c r="Q913" s="13" t="str">
        <f aca="false">IF(L913="","",L913)</f>
        <v/>
      </c>
    </row>
    <row r="914" customFormat="false" ht="15.75" hidden="false" customHeight="false" outlineLevel="0" collapsed="false">
      <c r="A914" s="13"/>
      <c r="B914" s="13"/>
      <c r="C914" s="13"/>
      <c r="D914" s="13"/>
      <c r="E914" s="13"/>
      <c r="F914" s="11"/>
      <c r="G914" s="16"/>
      <c r="H914" s="13"/>
      <c r="I914" s="13"/>
      <c r="J914" s="13"/>
      <c r="K914" s="13"/>
      <c r="L914" s="13"/>
      <c r="M914" s="13"/>
      <c r="N914" s="13"/>
      <c r="O914" s="13"/>
      <c r="P914" s="13"/>
      <c r="Q914" s="13" t="str">
        <f aca="false">IF(L914="","",L914)</f>
        <v/>
      </c>
    </row>
    <row r="915" customFormat="false" ht="15.75" hidden="false" customHeight="false" outlineLevel="0" collapsed="false">
      <c r="A915" s="13"/>
      <c r="B915" s="13"/>
      <c r="C915" s="13"/>
      <c r="D915" s="13"/>
      <c r="E915" s="13"/>
      <c r="F915" s="11"/>
      <c r="G915" s="16"/>
      <c r="H915" s="13"/>
      <c r="I915" s="13"/>
      <c r="J915" s="13"/>
      <c r="K915" s="13"/>
      <c r="L915" s="13"/>
      <c r="M915" s="13"/>
      <c r="N915" s="13"/>
      <c r="O915" s="13"/>
      <c r="P915" s="13"/>
      <c r="Q915" s="13" t="str">
        <f aca="false">IF(L915="","",L915)</f>
        <v/>
      </c>
    </row>
    <row r="916" customFormat="false" ht="15.75" hidden="false" customHeight="false" outlineLevel="0" collapsed="false">
      <c r="A916" s="13"/>
      <c r="B916" s="13"/>
      <c r="C916" s="13"/>
      <c r="D916" s="13"/>
      <c r="E916" s="13"/>
      <c r="F916" s="11"/>
      <c r="G916" s="16"/>
      <c r="H916" s="13"/>
      <c r="I916" s="13"/>
      <c r="J916" s="13"/>
      <c r="K916" s="13"/>
      <c r="L916" s="13"/>
      <c r="M916" s="13"/>
      <c r="N916" s="13"/>
      <c r="O916" s="13"/>
      <c r="P916" s="13"/>
      <c r="Q916" s="13" t="str">
        <f aca="false">IF(L916="","",L916)</f>
        <v/>
      </c>
    </row>
    <row r="917" customFormat="false" ht="15.75" hidden="false" customHeight="false" outlineLevel="0" collapsed="false">
      <c r="A917" s="13"/>
      <c r="B917" s="13"/>
      <c r="C917" s="13"/>
      <c r="D917" s="13"/>
      <c r="E917" s="13"/>
      <c r="F917" s="11"/>
      <c r="G917" s="16"/>
      <c r="H917" s="13"/>
      <c r="I917" s="13"/>
      <c r="J917" s="13"/>
      <c r="K917" s="13"/>
      <c r="L917" s="13"/>
      <c r="M917" s="13"/>
      <c r="N917" s="13"/>
      <c r="O917" s="13"/>
      <c r="P917" s="13"/>
      <c r="Q917" s="13" t="str">
        <f aca="false">IF(L917="","",L917)</f>
        <v/>
      </c>
    </row>
    <row r="918" customFormat="false" ht="15.75" hidden="false" customHeight="false" outlineLevel="0" collapsed="false">
      <c r="A918" s="13"/>
      <c r="B918" s="13"/>
      <c r="C918" s="13"/>
      <c r="D918" s="13"/>
      <c r="E918" s="13"/>
      <c r="F918" s="11"/>
      <c r="G918" s="16"/>
      <c r="H918" s="13"/>
      <c r="I918" s="13"/>
      <c r="J918" s="13"/>
      <c r="K918" s="13"/>
      <c r="L918" s="13"/>
      <c r="M918" s="13"/>
      <c r="N918" s="13"/>
      <c r="O918" s="13"/>
      <c r="P918" s="13"/>
      <c r="Q918" s="13" t="str">
        <f aca="false">IF(L918="","",L918)</f>
        <v/>
      </c>
    </row>
    <row r="919" customFormat="false" ht="15.75" hidden="false" customHeight="false" outlineLevel="0" collapsed="false">
      <c r="A919" s="13"/>
      <c r="B919" s="13"/>
      <c r="C919" s="13"/>
      <c r="D919" s="13"/>
      <c r="E919" s="13"/>
      <c r="F919" s="11"/>
      <c r="G919" s="16"/>
      <c r="H919" s="13"/>
      <c r="I919" s="13"/>
      <c r="J919" s="13"/>
      <c r="K919" s="13"/>
      <c r="L919" s="13"/>
      <c r="M919" s="13"/>
      <c r="N919" s="13"/>
      <c r="O919" s="13"/>
      <c r="P919" s="13"/>
      <c r="Q919" s="13" t="str">
        <f aca="false">IF(L919="","",L919)</f>
        <v/>
      </c>
    </row>
    <row r="920" customFormat="false" ht="15.75" hidden="false" customHeight="false" outlineLevel="0" collapsed="false">
      <c r="A920" s="13"/>
      <c r="B920" s="13"/>
      <c r="C920" s="13"/>
      <c r="D920" s="13"/>
      <c r="E920" s="13"/>
      <c r="F920" s="11"/>
      <c r="G920" s="16"/>
      <c r="H920" s="13"/>
      <c r="I920" s="13"/>
      <c r="J920" s="13"/>
      <c r="K920" s="13"/>
      <c r="L920" s="13"/>
      <c r="M920" s="13"/>
      <c r="N920" s="13"/>
      <c r="O920" s="13"/>
      <c r="P920" s="13"/>
      <c r="Q920" s="13" t="str">
        <f aca="false">IF(L920="","",L920)</f>
        <v/>
      </c>
    </row>
    <row r="921" customFormat="false" ht="15.75" hidden="false" customHeight="false" outlineLevel="0" collapsed="false">
      <c r="A921" s="13"/>
      <c r="B921" s="13"/>
      <c r="C921" s="13"/>
      <c r="D921" s="13"/>
      <c r="E921" s="13"/>
      <c r="F921" s="11"/>
      <c r="G921" s="16"/>
      <c r="H921" s="13"/>
      <c r="I921" s="13"/>
      <c r="J921" s="13"/>
      <c r="K921" s="13"/>
      <c r="L921" s="13"/>
      <c r="M921" s="13"/>
      <c r="N921" s="13"/>
      <c r="O921" s="13"/>
      <c r="P921" s="13"/>
      <c r="Q921" s="13" t="str">
        <f aca="false">IF(L921="","",L921)</f>
        <v/>
      </c>
    </row>
    <row r="922" customFormat="false" ht="15.75" hidden="false" customHeight="false" outlineLevel="0" collapsed="false">
      <c r="A922" s="13"/>
      <c r="B922" s="13"/>
      <c r="C922" s="13"/>
      <c r="D922" s="13"/>
      <c r="E922" s="13"/>
      <c r="F922" s="11"/>
      <c r="G922" s="16"/>
      <c r="H922" s="13"/>
      <c r="I922" s="13"/>
      <c r="J922" s="13"/>
      <c r="K922" s="13"/>
      <c r="L922" s="13"/>
      <c r="M922" s="13"/>
      <c r="N922" s="13"/>
      <c r="O922" s="13"/>
      <c r="P922" s="13"/>
      <c r="Q922" s="13" t="str">
        <f aca="false">IF(L922="","",L922)</f>
        <v/>
      </c>
    </row>
    <row r="923" customFormat="false" ht="15.75" hidden="false" customHeight="false" outlineLevel="0" collapsed="false">
      <c r="A923" s="13"/>
      <c r="B923" s="13"/>
      <c r="C923" s="13"/>
      <c r="D923" s="13"/>
      <c r="E923" s="13"/>
      <c r="F923" s="11"/>
      <c r="G923" s="16"/>
      <c r="H923" s="13"/>
      <c r="I923" s="13"/>
      <c r="J923" s="13"/>
      <c r="K923" s="13"/>
      <c r="L923" s="13"/>
      <c r="M923" s="13"/>
      <c r="N923" s="13"/>
      <c r="O923" s="13"/>
      <c r="P923" s="13"/>
      <c r="Q923" s="13" t="str">
        <f aca="false">IF(L923="","",L923)</f>
        <v/>
      </c>
    </row>
    <row r="924" customFormat="false" ht="15.75" hidden="false" customHeight="false" outlineLevel="0" collapsed="false">
      <c r="A924" s="13"/>
      <c r="B924" s="13"/>
      <c r="C924" s="13"/>
      <c r="D924" s="13"/>
      <c r="E924" s="13"/>
      <c r="F924" s="11"/>
      <c r="G924" s="16"/>
      <c r="H924" s="13"/>
      <c r="I924" s="13"/>
      <c r="J924" s="13"/>
      <c r="K924" s="13"/>
      <c r="L924" s="13"/>
      <c r="M924" s="13"/>
      <c r="N924" s="13"/>
      <c r="O924" s="13"/>
      <c r="P924" s="13"/>
      <c r="Q924" s="13" t="str">
        <f aca="false">IF(L924="","",L924)</f>
        <v/>
      </c>
    </row>
    <row r="925" customFormat="false" ht="15.75" hidden="false" customHeight="false" outlineLevel="0" collapsed="false">
      <c r="A925" s="13"/>
      <c r="B925" s="13"/>
      <c r="C925" s="13"/>
      <c r="D925" s="13"/>
      <c r="E925" s="13"/>
      <c r="F925" s="11"/>
      <c r="G925" s="16"/>
      <c r="H925" s="13"/>
      <c r="I925" s="13"/>
      <c r="J925" s="13"/>
      <c r="K925" s="13"/>
      <c r="L925" s="13"/>
      <c r="M925" s="13"/>
      <c r="N925" s="13"/>
      <c r="O925" s="13"/>
      <c r="P925" s="13"/>
      <c r="Q925" s="13" t="str">
        <f aca="false">IF(L925="","",L925)</f>
        <v/>
      </c>
    </row>
    <row r="926" customFormat="false" ht="15.75" hidden="false" customHeight="false" outlineLevel="0" collapsed="false">
      <c r="A926" s="13"/>
      <c r="B926" s="13"/>
      <c r="C926" s="13"/>
      <c r="D926" s="13"/>
      <c r="E926" s="13"/>
      <c r="F926" s="11"/>
      <c r="G926" s="16"/>
      <c r="H926" s="13"/>
      <c r="I926" s="13"/>
      <c r="J926" s="13"/>
      <c r="K926" s="13"/>
      <c r="L926" s="13"/>
      <c r="M926" s="13"/>
      <c r="N926" s="13"/>
      <c r="O926" s="13"/>
      <c r="P926" s="13"/>
      <c r="Q926" s="13" t="str">
        <f aca="false">IF(L926="","",L926)</f>
        <v/>
      </c>
    </row>
    <row r="927" customFormat="false" ht="15.75" hidden="false" customHeight="false" outlineLevel="0" collapsed="false">
      <c r="A927" s="13"/>
      <c r="B927" s="13"/>
      <c r="C927" s="13"/>
      <c r="D927" s="13"/>
      <c r="E927" s="13"/>
      <c r="F927" s="11"/>
      <c r="G927" s="16"/>
      <c r="H927" s="13"/>
      <c r="I927" s="13"/>
      <c r="J927" s="13"/>
      <c r="K927" s="13"/>
      <c r="L927" s="13"/>
      <c r="M927" s="13"/>
      <c r="N927" s="13"/>
      <c r="O927" s="13"/>
      <c r="P927" s="13"/>
      <c r="Q927" s="13" t="str">
        <f aca="false">IF(L927="","",L927)</f>
        <v/>
      </c>
    </row>
    <row r="928" customFormat="false" ht="15.75" hidden="false" customHeight="false" outlineLevel="0" collapsed="false">
      <c r="A928" s="13"/>
      <c r="B928" s="13"/>
      <c r="C928" s="13"/>
      <c r="D928" s="13"/>
      <c r="E928" s="13"/>
      <c r="F928" s="11"/>
      <c r="G928" s="16"/>
      <c r="H928" s="13"/>
      <c r="I928" s="13"/>
      <c r="J928" s="13"/>
      <c r="K928" s="13"/>
      <c r="L928" s="13"/>
      <c r="M928" s="13"/>
      <c r="N928" s="13"/>
      <c r="O928" s="13"/>
      <c r="P928" s="13"/>
      <c r="Q928" s="13" t="str">
        <f aca="false">IF(L928="","",L928)</f>
        <v/>
      </c>
    </row>
    <row r="929" customFormat="false" ht="15.75" hidden="false" customHeight="false" outlineLevel="0" collapsed="false">
      <c r="A929" s="13"/>
      <c r="B929" s="13"/>
      <c r="C929" s="13"/>
      <c r="D929" s="13"/>
      <c r="E929" s="13"/>
      <c r="F929" s="11"/>
      <c r="G929" s="16"/>
      <c r="H929" s="13"/>
      <c r="I929" s="13"/>
      <c r="J929" s="13"/>
      <c r="K929" s="13"/>
      <c r="L929" s="13"/>
      <c r="M929" s="13"/>
      <c r="N929" s="13"/>
      <c r="O929" s="13"/>
      <c r="P929" s="13"/>
      <c r="Q929" s="13" t="str">
        <f aca="false">IF(L929="","",L929)</f>
        <v/>
      </c>
    </row>
    <row r="930" customFormat="false" ht="15.75" hidden="false" customHeight="false" outlineLevel="0" collapsed="false">
      <c r="A930" s="13"/>
      <c r="B930" s="13"/>
      <c r="C930" s="13"/>
      <c r="D930" s="13"/>
      <c r="E930" s="13"/>
      <c r="F930" s="11"/>
      <c r="G930" s="16"/>
      <c r="H930" s="13"/>
      <c r="I930" s="13"/>
      <c r="J930" s="13"/>
      <c r="K930" s="13"/>
      <c r="L930" s="13"/>
      <c r="M930" s="13"/>
      <c r="N930" s="13"/>
      <c r="O930" s="13"/>
      <c r="P930" s="13"/>
      <c r="Q930" s="13" t="str">
        <f aca="false">IF(L930="","",L930)</f>
        <v/>
      </c>
    </row>
    <row r="931" customFormat="false" ht="15.75" hidden="false" customHeight="false" outlineLevel="0" collapsed="false">
      <c r="A931" s="13"/>
      <c r="B931" s="13"/>
      <c r="C931" s="13"/>
      <c r="D931" s="13"/>
      <c r="E931" s="13"/>
      <c r="F931" s="11"/>
      <c r="G931" s="16"/>
      <c r="H931" s="13"/>
      <c r="I931" s="13"/>
      <c r="J931" s="13"/>
      <c r="K931" s="13"/>
      <c r="L931" s="13"/>
      <c r="M931" s="13"/>
      <c r="N931" s="13"/>
      <c r="O931" s="13"/>
      <c r="P931" s="13"/>
      <c r="Q931" s="13" t="str">
        <f aca="false">IF(L931="","",L931)</f>
        <v/>
      </c>
    </row>
    <row r="932" customFormat="false" ht="15.75" hidden="false" customHeight="false" outlineLevel="0" collapsed="false">
      <c r="A932" s="13"/>
      <c r="B932" s="13"/>
      <c r="C932" s="13"/>
      <c r="D932" s="13"/>
      <c r="E932" s="13"/>
      <c r="F932" s="11"/>
      <c r="G932" s="16"/>
      <c r="H932" s="13"/>
      <c r="I932" s="13"/>
      <c r="J932" s="13"/>
      <c r="K932" s="13"/>
      <c r="L932" s="13"/>
      <c r="M932" s="13"/>
      <c r="N932" s="13"/>
      <c r="O932" s="13"/>
      <c r="P932" s="13"/>
      <c r="Q932" s="13" t="str">
        <f aca="false">IF(L932="","",L932)</f>
        <v/>
      </c>
    </row>
    <row r="933" customFormat="false" ht="15.75" hidden="false" customHeight="false" outlineLevel="0" collapsed="false">
      <c r="A933" s="13"/>
      <c r="B933" s="13"/>
      <c r="C933" s="13"/>
      <c r="D933" s="13"/>
      <c r="E933" s="13"/>
      <c r="F933" s="11"/>
      <c r="G933" s="16"/>
      <c r="H933" s="13"/>
      <c r="I933" s="13"/>
      <c r="J933" s="13"/>
      <c r="K933" s="13"/>
      <c r="L933" s="13"/>
      <c r="M933" s="13"/>
      <c r="N933" s="13"/>
      <c r="O933" s="13"/>
      <c r="P933" s="13"/>
      <c r="Q933" s="13" t="str">
        <f aca="false">IF(L933="","",L933)</f>
        <v/>
      </c>
    </row>
    <row r="934" customFormat="false" ht="15.75" hidden="false" customHeight="false" outlineLevel="0" collapsed="false">
      <c r="A934" s="13"/>
      <c r="B934" s="13"/>
      <c r="C934" s="13"/>
      <c r="D934" s="13"/>
      <c r="E934" s="13"/>
      <c r="F934" s="11"/>
      <c r="G934" s="16"/>
      <c r="H934" s="13"/>
      <c r="I934" s="13"/>
      <c r="J934" s="13"/>
      <c r="K934" s="13"/>
      <c r="L934" s="13"/>
      <c r="M934" s="13"/>
      <c r="N934" s="13"/>
      <c r="O934" s="13"/>
      <c r="P934" s="13"/>
      <c r="Q934" s="13" t="str">
        <f aca="false">IF(L934="","",L934)</f>
        <v/>
      </c>
    </row>
    <row r="935" customFormat="false" ht="15.75" hidden="false" customHeight="false" outlineLevel="0" collapsed="false">
      <c r="A935" s="13"/>
      <c r="B935" s="13"/>
      <c r="C935" s="13"/>
      <c r="D935" s="13"/>
      <c r="E935" s="13"/>
      <c r="F935" s="11"/>
      <c r="G935" s="16"/>
      <c r="H935" s="13"/>
      <c r="I935" s="13"/>
      <c r="J935" s="13"/>
      <c r="K935" s="13"/>
      <c r="L935" s="13"/>
      <c r="M935" s="13"/>
      <c r="N935" s="13"/>
      <c r="O935" s="13"/>
      <c r="P935" s="13"/>
      <c r="Q935" s="13" t="str">
        <f aca="false">IF(L935="","",L935)</f>
        <v/>
      </c>
    </row>
    <row r="936" customFormat="false" ht="15.75" hidden="false" customHeight="false" outlineLevel="0" collapsed="false">
      <c r="A936" s="13"/>
      <c r="B936" s="13"/>
      <c r="C936" s="13"/>
      <c r="D936" s="13"/>
      <c r="E936" s="13"/>
      <c r="F936" s="11"/>
      <c r="G936" s="16"/>
      <c r="H936" s="13"/>
      <c r="I936" s="13"/>
      <c r="J936" s="13"/>
      <c r="K936" s="13"/>
      <c r="L936" s="13"/>
      <c r="M936" s="13"/>
      <c r="N936" s="13"/>
      <c r="O936" s="13"/>
      <c r="P936" s="13"/>
      <c r="Q936" s="13" t="str">
        <f aca="false">IF(L936="","",L936)</f>
        <v/>
      </c>
    </row>
    <row r="937" customFormat="false" ht="15.75" hidden="false" customHeight="false" outlineLevel="0" collapsed="false">
      <c r="A937" s="13"/>
      <c r="B937" s="13"/>
      <c r="C937" s="13"/>
      <c r="D937" s="13"/>
      <c r="E937" s="13"/>
      <c r="F937" s="11"/>
      <c r="G937" s="16"/>
      <c r="H937" s="13"/>
      <c r="I937" s="13"/>
      <c r="J937" s="13"/>
      <c r="K937" s="13"/>
      <c r="L937" s="13"/>
      <c r="M937" s="13"/>
      <c r="N937" s="13"/>
      <c r="O937" s="13"/>
      <c r="P937" s="13"/>
      <c r="Q937" s="13" t="str">
        <f aca="false">IF(L937="","",L937)</f>
        <v/>
      </c>
    </row>
    <row r="938" customFormat="false" ht="15.75" hidden="false" customHeight="false" outlineLevel="0" collapsed="false">
      <c r="A938" s="13"/>
      <c r="B938" s="13"/>
      <c r="C938" s="13"/>
      <c r="D938" s="13"/>
      <c r="E938" s="13"/>
      <c r="F938" s="11"/>
      <c r="G938" s="16"/>
      <c r="H938" s="13"/>
      <c r="I938" s="13"/>
      <c r="J938" s="13"/>
      <c r="K938" s="13"/>
      <c r="L938" s="13"/>
      <c r="M938" s="13"/>
      <c r="N938" s="13"/>
      <c r="O938" s="13"/>
      <c r="P938" s="13"/>
      <c r="Q938" s="13" t="str">
        <f aca="false">IF(L938="","",L938)</f>
        <v/>
      </c>
    </row>
    <row r="939" customFormat="false" ht="15.75" hidden="false" customHeight="false" outlineLevel="0" collapsed="false">
      <c r="A939" s="13"/>
      <c r="B939" s="13"/>
      <c r="C939" s="13"/>
      <c r="D939" s="13"/>
      <c r="E939" s="13"/>
      <c r="F939" s="11"/>
      <c r="G939" s="16"/>
      <c r="H939" s="13"/>
      <c r="I939" s="13"/>
      <c r="J939" s="13"/>
      <c r="K939" s="13"/>
      <c r="L939" s="13"/>
      <c r="M939" s="13"/>
      <c r="N939" s="13"/>
      <c r="O939" s="13"/>
      <c r="P939" s="13"/>
      <c r="Q939" s="13" t="str">
        <f aca="false">IF(L939="","",L939)</f>
        <v/>
      </c>
    </row>
    <row r="940" customFormat="false" ht="15.75" hidden="false" customHeight="false" outlineLevel="0" collapsed="false">
      <c r="A940" s="13"/>
      <c r="B940" s="13"/>
      <c r="C940" s="13"/>
      <c r="D940" s="13"/>
      <c r="E940" s="13"/>
      <c r="F940" s="11"/>
      <c r="G940" s="16"/>
      <c r="H940" s="13"/>
      <c r="I940" s="13"/>
      <c r="J940" s="13"/>
      <c r="K940" s="13"/>
      <c r="L940" s="13"/>
      <c r="M940" s="13"/>
      <c r="N940" s="13"/>
      <c r="O940" s="13"/>
      <c r="P940" s="13"/>
      <c r="Q940" s="13" t="str">
        <f aca="false">IF(L940="","",L940)</f>
        <v/>
      </c>
    </row>
    <row r="941" customFormat="false" ht="15.75" hidden="false" customHeight="false" outlineLevel="0" collapsed="false">
      <c r="A941" s="13"/>
      <c r="B941" s="13"/>
      <c r="C941" s="13"/>
      <c r="D941" s="13"/>
      <c r="E941" s="13"/>
      <c r="F941" s="11"/>
      <c r="G941" s="16"/>
      <c r="H941" s="13"/>
      <c r="I941" s="13"/>
      <c r="J941" s="13"/>
      <c r="K941" s="13"/>
      <c r="L941" s="13"/>
      <c r="M941" s="13"/>
      <c r="N941" s="13"/>
      <c r="O941" s="13"/>
      <c r="P941" s="13"/>
      <c r="Q941" s="13" t="str">
        <f aca="false">IF(L941="","",L941)</f>
        <v/>
      </c>
    </row>
    <row r="942" customFormat="false" ht="15.75" hidden="false" customHeight="false" outlineLevel="0" collapsed="false">
      <c r="A942" s="13"/>
      <c r="B942" s="13"/>
      <c r="C942" s="13"/>
      <c r="D942" s="13"/>
      <c r="E942" s="13"/>
      <c r="F942" s="11"/>
      <c r="G942" s="16"/>
      <c r="H942" s="13"/>
      <c r="I942" s="13"/>
      <c r="J942" s="13"/>
      <c r="K942" s="13"/>
      <c r="L942" s="13"/>
      <c r="M942" s="13"/>
      <c r="N942" s="13"/>
      <c r="O942" s="13"/>
      <c r="P942" s="13"/>
      <c r="Q942" s="13" t="str">
        <f aca="false">IF(L942="","",L942)</f>
        <v/>
      </c>
    </row>
    <row r="943" customFormat="false" ht="15.75" hidden="false" customHeight="false" outlineLevel="0" collapsed="false">
      <c r="A943" s="13"/>
      <c r="B943" s="13"/>
      <c r="C943" s="13"/>
      <c r="D943" s="13"/>
      <c r="E943" s="13"/>
      <c r="F943" s="11"/>
      <c r="G943" s="16"/>
      <c r="H943" s="13"/>
      <c r="I943" s="13"/>
      <c r="J943" s="13"/>
      <c r="K943" s="13"/>
      <c r="L943" s="13"/>
      <c r="M943" s="13"/>
      <c r="N943" s="13"/>
      <c r="O943" s="13"/>
      <c r="P943" s="13"/>
      <c r="Q943" s="13" t="str">
        <f aca="false">IF(L943="","",L943)</f>
        <v/>
      </c>
    </row>
    <row r="944" customFormat="false" ht="15.75" hidden="false" customHeight="false" outlineLevel="0" collapsed="false">
      <c r="A944" s="13"/>
      <c r="B944" s="13"/>
      <c r="C944" s="13"/>
      <c r="D944" s="13"/>
      <c r="E944" s="13"/>
      <c r="F944" s="11"/>
      <c r="G944" s="16"/>
      <c r="H944" s="13"/>
      <c r="I944" s="13"/>
      <c r="J944" s="13"/>
      <c r="K944" s="13"/>
      <c r="L944" s="13"/>
      <c r="M944" s="13"/>
      <c r="N944" s="13"/>
      <c r="O944" s="13"/>
      <c r="P944" s="13"/>
      <c r="Q944" s="13" t="str">
        <f aca="false">IF(L944="","",L944)</f>
        <v/>
      </c>
    </row>
    <row r="945" customFormat="false" ht="15.75" hidden="false" customHeight="false" outlineLevel="0" collapsed="false">
      <c r="A945" s="13"/>
      <c r="B945" s="13"/>
      <c r="C945" s="13"/>
      <c r="D945" s="13"/>
      <c r="E945" s="13"/>
      <c r="F945" s="11"/>
      <c r="G945" s="16"/>
      <c r="H945" s="13"/>
      <c r="I945" s="13"/>
      <c r="J945" s="13"/>
      <c r="K945" s="13"/>
      <c r="L945" s="13"/>
      <c r="M945" s="13"/>
      <c r="N945" s="13"/>
      <c r="O945" s="13"/>
      <c r="P945" s="13"/>
      <c r="Q945" s="13" t="str">
        <f aca="false">IF(L945="","",L945)</f>
        <v/>
      </c>
    </row>
    <row r="946" customFormat="false" ht="15.75" hidden="false" customHeight="false" outlineLevel="0" collapsed="false">
      <c r="A946" s="13"/>
      <c r="B946" s="13"/>
      <c r="C946" s="13"/>
      <c r="D946" s="13"/>
      <c r="E946" s="13"/>
      <c r="F946" s="11"/>
      <c r="G946" s="16"/>
      <c r="H946" s="13"/>
      <c r="I946" s="13"/>
      <c r="J946" s="13"/>
      <c r="K946" s="13"/>
      <c r="L946" s="13"/>
      <c r="M946" s="13"/>
      <c r="N946" s="13"/>
      <c r="O946" s="13"/>
      <c r="P946" s="13"/>
      <c r="Q946" s="13" t="str">
        <f aca="false">IF(L946="","",L946)</f>
        <v/>
      </c>
    </row>
    <row r="947" customFormat="false" ht="15.75" hidden="false" customHeight="false" outlineLevel="0" collapsed="false">
      <c r="A947" s="13"/>
      <c r="B947" s="13"/>
      <c r="C947" s="13"/>
      <c r="D947" s="13"/>
      <c r="E947" s="13"/>
      <c r="F947" s="11"/>
      <c r="G947" s="16"/>
      <c r="H947" s="13"/>
      <c r="I947" s="13"/>
      <c r="J947" s="13"/>
      <c r="K947" s="13"/>
      <c r="L947" s="13"/>
      <c r="M947" s="13"/>
      <c r="N947" s="13"/>
      <c r="O947" s="13"/>
      <c r="P947" s="13"/>
      <c r="Q947" s="13" t="str">
        <f aca="false">IF(L947="","",L947)</f>
        <v/>
      </c>
    </row>
    <row r="948" customFormat="false" ht="15.75" hidden="false" customHeight="false" outlineLevel="0" collapsed="false">
      <c r="A948" s="13"/>
      <c r="B948" s="13"/>
      <c r="C948" s="13"/>
      <c r="D948" s="13"/>
      <c r="E948" s="13"/>
      <c r="F948" s="11"/>
      <c r="G948" s="16"/>
      <c r="H948" s="13"/>
      <c r="I948" s="13"/>
      <c r="J948" s="13"/>
      <c r="K948" s="13"/>
      <c r="L948" s="13"/>
      <c r="M948" s="13"/>
      <c r="N948" s="13"/>
      <c r="O948" s="13"/>
      <c r="P948" s="13"/>
      <c r="Q948" s="13" t="str">
        <f aca="false">IF(L948="","",L948)</f>
        <v/>
      </c>
    </row>
    <row r="949" customFormat="false" ht="15.75" hidden="false" customHeight="false" outlineLevel="0" collapsed="false">
      <c r="A949" s="13"/>
      <c r="B949" s="13"/>
      <c r="C949" s="13"/>
      <c r="D949" s="13"/>
      <c r="E949" s="13"/>
      <c r="F949" s="11"/>
      <c r="G949" s="16"/>
      <c r="H949" s="13"/>
      <c r="I949" s="13"/>
      <c r="J949" s="13"/>
      <c r="K949" s="13"/>
      <c r="L949" s="13"/>
      <c r="M949" s="13"/>
      <c r="N949" s="13"/>
      <c r="O949" s="13"/>
      <c r="P949" s="13"/>
      <c r="Q949" s="13" t="str">
        <f aca="false">IF(L949="","",L949)</f>
        <v/>
      </c>
    </row>
    <row r="950" customFormat="false" ht="15.75" hidden="false" customHeight="false" outlineLevel="0" collapsed="false">
      <c r="A950" s="13"/>
      <c r="B950" s="13"/>
      <c r="C950" s="13"/>
      <c r="D950" s="13"/>
      <c r="E950" s="13"/>
      <c r="F950" s="11"/>
      <c r="G950" s="16"/>
      <c r="H950" s="13"/>
      <c r="I950" s="13"/>
      <c r="J950" s="13"/>
      <c r="K950" s="13"/>
      <c r="L950" s="13"/>
      <c r="M950" s="13"/>
      <c r="N950" s="13"/>
      <c r="O950" s="13"/>
      <c r="P950" s="13"/>
      <c r="Q950" s="13" t="str">
        <f aca="false">IF(L950="","",L950)</f>
        <v/>
      </c>
    </row>
    <row r="951" customFormat="false" ht="15.75" hidden="false" customHeight="false" outlineLevel="0" collapsed="false">
      <c r="A951" s="13"/>
      <c r="B951" s="13"/>
      <c r="C951" s="13"/>
      <c r="D951" s="13"/>
      <c r="E951" s="13"/>
      <c r="F951" s="11"/>
      <c r="G951" s="16"/>
      <c r="H951" s="13"/>
      <c r="I951" s="13"/>
      <c r="J951" s="13"/>
      <c r="K951" s="13"/>
      <c r="L951" s="13"/>
      <c r="M951" s="13"/>
      <c r="N951" s="13"/>
      <c r="O951" s="13"/>
      <c r="P951" s="13"/>
      <c r="Q951" s="13" t="str">
        <f aca="false">IF(L951="","",L951)</f>
        <v/>
      </c>
    </row>
    <row r="952" customFormat="false" ht="15.75" hidden="false" customHeight="false" outlineLevel="0" collapsed="false">
      <c r="A952" s="13"/>
      <c r="B952" s="13"/>
      <c r="C952" s="13"/>
      <c r="D952" s="13"/>
      <c r="E952" s="13"/>
      <c r="F952" s="11"/>
      <c r="G952" s="16"/>
      <c r="H952" s="13"/>
      <c r="I952" s="13"/>
      <c r="J952" s="13"/>
      <c r="K952" s="13"/>
      <c r="L952" s="13"/>
      <c r="M952" s="13"/>
      <c r="N952" s="13"/>
      <c r="O952" s="13"/>
      <c r="P952" s="13"/>
      <c r="Q952" s="13" t="str">
        <f aca="false">IF(L952="","",L952)</f>
        <v/>
      </c>
    </row>
    <row r="953" customFormat="false" ht="15.75" hidden="false" customHeight="false" outlineLevel="0" collapsed="false">
      <c r="A953" s="13"/>
      <c r="B953" s="13"/>
      <c r="C953" s="13"/>
      <c r="D953" s="13"/>
      <c r="E953" s="13"/>
      <c r="F953" s="11"/>
      <c r="G953" s="16"/>
      <c r="H953" s="13"/>
      <c r="I953" s="13"/>
      <c r="J953" s="13"/>
      <c r="K953" s="13"/>
      <c r="L953" s="13"/>
      <c r="M953" s="13"/>
      <c r="N953" s="13"/>
      <c r="O953" s="13"/>
      <c r="P953" s="13"/>
      <c r="Q953" s="13" t="str">
        <f aca="false">IF(L953="","",L953)</f>
        <v/>
      </c>
    </row>
    <row r="954" customFormat="false" ht="15.75" hidden="false" customHeight="false" outlineLevel="0" collapsed="false">
      <c r="A954" s="13"/>
      <c r="B954" s="13"/>
      <c r="C954" s="13"/>
      <c r="D954" s="13"/>
      <c r="E954" s="13"/>
      <c r="F954" s="11"/>
      <c r="G954" s="16"/>
      <c r="H954" s="13"/>
      <c r="I954" s="13"/>
      <c r="J954" s="13"/>
      <c r="K954" s="13"/>
      <c r="L954" s="13"/>
      <c r="M954" s="13"/>
      <c r="N954" s="13"/>
      <c r="O954" s="13"/>
      <c r="P954" s="13"/>
      <c r="Q954" s="13" t="str">
        <f aca="false">IF(L954="","",L954)</f>
        <v/>
      </c>
    </row>
    <row r="955" customFormat="false" ht="15.75" hidden="false" customHeight="false" outlineLevel="0" collapsed="false">
      <c r="A955" s="13"/>
      <c r="B955" s="13"/>
      <c r="C955" s="13"/>
      <c r="D955" s="13"/>
      <c r="E955" s="13"/>
      <c r="F955" s="11"/>
      <c r="G955" s="16"/>
      <c r="H955" s="13"/>
      <c r="I955" s="13"/>
      <c r="J955" s="13"/>
      <c r="K955" s="13"/>
      <c r="L955" s="13"/>
      <c r="M955" s="13"/>
      <c r="N955" s="13"/>
      <c r="O955" s="13"/>
      <c r="P955" s="13"/>
      <c r="Q955" s="13" t="str">
        <f aca="false">IF(L955="","",L955)</f>
        <v/>
      </c>
    </row>
    <row r="956" customFormat="false" ht="15.75" hidden="false" customHeight="false" outlineLevel="0" collapsed="false">
      <c r="A956" s="13"/>
      <c r="B956" s="13"/>
      <c r="C956" s="13"/>
      <c r="D956" s="13"/>
      <c r="E956" s="13"/>
      <c r="F956" s="11"/>
      <c r="G956" s="16"/>
      <c r="H956" s="13"/>
      <c r="I956" s="13"/>
      <c r="J956" s="13"/>
      <c r="K956" s="13"/>
      <c r="L956" s="13"/>
      <c r="M956" s="13"/>
      <c r="N956" s="13"/>
      <c r="O956" s="13"/>
      <c r="P956" s="13"/>
      <c r="Q956" s="13" t="str">
        <f aca="false">IF(L956="","",L956)</f>
        <v/>
      </c>
    </row>
    <row r="957" customFormat="false" ht="15.75" hidden="false" customHeight="false" outlineLevel="0" collapsed="false">
      <c r="A957" s="13"/>
      <c r="B957" s="13"/>
      <c r="C957" s="13"/>
      <c r="D957" s="13"/>
      <c r="E957" s="13"/>
      <c r="F957" s="11"/>
      <c r="G957" s="16"/>
      <c r="H957" s="13"/>
      <c r="I957" s="13"/>
      <c r="J957" s="13"/>
      <c r="K957" s="13"/>
      <c r="L957" s="13"/>
      <c r="M957" s="13"/>
      <c r="N957" s="13"/>
      <c r="O957" s="13"/>
      <c r="P957" s="13"/>
      <c r="Q957" s="13" t="str">
        <f aca="false">IF(L957="","",L957)</f>
        <v/>
      </c>
    </row>
    <row r="958" customFormat="false" ht="15.75" hidden="false" customHeight="false" outlineLevel="0" collapsed="false">
      <c r="A958" s="13"/>
      <c r="B958" s="13"/>
      <c r="C958" s="13"/>
      <c r="D958" s="13"/>
      <c r="E958" s="13"/>
      <c r="F958" s="11"/>
      <c r="G958" s="16"/>
      <c r="H958" s="13"/>
      <c r="I958" s="13"/>
      <c r="J958" s="13"/>
      <c r="K958" s="13"/>
      <c r="L958" s="13"/>
      <c r="M958" s="13"/>
      <c r="N958" s="13"/>
      <c r="O958" s="13"/>
      <c r="P958" s="13"/>
      <c r="Q958" s="13" t="str">
        <f aca="false">IF(L958="","",L958)</f>
        <v/>
      </c>
    </row>
    <row r="959" customFormat="false" ht="15.75" hidden="false" customHeight="false" outlineLevel="0" collapsed="false">
      <c r="A959" s="13"/>
      <c r="B959" s="13"/>
      <c r="C959" s="13"/>
      <c r="D959" s="13"/>
      <c r="E959" s="13"/>
      <c r="F959" s="11"/>
      <c r="G959" s="16"/>
      <c r="H959" s="13"/>
      <c r="I959" s="13"/>
      <c r="J959" s="13"/>
      <c r="K959" s="13"/>
      <c r="L959" s="13"/>
      <c r="M959" s="13"/>
      <c r="N959" s="13"/>
      <c r="O959" s="13"/>
      <c r="P959" s="13"/>
      <c r="Q959" s="13" t="str">
        <f aca="false">IF(L959="","",L959)</f>
        <v/>
      </c>
    </row>
    <row r="960" customFormat="false" ht="15.75" hidden="false" customHeight="false" outlineLevel="0" collapsed="false">
      <c r="A960" s="13"/>
      <c r="B960" s="13"/>
      <c r="C960" s="13"/>
      <c r="D960" s="13"/>
      <c r="E960" s="13"/>
      <c r="F960" s="11"/>
      <c r="G960" s="16"/>
      <c r="H960" s="13"/>
      <c r="I960" s="13"/>
      <c r="J960" s="13"/>
      <c r="K960" s="13"/>
      <c r="L960" s="13"/>
      <c r="M960" s="13"/>
      <c r="N960" s="13"/>
      <c r="O960" s="13"/>
      <c r="P960" s="13"/>
      <c r="Q960" s="13" t="str">
        <f aca="false">IF(L960="","",L960)</f>
        <v/>
      </c>
    </row>
    <row r="961" customFormat="false" ht="15.75" hidden="false" customHeight="false" outlineLevel="0" collapsed="false">
      <c r="A961" s="13"/>
      <c r="B961" s="13"/>
      <c r="C961" s="13"/>
      <c r="D961" s="13"/>
      <c r="E961" s="13"/>
      <c r="F961" s="11"/>
      <c r="G961" s="16"/>
      <c r="H961" s="13"/>
      <c r="I961" s="13"/>
      <c r="J961" s="13"/>
      <c r="K961" s="13"/>
      <c r="L961" s="13"/>
      <c r="M961" s="13"/>
      <c r="N961" s="13"/>
      <c r="O961" s="13"/>
      <c r="P961" s="13"/>
      <c r="Q961" s="13" t="str">
        <f aca="false">IF(L961="","",L961)</f>
        <v/>
      </c>
    </row>
    <row r="962" customFormat="false" ht="15.75" hidden="false" customHeight="false" outlineLevel="0" collapsed="false">
      <c r="A962" s="13"/>
      <c r="B962" s="13"/>
      <c r="C962" s="13"/>
      <c r="D962" s="13"/>
      <c r="E962" s="13"/>
      <c r="F962" s="11"/>
      <c r="G962" s="16"/>
      <c r="H962" s="13"/>
      <c r="I962" s="13"/>
      <c r="J962" s="13"/>
      <c r="K962" s="13"/>
      <c r="L962" s="13"/>
      <c r="M962" s="13"/>
      <c r="N962" s="13"/>
      <c r="O962" s="13"/>
      <c r="P962" s="13"/>
      <c r="Q962" s="13" t="str">
        <f aca="false">IF(L962="","",L962)</f>
        <v/>
      </c>
    </row>
    <row r="963" customFormat="false" ht="15.75" hidden="false" customHeight="false" outlineLevel="0" collapsed="false">
      <c r="A963" s="13"/>
      <c r="B963" s="13"/>
      <c r="C963" s="13"/>
      <c r="D963" s="13"/>
      <c r="E963" s="13"/>
      <c r="F963" s="11"/>
      <c r="G963" s="16"/>
      <c r="H963" s="13"/>
      <c r="I963" s="13"/>
      <c r="J963" s="13"/>
      <c r="K963" s="13"/>
      <c r="L963" s="13"/>
      <c r="M963" s="13"/>
      <c r="N963" s="13"/>
      <c r="O963" s="13"/>
      <c r="P963" s="13"/>
      <c r="Q963" s="13" t="str">
        <f aca="false">IF(L963="","",L963)</f>
        <v/>
      </c>
    </row>
    <row r="964" customFormat="false" ht="15.75" hidden="false" customHeight="false" outlineLevel="0" collapsed="false">
      <c r="A964" s="13"/>
      <c r="B964" s="13"/>
      <c r="C964" s="13"/>
      <c r="D964" s="13"/>
      <c r="E964" s="13"/>
      <c r="F964" s="11"/>
      <c r="G964" s="16"/>
      <c r="H964" s="13"/>
      <c r="I964" s="13"/>
      <c r="J964" s="13"/>
      <c r="K964" s="13"/>
      <c r="L964" s="13"/>
      <c r="M964" s="13"/>
      <c r="N964" s="13"/>
      <c r="O964" s="13"/>
      <c r="P964" s="13"/>
      <c r="Q964" s="13" t="str">
        <f aca="false">IF(L964="","",L964)</f>
        <v/>
      </c>
    </row>
    <row r="965" customFormat="false" ht="15.75" hidden="false" customHeight="false" outlineLevel="0" collapsed="false">
      <c r="A965" s="13"/>
      <c r="B965" s="13"/>
      <c r="C965" s="13"/>
      <c r="D965" s="13"/>
      <c r="E965" s="13"/>
      <c r="F965" s="11"/>
      <c r="G965" s="16"/>
      <c r="H965" s="13"/>
      <c r="I965" s="13"/>
      <c r="J965" s="13"/>
      <c r="K965" s="13"/>
      <c r="L965" s="13"/>
      <c r="M965" s="13"/>
      <c r="N965" s="13"/>
      <c r="O965" s="13"/>
      <c r="P965" s="13"/>
      <c r="Q965" s="13" t="str">
        <f aca="false">IF(L965="","",L965)</f>
        <v/>
      </c>
    </row>
    <row r="966" customFormat="false" ht="15.75" hidden="false" customHeight="false" outlineLevel="0" collapsed="false">
      <c r="A966" s="13"/>
      <c r="B966" s="13"/>
      <c r="C966" s="13"/>
      <c r="D966" s="13"/>
      <c r="E966" s="13"/>
      <c r="F966" s="11"/>
      <c r="G966" s="16"/>
      <c r="H966" s="13"/>
      <c r="I966" s="13"/>
      <c r="J966" s="13"/>
      <c r="K966" s="13"/>
      <c r="L966" s="13"/>
      <c r="M966" s="13"/>
      <c r="N966" s="13"/>
      <c r="O966" s="13"/>
      <c r="P966" s="13"/>
      <c r="Q966" s="13" t="str">
        <f aca="false">IF(L966="","",L966)</f>
        <v/>
      </c>
    </row>
    <row r="967" customFormat="false" ht="15.75" hidden="false" customHeight="false" outlineLevel="0" collapsed="false">
      <c r="A967" s="13"/>
      <c r="B967" s="13"/>
      <c r="C967" s="13"/>
      <c r="D967" s="13"/>
      <c r="E967" s="13"/>
      <c r="F967" s="11"/>
      <c r="G967" s="16"/>
      <c r="H967" s="13"/>
      <c r="I967" s="13"/>
      <c r="J967" s="13"/>
      <c r="K967" s="13"/>
      <c r="L967" s="13"/>
      <c r="M967" s="13"/>
      <c r="N967" s="13"/>
      <c r="O967" s="13"/>
      <c r="P967" s="13"/>
      <c r="Q967" s="13" t="str">
        <f aca="false">IF(L967="","",L967)</f>
        <v/>
      </c>
    </row>
    <row r="968" customFormat="false" ht="15.75" hidden="false" customHeight="false" outlineLevel="0" collapsed="false">
      <c r="A968" s="13"/>
      <c r="B968" s="13"/>
      <c r="C968" s="13"/>
      <c r="D968" s="13"/>
      <c r="E968" s="13"/>
      <c r="F968" s="11"/>
      <c r="G968" s="16"/>
      <c r="H968" s="13"/>
      <c r="I968" s="13"/>
      <c r="J968" s="13"/>
      <c r="K968" s="13"/>
      <c r="L968" s="13"/>
      <c r="M968" s="13"/>
      <c r="N968" s="13"/>
      <c r="O968" s="13"/>
      <c r="P968" s="13"/>
      <c r="Q968" s="13" t="str">
        <f aca="false">IF(L968="","",L968)</f>
        <v/>
      </c>
    </row>
    <row r="969" customFormat="false" ht="15.75" hidden="false" customHeight="false" outlineLevel="0" collapsed="false">
      <c r="A969" s="13"/>
      <c r="B969" s="13"/>
      <c r="C969" s="13"/>
      <c r="D969" s="13"/>
      <c r="E969" s="13"/>
      <c r="F969" s="11"/>
      <c r="G969" s="16"/>
      <c r="H969" s="13"/>
      <c r="I969" s="13"/>
      <c r="J969" s="13"/>
      <c r="K969" s="13"/>
      <c r="L969" s="13"/>
      <c r="M969" s="13"/>
      <c r="N969" s="13"/>
      <c r="O969" s="13"/>
      <c r="P969" s="13"/>
      <c r="Q969" s="13" t="str">
        <f aca="false">IF(L969="","",L969)</f>
        <v/>
      </c>
    </row>
    <row r="970" customFormat="false" ht="15.75" hidden="false" customHeight="false" outlineLevel="0" collapsed="false">
      <c r="A970" s="13"/>
      <c r="B970" s="13"/>
      <c r="C970" s="13"/>
      <c r="D970" s="13"/>
      <c r="E970" s="13"/>
      <c r="F970" s="11"/>
      <c r="G970" s="16"/>
      <c r="H970" s="13"/>
      <c r="I970" s="13"/>
      <c r="J970" s="13"/>
      <c r="K970" s="13"/>
      <c r="L970" s="13"/>
      <c r="M970" s="13"/>
      <c r="N970" s="13"/>
      <c r="O970" s="13"/>
      <c r="P970" s="13"/>
      <c r="Q970" s="13" t="str">
        <f aca="false">IF(L970="","",L970)</f>
        <v/>
      </c>
    </row>
    <row r="971" customFormat="false" ht="15.75" hidden="false" customHeight="false" outlineLevel="0" collapsed="false">
      <c r="A971" s="13"/>
      <c r="B971" s="13"/>
      <c r="C971" s="13"/>
      <c r="D971" s="13"/>
      <c r="E971" s="13"/>
      <c r="F971" s="11"/>
      <c r="G971" s="16"/>
      <c r="H971" s="13"/>
      <c r="I971" s="13"/>
      <c r="J971" s="13"/>
      <c r="K971" s="13"/>
      <c r="L971" s="13"/>
      <c r="M971" s="13"/>
      <c r="N971" s="13"/>
      <c r="O971" s="13"/>
      <c r="P971" s="13"/>
      <c r="Q971" s="13" t="str">
        <f aca="false">IF(L971="","",L971)</f>
        <v/>
      </c>
    </row>
    <row r="972" customFormat="false" ht="15.75" hidden="false" customHeight="false" outlineLevel="0" collapsed="false">
      <c r="A972" s="13"/>
      <c r="B972" s="13"/>
      <c r="C972" s="13"/>
      <c r="D972" s="13"/>
      <c r="E972" s="13"/>
      <c r="F972" s="11"/>
      <c r="G972" s="16"/>
      <c r="H972" s="13"/>
      <c r="I972" s="13"/>
      <c r="J972" s="13"/>
      <c r="K972" s="13"/>
      <c r="L972" s="13"/>
      <c r="M972" s="13"/>
      <c r="N972" s="13"/>
      <c r="O972" s="13"/>
      <c r="P972" s="13"/>
      <c r="Q972" s="13" t="str">
        <f aca="false">IF(L972="","",L972)</f>
        <v/>
      </c>
    </row>
    <row r="973" customFormat="false" ht="15.75" hidden="false" customHeight="false" outlineLevel="0" collapsed="false">
      <c r="A973" s="13"/>
      <c r="B973" s="13"/>
      <c r="C973" s="13"/>
      <c r="D973" s="13"/>
      <c r="E973" s="13"/>
      <c r="F973" s="11"/>
      <c r="G973" s="16"/>
      <c r="H973" s="13"/>
      <c r="I973" s="13"/>
      <c r="J973" s="13"/>
      <c r="K973" s="13"/>
      <c r="L973" s="13"/>
      <c r="M973" s="13"/>
      <c r="N973" s="13"/>
      <c r="O973" s="13"/>
      <c r="P973" s="13"/>
      <c r="Q973" s="13" t="str">
        <f aca="false">IF(L973="","",L973)</f>
        <v/>
      </c>
    </row>
    <row r="974" customFormat="false" ht="15.75" hidden="false" customHeight="false" outlineLevel="0" collapsed="false">
      <c r="A974" s="13"/>
      <c r="B974" s="13"/>
      <c r="C974" s="13"/>
      <c r="D974" s="13"/>
      <c r="E974" s="13"/>
      <c r="F974" s="11"/>
      <c r="G974" s="16"/>
      <c r="H974" s="13"/>
      <c r="I974" s="13"/>
      <c r="J974" s="13"/>
      <c r="K974" s="13"/>
      <c r="L974" s="13"/>
      <c r="M974" s="13"/>
      <c r="N974" s="13"/>
      <c r="O974" s="13"/>
      <c r="P974" s="13"/>
      <c r="Q974" s="13" t="str">
        <f aca="false">IF(L974="","",L974)</f>
        <v/>
      </c>
    </row>
    <row r="975" customFormat="false" ht="15.75" hidden="false" customHeight="false" outlineLevel="0" collapsed="false">
      <c r="A975" s="13"/>
      <c r="B975" s="13"/>
      <c r="C975" s="13"/>
      <c r="D975" s="13"/>
      <c r="E975" s="13"/>
      <c r="F975" s="11"/>
      <c r="G975" s="16"/>
      <c r="H975" s="13"/>
      <c r="I975" s="13"/>
      <c r="J975" s="13"/>
      <c r="K975" s="13"/>
      <c r="L975" s="13"/>
      <c r="M975" s="13"/>
      <c r="N975" s="13"/>
      <c r="O975" s="13"/>
      <c r="P975" s="13"/>
      <c r="Q975" s="13" t="str">
        <f aca="false">IF(L975="","",L975)</f>
        <v/>
      </c>
    </row>
    <row r="976" customFormat="false" ht="15.75" hidden="false" customHeight="false" outlineLevel="0" collapsed="false">
      <c r="A976" s="13"/>
      <c r="B976" s="13"/>
      <c r="C976" s="13"/>
      <c r="D976" s="13"/>
      <c r="E976" s="13"/>
      <c r="F976" s="11"/>
      <c r="G976" s="16"/>
      <c r="H976" s="13"/>
      <c r="I976" s="13"/>
      <c r="J976" s="13"/>
      <c r="K976" s="13"/>
      <c r="L976" s="13"/>
      <c r="M976" s="13"/>
      <c r="N976" s="13"/>
      <c r="O976" s="13"/>
      <c r="P976" s="13"/>
      <c r="Q976" s="13" t="str">
        <f aca="false">IF(L976="","",L976)</f>
        <v/>
      </c>
    </row>
    <row r="977" customFormat="false" ht="15.75" hidden="false" customHeight="false" outlineLevel="0" collapsed="false">
      <c r="A977" s="13"/>
      <c r="B977" s="13"/>
      <c r="C977" s="13"/>
      <c r="D977" s="13"/>
      <c r="E977" s="13"/>
      <c r="F977" s="11"/>
      <c r="G977" s="16"/>
      <c r="H977" s="13"/>
      <c r="I977" s="13"/>
      <c r="J977" s="13"/>
      <c r="K977" s="13"/>
      <c r="L977" s="13"/>
      <c r="M977" s="13"/>
      <c r="N977" s="13"/>
      <c r="O977" s="13"/>
      <c r="P977" s="13"/>
      <c r="Q977" s="13" t="str">
        <f aca="false">IF(L977="","",L977)</f>
        <v/>
      </c>
    </row>
    <row r="978" customFormat="false" ht="15.75" hidden="false" customHeight="false" outlineLevel="0" collapsed="false">
      <c r="A978" s="13"/>
      <c r="B978" s="13"/>
      <c r="C978" s="13"/>
      <c r="D978" s="13"/>
      <c r="E978" s="13"/>
      <c r="F978" s="11"/>
      <c r="G978" s="16"/>
      <c r="H978" s="13"/>
      <c r="I978" s="13"/>
      <c r="J978" s="13"/>
      <c r="K978" s="13"/>
      <c r="L978" s="13"/>
      <c r="M978" s="13"/>
      <c r="N978" s="13"/>
      <c r="O978" s="13"/>
      <c r="P978" s="13"/>
      <c r="Q978" s="13" t="str">
        <f aca="false">IF(L978="","",L978)</f>
        <v/>
      </c>
    </row>
    <row r="979" customFormat="false" ht="15.75" hidden="false" customHeight="false" outlineLevel="0" collapsed="false">
      <c r="A979" s="13"/>
      <c r="B979" s="13"/>
      <c r="C979" s="13"/>
      <c r="D979" s="13"/>
      <c r="E979" s="13"/>
      <c r="F979" s="11"/>
      <c r="G979" s="16"/>
      <c r="H979" s="13"/>
      <c r="I979" s="13"/>
      <c r="J979" s="13"/>
      <c r="K979" s="13"/>
      <c r="L979" s="13"/>
      <c r="M979" s="13"/>
      <c r="N979" s="13"/>
      <c r="O979" s="13"/>
      <c r="P979" s="13"/>
      <c r="Q979" s="13" t="str">
        <f aca="false">IF(L979="","",L979)</f>
        <v/>
      </c>
    </row>
    <row r="980" customFormat="false" ht="15.75" hidden="false" customHeight="false" outlineLevel="0" collapsed="false">
      <c r="A980" s="13"/>
      <c r="B980" s="13"/>
      <c r="C980" s="13"/>
      <c r="D980" s="13"/>
      <c r="E980" s="13"/>
      <c r="F980" s="11"/>
      <c r="G980" s="16"/>
      <c r="H980" s="13"/>
      <c r="I980" s="13"/>
      <c r="J980" s="13"/>
      <c r="K980" s="13"/>
      <c r="L980" s="13"/>
      <c r="M980" s="13"/>
      <c r="N980" s="13"/>
      <c r="O980" s="13"/>
      <c r="P980" s="13"/>
      <c r="Q980" s="13" t="str">
        <f aca="false">IF(L980="","",L980)</f>
        <v/>
      </c>
    </row>
    <row r="981" customFormat="false" ht="15.75" hidden="false" customHeight="false" outlineLevel="0" collapsed="false">
      <c r="A981" s="13"/>
      <c r="B981" s="13"/>
      <c r="C981" s="13"/>
      <c r="D981" s="13"/>
      <c r="E981" s="13"/>
      <c r="F981" s="11"/>
      <c r="G981" s="16"/>
      <c r="H981" s="13"/>
      <c r="I981" s="13"/>
      <c r="J981" s="13"/>
      <c r="K981" s="13"/>
      <c r="L981" s="13"/>
      <c r="M981" s="13"/>
      <c r="N981" s="13"/>
      <c r="O981" s="13"/>
      <c r="P981" s="13"/>
      <c r="Q981" s="13" t="str">
        <f aca="false">IF(L981="","",L981)</f>
        <v/>
      </c>
    </row>
    <row r="982" customFormat="false" ht="15.75" hidden="false" customHeight="false" outlineLevel="0" collapsed="false">
      <c r="A982" s="13"/>
      <c r="B982" s="13"/>
      <c r="C982" s="13"/>
      <c r="D982" s="13"/>
      <c r="E982" s="13"/>
      <c r="F982" s="11"/>
      <c r="G982" s="16"/>
      <c r="H982" s="13"/>
      <c r="I982" s="13"/>
      <c r="J982" s="13"/>
      <c r="K982" s="13"/>
      <c r="L982" s="13"/>
      <c r="M982" s="13"/>
      <c r="N982" s="13"/>
      <c r="O982" s="13"/>
      <c r="P982" s="13"/>
      <c r="Q982" s="13" t="str">
        <f aca="false">IF(L982="","",L982)</f>
        <v/>
      </c>
    </row>
    <row r="983" customFormat="false" ht="15.75" hidden="false" customHeight="false" outlineLevel="0" collapsed="false">
      <c r="A983" s="13"/>
      <c r="B983" s="13"/>
      <c r="C983" s="13"/>
      <c r="D983" s="13"/>
      <c r="E983" s="13"/>
      <c r="F983" s="11"/>
      <c r="G983" s="16"/>
      <c r="H983" s="13"/>
      <c r="I983" s="13"/>
      <c r="J983" s="13"/>
      <c r="K983" s="13"/>
      <c r="L983" s="13"/>
      <c r="M983" s="13"/>
      <c r="N983" s="13"/>
      <c r="O983" s="13"/>
      <c r="P983" s="13"/>
      <c r="Q983" s="13" t="str">
        <f aca="false">IF(L983="","",L983)</f>
        <v/>
      </c>
    </row>
    <row r="984" customFormat="false" ht="15.75" hidden="false" customHeight="false" outlineLevel="0" collapsed="false">
      <c r="A984" s="13"/>
      <c r="B984" s="13"/>
      <c r="C984" s="13"/>
      <c r="D984" s="13"/>
      <c r="E984" s="13"/>
      <c r="F984" s="11"/>
      <c r="G984" s="16"/>
      <c r="H984" s="13"/>
      <c r="I984" s="13"/>
      <c r="J984" s="13"/>
      <c r="K984" s="13"/>
      <c r="L984" s="13"/>
      <c r="M984" s="13"/>
      <c r="N984" s="13"/>
      <c r="O984" s="13"/>
      <c r="P984" s="13"/>
      <c r="Q984" s="13" t="str">
        <f aca="false">IF(L984="","",L984)</f>
        <v/>
      </c>
    </row>
    <row r="985" customFormat="false" ht="15.75" hidden="false" customHeight="false" outlineLevel="0" collapsed="false">
      <c r="A985" s="13"/>
      <c r="B985" s="13"/>
      <c r="C985" s="13"/>
      <c r="D985" s="13"/>
      <c r="E985" s="13"/>
      <c r="F985" s="11"/>
      <c r="G985" s="16"/>
      <c r="H985" s="13"/>
      <c r="I985" s="13"/>
      <c r="J985" s="13"/>
      <c r="K985" s="13"/>
      <c r="L985" s="13"/>
      <c r="M985" s="13"/>
      <c r="N985" s="13"/>
      <c r="O985" s="13"/>
      <c r="P985" s="13"/>
      <c r="Q985" s="13" t="str">
        <f aca="false">IF(L985="","",L985)</f>
        <v/>
      </c>
    </row>
    <row r="986" customFormat="false" ht="15.75" hidden="false" customHeight="false" outlineLevel="0" collapsed="false">
      <c r="A986" s="13"/>
      <c r="B986" s="13"/>
      <c r="C986" s="13"/>
      <c r="D986" s="13"/>
      <c r="E986" s="13"/>
      <c r="F986" s="11"/>
      <c r="G986" s="16"/>
      <c r="H986" s="13"/>
      <c r="I986" s="13"/>
      <c r="J986" s="13"/>
      <c r="K986" s="13"/>
      <c r="L986" s="13"/>
      <c r="M986" s="13"/>
      <c r="N986" s="13"/>
      <c r="O986" s="13"/>
      <c r="P986" s="13"/>
      <c r="Q986" s="13" t="str">
        <f aca="false">IF(L986="","",L986)</f>
        <v/>
      </c>
    </row>
    <row r="987" customFormat="false" ht="15.75" hidden="false" customHeight="false" outlineLevel="0" collapsed="false">
      <c r="A987" s="13"/>
      <c r="B987" s="13"/>
      <c r="C987" s="13"/>
      <c r="D987" s="13"/>
      <c r="E987" s="13"/>
      <c r="F987" s="11"/>
      <c r="G987" s="16"/>
      <c r="H987" s="13"/>
      <c r="I987" s="13"/>
      <c r="J987" s="13"/>
      <c r="K987" s="13"/>
      <c r="L987" s="13"/>
      <c r="M987" s="13"/>
      <c r="N987" s="13"/>
      <c r="O987" s="13"/>
      <c r="P987" s="13"/>
      <c r="Q987" s="13" t="str">
        <f aca="false">IF(L987="","",L987)</f>
        <v/>
      </c>
    </row>
    <row r="988" customFormat="false" ht="15.75" hidden="false" customHeight="false" outlineLevel="0" collapsed="false">
      <c r="A988" s="13"/>
      <c r="B988" s="13"/>
      <c r="C988" s="13"/>
      <c r="D988" s="13"/>
      <c r="E988" s="13"/>
      <c r="F988" s="11"/>
      <c r="G988" s="16"/>
      <c r="H988" s="13"/>
      <c r="I988" s="13"/>
      <c r="J988" s="13"/>
      <c r="K988" s="13"/>
      <c r="L988" s="13"/>
      <c r="M988" s="13"/>
      <c r="N988" s="13"/>
      <c r="O988" s="13"/>
      <c r="P988" s="13"/>
      <c r="Q988" s="13" t="str">
        <f aca="false">IF(L988="","",L988)</f>
        <v/>
      </c>
    </row>
    <row r="989" customFormat="false" ht="15.75" hidden="false" customHeight="false" outlineLevel="0" collapsed="false">
      <c r="A989" s="13"/>
      <c r="B989" s="13"/>
      <c r="C989" s="13"/>
      <c r="D989" s="13"/>
      <c r="E989" s="13"/>
      <c r="F989" s="11"/>
      <c r="G989" s="16"/>
      <c r="H989" s="13"/>
      <c r="I989" s="13"/>
      <c r="J989" s="13"/>
      <c r="K989" s="13"/>
      <c r="L989" s="13"/>
      <c r="M989" s="13"/>
      <c r="N989" s="13"/>
      <c r="O989" s="13"/>
      <c r="P989" s="13"/>
      <c r="Q989" s="13" t="str">
        <f aca="false">IF(L989="","",L989)</f>
        <v/>
      </c>
    </row>
    <row r="990" customFormat="false" ht="15.75" hidden="false" customHeight="false" outlineLevel="0" collapsed="false">
      <c r="A990" s="13"/>
      <c r="B990" s="13"/>
      <c r="C990" s="13"/>
      <c r="D990" s="13"/>
      <c r="E990" s="13"/>
      <c r="F990" s="11"/>
      <c r="G990" s="16"/>
      <c r="H990" s="13"/>
      <c r="I990" s="13"/>
      <c r="J990" s="13"/>
      <c r="K990" s="13"/>
      <c r="L990" s="13"/>
      <c r="M990" s="13"/>
      <c r="N990" s="13"/>
      <c r="O990" s="13"/>
      <c r="P990" s="13"/>
      <c r="Q990" s="13" t="str">
        <f aca="false">IF(L990="","",L990)</f>
        <v/>
      </c>
    </row>
    <row r="991" customFormat="false" ht="15.75" hidden="false" customHeight="false" outlineLevel="0" collapsed="false">
      <c r="A991" s="13"/>
      <c r="B991" s="13"/>
      <c r="C991" s="13"/>
      <c r="D991" s="13"/>
      <c r="E991" s="13"/>
      <c r="F991" s="11"/>
      <c r="G991" s="16"/>
      <c r="H991" s="13"/>
      <c r="I991" s="13"/>
      <c r="J991" s="13"/>
      <c r="K991" s="13"/>
      <c r="L991" s="13"/>
      <c r="M991" s="13"/>
      <c r="N991" s="13"/>
      <c r="O991" s="13"/>
      <c r="P991" s="13"/>
      <c r="Q991" s="13" t="str">
        <f aca="false">IF(L991="","",L991)</f>
        <v/>
      </c>
    </row>
    <row r="992" customFormat="false" ht="15.75" hidden="false" customHeight="false" outlineLevel="0" collapsed="false">
      <c r="A992" s="13"/>
      <c r="B992" s="13"/>
      <c r="C992" s="13"/>
      <c r="D992" s="13"/>
      <c r="E992" s="13"/>
      <c r="F992" s="11"/>
      <c r="G992" s="16"/>
      <c r="H992" s="13"/>
      <c r="I992" s="13"/>
      <c r="J992" s="13"/>
      <c r="K992" s="13"/>
      <c r="L992" s="13"/>
      <c r="M992" s="13"/>
      <c r="N992" s="13"/>
      <c r="O992" s="13"/>
      <c r="P992" s="13"/>
      <c r="Q992" s="13" t="str">
        <f aca="false">IF(L992="","",L992)</f>
        <v/>
      </c>
    </row>
    <row r="993" customFormat="false" ht="15.75" hidden="false" customHeight="false" outlineLevel="0" collapsed="false">
      <c r="A993" s="13"/>
      <c r="B993" s="13"/>
      <c r="C993" s="13"/>
      <c r="D993" s="13"/>
      <c r="E993" s="13"/>
      <c r="F993" s="11"/>
      <c r="G993" s="16"/>
      <c r="H993" s="13"/>
      <c r="I993" s="13"/>
      <c r="J993" s="13"/>
      <c r="K993" s="13"/>
      <c r="L993" s="13"/>
      <c r="M993" s="13"/>
      <c r="N993" s="13"/>
      <c r="O993" s="13"/>
      <c r="P993" s="13"/>
      <c r="Q993" s="13" t="str">
        <f aca="false">IF(L993="","",L993)</f>
        <v/>
      </c>
    </row>
    <row r="994" customFormat="false" ht="15.75" hidden="false" customHeight="false" outlineLevel="0" collapsed="false">
      <c r="A994" s="13"/>
      <c r="B994" s="13"/>
      <c r="C994" s="13"/>
      <c r="D994" s="13"/>
      <c r="E994" s="13"/>
      <c r="F994" s="11"/>
      <c r="G994" s="16"/>
      <c r="H994" s="13"/>
      <c r="I994" s="13"/>
      <c r="J994" s="13"/>
      <c r="K994" s="13"/>
      <c r="L994" s="13"/>
      <c r="M994" s="13"/>
      <c r="N994" s="13"/>
      <c r="O994" s="13"/>
      <c r="P994" s="13"/>
      <c r="Q994" s="13" t="str">
        <f aca="false">IF(L994="","",L994)</f>
        <v/>
      </c>
    </row>
    <row r="995" customFormat="false" ht="15.75" hidden="false" customHeight="false" outlineLevel="0" collapsed="false">
      <c r="A995" s="13"/>
      <c r="B995" s="13"/>
      <c r="C995" s="13"/>
      <c r="D995" s="13"/>
      <c r="E995" s="13"/>
      <c r="F995" s="11"/>
      <c r="G995" s="16"/>
      <c r="H995" s="13"/>
      <c r="I995" s="13"/>
      <c r="J995" s="13"/>
      <c r="K995" s="13"/>
      <c r="L995" s="13"/>
      <c r="M995" s="13"/>
      <c r="N995" s="13"/>
      <c r="O995" s="13"/>
      <c r="P995" s="13"/>
      <c r="Q995" s="13" t="str">
        <f aca="false">IF(L995="","",L995)</f>
        <v/>
      </c>
    </row>
    <row r="996" customFormat="false" ht="15.75" hidden="false" customHeight="false" outlineLevel="0" collapsed="false">
      <c r="A996" s="13"/>
      <c r="B996" s="13"/>
      <c r="C996" s="13"/>
      <c r="D996" s="13"/>
      <c r="E996" s="13"/>
      <c r="F996" s="11"/>
      <c r="G996" s="16"/>
      <c r="H996" s="13"/>
      <c r="I996" s="13"/>
      <c r="J996" s="13"/>
      <c r="K996" s="13"/>
      <c r="L996" s="13"/>
      <c r="M996" s="13"/>
      <c r="N996" s="13"/>
      <c r="O996" s="13"/>
      <c r="P996" s="13"/>
      <c r="Q996" s="13" t="str">
        <f aca="false">IF(L996="","",L996)</f>
        <v/>
      </c>
    </row>
    <row r="997" customFormat="false" ht="15.75" hidden="false" customHeight="false" outlineLevel="0" collapsed="false">
      <c r="A997" s="13"/>
      <c r="B997" s="13"/>
      <c r="C997" s="13"/>
      <c r="D997" s="13"/>
      <c r="E997" s="13"/>
      <c r="F997" s="11"/>
      <c r="G997" s="16"/>
      <c r="H997" s="13"/>
      <c r="I997" s="13"/>
      <c r="J997" s="13"/>
      <c r="K997" s="13"/>
      <c r="L997" s="13"/>
      <c r="M997" s="13"/>
      <c r="N997" s="13"/>
      <c r="O997" s="13"/>
      <c r="P997" s="13"/>
      <c r="Q997" s="13" t="str">
        <f aca="false">IF(L997="","",L997)</f>
        <v/>
      </c>
    </row>
    <row r="998" customFormat="false" ht="15.75" hidden="false" customHeight="false" outlineLevel="0" collapsed="false">
      <c r="A998" s="13"/>
      <c r="B998" s="13"/>
      <c r="C998" s="13"/>
      <c r="D998" s="13"/>
      <c r="E998" s="13"/>
      <c r="F998" s="11"/>
      <c r="G998" s="16"/>
      <c r="H998" s="13"/>
      <c r="I998" s="13"/>
      <c r="J998" s="13"/>
      <c r="K998" s="13"/>
      <c r="L998" s="13"/>
      <c r="M998" s="13"/>
      <c r="N998" s="13"/>
      <c r="O998" s="13"/>
      <c r="P998" s="13"/>
      <c r="Q998" s="13" t="str">
        <f aca="false">IF(L998="","",L998)</f>
        <v/>
      </c>
    </row>
    <row r="999" customFormat="false" ht="15.75" hidden="false" customHeight="false" outlineLevel="0" collapsed="false">
      <c r="A999" s="13"/>
      <c r="B999" s="13"/>
      <c r="C999" s="13"/>
      <c r="D999" s="13"/>
      <c r="E999" s="13"/>
      <c r="F999" s="11"/>
      <c r="G999" s="16"/>
      <c r="H999" s="13"/>
      <c r="I999" s="13"/>
      <c r="J999" s="13"/>
      <c r="K999" s="13"/>
      <c r="L999" s="13"/>
      <c r="M999" s="13"/>
      <c r="N999" s="13"/>
      <c r="O999" s="13"/>
      <c r="P999" s="13"/>
      <c r="Q999" s="13" t="str">
        <f aca="false">IF(L999="","",L999)</f>
        <v/>
      </c>
    </row>
    <row r="1000" customFormat="false" ht="15.75" hidden="false" customHeight="false" outlineLevel="0" collapsed="false">
      <c r="A1000" s="13"/>
      <c r="B1000" s="13"/>
      <c r="C1000" s="13"/>
      <c r="D1000" s="13"/>
      <c r="E1000" s="13"/>
      <c r="F1000" s="11"/>
      <c r="G1000" s="16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 t="str">
        <f aca="false">IF(L1000="","",L1000)</f>
        <v/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32.75"/>
    <col collapsed="false" customWidth="true" hidden="false" outlineLevel="0" max="3" min="3" style="0" width="45.5"/>
    <col collapsed="false" customWidth="true" hidden="false" outlineLevel="0" max="12" min="12" style="0" width="32.49"/>
    <col collapsed="false" customWidth="true" hidden="false" outlineLevel="0" max="17" min="17" style="0" width="32.49"/>
    <col collapsed="false" customWidth="true" hidden="false" outlineLevel="0" max="18" min="18" style="0" width="17.13"/>
  </cols>
  <sheetData>
    <row r="1" customFormat="false" ht="15.75" hidden="false" customHeight="false" outlineLevel="0" collapsed="false">
      <c r="A1" s="14"/>
      <c r="B1" s="14"/>
      <c r="C1" s="14"/>
      <c r="D1" s="14"/>
      <c r="E1" s="17" t="n">
        <v>45022</v>
      </c>
      <c r="F1" s="18"/>
      <c r="G1" s="19"/>
      <c r="H1" s="14"/>
      <c r="I1" s="14"/>
      <c r="J1" s="14"/>
      <c r="K1" s="14"/>
      <c r="L1" s="14"/>
      <c r="M1" s="14"/>
      <c r="N1" s="14"/>
      <c r="O1" s="14"/>
      <c r="P1" s="14"/>
      <c r="Q1" s="15"/>
      <c r="R1" s="15"/>
      <c r="S1" s="14"/>
      <c r="T1" s="14"/>
      <c r="U1" s="14"/>
      <c r="V1" s="14"/>
      <c r="W1" s="14"/>
      <c r="X1" s="14"/>
      <c r="Y1" s="14"/>
      <c r="Z1" s="14"/>
    </row>
    <row r="2" customFormat="false" ht="15.75" hidden="false" customHeight="false" outlineLevel="0" collapsed="false">
      <c r="A2" s="14" t="s">
        <v>0</v>
      </c>
      <c r="B2" s="14" t="s">
        <v>1</v>
      </c>
      <c r="C2" s="14" t="s">
        <v>2</v>
      </c>
      <c r="D2" s="14" t="s">
        <v>3</v>
      </c>
      <c r="E2" s="14" t="s">
        <v>4</v>
      </c>
      <c r="F2" s="18" t="s">
        <v>5</v>
      </c>
      <c r="G2" s="19" t="s">
        <v>6</v>
      </c>
      <c r="H2" s="14" t="s">
        <v>7</v>
      </c>
      <c r="I2" s="14" t="s">
        <v>8</v>
      </c>
      <c r="J2" s="14" t="s">
        <v>9</v>
      </c>
      <c r="K2" s="14" t="s">
        <v>10</v>
      </c>
      <c r="L2" s="14" t="s">
        <v>11</v>
      </c>
      <c r="M2" s="14" t="s">
        <v>12</v>
      </c>
      <c r="N2" s="14" t="s">
        <v>13</v>
      </c>
      <c r="O2" s="14" t="s">
        <v>14</v>
      </c>
      <c r="P2" s="14" t="s">
        <v>15</v>
      </c>
      <c r="Q2" s="15" t="s">
        <v>2152</v>
      </c>
      <c r="R2" s="15" t="s">
        <v>2153</v>
      </c>
      <c r="S2" s="14" t="s">
        <v>7</v>
      </c>
      <c r="T2" s="14"/>
      <c r="U2" s="14"/>
      <c r="V2" s="14"/>
      <c r="W2" s="14"/>
      <c r="X2" s="14"/>
      <c r="Y2" s="14"/>
      <c r="Z2" s="14"/>
    </row>
    <row r="3" customFormat="false" ht="15.75" hidden="false" customHeight="false" outlineLevel="0" collapsed="false">
      <c r="A3" s="13" t="s">
        <v>2154</v>
      </c>
      <c r="B3" s="13" t="s">
        <v>33</v>
      </c>
      <c r="C3" s="13" t="s">
        <v>34</v>
      </c>
      <c r="D3" s="13" t="s">
        <v>35</v>
      </c>
      <c r="E3" s="13" t="s">
        <v>36</v>
      </c>
      <c r="F3" s="11" t="n">
        <v>44963</v>
      </c>
      <c r="G3" s="12" t="n">
        <v>0.756364560186252</v>
      </c>
      <c r="H3" s="13" t="s">
        <v>37</v>
      </c>
      <c r="I3" s="13" t="n">
        <v>1</v>
      </c>
      <c r="J3" s="13" t="n">
        <v>84.17</v>
      </c>
      <c r="K3" s="13" t="n">
        <v>84.17</v>
      </c>
      <c r="L3" s="13" t="s">
        <v>38</v>
      </c>
      <c r="O3" s="13" t="s">
        <v>31</v>
      </c>
      <c r="P3" s="13" t="s">
        <v>32</v>
      </c>
      <c r="Q3" s="13" t="s">
        <v>38</v>
      </c>
      <c r="R3" s="20" t="str">
        <f aca="false" t="array" ref="R3:R1002">IF(ISBLANK(G3:G1002),"", TEXT(F3:F1002,"DDD,DD-MMMM-YYYY")&amp;" ,"&amp;TEXT(G3:G1002,"HH:MM AM/PM"))</f>
        <v>Mon,06-February-2023 ,06:09 PM</v>
      </c>
      <c r="S3" s="20" t="str">
        <f aca="false" t="array" ref="S3:S1002">IF(H3:H1002="damaged stock","Damaged Stock","")</f>
        <v>Damaged Stock</v>
      </c>
    </row>
    <row r="4" customFormat="false" ht="15.75" hidden="false" customHeight="false" outlineLevel="0" collapsed="false">
      <c r="A4" s="13" t="s">
        <v>2154</v>
      </c>
      <c r="B4" s="13" t="s">
        <v>39</v>
      </c>
      <c r="C4" s="13" t="s">
        <v>40</v>
      </c>
      <c r="D4" s="13" t="s">
        <v>35</v>
      </c>
      <c r="E4" s="13" t="s">
        <v>36</v>
      </c>
      <c r="F4" s="11" t="n">
        <v>44963</v>
      </c>
      <c r="G4" s="12" t="n">
        <v>0.754461215278963</v>
      </c>
      <c r="H4" s="13" t="s">
        <v>37</v>
      </c>
      <c r="I4" s="13" t="n">
        <v>7</v>
      </c>
      <c r="J4" s="13" t="n">
        <v>84.17</v>
      </c>
      <c r="K4" s="13" t="n">
        <v>589.19</v>
      </c>
      <c r="L4" s="13" t="s">
        <v>41</v>
      </c>
      <c r="O4" s="13" t="s">
        <v>31</v>
      </c>
      <c r="P4" s="13" t="s">
        <v>32</v>
      </c>
      <c r="Q4" s="13" t="s">
        <v>41</v>
      </c>
      <c r="R4" s="13" t="str">
        <v>Mon,06-February-2023 ,06:06 PM</v>
      </c>
      <c r="S4" s="13" t="str">
        <v>Damaged Stock</v>
      </c>
    </row>
    <row r="5" customFormat="false" ht="15.75" hidden="false" customHeight="false" outlineLevel="0" collapsed="false">
      <c r="A5" s="13" t="s">
        <v>2154</v>
      </c>
      <c r="B5" s="13" t="s">
        <v>58</v>
      </c>
      <c r="C5" s="13" t="s">
        <v>59</v>
      </c>
      <c r="D5" s="13" t="s">
        <v>19</v>
      </c>
      <c r="E5" s="13" t="s">
        <v>20</v>
      </c>
      <c r="F5" s="11" t="n">
        <v>44964</v>
      </c>
      <c r="G5" s="12" t="n">
        <v>0.386749791666155</v>
      </c>
      <c r="H5" s="13" t="s">
        <v>37</v>
      </c>
      <c r="I5" s="13" t="n">
        <v>2</v>
      </c>
      <c r="J5" s="13" t="n">
        <v>1350</v>
      </c>
      <c r="K5" s="13" t="n">
        <v>2700</v>
      </c>
      <c r="L5" s="13" t="s">
        <v>60</v>
      </c>
      <c r="O5" s="13" t="s">
        <v>61</v>
      </c>
      <c r="P5" s="13" t="s">
        <v>62</v>
      </c>
      <c r="Q5" s="13" t="s">
        <v>60</v>
      </c>
      <c r="R5" s="13" t="str">
        <v>Tue,07-February-2023 ,09:16 AM</v>
      </c>
      <c r="S5" s="13" t="str">
        <v>Damaged Stock</v>
      </c>
    </row>
    <row r="6" customFormat="false" ht="15.75" hidden="false" customHeight="false" outlineLevel="0" collapsed="false">
      <c r="A6" s="13" t="s">
        <v>2154</v>
      </c>
      <c r="B6" s="13" t="s">
        <v>78</v>
      </c>
      <c r="C6" s="13" t="s">
        <v>79</v>
      </c>
      <c r="D6" s="13" t="s">
        <v>80</v>
      </c>
      <c r="E6" s="13" t="s">
        <v>28</v>
      </c>
      <c r="F6" s="11" t="n">
        <v>44966</v>
      </c>
      <c r="G6" s="12" t="n">
        <v>0.342833611109306</v>
      </c>
      <c r="H6" s="13" t="s">
        <v>37</v>
      </c>
      <c r="I6" s="13" t="n">
        <v>1</v>
      </c>
      <c r="J6" s="13" t="n">
        <v>150</v>
      </c>
      <c r="K6" s="13" t="n">
        <v>150</v>
      </c>
      <c r="L6" s="13" t="s">
        <v>81</v>
      </c>
      <c r="M6" s="13" t="s">
        <v>82</v>
      </c>
      <c r="O6" s="13" t="s">
        <v>61</v>
      </c>
      <c r="P6" s="13" t="s">
        <v>62</v>
      </c>
      <c r="Q6" s="13" t="s">
        <v>81</v>
      </c>
      <c r="R6" s="13" t="str">
        <v>Thu,09-February-2023 ,08:13 AM</v>
      </c>
      <c r="S6" s="13" t="str">
        <v>Damaged Stock</v>
      </c>
    </row>
    <row r="7" customFormat="false" ht="15.75" hidden="false" customHeight="false" outlineLevel="0" collapsed="false">
      <c r="A7" s="13" t="s">
        <v>2154</v>
      </c>
      <c r="B7" s="13" t="s">
        <v>87</v>
      </c>
      <c r="C7" s="13" t="s">
        <v>88</v>
      </c>
      <c r="D7" s="13" t="s">
        <v>89</v>
      </c>
      <c r="E7" s="13" t="s">
        <v>90</v>
      </c>
      <c r="F7" s="11" t="n">
        <v>44968</v>
      </c>
      <c r="G7" s="12" t="n">
        <v>0.791670671297509</v>
      </c>
      <c r="H7" s="13" t="s">
        <v>37</v>
      </c>
      <c r="I7" s="13" t="n">
        <v>1</v>
      </c>
      <c r="J7" s="13" t="n">
        <v>530</v>
      </c>
      <c r="K7" s="13" t="n">
        <v>530</v>
      </c>
      <c r="L7" s="13" t="s">
        <v>91</v>
      </c>
      <c r="M7" s="13" t="s">
        <v>92</v>
      </c>
      <c r="O7" s="13" t="s">
        <v>61</v>
      </c>
      <c r="P7" s="13" t="s">
        <v>62</v>
      </c>
      <c r="Q7" s="13" t="s">
        <v>91</v>
      </c>
      <c r="R7" s="13" t="str">
        <v>Sat,11-February-2023 ,07:00 PM</v>
      </c>
      <c r="S7" s="13" t="str">
        <v>Damaged Stock</v>
      </c>
    </row>
    <row r="8" customFormat="false" ht="15.75" hidden="false" customHeight="false" outlineLevel="0" collapsed="false">
      <c r="A8" s="13" t="s">
        <v>2154</v>
      </c>
      <c r="B8" s="13" t="s">
        <v>93</v>
      </c>
      <c r="C8" s="13" t="s">
        <v>94</v>
      </c>
      <c r="D8" s="13" t="s">
        <v>95</v>
      </c>
      <c r="E8" s="13" t="s">
        <v>96</v>
      </c>
      <c r="F8" s="11" t="n">
        <v>44971</v>
      </c>
      <c r="G8" s="12" t="n">
        <v>0.0516908564828666</v>
      </c>
      <c r="H8" s="13" t="s">
        <v>37</v>
      </c>
      <c r="I8" s="13" t="n">
        <v>1</v>
      </c>
      <c r="J8" s="13" t="n">
        <v>45.48</v>
      </c>
      <c r="K8" s="13" t="n">
        <v>45.48</v>
      </c>
      <c r="L8" s="13" t="s">
        <v>97</v>
      </c>
      <c r="M8" s="13" t="s">
        <v>98</v>
      </c>
      <c r="O8" s="13" t="s">
        <v>23</v>
      </c>
      <c r="P8" s="13" t="s">
        <v>24</v>
      </c>
      <c r="Q8" s="13" t="s">
        <v>97</v>
      </c>
      <c r="R8" s="13" t="str">
        <v>Tue,14-February-2023 ,01:14 AM</v>
      </c>
      <c r="S8" s="13" t="str">
        <v>Damaged Stock</v>
      </c>
    </row>
    <row r="9" customFormat="false" ht="15.75" hidden="false" customHeight="false" outlineLevel="0" collapsed="false">
      <c r="A9" s="13" t="s">
        <v>2154</v>
      </c>
      <c r="B9" s="13" t="s">
        <v>99</v>
      </c>
      <c r="C9" s="13" t="s">
        <v>1635</v>
      </c>
      <c r="D9" s="13" t="s">
        <v>101</v>
      </c>
      <c r="E9" s="13" t="s">
        <v>96</v>
      </c>
      <c r="F9" s="11" t="n">
        <v>44971</v>
      </c>
      <c r="G9" s="12" t="n">
        <v>0.0509402546297751</v>
      </c>
      <c r="H9" s="13" t="s">
        <v>37</v>
      </c>
      <c r="I9" s="13" t="n">
        <v>6</v>
      </c>
      <c r="J9" s="13" t="n">
        <v>54.17</v>
      </c>
      <c r="K9" s="13" t="n">
        <v>325.02</v>
      </c>
      <c r="L9" s="13" t="s">
        <v>102</v>
      </c>
      <c r="M9" s="13" t="s">
        <v>103</v>
      </c>
      <c r="O9" s="13" t="s">
        <v>23</v>
      </c>
      <c r="P9" s="13" t="s">
        <v>24</v>
      </c>
      <c r="Q9" s="13" t="s">
        <v>102</v>
      </c>
      <c r="R9" s="13" t="str">
        <v>Tue,14-February-2023 ,01:13 AM</v>
      </c>
      <c r="S9" s="13" t="str">
        <v>Damaged Stock</v>
      </c>
    </row>
    <row r="10" customFormat="false" ht="15.75" hidden="false" customHeight="false" outlineLevel="0" collapsed="false">
      <c r="A10" s="13" t="s">
        <v>2154</v>
      </c>
      <c r="B10" s="13" t="s">
        <v>104</v>
      </c>
      <c r="C10" s="13" t="s">
        <v>105</v>
      </c>
      <c r="D10" s="13" t="s">
        <v>106</v>
      </c>
      <c r="E10" s="13" t="s">
        <v>107</v>
      </c>
      <c r="F10" s="11" t="n">
        <v>44973</v>
      </c>
      <c r="G10" s="12" t="n">
        <v>0.864651817131031</v>
      </c>
      <c r="H10" s="13" t="s">
        <v>37</v>
      </c>
      <c r="I10" s="13" t="n">
        <v>3</v>
      </c>
      <c r="J10" s="13" t="n">
        <v>281.52</v>
      </c>
      <c r="K10" s="13" t="n">
        <v>844.56</v>
      </c>
      <c r="L10" s="13" t="s">
        <v>108</v>
      </c>
      <c r="M10" s="13" t="s">
        <v>109</v>
      </c>
      <c r="O10" s="13" t="s">
        <v>110</v>
      </c>
      <c r="P10" s="13" t="s">
        <v>111</v>
      </c>
      <c r="Q10" s="13" t="s">
        <v>108</v>
      </c>
      <c r="R10" s="13" t="str">
        <v>Thu,16-February-2023 ,08:45 PM</v>
      </c>
      <c r="S10" s="13" t="str">
        <v>Damaged Stock</v>
      </c>
    </row>
    <row r="11" customFormat="false" ht="15.75" hidden="false" customHeight="false" outlineLevel="0" collapsed="false">
      <c r="A11" s="13" t="s">
        <v>2154</v>
      </c>
      <c r="B11" s="13" t="s">
        <v>99</v>
      </c>
      <c r="C11" s="13" t="s">
        <v>1635</v>
      </c>
      <c r="D11" s="13" t="s">
        <v>101</v>
      </c>
      <c r="E11" s="13" t="s">
        <v>96</v>
      </c>
      <c r="F11" s="11" t="n">
        <v>44973</v>
      </c>
      <c r="G11" s="12" t="n">
        <v>0.0560922685184754</v>
      </c>
      <c r="H11" s="13" t="s">
        <v>37</v>
      </c>
      <c r="I11" s="13" t="n">
        <v>1</v>
      </c>
      <c r="J11" s="13" t="n">
        <v>54.17</v>
      </c>
      <c r="K11" s="13" t="n">
        <v>54.17</v>
      </c>
      <c r="L11" s="13" t="s">
        <v>115</v>
      </c>
      <c r="M11" s="13" t="s">
        <v>116</v>
      </c>
      <c r="O11" s="13" t="s">
        <v>23</v>
      </c>
      <c r="P11" s="13" t="s">
        <v>24</v>
      </c>
      <c r="Q11" s="13" t="s">
        <v>115</v>
      </c>
      <c r="R11" s="13" t="str">
        <v>Thu,16-February-2023 ,01:20 AM</v>
      </c>
      <c r="S11" s="13" t="str">
        <v>Damaged Stock</v>
      </c>
    </row>
    <row r="12" customFormat="false" ht="15.75" hidden="false" customHeight="false" outlineLevel="0" collapsed="false">
      <c r="A12" s="13" t="s">
        <v>2154</v>
      </c>
      <c r="B12" s="13" t="s">
        <v>93</v>
      </c>
      <c r="C12" s="13" t="s">
        <v>94</v>
      </c>
      <c r="D12" s="13" t="s">
        <v>95</v>
      </c>
      <c r="E12" s="13" t="s">
        <v>96</v>
      </c>
      <c r="F12" s="11" t="n">
        <v>44973</v>
      </c>
      <c r="G12" s="12" t="n">
        <v>0.0545749999984101</v>
      </c>
      <c r="H12" s="13" t="s">
        <v>37</v>
      </c>
      <c r="I12" s="13" t="n">
        <v>2</v>
      </c>
      <c r="J12" s="13" t="n">
        <v>45.48</v>
      </c>
      <c r="K12" s="13" t="n">
        <v>90.96</v>
      </c>
      <c r="L12" s="13" t="s">
        <v>117</v>
      </c>
      <c r="M12" s="13" t="s">
        <v>118</v>
      </c>
      <c r="O12" s="13" t="s">
        <v>23</v>
      </c>
      <c r="P12" s="13" t="s">
        <v>24</v>
      </c>
      <c r="Q12" s="13" t="s">
        <v>117</v>
      </c>
      <c r="R12" s="13" t="str">
        <v>Thu,16-February-2023 ,01:18 AM</v>
      </c>
      <c r="S12" s="13" t="str">
        <v>Damaged Stock</v>
      </c>
    </row>
    <row r="13" customFormat="false" ht="15.75" hidden="false" customHeight="false" outlineLevel="0" collapsed="false">
      <c r="A13" s="13" t="s">
        <v>2154</v>
      </c>
      <c r="B13" s="13" t="s">
        <v>119</v>
      </c>
      <c r="C13" s="13" t="s">
        <v>120</v>
      </c>
      <c r="D13" s="13" t="s">
        <v>121</v>
      </c>
      <c r="E13" s="13" t="s">
        <v>122</v>
      </c>
      <c r="F13" s="11" t="n">
        <v>44973</v>
      </c>
      <c r="G13" s="12" t="n">
        <v>0.0511148263896003</v>
      </c>
      <c r="H13" s="13" t="s">
        <v>37</v>
      </c>
      <c r="I13" s="13" t="n">
        <v>1</v>
      </c>
      <c r="J13" s="13" t="n">
        <v>128.75</v>
      </c>
      <c r="K13" s="13" t="n">
        <v>128.75</v>
      </c>
      <c r="L13" s="13" t="s">
        <v>123</v>
      </c>
      <c r="M13" s="13" t="s">
        <v>124</v>
      </c>
      <c r="O13" s="13" t="s">
        <v>23</v>
      </c>
      <c r="P13" s="13" t="s">
        <v>24</v>
      </c>
      <c r="Q13" s="13" t="s">
        <v>123</v>
      </c>
      <c r="R13" s="13" t="str">
        <v>Thu,16-February-2023 ,01:13 AM</v>
      </c>
      <c r="S13" s="13" t="str">
        <v>Damaged Stock</v>
      </c>
    </row>
    <row r="14" customFormat="false" ht="15.75" hidden="false" customHeight="false" outlineLevel="0" collapsed="false">
      <c r="A14" s="13" t="s">
        <v>2154</v>
      </c>
      <c r="B14" s="13" t="s">
        <v>130</v>
      </c>
      <c r="C14" s="13" t="s">
        <v>2155</v>
      </c>
      <c r="D14" s="13" t="s">
        <v>132</v>
      </c>
      <c r="E14" s="13" t="s">
        <v>96</v>
      </c>
      <c r="F14" s="11" t="n">
        <v>44976</v>
      </c>
      <c r="G14" s="12" t="n">
        <v>0.958928692128158</v>
      </c>
      <c r="H14" s="13" t="s">
        <v>37</v>
      </c>
      <c r="I14" s="13" t="n">
        <v>1</v>
      </c>
      <c r="J14" s="13" t="n">
        <v>270</v>
      </c>
      <c r="K14" s="13" t="n">
        <v>270</v>
      </c>
      <c r="L14" s="13" t="s">
        <v>133</v>
      </c>
      <c r="M14" s="13" t="s">
        <v>134</v>
      </c>
      <c r="O14" s="13" t="s">
        <v>23</v>
      </c>
      <c r="P14" s="13" t="s">
        <v>24</v>
      </c>
      <c r="Q14" s="13" t="s">
        <v>133</v>
      </c>
      <c r="R14" s="13" t="str">
        <v>Sun,19-February-2023 ,11:00 PM</v>
      </c>
      <c r="S14" s="13" t="str">
        <v>Damaged Stock</v>
      </c>
    </row>
    <row r="15" customFormat="false" ht="15.75" hidden="false" customHeight="false" outlineLevel="0" collapsed="false">
      <c r="A15" s="13" t="s">
        <v>2154</v>
      </c>
      <c r="B15" s="13" t="s">
        <v>99</v>
      </c>
      <c r="C15" s="13" t="s">
        <v>1635</v>
      </c>
      <c r="D15" s="13" t="s">
        <v>101</v>
      </c>
      <c r="E15" s="13" t="s">
        <v>96</v>
      </c>
      <c r="F15" s="11" t="n">
        <v>44976</v>
      </c>
      <c r="G15" s="12" t="n">
        <v>0.957510219907844</v>
      </c>
      <c r="H15" s="13" t="s">
        <v>37</v>
      </c>
      <c r="I15" s="13" t="n">
        <v>13</v>
      </c>
      <c r="J15" s="13" t="n">
        <v>54.17</v>
      </c>
      <c r="K15" s="13" t="n">
        <v>704.21</v>
      </c>
      <c r="L15" s="13" t="s">
        <v>135</v>
      </c>
      <c r="M15" s="13" t="s">
        <v>136</v>
      </c>
      <c r="O15" s="13" t="s">
        <v>23</v>
      </c>
      <c r="P15" s="13" t="s">
        <v>24</v>
      </c>
      <c r="Q15" s="13" t="s">
        <v>135</v>
      </c>
      <c r="R15" s="13" t="str">
        <v>Sun,19-February-2023 ,10:58 PM</v>
      </c>
      <c r="S15" s="13" t="str">
        <v>Damaged Stock</v>
      </c>
    </row>
    <row r="16" customFormat="false" ht="15.75" hidden="false" customHeight="false" outlineLevel="0" collapsed="false">
      <c r="A16" s="13" t="s">
        <v>2154</v>
      </c>
      <c r="B16" s="13" t="s">
        <v>140</v>
      </c>
      <c r="C16" s="13" t="s">
        <v>141</v>
      </c>
      <c r="D16" s="13" t="s">
        <v>142</v>
      </c>
      <c r="E16" s="13" t="s">
        <v>28</v>
      </c>
      <c r="F16" s="11" t="n">
        <v>44977</v>
      </c>
      <c r="G16" s="12" t="n">
        <v>0.0042478703701494</v>
      </c>
      <c r="H16" s="13" t="s">
        <v>37</v>
      </c>
      <c r="I16" s="13" t="n">
        <v>1</v>
      </c>
      <c r="J16" s="13" t="n">
        <v>736.3</v>
      </c>
      <c r="K16" s="13" t="n">
        <v>736.3</v>
      </c>
      <c r="L16" s="13" t="s">
        <v>143</v>
      </c>
      <c r="M16" s="13" t="s">
        <v>144</v>
      </c>
      <c r="O16" s="13" t="s">
        <v>23</v>
      </c>
      <c r="P16" s="13" t="s">
        <v>24</v>
      </c>
      <c r="Q16" s="13" t="s">
        <v>143</v>
      </c>
      <c r="R16" s="13" t="str">
        <v>Mon,20-February-2023 ,12:06 AM</v>
      </c>
      <c r="S16" s="13" t="str">
        <v>Damaged Stock</v>
      </c>
    </row>
    <row r="17" customFormat="false" ht="15.75" hidden="false" customHeight="false" outlineLevel="0" collapsed="false">
      <c r="A17" s="13" t="s">
        <v>2154</v>
      </c>
      <c r="B17" s="13" t="s">
        <v>181</v>
      </c>
      <c r="C17" s="13" t="s">
        <v>2156</v>
      </c>
      <c r="D17" s="13" t="s">
        <v>95</v>
      </c>
      <c r="E17" s="13" t="s">
        <v>96</v>
      </c>
      <c r="F17" s="11" t="n">
        <v>44978</v>
      </c>
      <c r="G17" s="12" t="n">
        <v>0.0421326157410372</v>
      </c>
      <c r="H17" s="13" t="s">
        <v>37</v>
      </c>
      <c r="I17" s="13" t="n">
        <v>1</v>
      </c>
      <c r="J17" s="13" t="n">
        <v>89.88</v>
      </c>
      <c r="K17" s="13" t="n">
        <v>89.88</v>
      </c>
      <c r="L17" s="13" t="s">
        <v>183</v>
      </c>
      <c r="M17" s="13" t="s">
        <v>184</v>
      </c>
      <c r="O17" s="13" t="s">
        <v>23</v>
      </c>
      <c r="P17" s="13" t="s">
        <v>24</v>
      </c>
      <c r="Q17" s="13" t="s">
        <v>183</v>
      </c>
      <c r="R17" s="13" t="str">
        <v>Tue,21-February-2023 ,01:00 AM</v>
      </c>
      <c r="S17" s="13" t="str">
        <v>Damaged Stock</v>
      </c>
    </row>
    <row r="18" customFormat="false" ht="15.75" hidden="false" customHeight="false" outlineLevel="0" collapsed="false">
      <c r="A18" s="13" t="s">
        <v>2154</v>
      </c>
      <c r="B18" s="13" t="s">
        <v>181</v>
      </c>
      <c r="C18" s="13" t="s">
        <v>2156</v>
      </c>
      <c r="D18" s="13" t="s">
        <v>95</v>
      </c>
      <c r="E18" s="13" t="s">
        <v>96</v>
      </c>
      <c r="F18" s="11" t="n">
        <v>44978</v>
      </c>
      <c r="G18" s="12" t="n">
        <v>0.0421263657419696</v>
      </c>
      <c r="H18" s="13" t="s">
        <v>37</v>
      </c>
      <c r="I18" s="13" t="n">
        <v>1</v>
      </c>
      <c r="J18" s="13" t="n">
        <v>89.88</v>
      </c>
      <c r="K18" s="13" t="n">
        <v>89.88</v>
      </c>
      <c r="L18" s="13" t="s">
        <v>183</v>
      </c>
      <c r="M18" s="13" t="s">
        <v>184</v>
      </c>
      <c r="O18" s="13" t="s">
        <v>23</v>
      </c>
      <c r="P18" s="13" t="s">
        <v>24</v>
      </c>
      <c r="Q18" s="13" t="s">
        <v>183</v>
      </c>
      <c r="R18" s="13" t="str">
        <v>Tue,21-February-2023 ,01:00 AM</v>
      </c>
      <c r="S18" s="13" t="str">
        <v>Damaged Stock</v>
      </c>
    </row>
    <row r="19" customFormat="false" ht="15.75" hidden="false" customHeight="false" outlineLevel="0" collapsed="false">
      <c r="A19" s="13" t="s">
        <v>2154</v>
      </c>
      <c r="B19" s="13" t="s">
        <v>75</v>
      </c>
      <c r="C19" s="13" t="s">
        <v>76</v>
      </c>
      <c r="D19" s="13" t="s">
        <v>65</v>
      </c>
      <c r="E19" s="13" t="s">
        <v>66</v>
      </c>
      <c r="F19" s="11" t="n">
        <v>44979</v>
      </c>
      <c r="G19" s="12" t="n">
        <v>0.0338493749985071</v>
      </c>
      <c r="H19" s="13" t="s">
        <v>37</v>
      </c>
      <c r="I19" s="13" t="n">
        <v>1</v>
      </c>
      <c r="J19" s="13" t="n">
        <v>52.5</v>
      </c>
      <c r="K19" s="13" t="n">
        <v>52.5</v>
      </c>
      <c r="L19" s="13" t="s">
        <v>194</v>
      </c>
      <c r="M19" s="13" t="s">
        <v>195</v>
      </c>
      <c r="O19" s="13" t="s">
        <v>23</v>
      </c>
      <c r="P19" s="13" t="s">
        <v>24</v>
      </c>
      <c r="Q19" s="13" t="s">
        <v>194</v>
      </c>
      <c r="R19" s="13" t="str">
        <v>Wed,22-February-2023 ,12:48 AM</v>
      </c>
      <c r="S19" s="13" t="str">
        <v>Damaged Stock</v>
      </c>
    </row>
    <row r="20" customFormat="false" ht="15.75" hidden="false" customHeight="false" outlineLevel="0" collapsed="false">
      <c r="A20" s="13" t="s">
        <v>2154</v>
      </c>
      <c r="B20" s="13" t="s">
        <v>181</v>
      </c>
      <c r="C20" s="13" t="s">
        <v>2156</v>
      </c>
      <c r="D20" s="13" t="s">
        <v>95</v>
      </c>
      <c r="E20" s="13" t="s">
        <v>96</v>
      </c>
      <c r="F20" s="11" t="n">
        <v>44979</v>
      </c>
      <c r="G20" s="12" t="n">
        <v>0.0301857754614323</v>
      </c>
      <c r="H20" s="13" t="s">
        <v>37</v>
      </c>
      <c r="I20" s="13" t="n">
        <v>1</v>
      </c>
      <c r="J20" s="13" t="n">
        <v>89.88</v>
      </c>
      <c r="K20" s="13" t="n">
        <v>89.88</v>
      </c>
      <c r="L20" s="13" t="s">
        <v>196</v>
      </c>
      <c r="M20" s="13" t="s">
        <v>197</v>
      </c>
      <c r="O20" s="13" t="s">
        <v>23</v>
      </c>
      <c r="P20" s="13" t="s">
        <v>24</v>
      </c>
      <c r="Q20" s="13" t="s">
        <v>196</v>
      </c>
      <c r="R20" s="13" t="str">
        <v>Wed,22-February-2023 ,12:43 AM</v>
      </c>
      <c r="S20" s="13" t="str">
        <v>Damaged Stock</v>
      </c>
    </row>
    <row r="21" customFormat="false" ht="15.75" hidden="false" customHeight="false" outlineLevel="0" collapsed="false">
      <c r="A21" s="13" t="s">
        <v>2154</v>
      </c>
      <c r="B21" s="13" t="s">
        <v>99</v>
      </c>
      <c r="C21" s="13" t="s">
        <v>1635</v>
      </c>
      <c r="D21" s="13" t="s">
        <v>101</v>
      </c>
      <c r="E21" s="13" t="s">
        <v>96</v>
      </c>
      <c r="F21" s="11" t="n">
        <v>44979</v>
      </c>
      <c r="G21" s="12" t="n">
        <v>0.0283704629623</v>
      </c>
      <c r="H21" s="13" t="s">
        <v>37</v>
      </c>
      <c r="I21" s="13" t="n">
        <v>1</v>
      </c>
      <c r="J21" s="13" t="n">
        <v>54.17</v>
      </c>
      <c r="K21" s="13" t="n">
        <v>54.17</v>
      </c>
      <c r="L21" s="13" t="s">
        <v>198</v>
      </c>
      <c r="M21" s="13" t="s">
        <v>199</v>
      </c>
      <c r="O21" s="13" t="s">
        <v>23</v>
      </c>
      <c r="P21" s="13" t="s">
        <v>24</v>
      </c>
      <c r="Q21" s="13" t="s">
        <v>198</v>
      </c>
      <c r="R21" s="13" t="str">
        <v>Wed,22-February-2023 ,12:40 AM</v>
      </c>
      <c r="S21" s="13" t="str">
        <v>Damaged Stock</v>
      </c>
    </row>
    <row r="22" customFormat="false" ht="15.75" hidden="false" customHeight="false" outlineLevel="0" collapsed="false">
      <c r="A22" s="13" t="s">
        <v>2154</v>
      </c>
      <c r="B22" s="13" t="s">
        <v>200</v>
      </c>
      <c r="C22" s="13" t="s">
        <v>201</v>
      </c>
      <c r="D22" s="13" t="s">
        <v>202</v>
      </c>
      <c r="E22" s="13" t="s">
        <v>122</v>
      </c>
      <c r="F22" s="11" t="n">
        <v>44980</v>
      </c>
      <c r="G22" s="12" t="n">
        <v>0.0183812152777832</v>
      </c>
      <c r="H22" s="13" t="s">
        <v>37</v>
      </c>
      <c r="I22" s="13" t="n">
        <v>1</v>
      </c>
      <c r="J22" s="13" t="n">
        <v>212.44</v>
      </c>
      <c r="K22" s="13" t="n">
        <v>212.44</v>
      </c>
      <c r="L22" s="13" t="s">
        <v>203</v>
      </c>
      <c r="M22" s="13" t="s">
        <v>204</v>
      </c>
      <c r="O22" s="13" t="s">
        <v>23</v>
      </c>
      <c r="P22" s="13" t="s">
        <v>24</v>
      </c>
      <c r="Q22" s="13" t="s">
        <v>203</v>
      </c>
      <c r="R22" s="13" t="str">
        <v>Thu,23-February-2023 ,12:26 AM</v>
      </c>
      <c r="S22" s="13" t="str">
        <v>Damaged Stock</v>
      </c>
    </row>
    <row r="23" customFormat="false" ht="15.75" hidden="false" customHeight="false" outlineLevel="0" collapsed="false">
      <c r="A23" s="13" t="s">
        <v>2154</v>
      </c>
      <c r="B23" s="13" t="s">
        <v>210</v>
      </c>
      <c r="C23" s="13" t="s">
        <v>2157</v>
      </c>
      <c r="D23" s="13" t="s">
        <v>212</v>
      </c>
      <c r="E23" s="13" t="s">
        <v>96</v>
      </c>
      <c r="F23" s="11" t="n">
        <v>44981</v>
      </c>
      <c r="G23" s="12" t="n">
        <v>0.899383333334206</v>
      </c>
      <c r="H23" s="13" t="s">
        <v>37</v>
      </c>
      <c r="I23" s="13" t="n">
        <v>2</v>
      </c>
      <c r="J23" s="13" t="n">
        <v>107.03</v>
      </c>
      <c r="K23" s="13" t="n">
        <v>214.06</v>
      </c>
      <c r="L23" s="13" t="s">
        <v>213</v>
      </c>
      <c r="M23" s="13" t="s">
        <v>214</v>
      </c>
      <c r="O23" s="13" t="s">
        <v>23</v>
      </c>
      <c r="P23" s="13" t="s">
        <v>24</v>
      </c>
      <c r="Q23" s="13" t="s">
        <v>213</v>
      </c>
      <c r="R23" s="13" t="str">
        <v>Fri,24-February-2023 ,09:35 PM</v>
      </c>
      <c r="S23" s="13" t="str">
        <v>Damaged Stock</v>
      </c>
    </row>
    <row r="24" customFormat="false" ht="15.75" hidden="false" customHeight="false" outlineLevel="0" collapsed="false">
      <c r="A24" s="13" t="s">
        <v>2154</v>
      </c>
      <c r="B24" s="13" t="s">
        <v>228</v>
      </c>
      <c r="C24" s="13" t="s">
        <v>229</v>
      </c>
      <c r="D24" s="13" t="s">
        <v>230</v>
      </c>
      <c r="E24" s="13" t="s">
        <v>231</v>
      </c>
      <c r="F24" s="11" t="n">
        <v>44984</v>
      </c>
      <c r="G24" s="12" t="n">
        <v>0.038622372685169</v>
      </c>
      <c r="H24" s="13" t="s">
        <v>37</v>
      </c>
      <c r="I24" s="13" t="n">
        <v>1</v>
      </c>
      <c r="J24" s="13" t="n">
        <v>467.21</v>
      </c>
      <c r="K24" s="13" t="n">
        <v>467.21</v>
      </c>
      <c r="L24" s="13" t="s">
        <v>232</v>
      </c>
      <c r="M24" s="13" t="s">
        <v>233</v>
      </c>
      <c r="O24" s="13" t="s">
        <v>23</v>
      </c>
      <c r="P24" s="13" t="s">
        <v>24</v>
      </c>
      <c r="Q24" s="13" t="s">
        <v>232</v>
      </c>
      <c r="R24" s="13" t="str">
        <v>Mon,27-February-2023 ,12:55 AM</v>
      </c>
      <c r="S24" s="13" t="str">
        <v>Damaged Stock</v>
      </c>
    </row>
    <row r="25" customFormat="false" ht="15.75" hidden="false" customHeight="false" outlineLevel="0" collapsed="false">
      <c r="A25" s="13" t="s">
        <v>2154</v>
      </c>
      <c r="B25" s="13" t="s">
        <v>238</v>
      </c>
      <c r="C25" s="13" t="s">
        <v>2158</v>
      </c>
      <c r="D25" s="13" t="s">
        <v>95</v>
      </c>
      <c r="E25" s="13" t="s">
        <v>96</v>
      </c>
      <c r="F25" s="11" t="n">
        <v>44986</v>
      </c>
      <c r="G25" s="12" t="n">
        <v>0.987827465276409</v>
      </c>
      <c r="H25" s="13" t="s">
        <v>37</v>
      </c>
      <c r="I25" s="13" t="n">
        <v>1</v>
      </c>
      <c r="J25" s="13" t="n">
        <v>55.13</v>
      </c>
      <c r="K25" s="13" t="n">
        <v>55.13</v>
      </c>
      <c r="L25" s="13" t="s">
        <v>240</v>
      </c>
      <c r="M25" s="13" t="s">
        <v>241</v>
      </c>
      <c r="O25" s="13" t="s">
        <v>23</v>
      </c>
      <c r="P25" s="13" t="s">
        <v>24</v>
      </c>
      <c r="Q25" s="13" t="s">
        <v>240</v>
      </c>
      <c r="R25" s="13" t="str">
        <v>Wed,01-March-2023 ,11:42 PM</v>
      </c>
      <c r="S25" s="13" t="str">
        <v>Damaged Stock</v>
      </c>
    </row>
    <row r="26" customFormat="false" ht="15.75" hidden="false" customHeight="false" outlineLevel="0" collapsed="false">
      <c r="A26" s="13" t="s">
        <v>2154</v>
      </c>
      <c r="B26" s="13" t="s">
        <v>242</v>
      </c>
      <c r="C26" s="13" t="s">
        <v>243</v>
      </c>
      <c r="D26" s="13" t="s">
        <v>101</v>
      </c>
      <c r="E26" s="13" t="s">
        <v>96</v>
      </c>
      <c r="F26" s="11" t="n">
        <v>44986</v>
      </c>
      <c r="G26" s="12" t="n">
        <v>0.873166631943539</v>
      </c>
      <c r="H26" s="13" t="s">
        <v>37</v>
      </c>
      <c r="I26" s="13" t="n">
        <v>1</v>
      </c>
      <c r="J26" s="13" t="n">
        <v>272</v>
      </c>
      <c r="K26" s="13" t="n">
        <v>272</v>
      </c>
      <c r="L26" s="13" t="s">
        <v>244</v>
      </c>
      <c r="M26" s="13" t="s">
        <v>245</v>
      </c>
      <c r="O26" s="13" t="s">
        <v>110</v>
      </c>
      <c r="P26" s="13" t="s">
        <v>111</v>
      </c>
      <c r="Q26" s="13" t="s">
        <v>244</v>
      </c>
      <c r="R26" s="13" t="str">
        <v>Wed,01-March-2023 ,08:57 PM</v>
      </c>
      <c r="S26" s="13" t="str">
        <v>Damaged Stock</v>
      </c>
    </row>
    <row r="27" customFormat="false" ht="15.75" hidden="false" customHeight="false" outlineLevel="0" collapsed="false">
      <c r="A27" s="13" t="s">
        <v>2154</v>
      </c>
      <c r="B27" s="13" t="s">
        <v>130</v>
      </c>
      <c r="C27" s="13" t="s">
        <v>2155</v>
      </c>
      <c r="D27" s="13" t="s">
        <v>132</v>
      </c>
      <c r="E27" s="13" t="s">
        <v>96</v>
      </c>
      <c r="F27" s="11" t="n">
        <v>44986</v>
      </c>
      <c r="G27" s="12" t="n">
        <v>0.871482361110798</v>
      </c>
      <c r="H27" s="13" t="s">
        <v>37</v>
      </c>
      <c r="I27" s="13" t="n">
        <v>1</v>
      </c>
      <c r="J27" s="13" t="n">
        <v>270</v>
      </c>
      <c r="K27" s="13" t="n">
        <v>270</v>
      </c>
      <c r="L27" s="13" t="s">
        <v>246</v>
      </c>
      <c r="M27" s="13" t="s">
        <v>247</v>
      </c>
      <c r="O27" s="13" t="s">
        <v>110</v>
      </c>
      <c r="P27" s="13" t="s">
        <v>111</v>
      </c>
      <c r="Q27" s="13" t="s">
        <v>246</v>
      </c>
      <c r="R27" s="13" t="str">
        <v>Wed,01-March-2023 ,08:54 PM</v>
      </c>
      <c r="S27" s="13" t="str">
        <v>Damaged Stock</v>
      </c>
    </row>
    <row r="28" customFormat="false" ht="15.75" hidden="false" customHeight="false" outlineLevel="0" collapsed="false">
      <c r="A28" s="13" t="s">
        <v>2154</v>
      </c>
      <c r="B28" s="13" t="s">
        <v>253</v>
      </c>
      <c r="C28" s="13" t="s">
        <v>254</v>
      </c>
      <c r="D28" s="13" t="s">
        <v>255</v>
      </c>
      <c r="E28" s="13" t="s">
        <v>71</v>
      </c>
      <c r="F28" s="11" t="n">
        <v>44987</v>
      </c>
      <c r="G28" s="12" t="n">
        <v>0.642073888888754</v>
      </c>
      <c r="H28" s="13" t="s">
        <v>37</v>
      </c>
      <c r="I28" s="13" t="n">
        <v>1</v>
      </c>
      <c r="J28" s="13" t="n">
        <v>286.25</v>
      </c>
      <c r="K28" s="13" t="n">
        <v>286.25</v>
      </c>
      <c r="L28" s="13" t="s">
        <v>256</v>
      </c>
      <c r="M28" s="13" t="s">
        <v>257</v>
      </c>
      <c r="O28" s="13" t="s">
        <v>110</v>
      </c>
      <c r="P28" s="13" t="s">
        <v>111</v>
      </c>
      <c r="Q28" s="13" t="s">
        <v>256</v>
      </c>
      <c r="R28" s="13" t="str">
        <v>Thu,02-March-2023 ,03:24 PM</v>
      </c>
      <c r="S28" s="13" t="str">
        <v>Damaged Stock</v>
      </c>
    </row>
    <row r="29" customFormat="false" ht="15.75" hidden="false" customHeight="false" outlineLevel="0" collapsed="false">
      <c r="A29" s="13" t="s">
        <v>2154</v>
      </c>
      <c r="B29" s="13" t="s">
        <v>258</v>
      </c>
      <c r="C29" s="13" t="s">
        <v>259</v>
      </c>
      <c r="D29" s="13" t="s">
        <v>35</v>
      </c>
      <c r="E29" s="13" t="s">
        <v>36</v>
      </c>
      <c r="F29" s="11" t="n">
        <v>44988</v>
      </c>
      <c r="G29" s="12" t="n">
        <v>0.899165266204103</v>
      </c>
      <c r="H29" s="13" t="s">
        <v>37</v>
      </c>
      <c r="I29" s="13" t="n">
        <v>3</v>
      </c>
      <c r="J29" s="13" t="n">
        <v>380</v>
      </c>
      <c r="K29" s="13" t="n">
        <v>1140</v>
      </c>
      <c r="L29" s="13" t="s">
        <v>260</v>
      </c>
      <c r="M29" s="13" t="s">
        <v>261</v>
      </c>
      <c r="O29" s="13" t="s">
        <v>23</v>
      </c>
      <c r="P29" s="13" t="s">
        <v>24</v>
      </c>
      <c r="Q29" s="13" t="s">
        <v>260</v>
      </c>
      <c r="R29" s="13" t="str">
        <v>Fri,03-March-2023 ,09:34 PM</v>
      </c>
      <c r="S29" s="13" t="str">
        <v>Damaged Stock</v>
      </c>
    </row>
    <row r="30" customFormat="false" ht="15.75" hidden="false" customHeight="false" outlineLevel="0" collapsed="false">
      <c r="A30" s="13" t="s">
        <v>2154</v>
      </c>
      <c r="B30" s="13" t="s">
        <v>262</v>
      </c>
      <c r="C30" s="13" t="s">
        <v>263</v>
      </c>
      <c r="D30" s="13" t="s">
        <v>80</v>
      </c>
      <c r="E30" s="13" t="s">
        <v>28</v>
      </c>
      <c r="F30" s="11" t="n">
        <v>44988</v>
      </c>
      <c r="G30" s="12" t="n">
        <v>0.839948298612281</v>
      </c>
      <c r="H30" s="13" t="s">
        <v>37</v>
      </c>
      <c r="I30" s="13" t="n">
        <v>7</v>
      </c>
      <c r="J30" s="13" t="n">
        <v>150</v>
      </c>
      <c r="K30" s="13" t="n">
        <v>1050</v>
      </c>
      <c r="L30" s="13" t="s">
        <v>264</v>
      </c>
      <c r="M30" s="13" t="s">
        <v>265</v>
      </c>
      <c r="O30" s="13" t="s">
        <v>23</v>
      </c>
      <c r="P30" s="13" t="s">
        <v>24</v>
      </c>
      <c r="Q30" s="13" t="s">
        <v>264</v>
      </c>
      <c r="R30" s="13" t="str">
        <v>Fri,03-March-2023 ,08:09 PM</v>
      </c>
      <c r="S30" s="13" t="str">
        <v>Damaged Stock</v>
      </c>
    </row>
    <row r="31" customFormat="false" ht="15.75" hidden="false" customHeight="false" outlineLevel="0" collapsed="false">
      <c r="A31" s="13" t="s">
        <v>2154</v>
      </c>
      <c r="B31" s="13" t="s">
        <v>266</v>
      </c>
      <c r="C31" s="13" t="s">
        <v>267</v>
      </c>
      <c r="D31" s="13" t="s">
        <v>268</v>
      </c>
      <c r="E31" s="13" t="s">
        <v>269</v>
      </c>
      <c r="F31" s="11" t="n">
        <v>44988</v>
      </c>
      <c r="G31" s="12" t="n">
        <v>0.73961156250056</v>
      </c>
      <c r="H31" s="13" t="s">
        <v>37</v>
      </c>
      <c r="I31" s="13" t="n">
        <v>1</v>
      </c>
      <c r="J31" s="13" t="n">
        <v>182.15</v>
      </c>
      <c r="K31" s="13" t="n">
        <v>182.15</v>
      </c>
      <c r="L31" s="13" t="s">
        <v>270</v>
      </c>
      <c r="M31" s="13" t="s">
        <v>271</v>
      </c>
      <c r="O31" s="13" t="s">
        <v>23</v>
      </c>
      <c r="P31" s="13" t="s">
        <v>24</v>
      </c>
      <c r="Q31" s="13" t="s">
        <v>270</v>
      </c>
      <c r="R31" s="13" t="str">
        <v>Fri,03-March-2023 ,05:45 PM</v>
      </c>
      <c r="S31" s="13" t="str">
        <v>Damaged Stock</v>
      </c>
    </row>
    <row r="32" customFormat="false" ht="15.75" hidden="false" customHeight="false" outlineLevel="0" collapsed="false">
      <c r="A32" s="13" t="s">
        <v>2154</v>
      </c>
      <c r="B32" s="13" t="s">
        <v>78</v>
      </c>
      <c r="C32" s="13" t="s">
        <v>79</v>
      </c>
      <c r="D32" s="13" t="s">
        <v>80</v>
      </c>
      <c r="E32" s="13" t="s">
        <v>28</v>
      </c>
      <c r="F32" s="11" t="n">
        <v>44988</v>
      </c>
      <c r="G32" s="12" t="n">
        <v>0.738087951388835</v>
      </c>
      <c r="H32" s="13" t="s">
        <v>37</v>
      </c>
      <c r="I32" s="13" t="n">
        <v>7</v>
      </c>
      <c r="J32" s="13" t="n">
        <v>150</v>
      </c>
      <c r="K32" s="13" t="n">
        <v>1050</v>
      </c>
      <c r="L32" s="13" t="s">
        <v>272</v>
      </c>
      <c r="M32" s="13" t="s">
        <v>273</v>
      </c>
      <c r="O32" s="13" t="s">
        <v>23</v>
      </c>
      <c r="P32" s="13" t="s">
        <v>24</v>
      </c>
      <c r="Q32" s="13" t="s">
        <v>272</v>
      </c>
      <c r="R32" s="13" t="str">
        <v>Fri,03-March-2023 ,05:42 PM</v>
      </c>
      <c r="S32" s="13" t="str">
        <v>Damaged Stock</v>
      </c>
    </row>
    <row r="33" customFormat="false" ht="15.75" hidden="false" customHeight="false" outlineLevel="0" collapsed="false">
      <c r="A33" s="13" t="s">
        <v>2154</v>
      </c>
      <c r="B33" s="13" t="s">
        <v>78</v>
      </c>
      <c r="C33" s="13" t="s">
        <v>79</v>
      </c>
      <c r="D33" s="13" t="s">
        <v>80</v>
      </c>
      <c r="E33" s="13" t="s">
        <v>28</v>
      </c>
      <c r="F33" s="11" t="n">
        <v>44989</v>
      </c>
      <c r="G33" s="12" t="n">
        <v>0.347041238426697</v>
      </c>
      <c r="H33" s="13" t="s">
        <v>37</v>
      </c>
      <c r="I33" s="13" t="n">
        <v>1</v>
      </c>
      <c r="J33" s="13" t="n">
        <v>150</v>
      </c>
      <c r="K33" s="13" t="n">
        <v>150</v>
      </c>
      <c r="L33" s="13" t="s">
        <v>274</v>
      </c>
      <c r="M33" s="13" t="s">
        <v>275</v>
      </c>
      <c r="O33" s="13" t="s">
        <v>61</v>
      </c>
      <c r="P33" s="13" t="s">
        <v>62</v>
      </c>
      <c r="Q33" s="13" t="s">
        <v>274</v>
      </c>
      <c r="R33" s="13" t="str">
        <v>Sat,04-March-2023 ,08:19 AM</v>
      </c>
      <c r="S33" s="13" t="str">
        <v>Damaged Stock</v>
      </c>
    </row>
    <row r="34" customFormat="false" ht="15.75" hidden="false" customHeight="false" outlineLevel="0" collapsed="false">
      <c r="A34" s="13" t="s">
        <v>2154</v>
      </c>
      <c r="B34" s="13" t="s">
        <v>276</v>
      </c>
      <c r="C34" s="13" t="s">
        <v>277</v>
      </c>
      <c r="D34" s="13" t="s">
        <v>95</v>
      </c>
      <c r="E34" s="13" t="s">
        <v>96</v>
      </c>
      <c r="F34" s="11" t="n">
        <v>44990</v>
      </c>
      <c r="G34" s="12" t="n">
        <v>0.143829837963917</v>
      </c>
      <c r="H34" s="13" t="s">
        <v>37</v>
      </c>
      <c r="I34" s="13" t="n">
        <v>1</v>
      </c>
      <c r="J34" s="13" t="n">
        <v>177.84</v>
      </c>
      <c r="K34" s="13" t="n">
        <v>177.84</v>
      </c>
      <c r="L34" s="13" t="s">
        <v>278</v>
      </c>
      <c r="M34" s="13" t="s">
        <v>279</v>
      </c>
      <c r="O34" s="13" t="s">
        <v>23</v>
      </c>
      <c r="P34" s="13" t="s">
        <v>24</v>
      </c>
      <c r="Q34" s="13" t="s">
        <v>278</v>
      </c>
      <c r="R34" s="13" t="str">
        <v>Sun,05-March-2023 ,03:27 AM</v>
      </c>
      <c r="S34" s="13" t="str">
        <v>Damaged Stock</v>
      </c>
    </row>
    <row r="35" customFormat="false" ht="15.75" hidden="false" customHeight="false" outlineLevel="0" collapsed="false">
      <c r="A35" s="13" t="s">
        <v>2154</v>
      </c>
      <c r="B35" s="13" t="s">
        <v>130</v>
      </c>
      <c r="C35" s="13" t="s">
        <v>2155</v>
      </c>
      <c r="D35" s="13" t="s">
        <v>132</v>
      </c>
      <c r="E35" s="13" t="s">
        <v>96</v>
      </c>
      <c r="F35" s="11" t="n">
        <v>44990</v>
      </c>
      <c r="G35" s="12" t="n">
        <v>0.142303657406815</v>
      </c>
      <c r="H35" s="13" t="s">
        <v>37</v>
      </c>
      <c r="I35" s="13" t="n">
        <v>1</v>
      </c>
      <c r="J35" s="13" t="n">
        <v>270</v>
      </c>
      <c r="K35" s="13" t="n">
        <v>270</v>
      </c>
      <c r="L35" s="13" t="s">
        <v>280</v>
      </c>
      <c r="M35" s="13" t="s">
        <v>281</v>
      </c>
      <c r="O35" s="13" t="s">
        <v>23</v>
      </c>
      <c r="P35" s="13" t="s">
        <v>24</v>
      </c>
      <c r="Q35" s="13" t="s">
        <v>280</v>
      </c>
      <c r="R35" s="13" t="str">
        <v>Sun,05-March-2023 ,03:24 AM</v>
      </c>
      <c r="S35" s="13" t="str">
        <v>Damaged Stock</v>
      </c>
    </row>
    <row r="36" customFormat="false" ht="15.75" hidden="false" customHeight="false" outlineLevel="0" collapsed="false">
      <c r="A36" s="13" t="s">
        <v>2154</v>
      </c>
      <c r="B36" s="13" t="s">
        <v>242</v>
      </c>
      <c r="C36" s="13" t="s">
        <v>243</v>
      </c>
      <c r="D36" s="13" t="s">
        <v>101</v>
      </c>
      <c r="E36" s="13" t="s">
        <v>96</v>
      </c>
      <c r="F36" s="11" t="n">
        <v>44990</v>
      </c>
      <c r="G36" s="12" t="n">
        <v>0.141077222222238</v>
      </c>
      <c r="H36" s="13" t="s">
        <v>37</v>
      </c>
      <c r="I36" s="13" t="n">
        <v>1</v>
      </c>
      <c r="J36" s="13" t="n">
        <v>272</v>
      </c>
      <c r="K36" s="13" t="n">
        <v>272</v>
      </c>
      <c r="L36" s="13" t="s">
        <v>282</v>
      </c>
      <c r="M36" s="13" t="s">
        <v>283</v>
      </c>
      <c r="O36" s="13" t="s">
        <v>23</v>
      </c>
      <c r="P36" s="13" t="s">
        <v>24</v>
      </c>
      <c r="Q36" s="13" t="s">
        <v>282</v>
      </c>
      <c r="R36" s="13" t="str">
        <v>Sun,05-March-2023 ,03:23 AM</v>
      </c>
      <c r="S36" s="13" t="str">
        <v>Damaged Stock</v>
      </c>
    </row>
    <row r="37" customFormat="false" ht="15.75" hidden="false" customHeight="false" outlineLevel="0" collapsed="false">
      <c r="A37" s="13" t="s">
        <v>2154</v>
      </c>
      <c r="B37" s="13" t="s">
        <v>99</v>
      </c>
      <c r="C37" s="13" t="s">
        <v>1635</v>
      </c>
      <c r="D37" s="13" t="s">
        <v>101</v>
      </c>
      <c r="E37" s="13" t="s">
        <v>96</v>
      </c>
      <c r="F37" s="11" t="n">
        <v>44990</v>
      </c>
      <c r="G37" s="12" t="n">
        <v>0.139776388888765</v>
      </c>
      <c r="H37" s="13" t="s">
        <v>37</v>
      </c>
      <c r="I37" s="13" t="n">
        <v>1</v>
      </c>
      <c r="J37" s="13" t="n">
        <v>54.75</v>
      </c>
      <c r="K37" s="13" t="n">
        <v>54.75</v>
      </c>
      <c r="L37" s="13" t="s">
        <v>284</v>
      </c>
      <c r="M37" s="13" t="s">
        <v>285</v>
      </c>
      <c r="O37" s="13" t="s">
        <v>23</v>
      </c>
      <c r="P37" s="13" t="s">
        <v>24</v>
      </c>
      <c r="Q37" s="13" t="s">
        <v>284</v>
      </c>
      <c r="R37" s="13" t="str">
        <v>Sun,05-March-2023 ,03:21 AM</v>
      </c>
      <c r="S37" s="13" t="str">
        <v>Damaged Stock</v>
      </c>
    </row>
    <row r="38" customFormat="false" ht="15.75" hidden="false" customHeight="false" outlineLevel="0" collapsed="false">
      <c r="A38" s="13" t="s">
        <v>2154</v>
      </c>
      <c r="B38" s="13" t="s">
        <v>286</v>
      </c>
      <c r="C38" s="13" t="s">
        <v>287</v>
      </c>
      <c r="D38" s="13" t="s">
        <v>19</v>
      </c>
      <c r="E38" s="13" t="s">
        <v>20</v>
      </c>
      <c r="F38" s="11" t="n">
        <v>44992</v>
      </c>
      <c r="G38" s="12" t="n">
        <v>0.88439553240793</v>
      </c>
      <c r="H38" s="13" t="s">
        <v>37</v>
      </c>
      <c r="I38" s="13" t="n">
        <v>1</v>
      </c>
      <c r="J38" s="13" t="n">
        <v>2379</v>
      </c>
      <c r="K38" s="13" t="n">
        <v>2379</v>
      </c>
      <c r="L38" s="13" t="s">
        <v>288</v>
      </c>
      <c r="M38" s="13" t="s">
        <v>289</v>
      </c>
      <c r="O38" s="13" t="s">
        <v>61</v>
      </c>
      <c r="P38" s="13" t="s">
        <v>62</v>
      </c>
      <c r="Q38" s="13" t="s">
        <v>288</v>
      </c>
      <c r="R38" s="13" t="str">
        <v>Tue,07-March-2023 ,09:13 PM</v>
      </c>
      <c r="S38" s="13" t="str">
        <v>Damaged Stock</v>
      </c>
    </row>
    <row r="39" customFormat="false" ht="15.75" hidden="false" customHeight="false" outlineLevel="0" collapsed="false">
      <c r="A39" s="13" t="s">
        <v>2154</v>
      </c>
      <c r="B39" s="13" t="s">
        <v>290</v>
      </c>
      <c r="C39" s="13" t="s">
        <v>291</v>
      </c>
      <c r="D39" s="13" t="s">
        <v>230</v>
      </c>
      <c r="E39" s="13" t="s">
        <v>231</v>
      </c>
      <c r="F39" s="11" t="n">
        <v>44992</v>
      </c>
      <c r="G39" s="12" t="n">
        <v>0.0669292708336783</v>
      </c>
      <c r="H39" s="13" t="s">
        <v>37</v>
      </c>
      <c r="I39" s="13" t="n">
        <v>1</v>
      </c>
      <c r="J39" s="13" t="n">
        <v>188.49</v>
      </c>
      <c r="K39" s="13" t="n">
        <v>188.49</v>
      </c>
      <c r="L39" s="13" t="s">
        <v>292</v>
      </c>
      <c r="M39" s="13" t="s">
        <v>293</v>
      </c>
      <c r="O39" s="13" t="s">
        <v>23</v>
      </c>
      <c r="P39" s="13" t="s">
        <v>24</v>
      </c>
      <c r="Q39" s="13" t="s">
        <v>292</v>
      </c>
      <c r="R39" s="13" t="str">
        <v>Tue,07-March-2023 ,01:36 AM</v>
      </c>
      <c r="S39" s="13" t="str">
        <v>Damaged Stock</v>
      </c>
    </row>
    <row r="40" customFormat="false" ht="15.75" hidden="false" customHeight="false" outlineLevel="0" collapsed="false">
      <c r="A40" s="13" t="s">
        <v>2154</v>
      </c>
      <c r="B40" s="13" t="s">
        <v>294</v>
      </c>
      <c r="C40" s="13" t="s">
        <v>295</v>
      </c>
      <c r="D40" s="13" t="s">
        <v>212</v>
      </c>
      <c r="E40" s="13" t="s">
        <v>96</v>
      </c>
      <c r="F40" s="11" t="n">
        <v>44992</v>
      </c>
      <c r="G40" s="12" t="n">
        <v>0.0571433101839671</v>
      </c>
      <c r="H40" s="13" t="s">
        <v>37</v>
      </c>
      <c r="I40" s="13" t="n">
        <v>1</v>
      </c>
      <c r="J40" s="13" t="n">
        <v>238.42</v>
      </c>
      <c r="K40" s="13" t="n">
        <v>238.42</v>
      </c>
      <c r="L40" s="13" t="s">
        <v>296</v>
      </c>
      <c r="M40" s="13" t="s">
        <v>297</v>
      </c>
      <c r="O40" s="13" t="s">
        <v>23</v>
      </c>
      <c r="P40" s="13" t="s">
        <v>24</v>
      </c>
      <c r="Q40" s="13" t="s">
        <v>296</v>
      </c>
      <c r="R40" s="13" t="str">
        <v>Tue,07-March-2023 ,01:22 AM</v>
      </c>
      <c r="S40" s="13" t="str">
        <v>Damaged Stock</v>
      </c>
    </row>
    <row r="41" customFormat="false" ht="15.75" hidden="false" customHeight="false" outlineLevel="0" collapsed="false">
      <c r="A41" s="13" t="s">
        <v>2154</v>
      </c>
      <c r="B41" s="13" t="s">
        <v>306</v>
      </c>
      <c r="C41" s="13" t="s">
        <v>307</v>
      </c>
      <c r="D41" s="13" t="s">
        <v>308</v>
      </c>
      <c r="E41" s="13" t="s">
        <v>96</v>
      </c>
      <c r="F41" s="11" t="n">
        <v>44995</v>
      </c>
      <c r="G41" s="12" t="n">
        <v>0.915344826388188</v>
      </c>
      <c r="H41" s="13" t="s">
        <v>37</v>
      </c>
      <c r="I41" s="13" t="n">
        <v>1</v>
      </c>
      <c r="J41" s="13" t="n">
        <v>54.96</v>
      </c>
      <c r="K41" s="13" t="n">
        <v>54.96</v>
      </c>
      <c r="L41" s="13" t="s">
        <v>309</v>
      </c>
      <c r="M41" s="13" t="s">
        <v>310</v>
      </c>
      <c r="O41" s="13" t="s">
        <v>23</v>
      </c>
      <c r="P41" s="13" t="s">
        <v>24</v>
      </c>
      <c r="Q41" s="13" t="s">
        <v>309</v>
      </c>
      <c r="R41" s="13" t="str">
        <v>Fri,10-March-2023 ,09:58 PM</v>
      </c>
      <c r="S41" s="13" t="str">
        <v>Damaged Stock</v>
      </c>
    </row>
    <row r="42" customFormat="false" ht="15.75" hidden="false" customHeight="false" outlineLevel="0" collapsed="false">
      <c r="A42" s="13" t="s">
        <v>2154</v>
      </c>
      <c r="B42" s="13" t="s">
        <v>238</v>
      </c>
      <c r="C42" s="13" t="s">
        <v>2158</v>
      </c>
      <c r="D42" s="13" t="s">
        <v>95</v>
      </c>
      <c r="E42" s="13" t="s">
        <v>96</v>
      </c>
      <c r="F42" s="11" t="n">
        <v>44995</v>
      </c>
      <c r="G42" s="12" t="n">
        <v>0.91371997685072</v>
      </c>
      <c r="H42" s="13" t="s">
        <v>37</v>
      </c>
      <c r="I42" s="13" t="n">
        <v>1</v>
      </c>
      <c r="J42" s="13" t="n">
        <v>55.13</v>
      </c>
      <c r="K42" s="13" t="n">
        <v>55.13</v>
      </c>
      <c r="L42" s="13" t="s">
        <v>311</v>
      </c>
      <c r="M42" s="13" t="s">
        <v>312</v>
      </c>
      <c r="O42" s="13" t="s">
        <v>23</v>
      </c>
      <c r="P42" s="13" t="s">
        <v>24</v>
      </c>
      <c r="Q42" s="13" t="s">
        <v>311</v>
      </c>
      <c r="R42" s="13" t="str">
        <v>Fri,10-March-2023 ,09:55 PM</v>
      </c>
      <c r="S42" s="13" t="str">
        <v>Damaged Stock</v>
      </c>
    </row>
    <row r="43" customFormat="false" ht="15.75" hidden="false" customHeight="false" outlineLevel="0" collapsed="false">
      <c r="A43" s="13" t="s">
        <v>2154</v>
      </c>
      <c r="B43" s="13" t="s">
        <v>99</v>
      </c>
      <c r="C43" s="13" t="s">
        <v>1635</v>
      </c>
      <c r="D43" s="13" t="s">
        <v>101</v>
      </c>
      <c r="E43" s="13" t="s">
        <v>96</v>
      </c>
      <c r="F43" s="11" t="n">
        <v>44995</v>
      </c>
      <c r="G43" s="12" t="n">
        <v>0.912699872686069</v>
      </c>
      <c r="H43" s="13" t="s">
        <v>37</v>
      </c>
      <c r="I43" s="13" t="n">
        <v>2</v>
      </c>
      <c r="J43" s="13" t="n">
        <v>54.75</v>
      </c>
      <c r="K43" s="13" t="n">
        <v>109.5</v>
      </c>
      <c r="L43" s="13" t="s">
        <v>313</v>
      </c>
      <c r="M43" s="13" t="s">
        <v>314</v>
      </c>
      <c r="O43" s="13" t="s">
        <v>23</v>
      </c>
      <c r="P43" s="13" t="s">
        <v>24</v>
      </c>
      <c r="Q43" s="13" t="s">
        <v>313</v>
      </c>
      <c r="R43" s="13" t="str">
        <v>Fri,10-March-2023 ,09:54 PM</v>
      </c>
      <c r="S43" s="13" t="str">
        <v>Damaged Stock</v>
      </c>
    </row>
    <row r="44" customFormat="false" ht="15.75" hidden="false" customHeight="false" outlineLevel="0" collapsed="false">
      <c r="A44" s="13" t="s">
        <v>2154</v>
      </c>
      <c r="B44" s="13" t="s">
        <v>315</v>
      </c>
      <c r="C44" s="13" t="s">
        <v>316</v>
      </c>
      <c r="D44" s="13" t="s">
        <v>132</v>
      </c>
      <c r="E44" s="13" t="s">
        <v>96</v>
      </c>
      <c r="F44" s="11" t="n">
        <v>44995</v>
      </c>
      <c r="G44" s="12" t="n">
        <v>0.909296770831856</v>
      </c>
      <c r="H44" s="13" t="s">
        <v>37</v>
      </c>
      <c r="I44" s="13" t="n">
        <v>1</v>
      </c>
      <c r="J44" s="13" t="n">
        <v>106.8</v>
      </c>
      <c r="K44" s="13" t="n">
        <v>106.8</v>
      </c>
      <c r="L44" s="13" t="s">
        <v>317</v>
      </c>
      <c r="M44" s="13" t="s">
        <v>318</v>
      </c>
      <c r="O44" s="13" t="s">
        <v>23</v>
      </c>
      <c r="P44" s="13" t="s">
        <v>24</v>
      </c>
      <c r="Q44" s="13" t="s">
        <v>317</v>
      </c>
      <c r="R44" s="13" t="str">
        <v>Fri,10-March-2023 ,09:49 PM</v>
      </c>
      <c r="S44" s="13" t="str">
        <v>Damaged Stock</v>
      </c>
    </row>
    <row r="45" customFormat="false" ht="15.75" hidden="false" customHeight="false" outlineLevel="0" collapsed="false">
      <c r="A45" s="13" t="s">
        <v>2154</v>
      </c>
      <c r="B45" s="13" t="s">
        <v>130</v>
      </c>
      <c r="C45" s="13" t="s">
        <v>2155</v>
      </c>
      <c r="D45" s="13" t="s">
        <v>132</v>
      </c>
      <c r="E45" s="13" t="s">
        <v>96</v>
      </c>
      <c r="F45" s="11" t="n">
        <v>44995</v>
      </c>
      <c r="G45" s="12" t="n">
        <v>0.907848912035695</v>
      </c>
      <c r="H45" s="13" t="s">
        <v>37</v>
      </c>
      <c r="I45" s="13" t="n">
        <v>1</v>
      </c>
      <c r="J45" s="13" t="n">
        <v>267.6</v>
      </c>
      <c r="K45" s="13" t="n">
        <v>267.6</v>
      </c>
      <c r="L45" s="13" t="s">
        <v>319</v>
      </c>
      <c r="M45" s="13" t="s">
        <v>320</v>
      </c>
      <c r="O45" s="13" t="s">
        <v>23</v>
      </c>
      <c r="P45" s="13" t="s">
        <v>24</v>
      </c>
      <c r="Q45" s="13" t="s">
        <v>319</v>
      </c>
      <c r="R45" s="13" t="str">
        <v>Fri,10-March-2023 ,09:47 PM</v>
      </c>
      <c r="S45" s="13" t="str">
        <v>Damaged Stock</v>
      </c>
    </row>
    <row r="46" customFormat="false" ht="15.75" hidden="false" customHeight="false" outlineLevel="0" collapsed="false">
      <c r="A46" s="13" t="s">
        <v>2154</v>
      </c>
      <c r="B46" s="13" t="s">
        <v>238</v>
      </c>
      <c r="C46" s="13" t="s">
        <v>2158</v>
      </c>
      <c r="D46" s="13" t="s">
        <v>95</v>
      </c>
      <c r="E46" s="13" t="s">
        <v>96</v>
      </c>
      <c r="F46" s="11" t="n">
        <v>44998</v>
      </c>
      <c r="G46" s="12" t="n">
        <v>0.0211330787046469</v>
      </c>
      <c r="H46" s="13" t="s">
        <v>37</v>
      </c>
      <c r="I46" s="13" t="n">
        <v>2</v>
      </c>
      <c r="J46" s="13" t="n">
        <v>55.25</v>
      </c>
      <c r="K46" s="13" t="n">
        <v>110.5</v>
      </c>
      <c r="L46" s="13" t="s">
        <v>321</v>
      </c>
      <c r="M46" s="13" t="s">
        <v>322</v>
      </c>
      <c r="O46" s="13" t="s">
        <v>23</v>
      </c>
      <c r="P46" s="13" t="s">
        <v>24</v>
      </c>
      <c r="Q46" s="13" t="s">
        <v>321</v>
      </c>
      <c r="R46" s="13" t="str">
        <v>Mon,13-March-2023 ,12:30 AM</v>
      </c>
      <c r="S46" s="13" t="str">
        <v>Damaged Stock</v>
      </c>
    </row>
    <row r="47" customFormat="false" ht="15.75" hidden="false" customHeight="false" outlineLevel="0" collapsed="false">
      <c r="A47" s="13" t="s">
        <v>2154</v>
      </c>
      <c r="B47" s="13" t="s">
        <v>323</v>
      </c>
      <c r="C47" s="13" t="s">
        <v>324</v>
      </c>
      <c r="D47" s="13" t="s">
        <v>19</v>
      </c>
      <c r="E47" s="13" t="s">
        <v>20</v>
      </c>
      <c r="F47" s="11" t="n">
        <v>45000</v>
      </c>
      <c r="G47" s="12" t="n">
        <v>0.863788483797574</v>
      </c>
      <c r="H47" s="13" t="s">
        <v>37</v>
      </c>
      <c r="I47" s="13" t="n">
        <v>3</v>
      </c>
      <c r="J47" s="13" t="n">
        <v>257</v>
      </c>
      <c r="K47" s="13" t="n">
        <v>771</v>
      </c>
      <c r="L47" s="13" t="s">
        <v>325</v>
      </c>
      <c r="M47" s="13" t="s">
        <v>326</v>
      </c>
      <c r="O47" s="13" t="s">
        <v>110</v>
      </c>
      <c r="P47" s="13" t="s">
        <v>111</v>
      </c>
      <c r="Q47" s="13" t="s">
        <v>325</v>
      </c>
      <c r="R47" s="13" t="str">
        <v>Wed,15-March-2023 ,08:43 PM</v>
      </c>
      <c r="S47" s="13" t="str">
        <v>Damaged Stock</v>
      </c>
    </row>
    <row r="48" customFormat="false" ht="15.75" hidden="false" customHeight="false" outlineLevel="0" collapsed="false">
      <c r="A48" s="13" t="s">
        <v>2154</v>
      </c>
      <c r="B48" s="13" t="s">
        <v>99</v>
      </c>
      <c r="C48" s="13" t="s">
        <v>1635</v>
      </c>
      <c r="D48" s="13" t="s">
        <v>101</v>
      </c>
      <c r="E48" s="13" t="s">
        <v>96</v>
      </c>
      <c r="F48" s="11" t="n">
        <v>45000</v>
      </c>
      <c r="G48" s="12" t="n">
        <v>0.0285137847212844</v>
      </c>
      <c r="H48" s="13" t="s">
        <v>37</v>
      </c>
      <c r="I48" s="13" t="n">
        <v>3</v>
      </c>
      <c r="J48" s="13" t="n">
        <v>54.75</v>
      </c>
      <c r="K48" s="13" t="n">
        <v>164.25</v>
      </c>
      <c r="L48" s="13" t="s">
        <v>327</v>
      </c>
      <c r="M48" s="13" t="s">
        <v>328</v>
      </c>
      <c r="O48" s="13" t="s">
        <v>23</v>
      </c>
      <c r="P48" s="13" t="s">
        <v>24</v>
      </c>
      <c r="Q48" s="13" t="s">
        <v>327</v>
      </c>
      <c r="R48" s="13" t="str">
        <v>Wed,15-March-2023 ,12:41 AM</v>
      </c>
      <c r="S48" s="13" t="str">
        <v>Damaged Stock</v>
      </c>
    </row>
    <row r="49" customFormat="false" ht="15.75" hidden="false" customHeight="false" outlineLevel="0" collapsed="false">
      <c r="A49" s="13" t="s">
        <v>2154</v>
      </c>
      <c r="B49" s="13" t="s">
        <v>210</v>
      </c>
      <c r="C49" s="13" t="s">
        <v>2157</v>
      </c>
      <c r="D49" s="13" t="s">
        <v>212</v>
      </c>
      <c r="E49" s="13" t="s">
        <v>96</v>
      </c>
      <c r="F49" s="11" t="n">
        <v>45000</v>
      </c>
      <c r="G49" s="12" t="n">
        <v>0.0260724421289775</v>
      </c>
      <c r="H49" s="13" t="s">
        <v>37</v>
      </c>
      <c r="I49" s="13" t="n">
        <v>1</v>
      </c>
      <c r="J49" s="13" t="n">
        <v>107.91</v>
      </c>
      <c r="K49" s="13" t="n">
        <v>107.91</v>
      </c>
      <c r="L49" s="13" t="s">
        <v>329</v>
      </c>
      <c r="M49" s="13" t="s">
        <v>330</v>
      </c>
      <c r="O49" s="13" t="s">
        <v>23</v>
      </c>
      <c r="P49" s="13" t="s">
        <v>24</v>
      </c>
      <c r="Q49" s="13" t="s">
        <v>329</v>
      </c>
      <c r="R49" s="13" t="str">
        <v>Wed,15-March-2023 ,12:37 AM</v>
      </c>
      <c r="S49" s="13" t="str">
        <v>Damaged Stock</v>
      </c>
    </row>
    <row r="50" customFormat="false" ht="15.75" hidden="false" customHeight="false" outlineLevel="0" collapsed="false">
      <c r="A50" s="13" t="s">
        <v>2154</v>
      </c>
      <c r="B50" s="13" t="s">
        <v>335</v>
      </c>
      <c r="C50" s="13" t="s">
        <v>336</v>
      </c>
      <c r="D50" s="13" t="s">
        <v>337</v>
      </c>
      <c r="E50" s="13" t="s">
        <v>208</v>
      </c>
      <c r="F50" s="11" t="n">
        <v>45002</v>
      </c>
      <c r="G50" s="12" t="n">
        <v>0.917385092594204</v>
      </c>
      <c r="H50" s="13" t="s">
        <v>37</v>
      </c>
      <c r="I50" s="13" t="n">
        <v>1</v>
      </c>
      <c r="J50" s="13" t="n">
        <v>166.77</v>
      </c>
      <c r="K50" s="13" t="n">
        <v>166.77</v>
      </c>
      <c r="L50" s="13" t="s">
        <v>338</v>
      </c>
      <c r="M50" s="13" t="s">
        <v>339</v>
      </c>
      <c r="O50" s="13" t="s">
        <v>23</v>
      </c>
      <c r="P50" s="13" t="s">
        <v>24</v>
      </c>
      <c r="Q50" s="13" t="s">
        <v>338</v>
      </c>
      <c r="R50" s="13" t="str">
        <v>Fri,17-March-2023 ,10:01 PM</v>
      </c>
      <c r="S50" s="13" t="str">
        <v>Damaged Stock</v>
      </c>
    </row>
    <row r="51" customFormat="false" ht="15.75" hidden="false" customHeight="false" outlineLevel="0" collapsed="false">
      <c r="A51" s="13" t="s">
        <v>2154</v>
      </c>
      <c r="B51" s="13" t="s">
        <v>99</v>
      </c>
      <c r="C51" s="13" t="s">
        <v>1635</v>
      </c>
      <c r="D51" s="13" t="s">
        <v>101</v>
      </c>
      <c r="E51" s="13" t="s">
        <v>96</v>
      </c>
      <c r="F51" s="11" t="n">
        <v>45002</v>
      </c>
      <c r="G51" s="12" t="n">
        <v>0.915177743056995</v>
      </c>
      <c r="H51" s="13" t="s">
        <v>37</v>
      </c>
      <c r="I51" s="13" t="n">
        <v>2</v>
      </c>
      <c r="J51" s="13" t="n">
        <v>54.75</v>
      </c>
      <c r="K51" s="13" t="n">
        <v>109.5</v>
      </c>
      <c r="L51" s="13" t="s">
        <v>340</v>
      </c>
      <c r="M51" s="13" t="s">
        <v>341</v>
      </c>
      <c r="O51" s="13" t="s">
        <v>23</v>
      </c>
      <c r="P51" s="13" t="s">
        <v>24</v>
      </c>
      <c r="Q51" s="13" t="s">
        <v>340</v>
      </c>
      <c r="R51" s="13" t="str">
        <v>Fri,17-March-2023 ,09:57 PM</v>
      </c>
      <c r="S51" s="13" t="str">
        <v>Damaged Stock</v>
      </c>
    </row>
    <row r="52" customFormat="false" ht="15.75" hidden="false" customHeight="false" outlineLevel="0" collapsed="false">
      <c r="A52" s="13" t="s">
        <v>2154</v>
      </c>
      <c r="B52" s="13" t="s">
        <v>342</v>
      </c>
      <c r="C52" s="13" t="s">
        <v>2159</v>
      </c>
      <c r="D52" s="13" t="s">
        <v>230</v>
      </c>
      <c r="E52" s="13" t="s">
        <v>231</v>
      </c>
      <c r="F52" s="11" t="n">
        <v>45004</v>
      </c>
      <c r="G52" s="12" t="n">
        <v>0.0560737037018874</v>
      </c>
      <c r="H52" s="13" t="s">
        <v>37</v>
      </c>
      <c r="I52" s="13" t="n">
        <v>1</v>
      </c>
      <c r="J52" s="13" t="n">
        <v>188.49</v>
      </c>
      <c r="K52" s="13" t="n">
        <v>188.49</v>
      </c>
      <c r="L52" s="13" t="s">
        <v>344</v>
      </c>
      <c r="M52" s="13" t="s">
        <v>345</v>
      </c>
      <c r="O52" s="13" t="s">
        <v>23</v>
      </c>
      <c r="P52" s="13" t="s">
        <v>24</v>
      </c>
      <c r="Q52" s="13" t="s">
        <v>344</v>
      </c>
      <c r="R52" s="13" t="str">
        <v>Sun,19-March-2023 ,01:20 AM</v>
      </c>
      <c r="S52" s="13" t="str">
        <v>Damaged Stock</v>
      </c>
    </row>
    <row r="53" customFormat="false" ht="15.75" hidden="false" customHeight="false" outlineLevel="0" collapsed="false">
      <c r="A53" s="13" t="s">
        <v>2154</v>
      </c>
      <c r="B53" s="13" t="s">
        <v>93</v>
      </c>
      <c r="C53" s="13" t="s">
        <v>94</v>
      </c>
      <c r="D53" s="13" t="s">
        <v>95</v>
      </c>
      <c r="E53" s="13" t="s">
        <v>96</v>
      </c>
      <c r="F53" s="11" t="n">
        <v>45005</v>
      </c>
      <c r="G53" s="12" t="n">
        <v>0.989532557870182</v>
      </c>
      <c r="H53" s="13" t="s">
        <v>37</v>
      </c>
      <c r="I53" s="13" t="n">
        <v>1</v>
      </c>
      <c r="J53" s="13" t="n">
        <v>45.59</v>
      </c>
      <c r="K53" s="13" t="n">
        <v>45.59</v>
      </c>
      <c r="L53" s="13" t="s">
        <v>346</v>
      </c>
      <c r="M53" s="13" t="s">
        <v>347</v>
      </c>
      <c r="O53" s="13" t="s">
        <v>23</v>
      </c>
      <c r="P53" s="13" t="s">
        <v>24</v>
      </c>
      <c r="Q53" s="13" t="s">
        <v>346</v>
      </c>
      <c r="R53" s="13" t="str">
        <v>Mon,20-March-2023 ,11:44 PM</v>
      </c>
      <c r="S53" s="13" t="str">
        <v>Damaged Stock</v>
      </c>
    </row>
    <row r="54" customFormat="false" ht="15.75" hidden="false" customHeight="false" outlineLevel="0" collapsed="false">
      <c r="A54" s="13" t="s">
        <v>2154</v>
      </c>
      <c r="B54" s="13" t="s">
        <v>315</v>
      </c>
      <c r="C54" s="13" t="s">
        <v>316</v>
      </c>
      <c r="D54" s="13" t="s">
        <v>132</v>
      </c>
      <c r="E54" s="13" t="s">
        <v>96</v>
      </c>
      <c r="F54" s="11" t="n">
        <v>45005</v>
      </c>
      <c r="G54" s="12" t="n">
        <v>0.988385000001169</v>
      </c>
      <c r="H54" s="13" t="s">
        <v>37</v>
      </c>
      <c r="I54" s="13" t="n">
        <v>1</v>
      </c>
      <c r="J54" s="13" t="n">
        <v>106.8</v>
      </c>
      <c r="K54" s="13" t="n">
        <v>106.8</v>
      </c>
      <c r="L54" s="13" t="s">
        <v>348</v>
      </c>
      <c r="M54" s="13" t="s">
        <v>349</v>
      </c>
      <c r="O54" s="13" t="s">
        <v>23</v>
      </c>
      <c r="P54" s="13" t="s">
        <v>24</v>
      </c>
      <c r="Q54" s="13" t="s">
        <v>348</v>
      </c>
      <c r="R54" s="13" t="str">
        <v>Mon,20-March-2023 ,11:43 PM</v>
      </c>
      <c r="S54" s="13" t="str">
        <v>Damaged Stock</v>
      </c>
    </row>
    <row r="55" customFormat="false" ht="15.75" hidden="false" customHeight="false" outlineLevel="0" collapsed="false">
      <c r="A55" s="13" t="s">
        <v>2154</v>
      </c>
      <c r="B55" s="13" t="s">
        <v>99</v>
      </c>
      <c r="C55" s="13" t="s">
        <v>1635</v>
      </c>
      <c r="D55" s="13" t="s">
        <v>101</v>
      </c>
      <c r="E55" s="13" t="s">
        <v>96</v>
      </c>
      <c r="F55" s="11" t="n">
        <v>45005</v>
      </c>
      <c r="G55" s="12" t="n">
        <v>0.986862638889444</v>
      </c>
      <c r="H55" s="13" t="s">
        <v>37</v>
      </c>
      <c r="I55" s="13" t="n">
        <v>1</v>
      </c>
      <c r="J55" s="13" t="n">
        <v>54.75</v>
      </c>
      <c r="K55" s="13" t="n">
        <v>54.75</v>
      </c>
      <c r="L55" s="13" t="s">
        <v>350</v>
      </c>
      <c r="M55" s="13" t="s">
        <v>351</v>
      </c>
      <c r="O55" s="13" t="s">
        <v>23</v>
      </c>
      <c r="P55" s="13" t="s">
        <v>24</v>
      </c>
      <c r="Q55" s="13" t="s">
        <v>350</v>
      </c>
      <c r="R55" s="13" t="str">
        <v>Mon,20-March-2023 ,11:41 PM</v>
      </c>
      <c r="S55" s="13" t="str">
        <v>Damaged Stock</v>
      </c>
    </row>
    <row r="56" customFormat="false" ht="15.75" hidden="false" customHeight="false" outlineLevel="0" collapsed="false">
      <c r="A56" s="13" t="s">
        <v>2154</v>
      </c>
      <c r="B56" s="13" t="s">
        <v>242</v>
      </c>
      <c r="C56" s="13" t="s">
        <v>243</v>
      </c>
      <c r="D56" s="13" t="s">
        <v>101</v>
      </c>
      <c r="E56" s="13" t="s">
        <v>96</v>
      </c>
      <c r="F56" s="11" t="n">
        <v>45005</v>
      </c>
      <c r="G56" s="12" t="n">
        <v>0.9860896643521</v>
      </c>
      <c r="H56" s="13" t="s">
        <v>37</v>
      </c>
      <c r="I56" s="13" t="n">
        <v>1</v>
      </c>
      <c r="J56" s="13" t="n">
        <v>272</v>
      </c>
      <c r="K56" s="13" t="n">
        <v>272</v>
      </c>
      <c r="L56" s="13" t="s">
        <v>352</v>
      </c>
      <c r="M56" s="13" t="s">
        <v>353</v>
      </c>
      <c r="O56" s="13" t="s">
        <v>23</v>
      </c>
      <c r="P56" s="13" t="s">
        <v>24</v>
      </c>
      <c r="Q56" s="13" t="s">
        <v>352</v>
      </c>
      <c r="R56" s="13" t="str">
        <v>Mon,20-March-2023 ,11:39 PM</v>
      </c>
      <c r="S56" s="13" t="str">
        <v>Damaged Stock</v>
      </c>
    </row>
    <row r="57" customFormat="false" ht="15.75" hidden="false" customHeight="false" outlineLevel="0" collapsed="false">
      <c r="A57" s="13" t="s">
        <v>2154</v>
      </c>
      <c r="B57" s="13" t="s">
        <v>93</v>
      </c>
      <c r="C57" s="13" t="s">
        <v>94</v>
      </c>
      <c r="D57" s="13" t="s">
        <v>95</v>
      </c>
      <c r="E57" s="13" t="s">
        <v>96</v>
      </c>
      <c r="F57" s="11" t="n">
        <v>45007</v>
      </c>
      <c r="G57" s="12" t="n">
        <v>0.00245898148026343</v>
      </c>
      <c r="H57" s="13" t="s">
        <v>37</v>
      </c>
      <c r="I57" s="13" t="n">
        <v>1</v>
      </c>
      <c r="J57" s="13" t="n">
        <v>45.59</v>
      </c>
      <c r="K57" s="13" t="n">
        <v>45.59</v>
      </c>
      <c r="L57" s="13" t="s">
        <v>359</v>
      </c>
      <c r="M57" s="13" t="s">
        <v>360</v>
      </c>
      <c r="O57" s="13" t="s">
        <v>23</v>
      </c>
      <c r="P57" s="13" t="s">
        <v>24</v>
      </c>
      <c r="Q57" s="13" t="s">
        <v>359</v>
      </c>
      <c r="R57" s="13" t="str">
        <v>Wed,22-March-2023 ,12:03 AM</v>
      </c>
      <c r="S57" s="13" t="str">
        <v>Damaged Stock</v>
      </c>
    </row>
    <row r="58" customFormat="false" ht="15.75" hidden="false" customHeight="false" outlineLevel="0" collapsed="false">
      <c r="A58" s="13" t="s">
        <v>2154</v>
      </c>
      <c r="B58" s="13" t="s">
        <v>290</v>
      </c>
      <c r="C58" s="13" t="s">
        <v>291</v>
      </c>
      <c r="D58" s="13" t="s">
        <v>230</v>
      </c>
      <c r="E58" s="13" t="s">
        <v>231</v>
      </c>
      <c r="F58" s="11" t="n">
        <v>45009</v>
      </c>
      <c r="G58" s="12" t="n">
        <v>0.973931875001584</v>
      </c>
      <c r="H58" s="13" t="s">
        <v>37</v>
      </c>
      <c r="I58" s="13" t="n">
        <v>1</v>
      </c>
      <c r="J58" s="13" t="n">
        <v>188.49</v>
      </c>
      <c r="K58" s="13" t="n">
        <v>188.49</v>
      </c>
      <c r="L58" s="13" t="s">
        <v>361</v>
      </c>
      <c r="M58" s="13" t="s">
        <v>98</v>
      </c>
      <c r="O58" s="13" t="s">
        <v>23</v>
      </c>
      <c r="P58" s="13" t="s">
        <v>24</v>
      </c>
      <c r="Q58" s="13" t="s">
        <v>361</v>
      </c>
      <c r="R58" s="13" t="str">
        <v>Fri,24-March-2023 ,11:22 PM</v>
      </c>
      <c r="S58" s="13" t="str">
        <v>Damaged Stock</v>
      </c>
    </row>
    <row r="59" customFormat="false" ht="15.75" hidden="false" customHeight="false" outlineLevel="0" collapsed="false">
      <c r="A59" s="13" t="s">
        <v>2154</v>
      </c>
      <c r="B59" s="13" t="s">
        <v>290</v>
      </c>
      <c r="C59" s="13" t="s">
        <v>291</v>
      </c>
      <c r="D59" s="13" t="s">
        <v>230</v>
      </c>
      <c r="E59" s="13" t="s">
        <v>231</v>
      </c>
      <c r="F59" s="11" t="n">
        <v>45009</v>
      </c>
      <c r="G59" s="12" t="n">
        <v>0.973925231483066</v>
      </c>
      <c r="H59" s="13" t="s">
        <v>37</v>
      </c>
      <c r="I59" s="13" t="n">
        <v>1</v>
      </c>
      <c r="J59" s="13" t="n">
        <v>188.49</v>
      </c>
      <c r="K59" s="13" t="n">
        <v>188.49</v>
      </c>
      <c r="L59" s="13" t="s">
        <v>361</v>
      </c>
      <c r="M59" s="13" t="s">
        <v>98</v>
      </c>
      <c r="O59" s="13" t="s">
        <v>23</v>
      </c>
      <c r="P59" s="13" t="s">
        <v>24</v>
      </c>
      <c r="Q59" s="13" t="s">
        <v>361</v>
      </c>
      <c r="R59" s="13" t="str">
        <v>Fri,24-March-2023 ,11:22 PM</v>
      </c>
      <c r="S59" s="13" t="str">
        <v>Damaged Stock</v>
      </c>
    </row>
    <row r="60" customFormat="false" ht="15.75" hidden="false" customHeight="false" outlineLevel="0" collapsed="false">
      <c r="A60" s="13" t="s">
        <v>2154</v>
      </c>
      <c r="B60" s="13" t="s">
        <v>362</v>
      </c>
      <c r="C60" s="13" t="s">
        <v>363</v>
      </c>
      <c r="D60" s="13" t="s">
        <v>230</v>
      </c>
      <c r="E60" s="13" t="s">
        <v>231</v>
      </c>
      <c r="F60" s="11" t="n">
        <v>45009</v>
      </c>
      <c r="G60" s="12" t="n">
        <v>0.972727500000329</v>
      </c>
      <c r="H60" s="13" t="s">
        <v>37</v>
      </c>
      <c r="I60" s="13" t="n">
        <v>1</v>
      </c>
      <c r="J60" s="13" t="n">
        <v>430.85</v>
      </c>
      <c r="K60" s="13" t="n">
        <v>430.85</v>
      </c>
      <c r="L60" s="13" t="s">
        <v>364</v>
      </c>
      <c r="M60" s="13" t="s">
        <v>365</v>
      </c>
      <c r="O60" s="13" t="s">
        <v>23</v>
      </c>
      <c r="P60" s="13" t="s">
        <v>24</v>
      </c>
      <c r="Q60" s="13" t="s">
        <v>364</v>
      </c>
      <c r="R60" s="13" t="str">
        <v>Fri,24-March-2023 ,11:20 PM</v>
      </c>
      <c r="S60" s="13" t="str">
        <v>Damaged Stock</v>
      </c>
    </row>
    <row r="61" customFormat="false" ht="15.75" hidden="false" customHeight="false" outlineLevel="0" collapsed="false">
      <c r="A61" s="13" t="s">
        <v>2154</v>
      </c>
      <c r="B61" s="13" t="s">
        <v>366</v>
      </c>
      <c r="C61" s="13" t="s">
        <v>367</v>
      </c>
      <c r="D61" s="13" t="s">
        <v>142</v>
      </c>
      <c r="E61" s="13" t="s">
        <v>28</v>
      </c>
      <c r="F61" s="11" t="n">
        <v>45009</v>
      </c>
      <c r="G61" s="12" t="n">
        <v>0.971270972223618</v>
      </c>
      <c r="H61" s="13" t="s">
        <v>37</v>
      </c>
      <c r="I61" s="13" t="n">
        <v>1</v>
      </c>
      <c r="J61" s="13" t="n">
        <v>632</v>
      </c>
      <c r="K61" s="13" t="n">
        <v>632</v>
      </c>
      <c r="L61" s="13" t="s">
        <v>368</v>
      </c>
      <c r="M61" s="13" t="s">
        <v>369</v>
      </c>
      <c r="O61" s="13" t="s">
        <v>23</v>
      </c>
      <c r="P61" s="13" t="s">
        <v>24</v>
      </c>
      <c r="Q61" s="13" t="s">
        <v>368</v>
      </c>
      <c r="R61" s="13" t="str">
        <v>Fri,24-March-2023 ,11:18 PM</v>
      </c>
      <c r="S61" s="13" t="str">
        <v>Damaged Stock</v>
      </c>
    </row>
    <row r="62" customFormat="false" ht="15.75" hidden="false" customHeight="false" outlineLevel="0" collapsed="false">
      <c r="A62" s="13" t="s">
        <v>2154</v>
      </c>
      <c r="B62" s="13" t="s">
        <v>140</v>
      </c>
      <c r="C62" s="13" t="s">
        <v>141</v>
      </c>
      <c r="D62" s="13" t="s">
        <v>142</v>
      </c>
      <c r="E62" s="13" t="s">
        <v>28</v>
      </c>
      <c r="F62" s="11" t="n">
        <v>45009</v>
      </c>
      <c r="G62" s="12" t="n">
        <v>0.968729305553782</v>
      </c>
      <c r="H62" s="13" t="s">
        <v>37</v>
      </c>
      <c r="I62" s="13" t="n">
        <v>1</v>
      </c>
      <c r="J62" s="13" t="n">
        <v>790</v>
      </c>
      <c r="K62" s="13" t="n">
        <v>790</v>
      </c>
      <c r="L62" s="13" t="s">
        <v>370</v>
      </c>
      <c r="M62" s="13" t="s">
        <v>371</v>
      </c>
      <c r="O62" s="13" t="s">
        <v>23</v>
      </c>
      <c r="P62" s="13" t="s">
        <v>24</v>
      </c>
      <c r="Q62" s="13" t="s">
        <v>370</v>
      </c>
      <c r="R62" s="13" t="str">
        <v>Fri,24-March-2023 ,11:14 PM</v>
      </c>
      <c r="S62" s="13" t="str">
        <v>Damaged Stock</v>
      </c>
    </row>
    <row r="63" customFormat="false" ht="15.75" hidden="false" customHeight="false" outlineLevel="0" collapsed="false">
      <c r="A63" s="13" t="s">
        <v>2154</v>
      </c>
      <c r="B63" s="13" t="s">
        <v>385</v>
      </c>
      <c r="C63" s="13" t="s">
        <v>386</v>
      </c>
      <c r="D63" s="13" t="s">
        <v>142</v>
      </c>
      <c r="E63" s="13" t="s">
        <v>28</v>
      </c>
      <c r="F63" s="11" t="n">
        <v>45012</v>
      </c>
      <c r="G63" s="12" t="n">
        <v>0.857627002314658</v>
      </c>
      <c r="H63" s="13" t="s">
        <v>37</v>
      </c>
      <c r="I63" s="13" t="n">
        <v>1</v>
      </c>
      <c r="J63" s="13" t="n">
        <v>1126.1</v>
      </c>
      <c r="K63" s="13" t="n">
        <v>1126.1</v>
      </c>
      <c r="L63" s="13" t="s">
        <v>387</v>
      </c>
      <c r="M63" s="13" t="s">
        <v>388</v>
      </c>
      <c r="O63" s="13" t="s">
        <v>23</v>
      </c>
      <c r="P63" s="13" t="s">
        <v>24</v>
      </c>
      <c r="Q63" s="13" t="s">
        <v>387</v>
      </c>
      <c r="R63" s="13" t="str">
        <v>Mon,27-March-2023 ,08:34 PM</v>
      </c>
      <c r="S63" s="13" t="str">
        <v>Damaged Stock</v>
      </c>
    </row>
    <row r="64" customFormat="false" ht="15.75" hidden="false" customHeight="false" outlineLevel="0" collapsed="false">
      <c r="A64" s="13" t="s">
        <v>2154</v>
      </c>
      <c r="B64" s="13" t="s">
        <v>389</v>
      </c>
      <c r="C64" s="13" t="s">
        <v>390</v>
      </c>
      <c r="D64" s="13" t="s">
        <v>19</v>
      </c>
      <c r="E64" s="13" t="s">
        <v>20</v>
      </c>
      <c r="F64" s="11" t="n">
        <v>45012</v>
      </c>
      <c r="G64" s="12" t="n">
        <v>0.8207552893528</v>
      </c>
      <c r="H64" s="13" t="s">
        <v>37</v>
      </c>
      <c r="I64" s="13" t="n">
        <v>1</v>
      </c>
      <c r="J64" s="13" t="n">
        <v>497</v>
      </c>
      <c r="K64" s="13" t="n">
        <v>497</v>
      </c>
      <c r="L64" s="13" t="s">
        <v>391</v>
      </c>
      <c r="M64" s="13" t="s">
        <v>392</v>
      </c>
      <c r="O64" s="13" t="s">
        <v>23</v>
      </c>
      <c r="P64" s="13" t="s">
        <v>24</v>
      </c>
      <c r="Q64" s="13" t="s">
        <v>391</v>
      </c>
      <c r="R64" s="13" t="str">
        <v>Mon,27-March-2023 ,07:41 PM</v>
      </c>
      <c r="S64" s="13" t="str">
        <v>Damaged Stock</v>
      </c>
    </row>
    <row r="65" customFormat="false" ht="15.75" hidden="false" customHeight="false" outlineLevel="0" collapsed="false">
      <c r="A65" s="13" t="s">
        <v>2154</v>
      </c>
      <c r="B65" s="13" t="s">
        <v>286</v>
      </c>
      <c r="C65" s="13" t="s">
        <v>287</v>
      </c>
      <c r="D65" s="13" t="s">
        <v>19</v>
      </c>
      <c r="E65" s="13" t="s">
        <v>20</v>
      </c>
      <c r="F65" s="11" t="n">
        <v>45012</v>
      </c>
      <c r="G65" s="12" t="n">
        <v>0.818813773149307</v>
      </c>
      <c r="H65" s="13" t="s">
        <v>37</v>
      </c>
      <c r="I65" s="13" t="n">
        <v>1</v>
      </c>
      <c r="J65" s="13" t="n">
        <v>2379</v>
      </c>
      <c r="K65" s="13" t="n">
        <v>2379</v>
      </c>
      <c r="L65" s="13" t="s">
        <v>393</v>
      </c>
      <c r="M65" s="13" t="s">
        <v>394</v>
      </c>
      <c r="O65" s="13" t="s">
        <v>23</v>
      </c>
      <c r="P65" s="13" t="s">
        <v>24</v>
      </c>
      <c r="Q65" s="13" t="s">
        <v>393</v>
      </c>
      <c r="R65" s="13" t="str">
        <v>Mon,27-March-2023 ,07:39 PM</v>
      </c>
      <c r="S65" s="13" t="str">
        <v>Damaged Stock</v>
      </c>
    </row>
    <row r="66" customFormat="false" ht="15.75" hidden="false" customHeight="false" outlineLevel="0" collapsed="false">
      <c r="A66" s="13" t="s">
        <v>2154</v>
      </c>
      <c r="B66" s="13" t="s">
        <v>385</v>
      </c>
      <c r="C66" s="13" t="s">
        <v>386</v>
      </c>
      <c r="D66" s="13" t="s">
        <v>142</v>
      </c>
      <c r="E66" s="13" t="s">
        <v>28</v>
      </c>
      <c r="F66" s="11" t="n">
        <v>45012</v>
      </c>
      <c r="G66" s="12" t="n">
        <v>0.0443076273144429</v>
      </c>
      <c r="H66" s="13" t="s">
        <v>37</v>
      </c>
      <c r="I66" s="13" t="n">
        <v>1</v>
      </c>
      <c r="J66" s="13" t="n">
        <v>1126.1</v>
      </c>
      <c r="K66" s="13" t="n">
        <v>1126.1</v>
      </c>
      <c r="L66" s="13" t="s">
        <v>395</v>
      </c>
      <c r="M66" s="13" t="s">
        <v>396</v>
      </c>
      <c r="O66" s="13" t="s">
        <v>23</v>
      </c>
      <c r="P66" s="13" t="s">
        <v>24</v>
      </c>
      <c r="Q66" s="13" t="s">
        <v>395</v>
      </c>
      <c r="R66" s="13" t="str">
        <v>Mon,27-March-2023 ,01:03 AM</v>
      </c>
      <c r="S66" s="13" t="str">
        <v>Damaged Stock</v>
      </c>
    </row>
    <row r="67" customFormat="false" ht="15.75" hidden="false" customHeight="false" outlineLevel="0" collapsed="false">
      <c r="A67" s="13" t="s">
        <v>2154</v>
      </c>
      <c r="B67" s="13" t="s">
        <v>140</v>
      </c>
      <c r="C67" s="13" t="s">
        <v>141</v>
      </c>
      <c r="D67" s="13" t="s">
        <v>142</v>
      </c>
      <c r="E67" s="13" t="s">
        <v>28</v>
      </c>
      <c r="F67" s="11" t="n">
        <v>45012</v>
      </c>
      <c r="G67" s="12" t="n">
        <v>0.0421649189826187</v>
      </c>
      <c r="H67" s="13" t="s">
        <v>37</v>
      </c>
      <c r="I67" s="13" t="n">
        <v>2</v>
      </c>
      <c r="J67" s="13" t="n">
        <v>790</v>
      </c>
      <c r="K67" s="13" t="n">
        <v>1580</v>
      </c>
      <c r="L67" s="13" t="s">
        <v>397</v>
      </c>
      <c r="M67" s="13" t="s">
        <v>398</v>
      </c>
      <c r="O67" s="13" t="s">
        <v>23</v>
      </c>
      <c r="P67" s="13" t="s">
        <v>24</v>
      </c>
      <c r="Q67" s="13" t="s">
        <v>397</v>
      </c>
      <c r="R67" s="13" t="str">
        <v>Mon,27-March-2023 ,01:00 AM</v>
      </c>
      <c r="S67" s="13" t="str">
        <v>Damaged Stock</v>
      </c>
    </row>
    <row r="68" customFormat="false" ht="15.75" hidden="false" customHeight="false" outlineLevel="0" collapsed="false">
      <c r="A68" s="13" t="s">
        <v>2154</v>
      </c>
      <c r="B68" s="13" t="s">
        <v>140</v>
      </c>
      <c r="C68" s="13" t="s">
        <v>141</v>
      </c>
      <c r="D68" s="13" t="s">
        <v>142</v>
      </c>
      <c r="E68" s="13" t="s">
        <v>28</v>
      </c>
      <c r="F68" s="11" t="n">
        <v>45017</v>
      </c>
      <c r="G68" s="12" t="n">
        <v>0.875707835649479</v>
      </c>
      <c r="H68" s="13" t="s">
        <v>37</v>
      </c>
      <c r="I68" s="13" t="n">
        <v>2</v>
      </c>
      <c r="J68" s="13" t="n">
        <v>790</v>
      </c>
      <c r="K68" s="13" t="n">
        <v>1580</v>
      </c>
      <c r="L68" s="13" t="s">
        <v>407</v>
      </c>
      <c r="M68" s="13" t="s">
        <v>408</v>
      </c>
      <c r="O68" s="13" t="s">
        <v>23</v>
      </c>
      <c r="P68" s="13" t="s">
        <v>24</v>
      </c>
      <c r="Q68" s="13" t="s">
        <v>407</v>
      </c>
      <c r="R68" s="13" t="str">
        <v>Sat,01-April-2023 ,09:01 PM</v>
      </c>
      <c r="S68" s="13" t="str">
        <v>Damaged Stock</v>
      </c>
    </row>
    <row r="69" customFormat="false" ht="15.75" hidden="false" customHeight="false" outlineLevel="0" collapsed="false">
      <c r="A69" s="13" t="s">
        <v>2154</v>
      </c>
      <c r="B69" s="13" t="s">
        <v>409</v>
      </c>
      <c r="C69" s="13" t="s">
        <v>410</v>
      </c>
      <c r="D69" s="13" t="s">
        <v>255</v>
      </c>
      <c r="E69" s="13" t="s">
        <v>71</v>
      </c>
      <c r="F69" s="11" t="n">
        <v>45018</v>
      </c>
      <c r="G69" s="12" t="n">
        <v>0.902773657407936</v>
      </c>
      <c r="H69" s="13" t="s">
        <v>37</v>
      </c>
      <c r="I69" s="13" t="n">
        <v>1</v>
      </c>
      <c r="J69" s="13" t="n">
        <v>71.77</v>
      </c>
      <c r="K69" s="13" t="n">
        <v>71.77</v>
      </c>
      <c r="L69" s="13" t="s">
        <v>411</v>
      </c>
      <c r="M69" s="13" t="s">
        <v>412</v>
      </c>
      <c r="O69" s="13" t="s">
        <v>23</v>
      </c>
      <c r="P69" s="13" t="s">
        <v>24</v>
      </c>
      <c r="Q69" s="13" t="s">
        <v>411</v>
      </c>
      <c r="R69" s="13" t="str">
        <v>Sun,02-April-2023 ,09:39 PM</v>
      </c>
      <c r="S69" s="13" t="str">
        <v>Damaged Stock</v>
      </c>
    </row>
    <row r="70" customFormat="false" ht="15.75" hidden="false" customHeight="false" outlineLevel="0" collapsed="false">
      <c r="A70" s="13" t="s">
        <v>2154</v>
      </c>
      <c r="B70" s="13" t="s">
        <v>140</v>
      </c>
      <c r="C70" s="13" t="s">
        <v>141</v>
      </c>
      <c r="D70" s="13" t="s">
        <v>142</v>
      </c>
      <c r="E70" s="13" t="s">
        <v>28</v>
      </c>
      <c r="F70" s="11" t="n">
        <v>45018</v>
      </c>
      <c r="G70" s="12" t="n">
        <v>0.899516886574672</v>
      </c>
      <c r="H70" s="13" t="s">
        <v>37</v>
      </c>
      <c r="I70" s="13" t="n">
        <v>4</v>
      </c>
      <c r="J70" s="13" t="n">
        <v>790</v>
      </c>
      <c r="K70" s="13" t="n">
        <v>3160</v>
      </c>
      <c r="L70" s="13" t="s">
        <v>413</v>
      </c>
      <c r="M70" s="13" t="s">
        <v>414</v>
      </c>
      <c r="O70" s="13" t="s">
        <v>23</v>
      </c>
      <c r="P70" s="13" t="s">
        <v>24</v>
      </c>
      <c r="Q70" s="13" t="s">
        <v>413</v>
      </c>
      <c r="R70" s="13" t="str">
        <v>Sun,02-April-2023 ,09:35 PM</v>
      </c>
      <c r="S70" s="13" t="str">
        <v>Damaged Stock</v>
      </c>
    </row>
    <row r="71" customFormat="false" ht="15.75" hidden="false" customHeight="false" outlineLevel="0" collapsed="false">
      <c r="A71" s="13" t="s">
        <v>2154</v>
      </c>
      <c r="B71" s="13" t="s">
        <v>415</v>
      </c>
      <c r="C71" s="13" t="s">
        <v>416</v>
      </c>
      <c r="D71" s="13" t="s">
        <v>70</v>
      </c>
      <c r="E71" s="13" t="s">
        <v>71</v>
      </c>
      <c r="F71" s="11" t="n">
        <v>45018</v>
      </c>
      <c r="G71" s="12" t="n">
        <v>0.898055081017478</v>
      </c>
      <c r="H71" s="13" t="s">
        <v>37</v>
      </c>
      <c r="I71" s="13" t="n">
        <v>1</v>
      </c>
      <c r="J71" s="13" t="n">
        <v>52</v>
      </c>
      <c r="K71" s="13" t="n">
        <v>52</v>
      </c>
      <c r="L71" s="13" t="s">
        <v>417</v>
      </c>
      <c r="M71" s="13" t="s">
        <v>418</v>
      </c>
      <c r="O71" s="13" t="s">
        <v>23</v>
      </c>
      <c r="P71" s="13" t="s">
        <v>24</v>
      </c>
      <c r="Q71" s="13" t="s">
        <v>417</v>
      </c>
      <c r="R71" s="13" t="str">
        <v>Sun,02-April-2023 ,09:33 PM</v>
      </c>
      <c r="S71" s="13" t="str">
        <v>Damaged Stock</v>
      </c>
    </row>
    <row r="72" customFormat="false" ht="15.75" hidden="false" customHeight="false" outlineLevel="0" collapsed="false">
      <c r="A72" s="13" t="s">
        <v>2154</v>
      </c>
      <c r="B72" s="13" t="s">
        <v>419</v>
      </c>
      <c r="C72" s="13" t="s">
        <v>420</v>
      </c>
      <c r="D72" s="13" t="s">
        <v>421</v>
      </c>
      <c r="E72" s="13" t="s">
        <v>71</v>
      </c>
      <c r="F72" s="11" t="n">
        <v>45018</v>
      </c>
      <c r="G72" s="12" t="n">
        <v>0.896058784721484</v>
      </c>
      <c r="H72" s="13" t="s">
        <v>37</v>
      </c>
      <c r="I72" s="13" t="n">
        <v>1</v>
      </c>
      <c r="J72" s="13" t="n">
        <v>52</v>
      </c>
      <c r="K72" s="13" t="n">
        <v>52</v>
      </c>
      <c r="L72" s="13" t="s">
        <v>422</v>
      </c>
      <c r="M72" s="13" t="s">
        <v>423</v>
      </c>
      <c r="O72" s="13" t="s">
        <v>23</v>
      </c>
      <c r="P72" s="13" t="s">
        <v>24</v>
      </c>
      <c r="Q72" s="13" t="s">
        <v>422</v>
      </c>
      <c r="R72" s="13" t="str">
        <v>Sun,02-April-2023 ,09:30 PM</v>
      </c>
      <c r="S72" s="13" t="str">
        <v>Damaged Stock</v>
      </c>
    </row>
    <row r="73" customFormat="false" ht="15.75" hidden="false" customHeight="false" outlineLevel="0" collapsed="false">
      <c r="A73" s="13" t="s">
        <v>2154</v>
      </c>
      <c r="B73" s="13" t="s">
        <v>424</v>
      </c>
      <c r="C73" s="13" t="s">
        <v>2160</v>
      </c>
      <c r="D73" s="13" t="s">
        <v>426</v>
      </c>
      <c r="E73" s="13" t="s">
        <v>71</v>
      </c>
      <c r="F73" s="11" t="n">
        <v>45018</v>
      </c>
      <c r="G73" s="12" t="n">
        <v>0.894619722220686</v>
      </c>
      <c r="H73" s="13" t="s">
        <v>37</v>
      </c>
      <c r="I73" s="13" t="n">
        <v>1</v>
      </c>
      <c r="J73" s="13" t="n">
        <v>145</v>
      </c>
      <c r="K73" s="13" t="n">
        <v>145</v>
      </c>
      <c r="L73" s="13" t="s">
        <v>427</v>
      </c>
      <c r="M73" s="13" t="s">
        <v>428</v>
      </c>
      <c r="O73" s="13" t="s">
        <v>23</v>
      </c>
      <c r="P73" s="13" t="s">
        <v>24</v>
      </c>
      <c r="Q73" s="13" t="s">
        <v>427</v>
      </c>
      <c r="R73" s="13" t="str">
        <v>Sun,02-April-2023 ,09:28 PM</v>
      </c>
      <c r="S73" s="13" t="str">
        <v>Damaged Stock</v>
      </c>
    </row>
    <row r="74" customFormat="false" ht="15.75" hidden="false" customHeight="false" outlineLevel="0" collapsed="false">
      <c r="A74" s="13" t="s">
        <v>2154</v>
      </c>
      <c r="B74" s="13" t="s">
        <v>140</v>
      </c>
      <c r="C74" s="13" t="s">
        <v>141</v>
      </c>
      <c r="D74" s="13" t="s">
        <v>142</v>
      </c>
      <c r="E74" s="13" t="s">
        <v>28</v>
      </c>
      <c r="F74" s="11" t="n">
        <v>45019</v>
      </c>
      <c r="G74" s="12" t="n">
        <v>0.898917233798086</v>
      </c>
      <c r="H74" s="13" t="s">
        <v>37</v>
      </c>
      <c r="I74" s="13" t="n">
        <v>2</v>
      </c>
      <c r="J74" s="13" t="n">
        <v>790</v>
      </c>
      <c r="K74" s="13" t="n">
        <v>1580</v>
      </c>
      <c r="L74" s="13" t="s">
        <v>433</v>
      </c>
      <c r="M74" s="13" t="s">
        <v>434</v>
      </c>
      <c r="O74" s="13" t="s">
        <v>23</v>
      </c>
      <c r="P74" s="13" t="s">
        <v>24</v>
      </c>
      <c r="Q74" s="13" t="s">
        <v>433</v>
      </c>
      <c r="R74" s="13" t="str">
        <v>Mon,03-April-2023 ,09:34 PM</v>
      </c>
      <c r="S74" s="13" t="str">
        <v>Damaged Stock</v>
      </c>
    </row>
    <row r="75" customFormat="false" ht="15.75" hidden="false" customHeight="false" outlineLevel="0" collapsed="false">
      <c r="A75" s="13" t="s">
        <v>2154</v>
      </c>
      <c r="B75" s="13" t="s">
        <v>435</v>
      </c>
      <c r="C75" s="13" t="s">
        <v>436</v>
      </c>
      <c r="D75" s="13" t="s">
        <v>89</v>
      </c>
      <c r="E75" s="13" t="s">
        <v>431</v>
      </c>
      <c r="F75" s="11" t="n">
        <v>45019</v>
      </c>
      <c r="G75" s="12" t="n">
        <v>0.516837777779034</v>
      </c>
      <c r="H75" s="13" t="s">
        <v>37</v>
      </c>
      <c r="I75" s="13" t="n">
        <v>2</v>
      </c>
      <c r="J75" s="13" t="n">
        <v>400</v>
      </c>
      <c r="K75" s="13" t="n">
        <v>800</v>
      </c>
      <c r="L75" s="13" t="s">
        <v>437</v>
      </c>
      <c r="M75" s="13" t="s">
        <v>438</v>
      </c>
      <c r="O75" s="13" t="s">
        <v>61</v>
      </c>
      <c r="P75" s="13" t="s">
        <v>62</v>
      </c>
      <c r="Q75" s="13" t="s">
        <v>437</v>
      </c>
      <c r="R75" s="13" t="str">
        <v>Mon,03-April-2023 ,12:24 PM</v>
      </c>
      <c r="S75" s="13" t="str">
        <v>Damaged Stock</v>
      </c>
    </row>
    <row r="76" customFormat="false" ht="15.75" hidden="false" customHeight="false" outlineLevel="0" collapsed="false">
      <c r="A76" s="13" t="s">
        <v>2154</v>
      </c>
      <c r="B76" s="13" t="s">
        <v>99</v>
      </c>
      <c r="C76" s="13" t="s">
        <v>1635</v>
      </c>
      <c r="D76" s="13" t="s">
        <v>101</v>
      </c>
      <c r="E76" s="13" t="s">
        <v>96</v>
      </c>
      <c r="F76" s="11" t="n">
        <v>45020</v>
      </c>
      <c r="G76" s="12" t="n">
        <v>0.949332500000237</v>
      </c>
      <c r="H76" s="13" t="s">
        <v>37</v>
      </c>
      <c r="I76" s="13" t="n">
        <v>1</v>
      </c>
      <c r="J76" s="13" t="n">
        <v>54.79</v>
      </c>
      <c r="K76" s="13" t="n">
        <v>54.79</v>
      </c>
      <c r="L76" s="13" t="s">
        <v>439</v>
      </c>
      <c r="M76" s="13" t="s">
        <v>440</v>
      </c>
      <c r="O76" s="13" t="s">
        <v>23</v>
      </c>
      <c r="P76" s="13" t="s">
        <v>24</v>
      </c>
      <c r="Q76" s="13" t="s">
        <v>439</v>
      </c>
      <c r="R76" s="13" t="str">
        <v>Tue,04-April-2023 ,10:47 PM</v>
      </c>
      <c r="S76" s="13" t="str">
        <v>Damaged Stock</v>
      </c>
    </row>
    <row r="77" customFormat="false" ht="15.75" hidden="false" customHeight="false" outlineLevel="0" collapsed="false">
      <c r="A77" s="13" t="s">
        <v>2154</v>
      </c>
      <c r="B77" s="13" t="s">
        <v>130</v>
      </c>
      <c r="C77" s="13" t="s">
        <v>2155</v>
      </c>
      <c r="D77" s="13" t="s">
        <v>132</v>
      </c>
      <c r="E77" s="13" t="s">
        <v>96</v>
      </c>
      <c r="F77" s="11" t="n">
        <v>45020</v>
      </c>
      <c r="G77" s="12" t="n">
        <v>0.947785821760747</v>
      </c>
      <c r="H77" s="13" t="s">
        <v>37</v>
      </c>
      <c r="I77" s="13" t="n">
        <v>4</v>
      </c>
      <c r="J77" s="13" t="n">
        <v>268.2</v>
      </c>
      <c r="K77" s="13" t="n">
        <v>1072.8</v>
      </c>
      <c r="L77" s="13" t="s">
        <v>441</v>
      </c>
      <c r="M77" s="13" t="s">
        <v>442</v>
      </c>
      <c r="O77" s="13" t="s">
        <v>23</v>
      </c>
      <c r="P77" s="13" t="s">
        <v>24</v>
      </c>
      <c r="Q77" s="13" t="s">
        <v>441</v>
      </c>
      <c r="R77" s="13" t="str">
        <v>Tue,04-April-2023 ,10:44 PM</v>
      </c>
      <c r="S77" s="13" t="str">
        <v>Damaged Stock</v>
      </c>
    </row>
    <row r="78" customFormat="false" ht="15.75" hidden="false" customHeight="false" outlineLevel="0" collapsed="false">
      <c r="A78" s="13" t="str">
        <f aca="false">IFERROR(__xludf.dummyfunction("iferror(sort(FILTER('Raw Data'!A:Q,'Raw Data'!H:H=""damaged stock"",'Raw Data'!F:F&gt;=$E$1),6,1,7,1),)"),"Metro DC Faisalabad")</f>
        <v>Metro DC Faisalabad</v>
      </c>
      <c r="B78" s="13" t="str">
        <f aca="false">IFERROR(__xludf.dummyfunction("""COMPUTED_VALUE"""),"63ad4255-bc6a-418c-8142-78be89c55ad1")</f>
        <v>63ad4255-bc6a-418c-8142-78be89c55ad1</v>
      </c>
      <c r="C78" s="13" t="str">
        <f aca="false">IFERROR(__xludf.dummyfunction("""COMPUTED_VALUE"""),"Regal Laser Mood Chocolate Magic Stick Box 50pcs Rs5")</f>
        <v>Regal Laser Mood Chocolate Magic Stick Box 50pcs Rs5</v>
      </c>
      <c r="D78" s="13" t="str">
        <f aca="false">IFERROR(__xludf.dummyfunction("""COMPUTED_VALUE"""),"Regal")</f>
        <v>Regal</v>
      </c>
      <c r="E78" s="13" t="str">
        <f aca="false">IFERROR(__xludf.dummyfunction("""COMPUTED_VALUE"""),"Confectionary")</f>
        <v>Confectionary</v>
      </c>
      <c r="F78" s="11" t="n">
        <f aca="false">IFERROR(__xludf.dummyfunction("""COMPUTED_VALUE"""),45023)</f>
        <v>45023</v>
      </c>
      <c r="G78" s="12" t="n">
        <f aca="false">IFERROR(__xludf.dummyfunction("""COMPUTED_VALUE"""),0.840079710646337)</f>
        <v>0.8400797106</v>
      </c>
      <c r="H78" s="13" t="str">
        <f aca="false">IFERROR(__xludf.dummyfunction("""COMPUTED_VALUE"""),"damaged stock")</f>
        <v>damaged stock</v>
      </c>
      <c r="I78" s="13" t="n">
        <f aca="false">IFERROR(__xludf.dummyfunction("""COMPUTED_VALUE"""),1)</f>
        <v>1</v>
      </c>
      <c r="J78" s="13" t="n">
        <f aca="false">IFERROR(__xludf.dummyfunction("""COMPUTED_VALUE"""),178.5)</f>
        <v>178.5</v>
      </c>
      <c r="K78" s="13" t="n">
        <f aca="false">IFERROR(__xludf.dummyfunction("""COMPUTED_VALUE"""),178.5)</f>
        <v>178.5</v>
      </c>
      <c r="L78" s="13" t="str">
        <f aca="false">IFERROR(__xludf.dummyfunction("""COMPUTED_VALUE"""),"[Code: 399BCD] TA:few pieces are missing in the box(dabay may say damage nikla display krtay waqt)")</f>
        <v>[Code: 399BCD] TA:few pieces are missing in the box(dabay may say damage nikla display krtay waqt)</v>
      </c>
      <c r="M78" s="13" t="str">
        <f aca="false">IFERROR(__xludf.dummyfunction("""COMPUTED_VALUE"""),"399BCD")</f>
        <v>399BCD</v>
      </c>
      <c r="N78" s="13"/>
      <c r="O78" s="13" t="str">
        <f aca="false">IFERROR(__xludf.dummyfunction("""COMPUTED_VALUE"""),"taufeeq.akhtar@tajir-app.com")</f>
        <v>taufeeq.akhtar@tajir-app.com</v>
      </c>
      <c r="P78" s="13" t="str">
        <f aca="false">IFERROR(__xludf.dummyfunction("""COMPUTED_VALUE"""),"Taufeeq Akhtar ")</f>
        <v>Taufeeq Akhtar </v>
      </c>
      <c r="Q78" s="13" t="str">
        <f aca="false">IFERROR(__xludf.dummyfunction("""COMPUTED_VALUE"""),"[Code: 399BCD] TA:few pieces are missing in the box(dabay may say damage nikla display krtay waqt)")</f>
        <v>[Code: 399BCD] TA:few pieces are missing in the box(dabay may say damage nikla display krtay waqt)</v>
      </c>
      <c r="R78" s="13" t="str">
        <v>Fri,07-April-2023 ,08:09 PM</v>
      </c>
      <c r="S78" s="13" t="str">
        <v>Damaged Stock</v>
      </c>
    </row>
    <row r="79" customFormat="false" ht="15.75" hidden="false" customHeight="false" outlineLevel="0" collapsed="false">
      <c r="A79" s="13" t="str">
        <f aca="false">IFERROR(__xludf.dummyfunction("""COMPUTED_VALUE"""),"Metro DC Faisalabad")</f>
        <v>Metro DC Faisalabad</v>
      </c>
      <c r="B79" s="13" t="str">
        <f aca="false">IFERROR(__xludf.dummyfunction("""COMPUTED_VALUE"""),"13e1aca6-1334-4628-8642-373185a2eeb7")</f>
        <v>13e1aca6-1334-4628-8642-373185a2eeb7</v>
      </c>
      <c r="C79" s="13" t="str">
        <f aca="false">IFERROR(__xludf.dummyfunction("""COMPUTED_VALUE"""),"Shangrila Tomato Ketchup x6 Bundle 225g")</f>
        <v>Shangrila Tomato Ketchup x6 Bundle 225g</v>
      </c>
      <c r="D79" s="13" t="str">
        <f aca="false">IFERROR(__xludf.dummyfunction("""COMPUTED_VALUE"""),"Shangrila")</f>
        <v>Shangrila</v>
      </c>
      <c r="E79" s="13" t="str">
        <f aca="false">IFERROR(__xludf.dummyfunction("""COMPUTED_VALUE"""),"Sauces")</f>
        <v>Sauces</v>
      </c>
      <c r="F79" s="11" t="n">
        <f aca="false">IFERROR(__xludf.dummyfunction("""COMPUTED_VALUE"""),45023)</f>
        <v>45023</v>
      </c>
      <c r="G79" s="12" t="n">
        <f aca="false">IFERROR(__xludf.dummyfunction("""COMPUTED_VALUE"""),0.841265636574451)</f>
        <v>0.8412656366</v>
      </c>
      <c r="H79" s="13" t="str">
        <f aca="false">IFERROR(__xludf.dummyfunction("""COMPUTED_VALUE"""),"damaged stock")</f>
        <v>damaged stock</v>
      </c>
      <c r="I79" s="13" t="n">
        <f aca="false">IFERROR(__xludf.dummyfunction("""COMPUTED_VALUE"""),1)</f>
        <v>1</v>
      </c>
      <c r="J79" s="13" t="n">
        <f aca="false">IFERROR(__xludf.dummyfunction("""COMPUTED_VALUE"""),517.05)</f>
        <v>517.05</v>
      </c>
      <c r="K79" s="13" t="n">
        <f aca="false">IFERROR(__xludf.dummyfunction("""COMPUTED_VALUE"""),517.05)</f>
        <v>517.05</v>
      </c>
      <c r="L79" s="13" t="str">
        <f aca="false">IFERROR(__xludf.dummyfunction("""COMPUTED_VALUE"""),"[Code: 3469BD] TA:box may say damage nikla display krtay waqt.")</f>
        <v>[Code: 3469BD] TA:box may say damage nikla display krtay waqt.</v>
      </c>
      <c r="M79" s="13" t="str">
        <f aca="false">IFERROR(__xludf.dummyfunction("""COMPUTED_VALUE"""),"3469BD")</f>
        <v>3469BD</v>
      </c>
      <c r="N79" s="13"/>
      <c r="O79" s="13" t="str">
        <f aca="false">IFERROR(__xludf.dummyfunction("""COMPUTED_VALUE"""),"taufeeq.akhtar@tajir-app.com")</f>
        <v>taufeeq.akhtar@tajir-app.com</v>
      </c>
      <c r="P79" s="13" t="str">
        <f aca="false">IFERROR(__xludf.dummyfunction("""COMPUTED_VALUE"""),"Taufeeq Akhtar ")</f>
        <v>Taufeeq Akhtar </v>
      </c>
      <c r="Q79" s="13" t="str">
        <f aca="false">IFERROR(__xludf.dummyfunction("""COMPUTED_VALUE"""),"[Code: 3469BD] TA:box may say damage nikla display krtay waqt.")</f>
        <v>[Code: 3469BD] TA:box may say damage nikla display krtay waqt.</v>
      </c>
      <c r="R79" s="13" t="str">
        <v>Fri,07-April-2023 ,08:11 PM</v>
      </c>
      <c r="S79" s="13" t="str">
        <v>Damaged Stock</v>
      </c>
    </row>
    <row r="80" customFormat="false" ht="15.75" hidden="false" customHeight="false" outlineLevel="0" collapsed="false">
      <c r="A80" s="13" t="str">
        <f aca="false">IFERROR(__xludf.dummyfunction("""COMPUTED_VALUE"""),"Metro DC Faisalabad")</f>
        <v>Metro DC Faisalabad</v>
      </c>
      <c r="B80" s="13" t="str">
        <f aca="false">IFERROR(__xludf.dummyfunction("""COMPUTED_VALUE"""),"01c5ef82-cc7c-4e03-9b33-0f3c7b4215cf")</f>
        <v>01c5ef82-cc7c-4e03-9b33-0f3c7b4215cf</v>
      </c>
      <c r="C80" s="13" t="str">
        <f aca="false">IFERROR(__xludf.dummyfunction("""COMPUTED_VALUE"""),"Shangrila Chilli Garlic Sauce x6 Bundle 225g")</f>
        <v>Shangrila Chilli Garlic Sauce x6 Bundle 225g</v>
      </c>
      <c r="D80" s="13" t="str">
        <f aca="false">IFERROR(__xludf.dummyfunction("""COMPUTED_VALUE"""),"Shangrila")</f>
        <v>Shangrila</v>
      </c>
      <c r="E80" s="13" t="str">
        <f aca="false">IFERROR(__xludf.dummyfunction("""COMPUTED_VALUE"""),"Sauces")</f>
        <v>Sauces</v>
      </c>
      <c r="F80" s="11" t="n">
        <f aca="false">IFERROR(__xludf.dummyfunction("""COMPUTED_VALUE"""),45023)</f>
        <v>45023</v>
      </c>
      <c r="G80" s="12" t="n">
        <f aca="false">IFERROR(__xludf.dummyfunction("""COMPUTED_VALUE"""),0.842612488427284)</f>
        <v>0.8426124884</v>
      </c>
      <c r="H80" s="13" t="str">
        <f aca="false">IFERROR(__xludf.dummyfunction("""COMPUTED_VALUE"""),"damaged stock")</f>
        <v>damaged stock</v>
      </c>
      <c r="I80" s="13" t="n">
        <f aca="false">IFERROR(__xludf.dummyfunction("""COMPUTED_VALUE"""),1)</f>
        <v>1</v>
      </c>
      <c r="J80" s="13" t="n">
        <f aca="false">IFERROR(__xludf.dummyfunction("""COMPUTED_VALUE"""),517.05)</f>
        <v>517.05</v>
      </c>
      <c r="K80" s="13" t="n">
        <f aca="false">IFERROR(__xludf.dummyfunction("""COMPUTED_VALUE"""),517.05)</f>
        <v>517.05</v>
      </c>
      <c r="L80" s="13" t="str">
        <f aca="false">IFERROR(__xludf.dummyfunction("""COMPUTED_VALUE"""),"[Code: 455579] TA:box may say damage nikla jab display kr rahay thay.")</f>
        <v>[Code: 455579] TA:box may say damage nikla jab display kr rahay thay.</v>
      </c>
      <c r="M80" s="13" t="str">
        <f aca="false">IFERROR(__xludf.dummyfunction("""COMPUTED_VALUE"""),"455579")</f>
        <v>455579</v>
      </c>
      <c r="N80" s="13"/>
      <c r="O80" s="13" t="str">
        <f aca="false">IFERROR(__xludf.dummyfunction("""COMPUTED_VALUE"""),"taufeeq.akhtar@tajir-app.com")</f>
        <v>taufeeq.akhtar@tajir-app.com</v>
      </c>
      <c r="P80" s="13" t="str">
        <f aca="false">IFERROR(__xludf.dummyfunction("""COMPUTED_VALUE"""),"Taufeeq Akhtar ")</f>
        <v>Taufeeq Akhtar </v>
      </c>
      <c r="Q80" s="13" t="str">
        <f aca="false">IFERROR(__xludf.dummyfunction("""COMPUTED_VALUE"""),"[Code: 455579] TA:box may say damage nikla jab display kr rahay thay.")</f>
        <v>[Code: 455579] TA:box may say damage nikla jab display kr rahay thay.</v>
      </c>
      <c r="R80" s="13" t="str">
        <v>Fri,07-April-2023 ,08:13 PM</v>
      </c>
      <c r="S80" s="13" t="str">
        <v>Damaged Stock</v>
      </c>
    </row>
    <row r="81" customFormat="false" ht="15.75" hidden="false" customHeight="false" outlineLevel="0" collapsed="false">
      <c r="A81" s="13" t="str">
        <f aca="false">IFERROR(__xludf.dummyfunction("""COMPUTED_VALUE"""),"Metro DC Faisalabad")</f>
        <v>Metro DC Faisalabad</v>
      </c>
      <c r="B81" s="13" t="str">
        <f aca="false">IFERROR(__xludf.dummyfunction("""COMPUTED_VALUE"""),"3951e68d-8cd5-48c2-ba36-322050c21998")</f>
        <v>3951e68d-8cd5-48c2-ba36-322050c21998</v>
      </c>
      <c r="C81" s="13" t="str">
        <f aca="false">IFERROR(__xludf.dummyfunction("""COMPUTED_VALUE"""),"Sherdil Dal Mash Wash 1kg")</f>
        <v>Sherdil Dal Mash Wash 1kg</v>
      </c>
      <c r="D81" s="13" t="str">
        <f aca="false">IFERROR(__xludf.dummyfunction("""COMPUTED_VALUE"""),"Sherdil")</f>
        <v>Sherdil</v>
      </c>
      <c r="E81" s="13" t="str">
        <f aca="false">IFERROR(__xludf.dummyfunction("""COMPUTED_VALUE"""),"Pulses")</f>
        <v>Pulses</v>
      </c>
      <c r="F81" s="11" t="n">
        <f aca="false">IFERROR(__xludf.dummyfunction("""COMPUTED_VALUE"""),45025)</f>
        <v>45025</v>
      </c>
      <c r="G81" s="12" t="n">
        <f aca="false">IFERROR(__xludf.dummyfunction("""COMPUTED_VALUE"""),0.0575479976840749)</f>
        <v>0.05754799768</v>
      </c>
      <c r="H81" s="13" t="str">
        <f aca="false">IFERROR(__xludf.dummyfunction("""COMPUTED_VALUE"""),"damaged stock")</f>
        <v>damaged stock</v>
      </c>
      <c r="I81" s="13" t="n">
        <f aca="false">IFERROR(__xludf.dummyfunction("""COMPUTED_VALUE"""),2)</f>
        <v>2</v>
      </c>
      <c r="J81" s="13" t="n">
        <f aca="false">IFERROR(__xludf.dummyfunction("""COMPUTED_VALUE"""),497)</f>
        <v>497</v>
      </c>
      <c r="K81" s="13" t="n">
        <f aca="false">IFERROR(__xludf.dummyfunction("""COMPUTED_VALUE"""),994)</f>
        <v>994</v>
      </c>
      <c r="L81" s="13" t="str">
        <f aca="false">IFERROR(__xludf.dummyfunction("""COMPUTED_VALUE"""),"[Code: 55788A] TA: quality sahi nahi hay smell arahi hay aur ulli lagi hay ")</f>
        <v>[Code: 55788A] TA: quality sahi nahi hay smell arahi hay aur ulli lagi hay </v>
      </c>
      <c r="M81" s="13" t="str">
        <f aca="false">IFERROR(__xludf.dummyfunction("""COMPUTED_VALUE"""),"55788A")</f>
        <v>55788A</v>
      </c>
      <c r="N81" s="13"/>
      <c r="O81" s="13" t="str">
        <f aca="false">IFERROR(__xludf.dummyfunction("""COMPUTED_VALUE"""),"taufeeq.akhtar@tajir-app.com")</f>
        <v>taufeeq.akhtar@tajir-app.com</v>
      </c>
      <c r="P81" s="13" t="str">
        <f aca="false">IFERROR(__xludf.dummyfunction("""COMPUTED_VALUE"""),"Taufeeq Akhtar ")</f>
        <v>Taufeeq Akhtar </v>
      </c>
      <c r="Q81" s="13" t="str">
        <f aca="false">IFERROR(__xludf.dummyfunction("""COMPUTED_VALUE"""),"[Code: 55788A] TA: quality sahi nahi hay smell arahi hay aur ulli lagi hay ")</f>
        <v>[Code: 55788A] TA: quality sahi nahi hay smell arahi hay aur ulli lagi hay </v>
      </c>
      <c r="R81" s="13" t="str">
        <v>Sun,09-April-2023 ,01:22 AM</v>
      </c>
      <c r="S81" s="13" t="str">
        <v>Damaged Stock</v>
      </c>
    </row>
    <row r="82" customFormat="false" ht="15.75" hidden="false" customHeight="false" outlineLevel="0" collapsed="false">
      <c r="A82" s="13" t="str">
        <f aca="false">IFERROR(__xludf.dummyfunction("""COMPUTED_VALUE"""),"Metro DC Faisalabad")</f>
        <v>Metro DC Faisalabad</v>
      </c>
      <c r="B82" s="13" t="str">
        <f aca="false">IFERROR(__xludf.dummyfunction("""COMPUTED_VALUE"""),"44f4762f-5274-4866-a30e-c35aa97fb23e")</f>
        <v>44f4762f-5274-4866-a30e-c35aa97fb23e</v>
      </c>
      <c r="C82" s="13" t="str">
        <f aca="false">IFERROR(__xludf.dummyfunction("""COMPUTED_VALUE"""),"Bonus tristar yellow surf 250g Rs50")</f>
        <v>Bonus tristar yellow surf 250g Rs50</v>
      </c>
      <c r="D82" s="13" t="str">
        <f aca="false">IFERROR(__xludf.dummyfunction("""COMPUTED_VALUE"""),"Bonus Surf")</f>
        <v>Bonus Surf</v>
      </c>
      <c r="E82" s="13" t="str">
        <f aca="false">IFERROR(__xludf.dummyfunction("""COMPUTED_VALUE"""),"Surf, Bleach")</f>
        <v>Surf, Bleach</v>
      </c>
      <c r="F82" s="11" t="n">
        <f aca="false">IFERROR(__xludf.dummyfunction("""COMPUTED_VALUE"""),45026)</f>
        <v>45026</v>
      </c>
      <c r="G82" s="12" t="n">
        <f aca="false">IFERROR(__xludf.dummyfunction("""COMPUTED_VALUE"""),0.874888090276188)</f>
        <v>0.8748880903</v>
      </c>
      <c r="H82" s="13" t="str">
        <f aca="false">IFERROR(__xludf.dummyfunction("""COMPUTED_VALUE"""),"damaged stock")</f>
        <v>damaged stock</v>
      </c>
      <c r="I82" s="13" t="n">
        <f aca="false">IFERROR(__xludf.dummyfunction("""COMPUTED_VALUE"""),2)</f>
        <v>2</v>
      </c>
      <c r="J82" s="13" t="n">
        <f aca="false">IFERROR(__xludf.dummyfunction("""COMPUTED_VALUE"""),45.59)</f>
        <v>45.59</v>
      </c>
      <c r="K82" s="13" t="n">
        <f aca="false">IFERROR(__xludf.dummyfunction("""COMPUTED_VALUE"""),91.18)</f>
        <v>91.18</v>
      </c>
      <c r="L82" s="13" t="str">
        <f aca="false">IFERROR(__xludf.dummyfunction("""COMPUTED_VALUE"""),"[Code: 223568] TA:bag may say damage niklay ")</f>
        <v>[Code: 223568] TA:bag may say damage niklay </v>
      </c>
      <c r="M82" s="13" t="str">
        <f aca="false">IFERROR(__xludf.dummyfunction("""COMPUTED_VALUE"""),"223568")</f>
        <v>223568</v>
      </c>
      <c r="N82" s="13"/>
      <c r="O82" s="13" t="str">
        <f aca="false">IFERROR(__xludf.dummyfunction("""COMPUTED_VALUE"""),"taufeeq.akhtar@tajir-app.com")</f>
        <v>taufeeq.akhtar@tajir-app.com</v>
      </c>
      <c r="P82" s="13" t="str">
        <f aca="false">IFERROR(__xludf.dummyfunction("""COMPUTED_VALUE"""),"Taufeeq Akhtar ")</f>
        <v>Taufeeq Akhtar </v>
      </c>
      <c r="Q82" s="13" t="str">
        <f aca="false">IFERROR(__xludf.dummyfunction("""COMPUTED_VALUE"""),"[Code: 223568] TA:bag may say damage niklay ")</f>
        <v>[Code: 223568] TA:bag may say damage niklay </v>
      </c>
      <c r="R82" s="13" t="str">
        <v>Mon,10-April-2023 ,08:59 PM</v>
      </c>
      <c r="S82" s="13" t="str">
        <v>Damaged Stock</v>
      </c>
    </row>
    <row r="83" customFormat="false" ht="15.75" hidden="false" customHeight="false" outlineLevel="0" collapsed="false">
      <c r="A83" s="13" t="str">
        <f aca="false">IFERROR(__xludf.dummyfunction("""COMPUTED_VALUE"""),"Metro DC Faisalabad")</f>
        <v>Metro DC Faisalabad</v>
      </c>
      <c r="B83" s="13" t="str">
        <f aca="false">IFERROR(__xludf.dummyfunction("""COMPUTED_VALUE"""),"596a4a6b-0ee1-4779-99e1-70f9bc3da938")</f>
        <v>596a4a6b-0ee1-4779-99e1-70f9bc3da938</v>
      </c>
      <c r="C83" s="13" t="str">
        <f aca="false">IFERROR(__xludf.dummyfunction("""COMPUTED_VALUE"""),"Bonus tristar yellow surf 470g Rs99")</f>
        <v>Bonus tristar yellow surf 470g Rs99</v>
      </c>
      <c r="D83" s="13" t="str">
        <f aca="false">IFERROR(__xludf.dummyfunction("""COMPUTED_VALUE"""),"Bonus Surf")</f>
        <v>Bonus Surf</v>
      </c>
      <c r="E83" s="13" t="str">
        <f aca="false">IFERROR(__xludf.dummyfunction("""COMPUTED_VALUE"""),"Surf, Bleach")</f>
        <v>Surf, Bleach</v>
      </c>
      <c r="F83" s="11" t="n">
        <f aca="false">IFERROR(__xludf.dummyfunction("""COMPUTED_VALUE"""),45026)</f>
        <v>45026</v>
      </c>
      <c r="G83" s="12" t="n">
        <f aca="false">IFERROR(__xludf.dummyfunction("""COMPUTED_VALUE"""),0.876152800924568)</f>
        <v>0.8761528009</v>
      </c>
      <c r="H83" s="13" t="str">
        <f aca="false">IFERROR(__xludf.dummyfunction("""COMPUTED_VALUE"""),"damaged stock")</f>
        <v>damaged stock</v>
      </c>
      <c r="I83" s="13" t="n">
        <f aca="false">IFERROR(__xludf.dummyfunction("""COMPUTED_VALUE"""),2)</f>
        <v>2</v>
      </c>
      <c r="J83" s="13" t="n">
        <f aca="false">IFERROR(__xludf.dummyfunction("""COMPUTED_VALUE"""),90.08)</f>
        <v>90.08</v>
      </c>
      <c r="K83" s="13" t="n">
        <f aca="false">IFERROR(__xludf.dummyfunction("""COMPUTED_VALUE"""),180.16)</f>
        <v>180.16</v>
      </c>
      <c r="L83" s="13" t="str">
        <f aca="false">IFERROR(__xludf.dummyfunction("""COMPUTED_VALUE"""),"[Code: 225566] TA: bag may say damage niklay hay.")</f>
        <v>[Code: 225566] TA: bag may say damage niklay hay.</v>
      </c>
      <c r="M83" s="13" t="str">
        <f aca="false">IFERROR(__xludf.dummyfunction("""COMPUTED_VALUE"""),"225566")</f>
        <v>225566</v>
      </c>
      <c r="N83" s="13"/>
      <c r="O83" s="13" t="str">
        <f aca="false">IFERROR(__xludf.dummyfunction("""COMPUTED_VALUE"""),"taufeeq.akhtar@tajir-app.com")</f>
        <v>taufeeq.akhtar@tajir-app.com</v>
      </c>
      <c r="P83" s="13" t="str">
        <f aca="false">IFERROR(__xludf.dummyfunction("""COMPUTED_VALUE"""),"Taufeeq Akhtar ")</f>
        <v>Taufeeq Akhtar </v>
      </c>
      <c r="Q83" s="13" t="str">
        <f aca="false">IFERROR(__xludf.dummyfunction("""COMPUTED_VALUE"""),"[Code: 225566] TA: bag may say damage niklay hay.")</f>
        <v>[Code: 225566] TA: bag may say damage niklay hay.</v>
      </c>
      <c r="R83" s="13" t="str">
        <v>Mon,10-April-2023 ,09:01 PM</v>
      </c>
      <c r="S83" s="13" t="str">
        <v>Damaged Stock</v>
      </c>
    </row>
    <row r="84" customFormat="false" ht="15.75" hidden="false" customHeight="false" outlineLevel="0" collapsed="false">
      <c r="A84" s="13" t="str">
        <f aca="false">IFERROR(__xludf.dummyfunction("""COMPUTED_VALUE"""),"Metro DC Faisalabad")</f>
        <v>Metro DC Faisalabad</v>
      </c>
      <c r="B84" s="13" t="str">
        <f aca="false">IFERROR(__xludf.dummyfunction("""COMPUTED_VALUE"""),"6c568402-1788-466b-8f61-43acc83fa9d1")</f>
        <v>6c568402-1788-466b-8f61-43acc83fa9d1</v>
      </c>
      <c r="C84" s="13" t="str">
        <f aca="false">IFERROR(__xludf.dummyfunction("""COMPUTED_VALUE"""),"Sherdil White Chana Mota 5kg")</f>
        <v>Sherdil White Chana Mota 5kg</v>
      </c>
      <c r="D84" s="13" t="str">
        <f aca="false">IFERROR(__xludf.dummyfunction("""COMPUTED_VALUE"""),"Sherdil")</f>
        <v>Sherdil</v>
      </c>
      <c r="E84" s="13" t="str">
        <f aca="false">IFERROR(__xludf.dummyfunction("""COMPUTED_VALUE"""),"Pulses")</f>
        <v>Pulses</v>
      </c>
      <c r="F84" s="11" t="n">
        <f aca="false">IFERROR(__xludf.dummyfunction("""COMPUTED_VALUE"""),45027)</f>
        <v>45027</v>
      </c>
      <c r="G84" s="12" t="n">
        <f aca="false">IFERROR(__xludf.dummyfunction("""COMPUTED_VALUE"""),0.641359594906874)</f>
        <v>0.6413595949</v>
      </c>
      <c r="H84" s="13" t="str">
        <f aca="false">IFERROR(__xludf.dummyfunction("""COMPUTED_VALUE"""),"damaged stock")</f>
        <v>damaged stock</v>
      </c>
      <c r="I84" s="13" t="n">
        <f aca="false">IFERROR(__xludf.dummyfunction("""COMPUTED_VALUE"""),1)</f>
        <v>1</v>
      </c>
      <c r="J84" s="13" t="n">
        <f aca="false">IFERROR(__xludf.dummyfunction("""COMPUTED_VALUE"""),1682)</f>
        <v>1682</v>
      </c>
      <c r="K84" s="13" t="n">
        <f aca="false">IFERROR(__xludf.dummyfunction("""COMPUTED_VALUE"""),1682)</f>
        <v>1682</v>
      </c>
      <c r="L84" s="13" t="str">
        <f aca="false">IFERROR(__xludf.dummyfunction("""COMPUTED_VALUE"""),"[Code: 5567AB] Damaged due to insects ")</f>
        <v>[Code: 5567AB] Damaged due to insects </v>
      </c>
      <c r="M84" s="13" t="str">
        <f aca="false">IFERROR(__xludf.dummyfunction("""COMPUTED_VALUE"""),"5567AB")</f>
        <v>5567AB</v>
      </c>
      <c r="N84" s="13"/>
      <c r="O84" s="13" t="str">
        <f aca="false">IFERROR(__xludf.dummyfunction("""COMPUTED_VALUE"""),"ali.raza@tajir-app.com")</f>
        <v>ali.raza@tajir-app.com</v>
      </c>
      <c r="P84" s="13" t="str">
        <f aca="false">IFERROR(__xludf.dummyfunction("""COMPUTED_VALUE"""),"Ali Raza ")</f>
        <v>Ali Raza </v>
      </c>
      <c r="Q84" s="13" t="str">
        <f aca="false">IFERROR(__xludf.dummyfunction("""COMPUTED_VALUE"""),"[Code: 5567AB] Damaged due to insects ")</f>
        <v>[Code: 5567AB] Damaged due to insects </v>
      </c>
      <c r="R84" s="13" t="str">
        <v>Tue,11-April-2023 ,03:23 PM</v>
      </c>
      <c r="S84" s="13" t="str">
        <v>Damaged Stock</v>
      </c>
    </row>
    <row r="85" customFormat="false" ht="15.75" hidden="false" customHeight="false" outlineLevel="0" collapsed="false">
      <c r="A85" s="13" t="str">
        <f aca="false">IFERROR(__xludf.dummyfunction("""COMPUTED_VALUE"""),"Metro DC Faisalabad")</f>
        <v>Metro DC Faisalabad</v>
      </c>
      <c r="B85" s="13" t="str">
        <f aca="false">IFERROR(__xludf.dummyfunction("""COMPUTED_VALUE"""),"6c568402-1788-466b-8f61-43acc83fa9d1")</f>
        <v>6c568402-1788-466b-8f61-43acc83fa9d1</v>
      </c>
      <c r="C85" s="13" t="str">
        <f aca="false">IFERROR(__xludf.dummyfunction("""COMPUTED_VALUE"""),"Sherdil White Chana Mota 5kg")</f>
        <v>Sherdil White Chana Mota 5kg</v>
      </c>
      <c r="D85" s="13" t="str">
        <f aca="false">IFERROR(__xludf.dummyfunction("""COMPUTED_VALUE"""),"Sherdil")</f>
        <v>Sherdil</v>
      </c>
      <c r="E85" s="13" t="str">
        <f aca="false">IFERROR(__xludf.dummyfunction("""COMPUTED_VALUE"""),"Pulses")</f>
        <v>Pulses</v>
      </c>
      <c r="F85" s="11" t="n">
        <f aca="false">IFERROR(__xludf.dummyfunction("""COMPUTED_VALUE"""),45027)</f>
        <v>45027</v>
      </c>
      <c r="G85" s="12" t="n">
        <f aca="false">IFERROR(__xludf.dummyfunction("""COMPUTED_VALUE"""),0.653216516205181)</f>
        <v>0.6532165162</v>
      </c>
      <c r="H85" s="13" t="str">
        <f aca="false">IFERROR(__xludf.dummyfunction("""COMPUTED_VALUE"""),"damaged stock")</f>
        <v>damaged stock</v>
      </c>
      <c r="I85" s="13" t="n">
        <f aca="false">IFERROR(__xludf.dummyfunction("""COMPUTED_VALUE"""),6)</f>
        <v>6</v>
      </c>
      <c r="J85" s="13" t="n">
        <f aca="false">IFERROR(__xludf.dummyfunction("""COMPUTED_VALUE"""),1682)</f>
        <v>1682</v>
      </c>
      <c r="K85" s="13" t="n">
        <f aca="false">IFERROR(__xludf.dummyfunction("""COMPUTED_VALUE"""),10092)</f>
        <v>10092</v>
      </c>
      <c r="L85" s="13" t="str">
        <f aca="false">IFERROR(__xludf.dummyfunction("""COMPUTED_VALUE"""),"[Code: 2344AB] Damaged due to insects ")</f>
        <v>[Code: 2344AB] Damaged due to insects </v>
      </c>
      <c r="M85" s="13" t="str">
        <f aca="false">IFERROR(__xludf.dummyfunction("""COMPUTED_VALUE"""),"2344AB")</f>
        <v>2344AB</v>
      </c>
      <c r="N85" s="13"/>
      <c r="O85" s="13" t="str">
        <f aca="false">IFERROR(__xludf.dummyfunction("""COMPUTED_VALUE"""),"ali.raza@tajir-app.com")</f>
        <v>ali.raza@tajir-app.com</v>
      </c>
      <c r="P85" s="13" t="str">
        <f aca="false">IFERROR(__xludf.dummyfunction("""COMPUTED_VALUE"""),"Ali Raza ")</f>
        <v>Ali Raza </v>
      </c>
      <c r="Q85" s="13" t="str">
        <f aca="false">IFERROR(__xludf.dummyfunction("""COMPUTED_VALUE"""),"[Code: 2344AB] Damaged due to insects ")</f>
        <v>[Code: 2344AB] Damaged due to insects </v>
      </c>
      <c r="R85" s="13" t="str">
        <v>Tue,11-April-2023 ,03:40 PM</v>
      </c>
      <c r="S85" s="13" t="str">
        <v>Damaged Stock</v>
      </c>
    </row>
    <row r="86" customFormat="false" ht="15.75" hidden="false" customHeight="false" outlineLevel="0" collapsed="false">
      <c r="A86" s="13" t="str">
        <f aca="false">IFERROR(__xludf.dummyfunction("""COMPUTED_VALUE"""),"Metro DC Faisalabad")</f>
        <v>Metro DC Faisalabad</v>
      </c>
      <c r="B86" s="13" t="str">
        <f aca="false">IFERROR(__xludf.dummyfunction("""COMPUTED_VALUE"""),"cd68a607-af95-45cb-b9f4-2721224c85f8")</f>
        <v>cd68a607-af95-45cb-b9f4-2721224c85f8</v>
      </c>
      <c r="C86" s="13" t="str">
        <f aca="false">IFERROR(__xludf.dummyfunction("""COMPUTED_VALUE"""),"Coca Cola plastic 1.5L")</f>
        <v>Coca Cola plastic 1.5L</v>
      </c>
      <c r="D86" s="13" t="str">
        <f aca="false">IFERROR(__xludf.dummyfunction("""COMPUTED_VALUE"""),"Coca Cola")</f>
        <v>Coca Cola</v>
      </c>
      <c r="E86" s="13" t="str">
        <f aca="false">IFERROR(__xludf.dummyfunction("""COMPUTED_VALUE"""),"Beverages")</f>
        <v>Beverages</v>
      </c>
      <c r="F86" s="11" t="n">
        <f aca="false">IFERROR(__xludf.dummyfunction("""COMPUTED_VALUE"""),45030)</f>
        <v>45030</v>
      </c>
      <c r="G86" s="12" t="n">
        <f aca="false">IFERROR(__xludf.dummyfunction("""COMPUTED_VALUE"""),0.650818425927597)</f>
        <v>0.6508184259</v>
      </c>
      <c r="H86" s="13" t="str">
        <f aca="false">IFERROR(__xludf.dummyfunction("""COMPUTED_VALUE"""),"damaged stock")</f>
        <v>damaged stock</v>
      </c>
      <c r="I86" s="13" t="n">
        <f aca="false">IFERROR(__xludf.dummyfunction("""COMPUTED_VALUE"""),1)</f>
        <v>1</v>
      </c>
      <c r="J86" s="13" t="n">
        <f aca="false">IFERROR(__xludf.dummyfunction("""COMPUTED_VALUE"""),744)</f>
        <v>744</v>
      </c>
      <c r="K86" s="13" t="n">
        <f aca="false">IFERROR(__xludf.dummyfunction("""COMPUTED_VALUE"""),744)</f>
        <v>744</v>
      </c>
      <c r="L86" s="13" t="str">
        <f aca="false">IFERROR(__xludf.dummyfunction("""COMPUTED_VALUE"""),"[Code: 45CDFG] TA; Sorting Ky Doran stock sy lose bottel mili hain.")</f>
        <v>[Code: 45CDFG] TA; Sorting Ky Doran stock sy lose bottel mili hain.</v>
      </c>
      <c r="M86" s="13" t="str">
        <f aca="false">IFERROR(__xludf.dummyfunction("""COMPUTED_VALUE"""),"45CDFG")</f>
        <v>45CDFG</v>
      </c>
      <c r="N86" s="13"/>
      <c r="O86" s="13" t="str">
        <f aca="false">IFERROR(__xludf.dummyfunction("""COMPUTED_VALUE"""),"taufeeq.akhtar@tajir-app.com")</f>
        <v>taufeeq.akhtar@tajir-app.com</v>
      </c>
      <c r="P86" s="13" t="str">
        <f aca="false">IFERROR(__xludf.dummyfunction("""COMPUTED_VALUE"""),"Taufeeq Akhtar ")</f>
        <v>Taufeeq Akhtar </v>
      </c>
      <c r="Q86" s="13" t="str">
        <f aca="false">IFERROR(__xludf.dummyfunction("""COMPUTED_VALUE"""),"[Code: 45CDFG] TA; Sorting Ky Doran stock sy lose bottel mili hain.")</f>
        <v>[Code: 45CDFG] TA; Sorting Ky Doran stock sy lose bottel mili hain.</v>
      </c>
      <c r="R86" s="13" t="str">
        <v>Fri,14-April-2023 ,03:37 PM</v>
      </c>
      <c r="S86" s="13" t="str">
        <v>Damaged Stock</v>
      </c>
    </row>
    <row r="87" customFormat="false" ht="15.75" hidden="false" customHeight="false" outlineLevel="0" collapsed="false">
      <c r="A87" s="13" t="str">
        <f aca="false">IFERROR(__xludf.dummyfunction("""COMPUTED_VALUE"""),"Metro DC Faisalabad")</f>
        <v>Metro DC Faisalabad</v>
      </c>
      <c r="B87" s="13" t="str">
        <f aca="false">IFERROR(__xludf.dummyfunction("""COMPUTED_VALUE"""),"3ca26ff3-6c29-479e-9638-f97023a3c91a")</f>
        <v>3ca26ff3-6c29-479e-9638-f97023a3c91a</v>
      </c>
      <c r="C87" s="13" t="str">
        <f aca="false">IFERROR(__xludf.dummyfunction("""COMPUTED_VALUE"""),"Shahi Dal Moth Rs50")</f>
        <v>Shahi Dal Moth Rs50</v>
      </c>
      <c r="D87" s="13" t="str">
        <f aca="false">IFERROR(__xludf.dummyfunction("""COMPUTED_VALUE"""),"Shahi")</f>
        <v>Shahi</v>
      </c>
      <c r="E87" s="13" t="str">
        <f aca="false">IFERROR(__xludf.dummyfunction("""COMPUTED_VALUE"""),"Snacks")</f>
        <v>Snacks</v>
      </c>
      <c r="F87" s="11" t="n">
        <f aca="false">IFERROR(__xludf.dummyfunction("""COMPUTED_VALUE"""),45031)</f>
        <v>45031</v>
      </c>
      <c r="G87" s="12" t="n">
        <f aca="false">IFERROR(__xludf.dummyfunction("""COMPUTED_VALUE"""),0.623090405093644)</f>
        <v>0.6230904051</v>
      </c>
      <c r="H87" s="13" t="str">
        <f aca="false">IFERROR(__xludf.dummyfunction("""COMPUTED_VALUE"""),"damaged stock")</f>
        <v>damaged stock</v>
      </c>
      <c r="I87" s="13" t="n">
        <f aca="false">IFERROR(__xludf.dummyfunction("""COMPUTED_VALUE"""),4)</f>
        <v>4</v>
      </c>
      <c r="J87" s="13" t="n">
        <f aca="false">IFERROR(__xludf.dummyfunction("""COMPUTED_VALUE"""),36.81)</f>
        <v>36.81</v>
      </c>
      <c r="K87" s="13" t="n">
        <f aca="false">IFERROR(__xludf.dummyfunction("""COMPUTED_VALUE"""),147.24)</f>
        <v>147.24</v>
      </c>
      <c r="L87" s="13" t="str">
        <f aca="false">IFERROR(__xludf.dummyfunction("""COMPUTED_VALUE"""),"[Code: 34558A] 4 selling units are air less")</f>
        <v>[Code: 34558A] 4 selling units are air less</v>
      </c>
      <c r="M87" s="13" t="str">
        <f aca="false">IFERROR(__xludf.dummyfunction("""COMPUTED_VALUE"""),"34558A")</f>
        <v>34558A</v>
      </c>
      <c r="N87" s="13"/>
      <c r="O87" s="13" t="str">
        <f aca="false">IFERROR(__xludf.dummyfunction("""COMPUTED_VALUE"""),"ali.raza@tajir-app.com")</f>
        <v>ali.raza@tajir-app.com</v>
      </c>
      <c r="P87" s="13" t="str">
        <f aca="false">IFERROR(__xludf.dummyfunction("""COMPUTED_VALUE"""),"Ali Raza ")</f>
        <v>Ali Raza </v>
      </c>
      <c r="Q87" s="13" t="str">
        <f aca="false">IFERROR(__xludf.dummyfunction("""COMPUTED_VALUE"""),"[Code: 34558A] 4 selling units are air less")</f>
        <v>[Code: 34558A] 4 selling units are air less</v>
      </c>
      <c r="R87" s="13" t="str">
        <v>Sat,15-April-2023 ,02:57 PM</v>
      </c>
      <c r="S87" s="13" t="str">
        <v>Damaged Stock</v>
      </c>
    </row>
    <row r="88" customFormat="false" ht="15.75" hidden="false" customHeight="false" outlineLevel="0" collapsed="false">
      <c r="A88" s="13" t="str">
        <f aca="false">IFERROR(__xludf.dummyfunction("""COMPUTED_VALUE"""),"Metro DC Faisalabad")</f>
        <v>Metro DC Faisalabad</v>
      </c>
      <c r="B88" s="13" t="str">
        <f aca="false">IFERROR(__xludf.dummyfunction("""COMPUTED_VALUE"""),"7dc0ccc5-ac25-4572-8029-9945f3c5533c")</f>
        <v>7dc0ccc5-ac25-4572-8029-9945f3c5533c</v>
      </c>
      <c r="C88" s="13" t="str">
        <f aca="false">IFERROR(__xludf.dummyfunction("""COMPUTED_VALUE"""),"Shahi Dal Moth Rs100")</f>
        <v>Shahi Dal Moth Rs100</v>
      </c>
      <c r="D88" s="13" t="str">
        <f aca="false">IFERROR(__xludf.dummyfunction("""COMPUTED_VALUE"""),"Shahi")</f>
        <v>Shahi</v>
      </c>
      <c r="E88" s="13" t="str">
        <f aca="false">IFERROR(__xludf.dummyfunction("""COMPUTED_VALUE"""),"Snacks")</f>
        <v>Snacks</v>
      </c>
      <c r="F88" s="11" t="n">
        <f aca="false">IFERROR(__xludf.dummyfunction("""COMPUTED_VALUE"""),45031)</f>
        <v>45031</v>
      </c>
      <c r="G88" s="12" t="n">
        <f aca="false">IFERROR(__xludf.dummyfunction("""COMPUTED_VALUE"""),0.6235146990743)</f>
        <v>0.6235146991</v>
      </c>
      <c r="H88" s="13" t="str">
        <f aca="false">IFERROR(__xludf.dummyfunction("""COMPUTED_VALUE"""),"damaged stock")</f>
        <v>damaged stock</v>
      </c>
      <c r="I88" s="13" t="n">
        <f aca="false">IFERROR(__xludf.dummyfunction("""COMPUTED_VALUE"""),3)</f>
        <v>3</v>
      </c>
      <c r="J88" s="13" t="n">
        <f aca="false">IFERROR(__xludf.dummyfunction("""COMPUTED_VALUE"""),70.91)</f>
        <v>70.91</v>
      </c>
      <c r="K88" s="13" t="n">
        <f aca="false">IFERROR(__xludf.dummyfunction("""COMPUTED_VALUE"""),212.73)</f>
        <v>212.73</v>
      </c>
      <c r="L88" s="13" t="str">
        <f aca="false">IFERROR(__xludf.dummyfunction("""COMPUTED_VALUE"""),"[Code: 245579] 03 selling units are air less")</f>
        <v>[Code: 245579] 03 selling units are air less</v>
      </c>
      <c r="M88" s="13" t="str">
        <f aca="false">IFERROR(__xludf.dummyfunction("""COMPUTED_VALUE"""),"245579")</f>
        <v>245579</v>
      </c>
      <c r="N88" s="13"/>
      <c r="O88" s="13" t="str">
        <f aca="false">IFERROR(__xludf.dummyfunction("""COMPUTED_VALUE"""),"ali.raza@tajir-app.com")</f>
        <v>ali.raza@tajir-app.com</v>
      </c>
      <c r="P88" s="13" t="str">
        <f aca="false">IFERROR(__xludf.dummyfunction("""COMPUTED_VALUE"""),"Ali Raza ")</f>
        <v>Ali Raza </v>
      </c>
      <c r="Q88" s="13" t="str">
        <f aca="false">IFERROR(__xludf.dummyfunction("""COMPUTED_VALUE"""),"[Code: 245579] 03 selling units are air less")</f>
        <v>[Code: 245579] 03 selling units are air less</v>
      </c>
      <c r="R88" s="13" t="str">
        <v>Sat,15-April-2023 ,02:57 PM</v>
      </c>
      <c r="S88" s="13" t="str">
        <v>Damaged Stock</v>
      </c>
    </row>
    <row r="89" customFormat="false" ht="15.75" hidden="false" customHeight="false" outlineLevel="0" collapsed="false">
      <c r="A89" s="13" t="str">
        <f aca="false">IFERROR(__xludf.dummyfunction("""COMPUTED_VALUE"""),"Metro DC Faisalabad")</f>
        <v>Metro DC Faisalabad</v>
      </c>
      <c r="B89" s="13" t="str">
        <f aca="false">IFERROR(__xludf.dummyfunction("""COMPUTED_VALUE"""),"dd6c0c77-07ca-4d2d-a074-d372fbb30d0f")</f>
        <v>dd6c0c77-07ca-4d2d-a074-d372fbb30d0f</v>
      </c>
      <c r="C89" s="13" t="str">
        <f aca="false">IFERROR(__xludf.dummyfunction("""COMPUTED_VALUE"""),"Shahi Dal Moong Rs50")</f>
        <v>Shahi Dal Moong Rs50</v>
      </c>
      <c r="D89" s="13" t="str">
        <f aca="false">IFERROR(__xludf.dummyfunction("""COMPUTED_VALUE"""),"Shahi")</f>
        <v>Shahi</v>
      </c>
      <c r="E89" s="13" t="str">
        <f aca="false">IFERROR(__xludf.dummyfunction("""COMPUTED_VALUE"""),"Snacks")</f>
        <v>Snacks</v>
      </c>
      <c r="F89" s="11" t="n">
        <f aca="false">IFERROR(__xludf.dummyfunction("""COMPUTED_VALUE"""),45031)</f>
        <v>45031</v>
      </c>
      <c r="G89" s="12" t="n">
        <f aca="false">IFERROR(__xludf.dummyfunction("""COMPUTED_VALUE"""),0.624616678239701)</f>
        <v>0.6246166782</v>
      </c>
      <c r="H89" s="13" t="str">
        <f aca="false">IFERROR(__xludf.dummyfunction("""COMPUTED_VALUE"""),"damaged stock")</f>
        <v>damaged stock</v>
      </c>
      <c r="I89" s="13" t="n">
        <f aca="false">IFERROR(__xludf.dummyfunction("""COMPUTED_VALUE"""),4)</f>
        <v>4</v>
      </c>
      <c r="J89" s="13" t="n">
        <f aca="false">IFERROR(__xludf.dummyfunction("""COMPUTED_VALUE"""),36.81)</f>
        <v>36.81</v>
      </c>
      <c r="K89" s="13" t="n">
        <f aca="false">IFERROR(__xludf.dummyfunction("""COMPUTED_VALUE"""),147.24)</f>
        <v>147.24</v>
      </c>
      <c r="L89" s="13" t="str">
        <f aca="false">IFERROR(__xludf.dummyfunction("""COMPUTED_VALUE"""),"[Code: 56BCEF] 04 selling units are air less")</f>
        <v>[Code: 56BCEF] 04 selling units are air less</v>
      </c>
      <c r="M89" s="13" t="str">
        <f aca="false">IFERROR(__xludf.dummyfunction("""COMPUTED_VALUE"""),"56BCEF")</f>
        <v>56BCEF</v>
      </c>
      <c r="N89" s="13"/>
      <c r="O89" s="13" t="str">
        <f aca="false">IFERROR(__xludf.dummyfunction("""COMPUTED_VALUE"""),"ali.raza@tajir-app.com")</f>
        <v>ali.raza@tajir-app.com</v>
      </c>
      <c r="P89" s="13" t="str">
        <f aca="false">IFERROR(__xludf.dummyfunction("""COMPUTED_VALUE"""),"Ali Raza ")</f>
        <v>Ali Raza </v>
      </c>
      <c r="Q89" s="13" t="str">
        <f aca="false">IFERROR(__xludf.dummyfunction("""COMPUTED_VALUE"""),"[Code: 56BCEF] 04 selling units are air less")</f>
        <v>[Code: 56BCEF] 04 selling units are air less</v>
      </c>
      <c r="R89" s="13" t="str">
        <v>Sat,15-April-2023 ,02:59 PM</v>
      </c>
      <c r="S89" s="13" t="str">
        <v>Damaged Stock</v>
      </c>
    </row>
    <row r="90" customFormat="false" ht="15.75" hidden="false" customHeight="false" outlineLevel="0" collapsed="false">
      <c r="A90" s="13" t="str">
        <f aca="false">IFERROR(__xludf.dummyfunction("""COMPUTED_VALUE"""),"Metro DC Faisalabad")</f>
        <v>Metro DC Faisalabad</v>
      </c>
      <c r="B90" s="13" t="str">
        <f aca="false">IFERROR(__xludf.dummyfunction("""COMPUTED_VALUE"""),"7ea9d613-4818-44be-acc2-e182a1b6cb8a")</f>
        <v>7ea9d613-4818-44be-acc2-e182a1b6cb8a</v>
      </c>
      <c r="C90" s="13" t="str">
        <f aca="false">IFERROR(__xludf.dummyfunction("""COMPUTED_VALUE"""),"Shahi Dal Moong Rs100")</f>
        <v>Shahi Dal Moong Rs100</v>
      </c>
      <c r="D90" s="13" t="str">
        <f aca="false">IFERROR(__xludf.dummyfunction("""COMPUTED_VALUE"""),"Shahi")</f>
        <v>Shahi</v>
      </c>
      <c r="E90" s="13" t="str">
        <f aca="false">IFERROR(__xludf.dummyfunction("""COMPUTED_VALUE"""),"Snacks")</f>
        <v>Snacks</v>
      </c>
      <c r="F90" s="11" t="n">
        <f aca="false">IFERROR(__xludf.dummyfunction("""COMPUTED_VALUE"""),45031)</f>
        <v>45031</v>
      </c>
      <c r="G90" s="12" t="n">
        <f aca="false">IFERROR(__xludf.dummyfunction("""COMPUTED_VALUE"""),0.62497708333156)</f>
        <v>0.6249770833</v>
      </c>
      <c r="H90" s="13" t="str">
        <f aca="false">IFERROR(__xludf.dummyfunction("""COMPUTED_VALUE"""),"damaged stock")</f>
        <v>damaged stock</v>
      </c>
      <c r="I90" s="13" t="n">
        <f aca="false">IFERROR(__xludf.dummyfunction("""COMPUTED_VALUE"""),1)</f>
        <v>1</v>
      </c>
      <c r="J90" s="13" t="n">
        <f aca="false">IFERROR(__xludf.dummyfunction("""COMPUTED_VALUE"""),70.91)</f>
        <v>70.91</v>
      </c>
      <c r="K90" s="13" t="n">
        <f aca="false">IFERROR(__xludf.dummyfunction("""COMPUTED_VALUE"""),70.91)</f>
        <v>70.91</v>
      </c>
      <c r="L90" s="13" t="str">
        <f aca="false">IFERROR(__xludf.dummyfunction("""COMPUTED_VALUE"""),"[Code: 56799E] 01 selling unit found air less quality issue")</f>
        <v>[Code: 56799E] 01 selling unit found air less quality issue</v>
      </c>
      <c r="M90" s="13" t="str">
        <f aca="false">IFERROR(__xludf.dummyfunction("""COMPUTED_VALUE"""),"56799E")</f>
        <v>56799E</v>
      </c>
      <c r="N90" s="13"/>
      <c r="O90" s="13" t="str">
        <f aca="false">IFERROR(__xludf.dummyfunction("""COMPUTED_VALUE"""),"ali.raza@tajir-app.com")</f>
        <v>ali.raza@tajir-app.com</v>
      </c>
      <c r="P90" s="13" t="str">
        <f aca="false">IFERROR(__xludf.dummyfunction("""COMPUTED_VALUE"""),"Ali Raza ")</f>
        <v>Ali Raza </v>
      </c>
      <c r="Q90" s="13" t="str">
        <f aca="false">IFERROR(__xludf.dummyfunction("""COMPUTED_VALUE"""),"[Code: 56799E] 01 selling unit found air less quality issue")</f>
        <v>[Code: 56799E] 01 selling unit found air less quality issue</v>
      </c>
      <c r="R90" s="13" t="str">
        <v>Sat,15-April-2023 ,02:59 PM</v>
      </c>
      <c r="S90" s="13" t="str">
        <v>Damaged Stock</v>
      </c>
    </row>
    <row r="91" customFormat="false" ht="15.75" hidden="false" customHeight="false" outlineLevel="0" collapsed="false">
      <c r="A91" s="13" t="str">
        <f aca="false">IFERROR(__xludf.dummyfunction("""COMPUTED_VALUE"""),"Metro DC Faisalabad")</f>
        <v>Metro DC Faisalabad</v>
      </c>
      <c r="B91" s="13" t="str">
        <f aca="false">IFERROR(__xludf.dummyfunction("""COMPUTED_VALUE"""),"f94d909f-e438-4b91-8f1b-4c73f30c8100")</f>
        <v>f94d909f-e438-4b91-8f1b-4c73f30c8100</v>
      </c>
      <c r="C91" s="13" t="str">
        <f aca="false">IFERROR(__xludf.dummyfunction("""COMPUTED_VALUE"""),"Shahi Daal Chana Spicy Rs100")</f>
        <v>Shahi Daal Chana Spicy Rs100</v>
      </c>
      <c r="D91" s="13" t="str">
        <f aca="false">IFERROR(__xludf.dummyfunction("""COMPUTED_VALUE"""),"Shahi")</f>
        <v>Shahi</v>
      </c>
      <c r="E91" s="13" t="str">
        <f aca="false">IFERROR(__xludf.dummyfunction("""COMPUTED_VALUE"""),"Snacks")</f>
        <v>Snacks</v>
      </c>
      <c r="F91" s="11" t="n">
        <f aca="false">IFERROR(__xludf.dummyfunction("""COMPUTED_VALUE"""),45031)</f>
        <v>45031</v>
      </c>
      <c r="G91" s="12" t="n">
        <f aca="false">IFERROR(__xludf.dummyfunction("""COMPUTED_VALUE"""),0.625385358794631)</f>
        <v>0.6253853588</v>
      </c>
      <c r="H91" s="13" t="str">
        <f aca="false">IFERROR(__xludf.dummyfunction("""COMPUTED_VALUE"""),"damaged stock")</f>
        <v>damaged stock</v>
      </c>
      <c r="I91" s="13" t="n">
        <f aca="false">IFERROR(__xludf.dummyfunction("""COMPUTED_VALUE"""),1)</f>
        <v>1</v>
      </c>
      <c r="J91" s="13" t="n">
        <f aca="false">IFERROR(__xludf.dummyfunction("""COMPUTED_VALUE"""),70.91)</f>
        <v>70.91</v>
      </c>
      <c r="K91" s="13" t="n">
        <f aca="false">IFERROR(__xludf.dummyfunction("""COMPUTED_VALUE"""),70.91)</f>
        <v>70.91</v>
      </c>
      <c r="L91" s="13" t="str">
        <f aca="false">IFERROR(__xludf.dummyfunction("""COMPUTED_VALUE"""),"[Code: 4ADGKM] 01 selling found air less quality issue")</f>
        <v>[Code: 4ADGKM] 01 selling found air less quality issue</v>
      </c>
      <c r="M91" s="13" t="str">
        <f aca="false">IFERROR(__xludf.dummyfunction("""COMPUTED_VALUE"""),"4ADGKM")</f>
        <v>4ADGKM</v>
      </c>
      <c r="N91" s="13"/>
      <c r="O91" s="13" t="str">
        <f aca="false">IFERROR(__xludf.dummyfunction("""COMPUTED_VALUE"""),"ali.raza@tajir-app.com")</f>
        <v>ali.raza@tajir-app.com</v>
      </c>
      <c r="P91" s="13" t="str">
        <f aca="false">IFERROR(__xludf.dummyfunction("""COMPUTED_VALUE"""),"Ali Raza ")</f>
        <v>Ali Raza </v>
      </c>
      <c r="Q91" s="13" t="str">
        <f aca="false">IFERROR(__xludf.dummyfunction("""COMPUTED_VALUE"""),"[Code: 4ADGKM] 01 selling found air less quality issue")</f>
        <v>[Code: 4ADGKM] 01 selling found air less quality issue</v>
      </c>
      <c r="R91" s="13" t="str">
        <v>Sat,15-April-2023 ,03:00 PM</v>
      </c>
      <c r="S91" s="13" t="str">
        <v>Damaged Stock</v>
      </c>
    </row>
    <row r="92" customFormat="false" ht="15.75" hidden="false" customHeight="false" outlineLevel="0" collapsed="false">
      <c r="A92" s="13" t="str">
        <f aca="false">IFERROR(__xludf.dummyfunction("""COMPUTED_VALUE"""),"Metro DC Faisalabad")</f>
        <v>Metro DC Faisalabad</v>
      </c>
      <c r="B92" s="13" t="str">
        <f aca="false">IFERROR(__xludf.dummyfunction("""COMPUTED_VALUE"""),"e1d071e3-d27f-47ca-bd86-13408e8d89dd")</f>
        <v>e1d071e3-d27f-47ca-bd86-13408e8d89dd</v>
      </c>
      <c r="C92" s="13" t="str">
        <f aca="false">IFERROR(__xludf.dummyfunction("""COMPUTED_VALUE"""),"Shangrila Tomato Ketchup x3 Bundle 800g")</f>
        <v>Shangrila Tomato Ketchup x3 Bundle 800g</v>
      </c>
      <c r="D92" s="13" t="str">
        <f aca="false">IFERROR(__xludf.dummyfunction("""COMPUTED_VALUE"""),"Shangrila")</f>
        <v>Shangrila</v>
      </c>
      <c r="E92" s="13" t="str">
        <f aca="false">IFERROR(__xludf.dummyfunction("""COMPUTED_VALUE"""),"Sauces")</f>
        <v>Sauces</v>
      </c>
      <c r="F92" s="11" t="n">
        <f aca="false">IFERROR(__xludf.dummyfunction("""COMPUTED_VALUE"""),45033)</f>
        <v>45033</v>
      </c>
      <c r="G92" s="12" t="n">
        <f aca="false">IFERROR(__xludf.dummyfunction("""COMPUTED_VALUE"""),0.00167947916607381)</f>
        <v>0.001679479166</v>
      </c>
      <c r="H92" s="13" t="str">
        <f aca="false">IFERROR(__xludf.dummyfunction("""COMPUTED_VALUE"""),"damaged stock")</f>
        <v>damaged stock</v>
      </c>
      <c r="I92" s="13" t="n">
        <f aca="false">IFERROR(__xludf.dummyfunction("""COMPUTED_VALUE"""),1)</f>
        <v>1</v>
      </c>
      <c r="J92" s="13" t="n">
        <f aca="false">IFERROR(__xludf.dummyfunction("""COMPUTED_VALUE"""),864.4)</f>
        <v>864.4</v>
      </c>
      <c r="K92" s="13" t="n">
        <f aca="false">IFERROR(__xludf.dummyfunction("""COMPUTED_VALUE"""),864.4)</f>
        <v>864.4</v>
      </c>
      <c r="L92" s="13" t="str">
        <f aca="false">IFERROR(__xludf.dummyfunction("""COMPUTED_VALUE"""),"[Code: 234EFG] TA:display krtay huay carton say damage nikla hay..")</f>
        <v>[Code: 234EFG] TA:display krtay huay carton say damage nikla hay..</v>
      </c>
      <c r="M92" s="13" t="str">
        <f aca="false">IFERROR(__xludf.dummyfunction("""COMPUTED_VALUE"""),"234EFG")</f>
        <v>234EFG</v>
      </c>
      <c r="N92" s="13"/>
      <c r="O92" s="13" t="str">
        <f aca="false">IFERROR(__xludf.dummyfunction("""COMPUTED_VALUE"""),"taufeeq.akhtar@tajir-app.com")</f>
        <v>taufeeq.akhtar@tajir-app.com</v>
      </c>
      <c r="P92" s="13" t="str">
        <f aca="false">IFERROR(__xludf.dummyfunction("""COMPUTED_VALUE"""),"Taufeeq Akhtar ")</f>
        <v>Taufeeq Akhtar </v>
      </c>
      <c r="Q92" s="13" t="str">
        <f aca="false">IFERROR(__xludf.dummyfunction("""COMPUTED_VALUE"""),"[Code: 234EFG] TA:display krtay huay carton say damage nikla hay..")</f>
        <v>[Code: 234EFG] TA:display krtay huay carton say damage nikla hay..</v>
      </c>
      <c r="R92" s="13" t="str">
        <v>Mon,17-April-2023 ,12:02 AM</v>
      </c>
      <c r="S92" s="13" t="str">
        <v>Damaged Stock</v>
      </c>
    </row>
    <row r="93" customFormat="false" ht="15.75" hidden="false" customHeight="false" outlineLevel="0" collapsed="false">
      <c r="A93" s="13" t="str">
        <f aca="false">IFERROR(__xludf.dummyfunction("""COMPUTED_VALUE"""),"Metro DC Faisalabad")</f>
        <v>Metro DC Faisalabad</v>
      </c>
      <c r="B93" s="13" t="str">
        <f aca="false">IFERROR(__xludf.dummyfunction("""COMPUTED_VALUE"""),"cbf926b8-97ae-4a9c-bd5b-482caa3e544c")</f>
        <v>cbf926b8-97ae-4a9c-bd5b-482caa3e544c</v>
      </c>
      <c r="C93" s="13" t="str">
        <f aca="false">IFERROR(__xludf.dummyfunction("""COMPUTED_VALUE"""),"Fair and Lovely Insta Glow Face Wash 50g Rs180")</f>
        <v>Fair and Lovely Insta Glow Face Wash 50g Rs180</v>
      </c>
      <c r="D93" s="13" t="str">
        <f aca="false">IFERROR(__xludf.dummyfunction("""COMPUTED_VALUE"""),"Fair and Lovely")</f>
        <v>Fair and Lovely</v>
      </c>
      <c r="E93" s="13" t="str">
        <f aca="false">IFERROR(__xludf.dummyfunction("""COMPUTED_VALUE"""),"Personal Care")</f>
        <v>Personal Care</v>
      </c>
      <c r="F93" s="11" t="n">
        <f aca="false">IFERROR(__xludf.dummyfunction("""COMPUTED_VALUE"""),45033)</f>
        <v>45033</v>
      </c>
      <c r="G93" s="12" t="n">
        <f aca="false">IFERROR(__xludf.dummyfunction("""COMPUTED_VALUE"""),0.81789857638731)</f>
        <v>0.8178985764</v>
      </c>
      <c r="H93" s="13" t="str">
        <f aca="false">IFERROR(__xludf.dummyfunction("""COMPUTED_VALUE"""),"damaged stock")</f>
        <v>damaged stock</v>
      </c>
      <c r="I93" s="13" t="n">
        <f aca="false">IFERROR(__xludf.dummyfunction("""COMPUTED_VALUE"""),1)</f>
        <v>1</v>
      </c>
      <c r="J93" s="13" t="n">
        <f aca="false">IFERROR(__xludf.dummyfunction("""COMPUTED_VALUE"""),157.92)</f>
        <v>157.92</v>
      </c>
      <c r="K93" s="13" t="n">
        <f aca="false">IFERROR(__xludf.dummyfunction("""COMPUTED_VALUE"""),157.92)</f>
        <v>157.92</v>
      </c>
      <c r="L93" s="13" t="str">
        <f aca="false">IFERROR(__xludf.dummyfunction("""COMPUTED_VALUE"""),"[Code: 344578] TA: box may say damage nikla")</f>
        <v>[Code: 344578] TA: box may say damage nikla</v>
      </c>
      <c r="M93" s="13" t="str">
        <f aca="false">IFERROR(__xludf.dummyfunction("""COMPUTED_VALUE"""),"344578")</f>
        <v>344578</v>
      </c>
      <c r="N93" s="13"/>
      <c r="O93" s="13" t="str">
        <f aca="false">IFERROR(__xludf.dummyfunction("""COMPUTED_VALUE"""),"taufeeq.akhtar@tajir-app.com")</f>
        <v>taufeeq.akhtar@tajir-app.com</v>
      </c>
      <c r="P93" s="13" t="str">
        <f aca="false">IFERROR(__xludf.dummyfunction("""COMPUTED_VALUE"""),"Taufeeq Akhtar ")</f>
        <v>Taufeeq Akhtar </v>
      </c>
      <c r="Q93" s="13" t="str">
        <f aca="false">IFERROR(__xludf.dummyfunction("""COMPUTED_VALUE"""),"[Code: 344578] TA: box may say damage nikla")</f>
        <v>[Code: 344578] TA: box may say damage nikla</v>
      </c>
      <c r="R93" s="13" t="str">
        <v>Mon,17-April-2023 ,07:37 PM</v>
      </c>
      <c r="S93" s="13" t="str">
        <v>Damaged Stock</v>
      </c>
    </row>
    <row r="94" customFormat="false" ht="15.75" hidden="false" customHeight="false" outlineLevel="0" collapsed="false">
      <c r="A94" s="13" t="str">
        <f aca="false">IFERROR(__xludf.dummyfunction("""COMPUTED_VALUE"""),"Metro DC Faisalabad")</f>
        <v>Metro DC Faisalabad</v>
      </c>
      <c r="B94" s="13" t="str">
        <f aca="false">IFERROR(__xludf.dummyfunction("""COMPUTED_VALUE"""),"2b734f62-2a52-4be7-9677-151f1d6b8627")</f>
        <v>2b734f62-2a52-4be7-9677-151f1d6b8627</v>
      </c>
      <c r="C94" s="13" t="str">
        <f aca="false">IFERROR(__xludf.dummyfunction("""COMPUTED_VALUE"""),"Ariel Original Surf x12 bundle 40g Rs 20")</f>
        <v>Ariel Original Surf x12 bundle 40g Rs 20</v>
      </c>
      <c r="D94" s="13" t="str">
        <f aca="false">IFERROR(__xludf.dummyfunction("""COMPUTED_VALUE"""),"Ariel Surf")</f>
        <v>Ariel Surf</v>
      </c>
      <c r="E94" s="13" t="str">
        <f aca="false">IFERROR(__xludf.dummyfunction("""COMPUTED_VALUE"""),"Surf, Bleach")</f>
        <v>Surf, Bleach</v>
      </c>
      <c r="F94" s="11" t="n">
        <f aca="false">IFERROR(__xludf.dummyfunction("""COMPUTED_VALUE"""),45033)</f>
        <v>45033</v>
      </c>
      <c r="G94" s="12" t="n">
        <f aca="false">IFERROR(__xludf.dummyfunction("""COMPUTED_VALUE"""),0.81958219907554)</f>
        <v>0.8195821991</v>
      </c>
      <c r="H94" s="13" t="str">
        <f aca="false">IFERROR(__xludf.dummyfunction("""COMPUTED_VALUE"""),"damaged stock")</f>
        <v>damaged stock</v>
      </c>
      <c r="I94" s="13" t="n">
        <f aca="false">IFERROR(__xludf.dummyfunction("""COMPUTED_VALUE"""),1)</f>
        <v>1</v>
      </c>
      <c r="J94" s="13" t="n">
        <f aca="false">IFERROR(__xludf.dummyfunction("""COMPUTED_VALUE"""),211.2)</f>
        <v>211.2</v>
      </c>
      <c r="K94" s="13" t="n">
        <f aca="false">IFERROR(__xludf.dummyfunction("""COMPUTED_VALUE"""),211.2)</f>
        <v>211.2</v>
      </c>
      <c r="L94" s="13" t="str">
        <f aca="false">IFERROR(__xludf.dummyfunction("""COMPUTED_VALUE"""),"[Code: 2357FG] TA: thailay may say damage nikla")</f>
        <v>[Code: 2357FG] TA: thailay may say damage nikla</v>
      </c>
      <c r="M94" s="13" t="str">
        <f aca="false">IFERROR(__xludf.dummyfunction("""COMPUTED_VALUE"""),"2357FG")</f>
        <v>2357FG</v>
      </c>
      <c r="N94" s="13"/>
      <c r="O94" s="13" t="str">
        <f aca="false">IFERROR(__xludf.dummyfunction("""COMPUTED_VALUE"""),"taufeeq.akhtar@tajir-app.com")</f>
        <v>taufeeq.akhtar@tajir-app.com</v>
      </c>
      <c r="P94" s="13" t="str">
        <f aca="false">IFERROR(__xludf.dummyfunction("""COMPUTED_VALUE"""),"Taufeeq Akhtar ")</f>
        <v>Taufeeq Akhtar </v>
      </c>
      <c r="Q94" s="13" t="str">
        <f aca="false">IFERROR(__xludf.dummyfunction("""COMPUTED_VALUE"""),"[Code: 2357FG] TA: thailay may say damage nikla")</f>
        <v>[Code: 2357FG] TA: thailay may say damage nikla</v>
      </c>
      <c r="R94" s="13" t="str">
        <v>Mon,17-April-2023 ,07:40 PM</v>
      </c>
      <c r="S94" s="13" t="str">
        <v>Damaged Stock</v>
      </c>
    </row>
    <row r="95" customFormat="false" ht="15.75" hidden="false" customHeight="false" outlineLevel="0" collapsed="false">
      <c r="A95" s="13" t="str">
        <f aca="false">IFERROR(__xludf.dummyfunction("""COMPUTED_VALUE"""),"Metro DC Faisalabad")</f>
        <v>Metro DC Faisalabad</v>
      </c>
      <c r="B95" s="13" t="str">
        <f aca="false">IFERROR(__xludf.dummyfunction("""COMPUTED_VALUE"""),"2e2e95fc-ec3f-444a-bed1-af263e608d75")</f>
        <v>2e2e95fc-ec3f-444a-bed1-af263e608d75</v>
      </c>
      <c r="C95" s="13" t="str">
        <f aca="false">IFERROR(__xludf.dummyfunction("""COMPUTED_VALUE"""),"Cookania Gale Biscuit 6pcs Rs20")</f>
        <v>Cookania Gale Biscuit 6pcs Rs20</v>
      </c>
      <c r="D95" s="13" t="str">
        <f aca="false">IFERROR(__xludf.dummyfunction("""COMPUTED_VALUE"""),"Cookania")</f>
        <v>Cookania</v>
      </c>
      <c r="E95" s="13" t="str">
        <f aca="false">IFERROR(__xludf.dummyfunction("""COMPUTED_VALUE"""),"Biscuits, Wafers")</f>
        <v>Biscuits, Wafers</v>
      </c>
      <c r="F95" s="11" t="n">
        <f aca="false">IFERROR(__xludf.dummyfunction("""COMPUTED_VALUE"""),45034)</f>
        <v>45034</v>
      </c>
      <c r="G95" s="12" t="n">
        <f aca="false">IFERROR(__xludf.dummyfunction("""COMPUTED_VALUE"""),0.0639118402777347)</f>
        <v>0.06391184028</v>
      </c>
      <c r="H95" s="13" t="str">
        <f aca="false">IFERROR(__xludf.dummyfunction("""COMPUTED_VALUE"""),"damaged stock")</f>
        <v>damaged stock</v>
      </c>
      <c r="I95" s="13" t="n">
        <f aca="false">IFERROR(__xludf.dummyfunction("""COMPUTED_VALUE"""),1)</f>
        <v>1</v>
      </c>
      <c r="J95" s="13" t="n">
        <f aca="false">IFERROR(__xludf.dummyfunction("""COMPUTED_VALUE"""),101.2)</f>
        <v>101.2</v>
      </c>
      <c r="K95" s="13" t="n">
        <f aca="false">IFERROR(__xludf.dummyfunction("""COMPUTED_VALUE"""),101.2)</f>
        <v>101.2</v>
      </c>
      <c r="L95" s="13" t="str">
        <f aca="false">IFERROR(__xludf.dummyfunction("""COMPUTED_VALUE"""),"[Code: 99ABDF] TA; unit me sy few piece missing hain. Display ky doran corton sy mila he")</f>
        <v>[Code: 99ABDF] TA; unit me sy few piece missing hain. Display ky doran corton sy mila he</v>
      </c>
      <c r="M95" s="13" t="str">
        <f aca="false">IFERROR(__xludf.dummyfunction("""COMPUTED_VALUE"""),"99ABDF")</f>
        <v>99ABDF</v>
      </c>
      <c r="N95" s="13"/>
      <c r="O95" s="13" t="str">
        <f aca="false">IFERROR(__xludf.dummyfunction("""COMPUTED_VALUE"""),"taufeeq.akhtar@tajir-app.com")</f>
        <v>taufeeq.akhtar@tajir-app.com</v>
      </c>
      <c r="P95" s="13" t="str">
        <f aca="false">IFERROR(__xludf.dummyfunction("""COMPUTED_VALUE"""),"Taufeeq Akhtar ")</f>
        <v>Taufeeq Akhtar </v>
      </c>
      <c r="Q95" s="13" t="str">
        <f aca="false">IFERROR(__xludf.dummyfunction("""COMPUTED_VALUE"""),"[Code: 99ABDF] TA; unit me sy few piece missing hain. Display ky doran corton sy mila he")</f>
        <v>[Code: 99ABDF] TA; unit me sy few piece missing hain. Display ky doran corton sy mila he</v>
      </c>
      <c r="R95" s="13" t="str">
        <v>Tue,18-April-2023 ,01:32 AM</v>
      </c>
      <c r="S95" s="13" t="str">
        <v>Damaged Stock</v>
      </c>
    </row>
    <row r="96" customFormat="false" ht="15.75" hidden="false" customHeight="false" outlineLevel="0" collapsed="false">
      <c r="A96" s="13" t="str">
        <f aca="false">IFERROR(__xludf.dummyfunction("""COMPUTED_VALUE"""),"Metro DC Faisalabad")</f>
        <v>Metro DC Faisalabad</v>
      </c>
      <c r="B96" s="13" t="str">
        <f aca="false">IFERROR(__xludf.dummyfunction("""COMPUTED_VALUE"""),"cd68a607-af95-45cb-b9f4-2721224c85f8")</f>
        <v>cd68a607-af95-45cb-b9f4-2721224c85f8</v>
      </c>
      <c r="C96" s="13" t="str">
        <f aca="false">IFERROR(__xludf.dummyfunction("""COMPUTED_VALUE"""),"Coca Cola plastic 1.5L")</f>
        <v>Coca Cola plastic 1.5L</v>
      </c>
      <c r="D96" s="13" t="str">
        <f aca="false">IFERROR(__xludf.dummyfunction("""COMPUTED_VALUE"""),"Coca Cola")</f>
        <v>Coca Cola</v>
      </c>
      <c r="E96" s="13" t="str">
        <f aca="false">IFERROR(__xludf.dummyfunction("""COMPUTED_VALUE"""),"Beverages")</f>
        <v>Beverages</v>
      </c>
      <c r="F96" s="11" t="n">
        <f aca="false">IFERROR(__xludf.dummyfunction("""COMPUTED_VALUE"""),45035)</f>
        <v>45035</v>
      </c>
      <c r="G96" s="12" t="n">
        <f aca="false">IFERROR(__xludf.dummyfunction("""COMPUTED_VALUE"""),0.0935325347217479)</f>
        <v>0.09353253472</v>
      </c>
      <c r="H96" s="13" t="str">
        <f aca="false">IFERROR(__xludf.dummyfunction("""COMPUTED_VALUE"""),"damaged stock")</f>
        <v>damaged stock</v>
      </c>
      <c r="I96" s="13" t="n">
        <f aca="false">IFERROR(__xludf.dummyfunction("""COMPUTED_VALUE"""),2)</f>
        <v>2</v>
      </c>
      <c r="J96" s="13" t="n">
        <f aca="false">IFERROR(__xludf.dummyfunction("""COMPUTED_VALUE"""),755)</f>
        <v>755</v>
      </c>
      <c r="K96" s="13" t="n">
        <f aca="false">IFERROR(__xludf.dummyfunction("""COMPUTED_VALUE"""),1510)</f>
        <v>1510</v>
      </c>
      <c r="L96" s="13" t="str">
        <f aca="false">IFERROR(__xludf.dummyfunction("""COMPUTED_VALUE"""),"[Code: 45589B] TA; 2 selling unit found (lowfill and Losse)")</f>
        <v>[Code: 45589B] TA; 2 selling unit found (lowfill and Losse)</v>
      </c>
      <c r="M96" s="13" t="str">
        <f aca="false">IFERROR(__xludf.dummyfunction("""COMPUTED_VALUE"""),"45589B")</f>
        <v>45589B</v>
      </c>
      <c r="N96" s="13"/>
      <c r="O96" s="13" t="str">
        <f aca="false">IFERROR(__xludf.dummyfunction("""COMPUTED_VALUE"""),"taufeeq.akhtar@tajir-app.com")</f>
        <v>taufeeq.akhtar@tajir-app.com</v>
      </c>
      <c r="P96" s="13" t="str">
        <f aca="false">IFERROR(__xludf.dummyfunction("""COMPUTED_VALUE"""),"Taufeeq Akhtar ")</f>
        <v>Taufeeq Akhtar </v>
      </c>
      <c r="Q96" s="13" t="str">
        <f aca="false">IFERROR(__xludf.dummyfunction("""COMPUTED_VALUE"""),"[Code: 45589B] TA; 2 selling unit found (lowfill and Losse)")</f>
        <v>[Code: 45589B] TA; 2 selling unit found (lowfill and Losse)</v>
      </c>
      <c r="R96" s="13" t="str">
        <v>Wed,19-April-2023 ,02:14 AM</v>
      </c>
      <c r="S96" s="13" t="str">
        <v>Damaged Stock</v>
      </c>
    </row>
    <row r="97" customFormat="false" ht="15.75" hidden="false" customHeight="false" outlineLevel="0" collapsed="false">
      <c r="A97" s="13" t="str">
        <f aca="false">IFERROR(__xludf.dummyfunction("""COMPUTED_VALUE"""),"Metro DC Faisalabad")</f>
        <v>Metro DC Faisalabad</v>
      </c>
      <c r="B97" s="13" t="str">
        <f aca="false">IFERROR(__xludf.dummyfunction("""COMPUTED_VALUE"""),"37c67563-5af0-4d7f-a91c-c6e2e4a6a68e")</f>
        <v>37c67563-5af0-4d7f-a91c-c6e2e4a6a68e</v>
      </c>
      <c r="C97" s="13" t="str">
        <f aca="false">IFERROR(__xludf.dummyfunction("""COMPUTED_VALUE"""),"Engro Olpers Badam Zafran Flavored Milk x24 180mL")</f>
        <v>Engro Olpers Badam Zafran Flavored Milk x24 180mL</v>
      </c>
      <c r="D97" s="13" t="str">
        <f aca="false">IFERROR(__xludf.dummyfunction("""COMPUTED_VALUE"""),"Olpers")</f>
        <v>Olpers</v>
      </c>
      <c r="E97" s="13" t="str">
        <f aca="false">IFERROR(__xludf.dummyfunction("""COMPUTED_VALUE"""),"Dairy")</f>
        <v>Dairy</v>
      </c>
      <c r="F97" s="11" t="n">
        <f aca="false">IFERROR(__xludf.dummyfunction("""COMPUTED_VALUE"""),45041)</f>
        <v>45041</v>
      </c>
      <c r="G97" s="12" t="n">
        <f aca="false">IFERROR(__xludf.dummyfunction("""COMPUTED_VALUE"""),0.672350219909197)</f>
        <v>0.6723502199</v>
      </c>
      <c r="H97" s="13" t="str">
        <f aca="false">IFERROR(__xludf.dummyfunction("""COMPUTED_VALUE"""),"damaged stock")</f>
        <v>damaged stock</v>
      </c>
      <c r="I97" s="13" t="n">
        <f aca="false">IFERROR(__xludf.dummyfunction("""COMPUTED_VALUE"""),1)</f>
        <v>1</v>
      </c>
      <c r="J97" s="13" t="n">
        <f aca="false">IFERROR(__xludf.dummyfunction("""COMPUTED_VALUE"""),1350)</f>
        <v>1350</v>
      </c>
      <c r="K97" s="13" t="n">
        <f aca="false">IFERROR(__xludf.dummyfunction("""COMPUTED_VALUE"""),1350)</f>
        <v>1350</v>
      </c>
      <c r="L97" s="13" t="str">
        <f aca="false">IFERROR(__xludf.dummyfunction("""COMPUTED_VALUE"""),"[Code: 36AACC] TA; 1 unit damage found during sorting ( disply sy  leak mila he )")</f>
        <v>[Code: 36AACC] TA; 1 unit damage found during sorting ( disply sy  leak mila he )</v>
      </c>
      <c r="M97" s="13" t="str">
        <f aca="false">IFERROR(__xludf.dummyfunction("""COMPUTED_VALUE"""),"36AACC")</f>
        <v>36AACC</v>
      </c>
      <c r="N97" s="13"/>
      <c r="O97" s="13" t="str">
        <f aca="false">IFERROR(__xludf.dummyfunction("""COMPUTED_VALUE"""),"taufeeq.akhtar@tajir-app.com")</f>
        <v>taufeeq.akhtar@tajir-app.com</v>
      </c>
      <c r="P97" s="13" t="str">
        <f aca="false">IFERROR(__xludf.dummyfunction("""COMPUTED_VALUE"""),"Taufeeq Akhtar ")</f>
        <v>Taufeeq Akhtar </v>
      </c>
      <c r="Q97" s="13" t="str">
        <f aca="false">IFERROR(__xludf.dummyfunction("""COMPUTED_VALUE"""),"[Code: 36AACC] TA; 1 unit damage found during sorting ( disply sy  leak mila he )")</f>
        <v>[Code: 36AACC] TA; 1 unit damage found during sorting ( disply sy  leak mila he )</v>
      </c>
      <c r="R97" s="13" t="str">
        <v>Tue,25-April-2023 ,04:08 PM</v>
      </c>
      <c r="S97" s="13" t="str">
        <v>Damaged Stock</v>
      </c>
    </row>
    <row r="98" customFormat="false" ht="15.75" hidden="false" customHeight="false" outlineLevel="0" collapsed="false">
      <c r="A98" s="13" t="str">
        <f aca="false">IFERROR(__xludf.dummyfunction("""COMPUTED_VALUE"""),"Metro DC Faisalabad")</f>
        <v>Metro DC Faisalabad</v>
      </c>
      <c r="B98" s="13" t="str">
        <f aca="false">IFERROR(__xludf.dummyfunction("""COMPUTED_VALUE"""),"52fc90df-861c-4bdc-a491-d48a5fbaceb8")</f>
        <v>52fc90df-861c-4bdc-a491-d48a5fbaceb8</v>
      </c>
      <c r="C98" s="13" t="str">
        <f aca="false">IFERROR(__xludf.dummyfunction("""COMPUTED_VALUE"""),"Habib Foods Funtime Apple Flavoured Drink 200mL")</f>
        <v>Habib Foods Funtime Apple Flavoured Drink 200mL</v>
      </c>
      <c r="D98" s="13" t="str">
        <f aca="false">IFERROR(__xludf.dummyfunction("""COMPUTED_VALUE"""),"Habib Foods")</f>
        <v>Habib Foods</v>
      </c>
      <c r="E98" s="13" t="str">
        <f aca="false">IFERROR(__xludf.dummyfunction("""COMPUTED_VALUE"""),"Juice, Syrup, Squash")</f>
        <v>Juice, Syrup, Squash</v>
      </c>
      <c r="F98" s="11" t="n">
        <f aca="false">IFERROR(__xludf.dummyfunction("""COMPUTED_VALUE"""),45042)</f>
        <v>45042</v>
      </c>
      <c r="G98" s="12" t="n">
        <f aca="false">IFERROR(__xludf.dummyfunction("""COMPUTED_VALUE"""),0.953579189814831)</f>
        <v>0.9535791898</v>
      </c>
      <c r="H98" s="13" t="str">
        <f aca="false">IFERROR(__xludf.dummyfunction("""COMPUTED_VALUE"""),"damaged stock")</f>
        <v>damaged stock</v>
      </c>
      <c r="I98" s="13" t="n">
        <f aca="false">IFERROR(__xludf.dummyfunction("""COMPUTED_VALUE"""),1)</f>
        <v>1</v>
      </c>
      <c r="J98" s="13" t="n">
        <f aca="false">IFERROR(__xludf.dummyfunction("""COMPUTED_VALUE"""),500)</f>
        <v>500</v>
      </c>
      <c r="K98" s="13" t="n">
        <f aca="false">IFERROR(__xludf.dummyfunction("""COMPUTED_VALUE"""),500)</f>
        <v>500</v>
      </c>
      <c r="L98" s="13" t="str">
        <f aca="false">IFERROR(__xludf.dummyfunction("""COMPUTED_VALUE"""),"[Code: 5568BC] TA; 1 unit damage found during sorting ( disply sy  leak mila he )")</f>
        <v>[Code: 5568BC] TA; 1 unit damage found during sorting ( disply sy  leak mila he )</v>
      </c>
      <c r="M98" s="13" t="str">
        <f aca="false">IFERROR(__xludf.dummyfunction("""COMPUTED_VALUE"""),"5568BC")</f>
        <v>5568BC</v>
      </c>
      <c r="N98" s="13"/>
      <c r="O98" s="13" t="str">
        <f aca="false">IFERROR(__xludf.dummyfunction("""COMPUTED_VALUE"""),"taufeeq.akhtar@tajir-app.com")</f>
        <v>taufeeq.akhtar@tajir-app.com</v>
      </c>
      <c r="P98" s="13" t="str">
        <f aca="false">IFERROR(__xludf.dummyfunction("""COMPUTED_VALUE"""),"Taufeeq Akhtar ")</f>
        <v>Taufeeq Akhtar </v>
      </c>
      <c r="Q98" s="13" t="str">
        <f aca="false">IFERROR(__xludf.dummyfunction("""COMPUTED_VALUE"""),"[Code: 5568BC] TA; 1 unit damage found during sorting ( disply sy  leak mila he )")</f>
        <v>[Code: 5568BC] TA; 1 unit damage found during sorting ( disply sy  leak mila he )</v>
      </c>
      <c r="R98" s="13" t="str">
        <v>Wed,26-April-2023 ,10:53 PM</v>
      </c>
      <c r="S98" s="13" t="str">
        <v>Damaged Stock</v>
      </c>
    </row>
    <row r="99" customFormat="false" ht="15.75" hidden="false" customHeight="false" outlineLevel="0" collapsed="false">
      <c r="A99" s="13" t="str">
        <f aca="false">IFERROR(__xludf.dummyfunction("""COMPUTED_VALUE"""),"Metro DC Faisalabad")</f>
        <v>Metro DC Faisalabad</v>
      </c>
      <c r="B99" s="13" t="str">
        <f aca="false">IFERROR(__xludf.dummyfunction("""COMPUTED_VALUE"""),"d35314e0-f3f4-47fe-90aa-af65dab10e9d")</f>
        <v>d35314e0-f3f4-47fe-90aa-af65dab10e9d</v>
      </c>
      <c r="C99" s="13" t="str">
        <f aca="false">IFERROR(__xludf.dummyfunction("""COMPUTED_VALUE"""),"Bonus tristar detergent x6 bundle 48g Rs10")</f>
        <v>Bonus tristar detergent x6 bundle 48g Rs10</v>
      </c>
      <c r="D99" s="13" t="str">
        <f aca="false">IFERROR(__xludf.dummyfunction("""COMPUTED_VALUE"""),"Bonus Surf")</f>
        <v>Bonus Surf</v>
      </c>
      <c r="E99" s="13" t="str">
        <f aca="false">IFERROR(__xludf.dummyfunction("""COMPUTED_VALUE"""),"Surf, Bleach")</f>
        <v>Surf, Bleach</v>
      </c>
      <c r="F99" s="11" t="n">
        <f aca="false">IFERROR(__xludf.dummyfunction("""COMPUTED_VALUE"""),45043)</f>
        <v>45043</v>
      </c>
      <c r="G99" s="12" t="n">
        <f aca="false">IFERROR(__xludf.dummyfunction("""COMPUTED_VALUE"""),0.115751111111246)</f>
        <v>0.1157511111</v>
      </c>
      <c r="H99" s="13" t="str">
        <f aca="false">IFERROR(__xludf.dummyfunction("""COMPUTED_VALUE"""),"damaged stock")</f>
        <v>damaged stock</v>
      </c>
      <c r="I99" s="13" t="n">
        <f aca="false">IFERROR(__xludf.dummyfunction("""COMPUTED_VALUE"""),4)</f>
        <v>4</v>
      </c>
      <c r="J99" s="13" t="n">
        <f aca="false">IFERROR(__xludf.dummyfunction("""COMPUTED_VALUE"""),55.38)</f>
        <v>55.38</v>
      </c>
      <c r="K99" s="13" t="n">
        <f aca="false">IFERROR(__xludf.dummyfunction("""COMPUTED_VALUE"""),221.52)</f>
        <v>221.52</v>
      </c>
      <c r="L99" s="13" t="str">
        <f aca="false">IFERROR(__xludf.dummyfunction("""COMPUTED_VALUE"""),"[Code: 223566] TA; 4 seling unit damage found  (bag my sy damege mila he display krty time)")</f>
        <v>[Code: 223566] TA; 4 seling unit damage found  (bag my sy damege mila he display krty time)</v>
      </c>
      <c r="M99" s="13" t="str">
        <f aca="false">IFERROR(__xludf.dummyfunction("""COMPUTED_VALUE"""),"223566")</f>
        <v>223566</v>
      </c>
      <c r="N99" s="13"/>
      <c r="O99" s="13" t="str">
        <f aca="false">IFERROR(__xludf.dummyfunction("""COMPUTED_VALUE"""),"taufeeq.akhtar@tajir-app.com")</f>
        <v>taufeeq.akhtar@tajir-app.com</v>
      </c>
      <c r="P99" s="13" t="str">
        <f aca="false">IFERROR(__xludf.dummyfunction("""COMPUTED_VALUE"""),"Taufeeq Akhtar ")</f>
        <v>Taufeeq Akhtar </v>
      </c>
      <c r="Q99" s="13" t="str">
        <f aca="false">IFERROR(__xludf.dummyfunction("""COMPUTED_VALUE"""),"[Code: 223566] TA; 4 seling unit damage found  (bag my sy damege mila he display krty time)")</f>
        <v>[Code: 223566] TA; 4 seling unit damage found  (bag my sy damege mila he display krty time)</v>
      </c>
      <c r="R99" s="13" t="str">
        <v>Thu,27-April-2023 ,02:46 AM</v>
      </c>
      <c r="S99" s="13" t="str">
        <v>Damaged Stock</v>
      </c>
    </row>
    <row r="100" customFormat="false" ht="15.75" hidden="false" customHeight="false" outlineLevel="0" collapsed="false">
      <c r="A100" s="13" t="str">
        <f aca="false">IFERROR(__xludf.dummyfunction("""COMPUTED_VALUE"""),"Metro DC Faisalabad")</f>
        <v>Metro DC Faisalabad</v>
      </c>
      <c r="B100" s="13" t="str">
        <f aca="false">IFERROR(__xludf.dummyfunction("""COMPUTED_VALUE"""),"bce89ad4-9a48-440a-9e92-b6c4600eb026")</f>
        <v>bce89ad4-9a48-440a-9e92-b6c4600eb026</v>
      </c>
      <c r="C100" s="13" t="str">
        <f aca="false">IFERROR(__xludf.dummyfunction("""COMPUTED_VALUE"""),"Sunlight Green Clean and Fresh 330g Rs99")</f>
        <v>Sunlight Green Clean and Fresh 330g Rs99</v>
      </c>
      <c r="D100" s="13" t="str">
        <f aca="false">IFERROR(__xludf.dummyfunction("""COMPUTED_VALUE"""),"Sunlight")</f>
        <v>Sunlight</v>
      </c>
      <c r="E100" s="13" t="str">
        <f aca="false">IFERROR(__xludf.dummyfunction("""COMPUTED_VALUE"""),"Surf, Bleach")</f>
        <v>Surf, Bleach</v>
      </c>
      <c r="F100" s="11" t="n">
        <f aca="false">IFERROR(__xludf.dummyfunction("""COMPUTED_VALUE"""),45047)</f>
        <v>45047</v>
      </c>
      <c r="G100" s="12" t="n">
        <f aca="false">IFERROR(__xludf.dummyfunction("""COMPUTED_VALUE"""),0.797222256945576)</f>
        <v>0.7972222569</v>
      </c>
      <c r="H100" s="13" t="str">
        <f aca="false">IFERROR(__xludf.dummyfunction("""COMPUTED_VALUE"""),"damaged stock")</f>
        <v>damaged stock</v>
      </c>
      <c r="I100" s="13" t="n">
        <f aca="false">IFERROR(__xludf.dummyfunction("""COMPUTED_VALUE"""),1)</f>
        <v>1</v>
      </c>
      <c r="J100" s="13" t="n">
        <f aca="false">IFERROR(__xludf.dummyfunction("""COMPUTED_VALUE"""),87.92)</f>
        <v>87.92</v>
      </c>
      <c r="K100" s="13" t="n">
        <f aca="false">IFERROR(__xludf.dummyfunction("""COMPUTED_VALUE"""),87.92)</f>
        <v>87.92</v>
      </c>
      <c r="L100" s="13" t="str">
        <f aca="false">IFERROR(__xludf.dummyfunction("""COMPUTED_VALUE"""),"[Code: 4899BB] TA; sorting ky doran bag sy damage mila he.")</f>
        <v>[Code: 4899BB] TA; sorting ky doran bag sy damage mila he.</v>
      </c>
      <c r="M100" s="13" t="str">
        <f aca="false">IFERROR(__xludf.dummyfunction("""COMPUTED_VALUE"""),"4899BB")</f>
        <v>4899BB</v>
      </c>
      <c r="N100" s="13"/>
      <c r="O100" s="13" t="str">
        <f aca="false">IFERROR(__xludf.dummyfunction("""COMPUTED_VALUE"""),"taufeeq.akhtar@tajir-app.com")</f>
        <v>taufeeq.akhtar@tajir-app.com</v>
      </c>
      <c r="P100" s="13" t="str">
        <f aca="false">IFERROR(__xludf.dummyfunction("""COMPUTED_VALUE"""),"Taufeeq Akhtar ")</f>
        <v>Taufeeq Akhtar </v>
      </c>
      <c r="Q100" s="13" t="str">
        <f aca="false">IFERROR(__xludf.dummyfunction("""COMPUTED_VALUE"""),"[Code: 4899BB] TA; sorting ky doran bag sy damage mila he.")</f>
        <v>[Code: 4899BB] TA; sorting ky doran bag sy damage mila he.</v>
      </c>
      <c r="R100" s="13" t="str">
        <v>Mon,01-May-2023 ,07:08 PM</v>
      </c>
      <c r="S100" s="13" t="str">
        <v>Damaged Stock</v>
      </c>
    </row>
    <row r="101" customFormat="false" ht="15.75" hidden="false" customHeight="false" outlineLevel="0" collapsed="false">
      <c r="A101" s="13" t="str">
        <f aca="false">IFERROR(__xludf.dummyfunction("""COMPUTED_VALUE"""),"Metro DC Faisalabad")</f>
        <v>Metro DC Faisalabad</v>
      </c>
      <c r="B101" s="13" t="str">
        <f aca="false">IFERROR(__xludf.dummyfunction("""COMPUTED_VALUE"""),"13e1aca6-1334-4628-8642-373185a2eeb7")</f>
        <v>13e1aca6-1334-4628-8642-373185a2eeb7</v>
      </c>
      <c r="C101" s="13" t="str">
        <f aca="false">IFERROR(__xludf.dummyfunction("""COMPUTED_VALUE"""),"Shangrila Tomato Ketchup x6 Bundle 225g")</f>
        <v>Shangrila Tomato Ketchup x6 Bundle 225g</v>
      </c>
      <c r="D101" s="13" t="str">
        <f aca="false">IFERROR(__xludf.dummyfunction("""COMPUTED_VALUE"""),"Shangrila")</f>
        <v>Shangrila</v>
      </c>
      <c r="E101" s="13" t="str">
        <f aca="false">IFERROR(__xludf.dummyfunction("""COMPUTED_VALUE"""),"Sauces")</f>
        <v>Sauces</v>
      </c>
      <c r="F101" s="11" t="n">
        <f aca="false">IFERROR(__xludf.dummyfunction("""COMPUTED_VALUE"""),45048)</f>
        <v>45048</v>
      </c>
      <c r="G101" s="12" t="n">
        <f aca="false">IFERROR(__xludf.dummyfunction("""COMPUTED_VALUE"""),0.085620729167308)</f>
        <v>0.08562072917</v>
      </c>
      <c r="H101" s="13" t="str">
        <f aca="false">IFERROR(__xludf.dummyfunction("""COMPUTED_VALUE"""),"damaged stock")</f>
        <v>damaged stock</v>
      </c>
      <c r="I101" s="13" t="n">
        <f aca="false">IFERROR(__xludf.dummyfunction("""COMPUTED_VALUE"""),1)</f>
        <v>1</v>
      </c>
      <c r="J101" s="13" t="n">
        <f aca="false">IFERROR(__xludf.dummyfunction("""COMPUTED_VALUE"""),517.05)</f>
        <v>517.05</v>
      </c>
      <c r="K101" s="13" t="n">
        <f aca="false">IFERROR(__xludf.dummyfunction("""COMPUTED_VALUE"""),517.05)</f>
        <v>517.05</v>
      </c>
      <c r="L101" s="13" t="str">
        <f aca="false">IFERROR(__xludf.dummyfunction("""COMPUTED_VALUE"""),"[Code: 336BEJ] TA; sorting Ky doran corton sy damage mila he.")</f>
        <v>[Code: 336BEJ] TA; sorting Ky doran corton sy damage mila he.</v>
      </c>
      <c r="M101" s="13" t="str">
        <f aca="false">IFERROR(__xludf.dummyfunction("""COMPUTED_VALUE"""),"336BEJ")</f>
        <v>336BEJ</v>
      </c>
      <c r="N101" s="13"/>
      <c r="O101" s="13" t="str">
        <f aca="false">IFERROR(__xludf.dummyfunction("""COMPUTED_VALUE"""),"taufeeq.akhtar@tajir-app.com")</f>
        <v>taufeeq.akhtar@tajir-app.com</v>
      </c>
      <c r="P101" s="13" t="str">
        <f aca="false">IFERROR(__xludf.dummyfunction("""COMPUTED_VALUE"""),"Taufeeq Akhtar ")</f>
        <v>Taufeeq Akhtar </v>
      </c>
      <c r="Q101" s="13" t="str">
        <f aca="false">IFERROR(__xludf.dummyfunction("""COMPUTED_VALUE"""),"[Code: 336BEJ] TA; sorting Ky doran corton sy damage mila he.")</f>
        <v>[Code: 336BEJ] TA; sorting Ky doran corton sy damage mila he.</v>
      </c>
      <c r="R101" s="13" t="str">
        <v>Tue,02-May-2023 ,02:03 AM</v>
      </c>
      <c r="S101" s="13" t="str">
        <v>Damaged Stock</v>
      </c>
    </row>
    <row r="102" customFormat="false" ht="15.75" hidden="false" customHeight="false" outlineLevel="0" collapsed="false">
      <c r="A102" s="13" t="str">
        <f aca="false">IFERROR(__xludf.dummyfunction("""COMPUTED_VALUE"""),"Metro DC Faisalabad")</f>
        <v>Metro DC Faisalabad</v>
      </c>
      <c r="B102" s="13" t="str">
        <f aca="false">IFERROR(__xludf.dummyfunction("""COMPUTED_VALUE"""),"2a480d17-8dfd-4b06-a889-3361da3b6dfb")</f>
        <v>2a480d17-8dfd-4b06-a889-3361da3b6dfb</v>
      </c>
      <c r="C102" s="13" t="str">
        <f aca="false">IFERROR(__xludf.dummyfunction("""COMPUTED_VALUE"""),"Sherdil Maida 1kg")</f>
        <v>Sherdil Maida 1kg</v>
      </c>
      <c r="D102" s="13" t="str">
        <f aca="false">IFERROR(__xludf.dummyfunction("""COMPUTED_VALUE"""),"Sherdil")</f>
        <v>Sherdil</v>
      </c>
      <c r="E102" s="13" t="str">
        <f aca="false">IFERROR(__xludf.dummyfunction("""COMPUTED_VALUE"""),"Flour")</f>
        <v>Flour</v>
      </c>
      <c r="F102" s="11" t="n">
        <f aca="false">IFERROR(__xludf.dummyfunction("""COMPUTED_VALUE"""),45048)</f>
        <v>45048</v>
      </c>
      <c r="G102" s="12" t="n">
        <f aca="false">IFERROR(__xludf.dummyfunction("""COMPUTED_VALUE"""),0.55869849537154)</f>
        <v>0.5586984954</v>
      </c>
      <c r="H102" s="13" t="str">
        <f aca="false">IFERROR(__xludf.dummyfunction("""COMPUTED_VALUE"""),"damaged stock")</f>
        <v>damaged stock</v>
      </c>
      <c r="I102" s="13" t="n">
        <f aca="false">IFERROR(__xludf.dummyfunction("""COMPUTED_VALUE"""),1)</f>
        <v>1</v>
      </c>
      <c r="J102" s="13" t="n">
        <f aca="false">IFERROR(__xludf.dummyfunction("""COMPUTED_VALUE"""),195)</f>
        <v>195</v>
      </c>
      <c r="K102" s="13" t="n">
        <f aca="false">IFERROR(__xludf.dummyfunction("""COMPUTED_VALUE"""),195)</f>
        <v>195</v>
      </c>
      <c r="L102" s="13" t="str">
        <f aca="false">IFERROR(__xludf.dummyfunction("""COMPUTED_VALUE"""),"[Code: 368AGH] ZA: Packing damage found during Audit")</f>
        <v>[Code: 368AGH] ZA: Packing damage found during Audit</v>
      </c>
      <c r="M102" s="13" t="str">
        <f aca="false">IFERROR(__xludf.dummyfunction("""COMPUTED_VALUE"""),"368AGH")</f>
        <v>368AGH</v>
      </c>
      <c r="N102" s="13"/>
      <c r="O102" s="13" t="str">
        <f aca="false">IFERROR(__xludf.dummyfunction("""COMPUTED_VALUE"""),"zeeshan.alimalik@tajir-app.com")</f>
        <v>zeeshan.alimalik@tajir-app.com</v>
      </c>
      <c r="P102" s="13" t="str">
        <f aca="false">IFERROR(__xludf.dummyfunction("""COMPUTED_VALUE"""),"Zeeshan Ali Malik")</f>
        <v>Zeeshan Ali Malik</v>
      </c>
      <c r="Q102" s="13" t="str">
        <f aca="false">IFERROR(__xludf.dummyfunction("""COMPUTED_VALUE"""),"[Code: 368AGH] ZA: Packing damage found during Audit")</f>
        <v>[Code: 368AGH] ZA: Packing damage found during Audit</v>
      </c>
      <c r="R102" s="13" t="str">
        <v>Tue,02-May-2023 ,01:24 PM</v>
      </c>
      <c r="S102" s="13" t="str">
        <v>Damaged Stock</v>
      </c>
    </row>
    <row r="103" customFormat="false" ht="15.75" hidden="false" customHeight="false" outlineLevel="0" collapsed="false">
      <c r="A103" s="13" t="str">
        <f aca="false">IFERROR(__xludf.dummyfunction("""COMPUTED_VALUE"""),"Metro DC Faisalabad")</f>
        <v>Metro DC Faisalabad</v>
      </c>
      <c r="B103" s="13" t="str">
        <f aca="false">IFERROR(__xludf.dummyfunction("""COMPUTED_VALUE"""),"24eda97a-547d-4730-a019-073bc438fe6c")</f>
        <v>24eda97a-547d-4730-a019-073bc438fe6c</v>
      </c>
      <c r="C103" s="13" t="str">
        <f aca="false">IFERROR(__xludf.dummyfunction("""COMPUTED_VALUE"""),"Al-Munawar Special Muzafati Dates Box")</f>
        <v>Al-Munawar Special Muzafati Dates Box</v>
      </c>
      <c r="D103" s="13" t="str">
        <f aca="false">IFERROR(__xludf.dummyfunction("""COMPUTED_VALUE"""),"Al-Munawar")</f>
        <v>Al-Munawar</v>
      </c>
      <c r="E103" s="13" t="str">
        <f aca="false">IFERROR(__xludf.dummyfunction("""COMPUTED_VALUE"""),"Khajoor &amp; Pakoriyan")</f>
        <v>Khajoor &amp; Pakoriyan</v>
      </c>
      <c r="F103" s="11" t="n">
        <f aca="false">IFERROR(__xludf.dummyfunction("""COMPUTED_VALUE"""),45051)</f>
        <v>45051</v>
      </c>
      <c r="G103" s="12" t="n">
        <f aca="false">IFERROR(__xludf.dummyfunction("""COMPUTED_VALUE"""),0.810612881944563)</f>
        <v>0.8106128819</v>
      </c>
      <c r="H103" s="13" t="str">
        <f aca="false">IFERROR(__xludf.dummyfunction("""COMPUTED_VALUE"""),"damaged stock")</f>
        <v>damaged stock</v>
      </c>
      <c r="I103" s="13" t="n">
        <f aca="false">IFERROR(__xludf.dummyfunction("""COMPUTED_VALUE"""),2)</f>
        <v>2</v>
      </c>
      <c r="J103" s="13" t="n">
        <f aca="false">IFERROR(__xludf.dummyfunction("""COMPUTED_VALUE"""),400)</f>
        <v>400</v>
      </c>
      <c r="K103" s="13" t="n">
        <f aca="false">IFERROR(__xludf.dummyfunction("""COMPUTED_VALUE"""),800)</f>
        <v>800</v>
      </c>
      <c r="L103" s="13" t="str">
        <f aca="false">IFERROR(__xludf.dummyfunction("""COMPUTED_VALUE"""),"[Code: 257ABD] TA;  2 unit damage found During Sorting ")</f>
        <v>[Code: 257ABD] TA;  2 unit damage found During Sorting </v>
      </c>
      <c r="M103" s="13" t="str">
        <f aca="false">IFERROR(__xludf.dummyfunction("""COMPUTED_VALUE"""),"257ABD")</f>
        <v>257ABD</v>
      </c>
      <c r="N103" s="13"/>
      <c r="O103" s="13" t="str">
        <f aca="false">IFERROR(__xludf.dummyfunction("""COMPUTED_VALUE"""),"taufeeq.akhtar@tajir-app.com")</f>
        <v>taufeeq.akhtar@tajir-app.com</v>
      </c>
      <c r="P103" s="13" t="str">
        <f aca="false">IFERROR(__xludf.dummyfunction("""COMPUTED_VALUE"""),"Taufeeq Akhtar ")</f>
        <v>Taufeeq Akhtar </v>
      </c>
      <c r="Q103" s="13" t="str">
        <f aca="false">IFERROR(__xludf.dummyfunction("""COMPUTED_VALUE"""),"[Code: 257ABD] TA;  2 unit damage found During Sorting ")</f>
        <v>[Code: 257ABD] TA;  2 unit damage found During Sorting </v>
      </c>
      <c r="R103" s="13" t="str">
        <v>Fri,05-May-2023 ,07:27 PM</v>
      </c>
      <c r="S103" s="13" t="str">
        <v>Damaged Stock</v>
      </c>
    </row>
    <row r="104" customFormat="false" ht="15.75" hidden="false" customHeight="false" outlineLevel="0" collapsed="false">
      <c r="A104" s="13" t="str">
        <f aca="false">IFERROR(__xludf.dummyfunction("""COMPUTED_VALUE"""),"Metro DC Faisalabad")</f>
        <v>Metro DC Faisalabad</v>
      </c>
      <c r="B104" s="13" t="str">
        <f aca="false">IFERROR(__xludf.dummyfunction("""COMPUTED_VALUE"""),"cd68a607-af95-45cb-b9f4-2721224c85f8")</f>
        <v>cd68a607-af95-45cb-b9f4-2721224c85f8</v>
      </c>
      <c r="C104" s="13" t="str">
        <f aca="false">IFERROR(__xludf.dummyfunction("""COMPUTED_VALUE"""),"Coca Cola plastic 1.5L")</f>
        <v>Coca Cola plastic 1.5L</v>
      </c>
      <c r="D104" s="13" t="str">
        <f aca="false">IFERROR(__xludf.dummyfunction("""COMPUTED_VALUE"""),"Coca Cola")</f>
        <v>Coca Cola</v>
      </c>
      <c r="E104" s="13" t="str">
        <f aca="false">IFERROR(__xludf.dummyfunction("""COMPUTED_VALUE"""),"Beverages")</f>
        <v>Beverages</v>
      </c>
      <c r="F104" s="11" t="n">
        <f aca="false">IFERROR(__xludf.dummyfunction("""COMPUTED_VALUE"""),45052)</f>
        <v>45052</v>
      </c>
      <c r="G104" s="12" t="n">
        <f aca="false">IFERROR(__xludf.dummyfunction("""COMPUTED_VALUE"""),0.990842685185137)</f>
        <v>0.9908426852</v>
      </c>
      <c r="H104" s="13" t="str">
        <f aca="false">IFERROR(__xludf.dummyfunction("""COMPUTED_VALUE"""),"damaged stock")</f>
        <v>damaged stock</v>
      </c>
      <c r="I104" s="13" t="n">
        <f aca="false">IFERROR(__xludf.dummyfunction("""COMPUTED_VALUE"""),1)</f>
        <v>1</v>
      </c>
      <c r="J104" s="13" t="n">
        <f aca="false">IFERROR(__xludf.dummyfunction("""COMPUTED_VALUE"""),755)</f>
        <v>755</v>
      </c>
      <c r="K104" s="13" t="n">
        <f aca="false">IFERROR(__xludf.dummyfunction("""COMPUTED_VALUE"""),755)</f>
        <v>755</v>
      </c>
      <c r="L104" s="13" t="str">
        <f aca="false">IFERROR(__xludf.dummyfunction("""COMPUTED_VALUE"""),"[Code: 344479] TA:Loading kay doran loader say damage howa.")</f>
        <v>[Code: 344479] TA:Loading kay doran loader say damage howa.</v>
      </c>
      <c r="M104" s="13" t="str">
        <f aca="false">IFERROR(__xludf.dummyfunction("""COMPUTED_VALUE"""),"344479")</f>
        <v>344479</v>
      </c>
      <c r="N104" s="13"/>
      <c r="O104" s="13" t="str">
        <f aca="false">IFERROR(__xludf.dummyfunction("""COMPUTED_VALUE"""),"taufeeq.akhtar@tajir-app.com")</f>
        <v>taufeeq.akhtar@tajir-app.com</v>
      </c>
      <c r="P104" s="13" t="str">
        <f aca="false">IFERROR(__xludf.dummyfunction("""COMPUTED_VALUE"""),"Taufeeq Akhtar ")</f>
        <v>Taufeeq Akhtar </v>
      </c>
      <c r="Q104" s="13" t="str">
        <f aca="false">IFERROR(__xludf.dummyfunction("""COMPUTED_VALUE"""),"[Code: 344479] TA:Loading kay doran loader say damage howa.")</f>
        <v>[Code: 344479] TA:Loading kay doran loader say damage howa.</v>
      </c>
      <c r="R104" s="13" t="str">
        <v>Sat,06-May-2023 ,11:46 PM</v>
      </c>
      <c r="S104" s="13" t="str">
        <v>Damaged Stock</v>
      </c>
    </row>
    <row r="105" customFormat="false" ht="15.75" hidden="false" customHeight="false" outlineLevel="0" collapsed="false">
      <c r="A105" s="13" t="str">
        <f aca="false">IFERROR(__xludf.dummyfunction("""COMPUTED_VALUE"""),"Metro DC Faisalabad")</f>
        <v>Metro DC Faisalabad</v>
      </c>
      <c r="B105" s="13" t="str">
        <f aca="false">IFERROR(__xludf.dummyfunction("""COMPUTED_VALUE"""),"b7e47528-8822-461b-8889-f508bace7dfe")</f>
        <v>b7e47528-8822-461b-8889-f508bace7dfe</v>
      </c>
      <c r="C105" s="13" t="str">
        <f aca="false">IFERROR(__xludf.dummyfunction("""COMPUTED_VALUE"""),"Sherdil Daal Chana Bareek 1kg")</f>
        <v>Sherdil Daal Chana Bareek 1kg</v>
      </c>
      <c r="D105" s="13" t="str">
        <f aca="false">IFERROR(__xludf.dummyfunction("""COMPUTED_VALUE"""),"Sherdil")</f>
        <v>Sherdil</v>
      </c>
      <c r="E105" s="13" t="str">
        <f aca="false">IFERROR(__xludf.dummyfunction("""COMPUTED_VALUE"""),"Pulses")</f>
        <v>Pulses</v>
      </c>
      <c r="F105" s="11" t="n">
        <f aca="false">IFERROR(__xludf.dummyfunction("""COMPUTED_VALUE"""),45053)</f>
        <v>45053</v>
      </c>
      <c r="G105" s="12" t="n">
        <f aca="false">IFERROR(__xludf.dummyfunction("""COMPUTED_VALUE"""),0.946446388889395)</f>
        <v>0.9464463889</v>
      </c>
      <c r="H105" s="13" t="str">
        <f aca="false">IFERROR(__xludf.dummyfunction("""COMPUTED_VALUE"""),"damaged stock")</f>
        <v>damaged stock</v>
      </c>
      <c r="I105" s="13" t="n">
        <f aca="false">IFERROR(__xludf.dummyfunction("""COMPUTED_VALUE"""),1)</f>
        <v>1</v>
      </c>
      <c r="J105" s="13" t="n">
        <f aca="false">IFERROR(__xludf.dummyfunction("""COMPUTED_VALUE"""),272)</f>
        <v>272</v>
      </c>
      <c r="K105" s="13" t="n">
        <f aca="false">IFERROR(__xludf.dummyfunction("""COMPUTED_VALUE"""),272)</f>
        <v>272</v>
      </c>
      <c r="L105" s="13" t="str">
        <f aca="false">IFERROR(__xludf.dummyfunction("""COMPUTED_VALUE"""),"[Code: 349DJK] TA; 1unit found bad condation.( daal ka color change or uli bi lgi hoi he)")</f>
        <v>[Code: 349DJK] TA; 1unit found bad condation.( daal ka color change or uli bi lgi hoi he)</v>
      </c>
      <c r="M105" s="13" t="str">
        <f aca="false">IFERROR(__xludf.dummyfunction("""COMPUTED_VALUE"""),"349DJK")</f>
        <v>349DJK</v>
      </c>
      <c r="N105" s="13"/>
      <c r="O105" s="13" t="str">
        <f aca="false">IFERROR(__xludf.dummyfunction("""COMPUTED_VALUE"""),"taufeeq.akhtar@tajir-app.com")</f>
        <v>taufeeq.akhtar@tajir-app.com</v>
      </c>
      <c r="P105" s="13" t="str">
        <f aca="false">IFERROR(__xludf.dummyfunction("""COMPUTED_VALUE"""),"Taufeeq Akhtar ")</f>
        <v>Taufeeq Akhtar </v>
      </c>
      <c r="Q105" s="13" t="str">
        <f aca="false">IFERROR(__xludf.dummyfunction("""COMPUTED_VALUE"""),"[Code: 349DJK] TA; 1unit found bad condation.( daal ka color change or uli bi lgi hoi he)")</f>
        <v>[Code: 349DJK] TA; 1unit found bad condation.( daal ka color change or uli bi lgi hoi he)</v>
      </c>
      <c r="R105" s="13" t="str">
        <v>Sun,07-May-2023 ,10:42 PM</v>
      </c>
      <c r="S105" s="13" t="str">
        <v>Damaged Stock</v>
      </c>
    </row>
    <row r="106" customFormat="false" ht="15.75" hidden="false" customHeight="false" outlineLevel="0" collapsed="false">
      <c r="A106" s="13" t="str">
        <f aca="false">IFERROR(__xludf.dummyfunction("""COMPUTED_VALUE"""),"Metro DC Faisalabad")</f>
        <v>Metro DC Faisalabad</v>
      </c>
      <c r="B106" s="13" t="str">
        <f aca="false">IFERROR(__xludf.dummyfunction("""COMPUTED_VALUE"""),"6c568402-1788-466b-8f61-43acc83fa9d1")</f>
        <v>6c568402-1788-466b-8f61-43acc83fa9d1</v>
      </c>
      <c r="C106" s="13" t="str">
        <f aca="false">IFERROR(__xludf.dummyfunction("""COMPUTED_VALUE"""),"Sherdil White Chana Mota 5kg")</f>
        <v>Sherdil White Chana Mota 5kg</v>
      </c>
      <c r="D106" s="13" t="str">
        <f aca="false">IFERROR(__xludf.dummyfunction("""COMPUTED_VALUE"""),"Sherdil")</f>
        <v>Sherdil</v>
      </c>
      <c r="E106" s="13" t="str">
        <f aca="false">IFERROR(__xludf.dummyfunction("""COMPUTED_VALUE"""),"Pulses")</f>
        <v>Pulses</v>
      </c>
      <c r="F106" s="11" t="n">
        <f aca="false">IFERROR(__xludf.dummyfunction("""COMPUTED_VALUE"""),45055)</f>
        <v>45055</v>
      </c>
      <c r="G106" s="12" t="n">
        <f aca="false">IFERROR(__xludf.dummyfunction("""COMPUTED_VALUE"""),0.500350428241873)</f>
        <v>0.5003504282</v>
      </c>
      <c r="H106" s="13" t="str">
        <f aca="false">IFERROR(__xludf.dummyfunction("""COMPUTED_VALUE"""),"damaged stock")</f>
        <v>damaged stock</v>
      </c>
      <c r="I106" s="13" t="n">
        <f aca="false">IFERROR(__xludf.dummyfunction("""COMPUTED_VALUE"""),14)</f>
        <v>14</v>
      </c>
      <c r="J106" s="13" t="n">
        <f aca="false">IFERROR(__xludf.dummyfunction("""COMPUTED_VALUE"""),1682)</f>
        <v>1682</v>
      </c>
      <c r="K106" s="13" t="n">
        <f aca="false">IFERROR(__xludf.dummyfunction("""COMPUTED_VALUE"""),23548)</f>
        <v>23548</v>
      </c>
      <c r="L106" s="13" t="str">
        <f aca="false">IFERROR(__xludf.dummyfunction("""COMPUTED_VALUE"""),"[Code: 23456A] 14 units damaged due to insects ")</f>
        <v>[Code: 23456A] 14 units damaged due to insects </v>
      </c>
      <c r="M106" s="13" t="str">
        <f aca="false">IFERROR(__xludf.dummyfunction("""COMPUTED_VALUE"""),"23456A")</f>
        <v>23456A</v>
      </c>
      <c r="N106" s="13"/>
      <c r="O106" s="13" t="str">
        <f aca="false">IFERROR(__xludf.dummyfunction("""COMPUTED_VALUE"""),"ali.raza@tajir-app.com")</f>
        <v>ali.raza@tajir-app.com</v>
      </c>
      <c r="P106" s="13" t="str">
        <f aca="false">IFERROR(__xludf.dummyfunction("""COMPUTED_VALUE"""),"Ali Raza ")</f>
        <v>Ali Raza </v>
      </c>
      <c r="Q106" s="13" t="str">
        <f aca="false">IFERROR(__xludf.dummyfunction("""COMPUTED_VALUE"""),"[Code: 23456A] 14 units damaged due to insects ")</f>
        <v>[Code: 23456A] 14 units damaged due to insects </v>
      </c>
      <c r="R106" s="13" t="str">
        <v>Tue,09-May-2023 ,12:00 PM</v>
      </c>
      <c r="S106" s="13" t="str">
        <v>Damaged Stock</v>
      </c>
    </row>
    <row r="107" customFormat="false" ht="15.75" hidden="false" customHeight="false" outlineLevel="0" collapsed="false">
      <c r="A107" s="13" t="str">
        <f aca="false">IFERROR(__xludf.dummyfunction("""COMPUTED_VALUE"""),"Metro DC Faisalabad")</f>
        <v>Metro DC Faisalabad</v>
      </c>
      <c r="B107" s="13" t="str">
        <f aca="false">IFERROR(__xludf.dummyfunction("""COMPUTED_VALUE"""),"978a88b5-e0d1-4d9d-b7a1-90921ab8d4f0")</f>
        <v>978a88b5-e0d1-4d9d-b7a1-90921ab8d4f0</v>
      </c>
      <c r="C107" s="13" t="str">
        <f aca="false">IFERROR(__xludf.dummyfunction("""COMPUTED_VALUE"""),"Sherdil Daal Mash Wash 5kg")</f>
        <v>Sherdil Daal Mash Wash 5kg</v>
      </c>
      <c r="D107" s="13" t="str">
        <f aca="false">IFERROR(__xludf.dummyfunction("""COMPUTED_VALUE"""),"Sherdil")</f>
        <v>Sherdil</v>
      </c>
      <c r="E107" s="13" t="str">
        <f aca="false">IFERROR(__xludf.dummyfunction("""COMPUTED_VALUE"""),"Pulses")</f>
        <v>Pulses</v>
      </c>
      <c r="F107" s="11" t="n">
        <f aca="false">IFERROR(__xludf.dummyfunction("""COMPUTED_VALUE"""),45055)</f>
        <v>45055</v>
      </c>
      <c r="G107" s="12" t="n">
        <f aca="false">IFERROR(__xludf.dummyfunction("""COMPUTED_VALUE"""),0.500874282406599)</f>
        <v>0.5008742824</v>
      </c>
      <c r="H107" s="13" t="str">
        <f aca="false">IFERROR(__xludf.dummyfunction("""COMPUTED_VALUE"""),"damaged stock")</f>
        <v>damaged stock</v>
      </c>
      <c r="I107" s="13" t="n">
        <f aca="false">IFERROR(__xludf.dummyfunction("""COMPUTED_VALUE"""),2)</f>
        <v>2</v>
      </c>
      <c r="J107" s="13" t="n">
        <f aca="false">IFERROR(__xludf.dummyfunction("""COMPUTED_VALUE"""),2328)</f>
        <v>2328</v>
      </c>
      <c r="K107" s="13" t="n">
        <f aca="false">IFERROR(__xludf.dummyfunction("""COMPUTED_VALUE"""),4656)</f>
        <v>4656</v>
      </c>
      <c r="L107" s="13" t="str">
        <f aca="false">IFERROR(__xludf.dummyfunction("""COMPUTED_VALUE"""),"[Code: 4778AG] 2 units found damaged due to fungus.")</f>
        <v>[Code: 4778AG] 2 units found damaged due to fungus.</v>
      </c>
      <c r="M107" s="13" t="str">
        <f aca="false">IFERROR(__xludf.dummyfunction("""COMPUTED_VALUE"""),"4778AG")</f>
        <v>4778AG</v>
      </c>
      <c r="N107" s="13"/>
      <c r="O107" s="13" t="str">
        <f aca="false">IFERROR(__xludf.dummyfunction("""COMPUTED_VALUE"""),"ali.raza@tajir-app.com")</f>
        <v>ali.raza@tajir-app.com</v>
      </c>
      <c r="P107" s="13" t="str">
        <f aca="false">IFERROR(__xludf.dummyfunction("""COMPUTED_VALUE"""),"Ali Raza ")</f>
        <v>Ali Raza </v>
      </c>
      <c r="Q107" s="13" t="str">
        <f aca="false">IFERROR(__xludf.dummyfunction("""COMPUTED_VALUE"""),"[Code: 4778AG] 2 units found damaged due to fungus.")</f>
        <v>[Code: 4778AG] 2 units found damaged due to fungus.</v>
      </c>
      <c r="R107" s="13" t="str">
        <v>Tue,09-May-2023 ,12:01 PM</v>
      </c>
      <c r="S107" s="13" t="str">
        <v>Damaged Stock</v>
      </c>
    </row>
    <row r="108" customFormat="false" ht="15.75" hidden="false" customHeight="false" outlineLevel="0" collapsed="false">
      <c r="A108" s="13" t="str">
        <f aca="false">IFERROR(__xludf.dummyfunction("""COMPUTED_VALUE"""),"Metro DC Faisalabad")</f>
        <v>Metro DC Faisalabad</v>
      </c>
      <c r="B108" s="13" t="str">
        <f aca="false">IFERROR(__xludf.dummyfunction("""COMPUTED_VALUE"""),"640b3d13-fe80-4e07-8c7f-6e8b80a71337")</f>
        <v>640b3d13-fe80-4e07-8c7f-6e8b80a71337</v>
      </c>
      <c r="C108" s="13" t="str">
        <f aca="false">IFERROR(__xludf.dummyfunction("""COMPUTED_VALUE"""),"Swadi Besan 5kg")</f>
        <v>Swadi Besan 5kg</v>
      </c>
      <c r="D108" s="13" t="str">
        <f aca="false">IFERROR(__xludf.dummyfunction("""COMPUTED_VALUE"""),"Swadi")</f>
        <v>Swadi</v>
      </c>
      <c r="E108" s="13" t="str">
        <f aca="false">IFERROR(__xludf.dummyfunction("""COMPUTED_VALUE"""),"Pulses")</f>
        <v>Pulses</v>
      </c>
      <c r="F108" s="11" t="n">
        <f aca="false">IFERROR(__xludf.dummyfunction("""COMPUTED_VALUE"""),45055)</f>
        <v>45055</v>
      </c>
      <c r="G108" s="12" t="n">
        <f aca="false">IFERROR(__xludf.dummyfunction("""COMPUTED_VALUE"""),0.501622662037468)</f>
        <v>0.501622662</v>
      </c>
      <c r="H108" s="13" t="str">
        <f aca="false">IFERROR(__xludf.dummyfunction("""COMPUTED_VALUE"""),"damaged stock")</f>
        <v>damaged stock</v>
      </c>
      <c r="I108" s="13" t="n">
        <f aca="false">IFERROR(__xludf.dummyfunction("""COMPUTED_VALUE"""),6)</f>
        <v>6</v>
      </c>
      <c r="J108" s="13" t="n">
        <f aca="false">IFERROR(__xludf.dummyfunction("""COMPUTED_VALUE"""),1150)</f>
        <v>1150</v>
      </c>
      <c r="K108" s="13" t="n">
        <f aca="false">IFERROR(__xludf.dummyfunction("""COMPUTED_VALUE"""),6900)</f>
        <v>6900</v>
      </c>
      <c r="L108" s="13" t="str">
        <f aca="false">IFERROR(__xludf.dummyfunction("""COMPUTED_VALUE"""),"[Code: 378999] 6 units found damaged due to insects")</f>
        <v>[Code: 378999] 6 units found damaged due to insects</v>
      </c>
      <c r="M108" s="13" t="str">
        <f aca="false">IFERROR(__xludf.dummyfunction("""COMPUTED_VALUE"""),"378999")</f>
        <v>378999</v>
      </c>
      <c r="N108" s="13"/>
      <c r="O108" s="13" t="str">
        <f aca="false">IFERROR(__xludf.dummyfunction("""COMPUTED_VALUE"""),"ali.raza@tajir-app.com")</f>
        <v>ali.raza@tajir-app.com</v>
      </c>
      <c r="P108" s="13" t="str">
        <f aca="false">IFERROR(__xludf.dummyfunction("""COMPUTED_VALUE"""),"Ali Raza ")</f>
        <v>Ali Raza </v>
      </c>
      <c r="Q108" s="13" t="str">
        <f aca="false">IFERROR(__xludf.dummyfunction("""COMPUTED_VALUE"""),"[Code: 378999] 6 units found damaged due to insects")</f>
        <v>[Code: 378999] 6 units found damaged due to insects</v>
      </c>
      <c r="R108" s="13" t="str">
        <v>Tue,09-May-2023 ,12:02 PM</v>
      </c>
      <c r="S108" s="13" t="str">
        <v>Damaged Stock</v>
      </c>
    </row>
    <row r="109" customFormat="false" ht="15.75" hidden="false" customHeight="false" outlineLevel="0" collapsed="false">
      <c r="A109" s="13" t="str">
        <f aca="false">IFERROR(__xludf.dummyfunction("""COMPUTED_VALUE"""),"Metro DC Faisalabad")</f>
        <v>Metro DC Faisalabad</v>
      </c>
      <c r="B109" s="13" t="str">
        <f aca="false">IFERROR(__xludf.dummyfunction("""COMPUTED_VALUE"""),"46f4851c-6e4e-4ab1-a65f-f5bb2ff0c287")</f>
        <v>46f4851c-6e4e-4ab1-a65f-f5bb2ff0c287</v>
      </c>
      <c r="C109" s="13" t="str">
        <f aca="false">IFERROR(__xludf.dummyfunction("""COMPUTED_VALUE"""),"Sherdil Suji 500g")</f>
        <v>Sherdil Suji 500g</v>
      </c>
      <c r="D109" s="13" t="str">
        <f aca="false">IFERROR(__xludf.dummyfunction("""COMPUTED_VALUE"""),"Sherdil")</f>
        <v>Sherdil</v>
      </c>
      <c r="E109" s="13" t="str">
        <f aca="false">IFERROR(__xludf.dummyfunction("""COMPUTED_VALUE"""),"Flour")</f>
        <v>Flour</v>
      </c>
      <c r="F109" s="11" t="n">
        <f aca="false">IFERROR(__xludf.dummyfunction("""COMPUTED_VALUE"""),45055)</f>
        <v>45055</v>
      </c>
      <c r="G109" s="12" t="n">
        <f aca="false">IFERROR(__xludf.dummyfunction("""COMPUTED_VALUE"""),0.935467303241134)</f>
        <v>0.9354673032</v>
      </c>
      <c r="H109" s="13" t="str">
        <f aca="false">IFERROR(__xludf.dummyfunction("""COMPUTED_VALUE"""),"damaged stock")</f>
        <v>damaged stock</v>
      </c>
      <c r="I109" s="13" t="n">
        <f aca="false">IFERROR(__xludf.dummyfunction("""COMPUTED_VALUE"""),12)</f>
        <v>12</v>
      </c>
      <c r="J109" s="13" t="n">
        <f aca="false">IFERROR(__xludf.dummyfunction("""COMPUTED_VALUE"""),110)</f>
        <v>110</v>
      </c>
      <c r="K109" s="13" t="n">
        <f aca="false">IFERROR(__xludf.dummyfunction("""COMPUTED_VALUE"""),1320)</f>
        <v>1320</v>
      </c>
      <c r="L109" s="13" t="str">
        <f aca="false">IFERROR(__xludf.dummyfunction("""COMPUTED_VALUE"""),"[Code: 2345EG] TA: quality achi nahi hay...susri lagi hay ")</f>
        <v>[Code: 2345EG] TA: quality achi nahi hay...susri lagi hay </v>
      </c>
      <c r="M109" s="13" t="str">
        <f aca="false">IFERROR(__xludf.dummyfunction("""COMPUTED_VALUE"""),"2345EG")</f>
        <v>2345EG</v>
      </c>
      <c r="N109" s="13"/>
      <c r="O109" s="13" t="str">
        <f aca="false">IFERROR(__xludf.dummyfunction("""COMPUTED_VALUE"""),"taufeeq.akhtar@tajir-app.com")</f>
        <v>taufeeq.akhtar@tajir-app.com</v>
      </c>
      <c r="P109" s="13" t="str">
        <f aca="false">IFERROR(__xludf.dummyfunction("""COMPUTED_VALUE"""),"Taufeeq Akhtar ")</f>
        <v>Taufeeq Akhtar </v>
      </c>
      <c r="Q109" s="13" t="str">
        <f aca="false">IFERROR(__xludf.dummyfunction("""COMPUTED_VALUE"""),"[Code: 2345EG] TA: quality achi nahi hay...susri lagi hay ")</f>
        <v>[Code: 2345EG] TA: quality achi nahi hay...susri lagi hay </v>
      </c>
      <c r="R109" s="13" t="str">
        <v>Tue,09-May-2023 ,10:27 PM</v>
      </c>
      <c r="S109" s="13" t="str">
        <v>Damaged Stock</v>
      </c>
    </row>
    <row r="110" customFormat="false" ht="15.75" hidden="false" customHeight="false" outlineLevel="0" collapsed="false">
      <c r="A110" s="13" t="str">
        <f aca="false">IFERROR(__xludf.dummyfunction("""COMPUTED_VALUE"""),"Metro DC Faisalabad")</f>
        <v>Metro DC Faisalabad</v>
      </c>
      <c r="B110" s="13" t="str">
        <f aca="false">IFERROR(__xludf.dummyfunction("""COMPUTED_VALUE"""),"e1d071e3-d27f-47ca-bd86-13408e8d89dd")</f>
        <v>e1d071e3-d27f-47ca-bd86-13408e8d89dd</v>
      </c>
      <c r="C110" s="13" t="str">
        <f aca="false">IFERROR(__xludf.dummyfunction("""COMPUTED_VALUE"""),"Shangrila Tomato Ketchup x3 Bundle 800g")</f>
        <v>Shangrila Tomato Ketchup x3 Bundle 800g</v>
      </c>
      <c r="D110" s="13" t="str">
        <f aca="false">IFERROR(__xludf.dummyfunction("""COMPUTED_VALUE"""),"Shangrila")</f>
        <v>Shangrila</v>
      </c>
      <c r="E110" s="13" t="str">
        <f aca="false">IFERROR(__xludf.dummyfunction("""COMPUTED_VALUE"""),"Sauces")</f>
        <v>Sauces</v>
      </c>
      <c r="F110" s="11" t="n">
        <f aca="false">IFERROR(__xludf.dummyfunction("""COMPUTED_VALUE"""),45055)</f>
        <v>45055</v>
      </c>
      <c r="G110" s="12" t="n">
        <f aca="false">IFERROR(__xludf.dummyfunction("""COMPUTED_VALUE"""),0.961909340276786)</f>
        <v>0.9619093403</v>
      </c>
      <c r="H110" s="13" t="str">
        <f aca="false">IFERROR(__xludf.dummyfunction("""COMPUTED_VALUE"""),"damaged stock")</f>
        <v>damaged stock</v>
      </c>
      <c r="I110" s="13" t="n">
        <f aca="false">IFERROR(__xludf.dummyfunction("""COMPUTED_VALUE"""),1)</f>
        <v>1</v>
      </c>
      <c r="J110" s="13" t="n">
        <f aca="false">IFERROR(__xludf.dummyfunction("""COMPUTED_VALUE"""),864.4)</f>
        <v>864.4</v>
      </c>
      <c r="K110" s="13" t="n">
        <f aca="false">IFERROR(__xludf.dummyfunction("""COMPUTED_VALUE"""),864.4)</f>
        <v>864.4</v>
      </c>
      <c r="L110" s="13" t="str">
        <f aca="false">IFERROR(__xludf.dummyfunction("""COMPUTED_VALUE"""),"[Code: 355578] TA: Sorting kay Doran box may say damage nikla")</f>
        <v>[Code: 355578] TA: Sorting kay Doran box may say damage nikla</v>
      </c>
      <c r="M110" s="13" t="str">
        <f aca="false">IFERROR(__xludf.dummyfunction("""COMPUTED_VALUE"""),"355578")</f>
        <v>355578</v>
      </c>
      <c r="N110" s="13"/>
      <c r="O110" s="13" t="str">
        <f aca="false">IFERROR(__xludf.dummyfunction("""COMPUTED_VALUE"""),"taufeeq.akhtar@tajir-app.com")</f>
        <v>taufeeq.akhtar@tajir-app.com</v>
      </c>
      <c r="P110" s="13" t="str">
        <f aca="false">IFERROR(__xludf.dummyfunction("""COMPUTED_VALUE"""),"Taufeeq Akhtar ")</f>
        <v>Taufeeq Akhtar </v>
      </c>
      <c r="Q110" s="13" t="str">
        <f aca="false">IFERROR(__xludf.dummyfunction("""COMPUTED_VALUE"""),"[Code: 355578] TA: Sorting kay Doran box may say damage nikla")</f>
        <v>[Code: 355578] TA: Sorting kay Doran box may say damage nikla</v>
      </c>
      <c r="R110" s="13" t="str">
        <v>Tue,09-May-2023 ,11:05 PM</v>
      </c>
      <c r="S110" s="13" t="str">
        <v>Damaged Stock</v>
      </c>
    </row>
    <row r="111" customFormat="false" ht="15.75" hidden="false" customHeight="false" outlineLevel="0" collapsed="false">
      <c r="A111" s="13" t="str">
        <f aca="false">IFERROR(__xludf.dummyfunction("""COMPUTED_VALUE"""),"Metro DC Faisalabad")</f>
        <v>Metro DC Faisalabad</v>
      </c>
      <c r="B111" s="13" t="str">
        <f aca="false">IFERROR(__xludf.dummyfunction("""COMPUTED_VALUE"""),"cd68a607-af95-45cb-b9f4-2721224c85f8")</f>
        <v>cd68a607-af95-45cb-b9f4-2721224c85f8</v>
      </c>
      <c r="C111" s="13" t="str">
        <f aca="false">IFERROR(__xludf.dummyfunction("""COMPUTED_VALUE"""),"Coca Cola plastic 1.5L")</f>
        <v>Coca Cola plastic 1.5L</v>
      </c>
      <c r="D111" s="13" t="str">
        <f aca="false">IFERROR(__xludf.dummyfunction("""COMPUTED_VALUE"""),"Coca Cola")</f>
        <v>Coca Cola</v>
      </c>
      <c r="E111" s="13" t="str">
        <f aca="false">IFERROR(__xludf.dummyfunction("""COMPUTED_VALUE"""),"Beverages")</f>
        <v>Beverages</v>
      </c>
      <c r="F111" s="11" t="n">
        <f aca="false">IFERROR(__xludf.dummyfunction("""COMPUTED_VALUE"""),45056)</f>
        <v>45056</v>
      </c>
      <c r="G111" s="12" t="n">
        <f aca="false">IFERROR(__xludf.dummyfunction("""COMPUTED_VALUE"""),0.82861290509345)</f>
        <v>0.8286129051</v>
      </c>
      <c r="H111" s="13" t="str">
        <f aca="false">IFERROR(__xludf.dummyfunction("""COMPUTED_VALUE"""),"damaged stock")</f>
        <v>damaged stock</v>
      </c>
      <c r="I111" s="13" t="n">
        <f aca="false">IFERROR(__xludf.dummyfunction("""COMPUTED_VALUE"""),1)</f>
        <v>1</v>
      </c>
      <c r="J111" s="13" t="n">
        <f aca="false">IFERROR(__xludf.dummyfunction("""COMPUTED_VALUE"""),755)</f>
        <v>755</v>
      </c>
      <c r="K111" s="13" t="n">
        <f aca="false">IFERROR(__xludf.dummyfunction("""COMPUTED_VALUE"""),755)</f>
        <v>755</v>
      </c>
      <c r="L111" s="13" t="str">
        <f aca="false">IFERROR(__xludf.dummyfunction("""COMPUTED_VALUE"""),"[Code: 55667A] TA ; 1unit damage found ( sorting ky doran stock sy lose mila he)")</f>
        <v>[Code: 55667A] TA ; 1unit damage found ( sorting ky doran stock sy lose mila he)</v>
      </c>
      <c r="M111" s="13" t="str">
        <f aca="false">IFERROR(__xludf.dummyfunction("""COMPUTED_VALUE"""),"55667A")</f>
        <v>55667A</v>
      </c>
      <c r="N111" s="13"/>
      <c r="O111" s="13" t="str">
        <f aca="false">IFERROR(__xludf.dummyfunction("""COMPUTED_VALUE"""),"taufeeq.akhtar@tajir-app.com")</f>
        <v>taufeeq.akhtar@tajir-app.com</v>
      </c>
      <c r="P111" s="13" t="str">
        <f aca="false">IFERROR(__xludf.dummyfunction("""COMPUTED_VALUE"""),"Taufeeq Akhtar ")</f>
        <v>Taufeeq Akhtar </v>
      </c>
      <c r="Q111" s="13" t="str">
        <f aca="false">IFERROR(__xludf.dummyfunction("""COMPUTED_VALUE"""),"[Code: 55667A] TA ; 1unit damage found ( sorting ky doran stock sy lose mila he)")</f>
        <v>[Code: 55667A] TA ; 1unit damage found ( sorting ky doran stock sy lose mila he)</v>
      </c>
      <c r="R111" s="13" t="str">
        <v>Wed,10-May-2023 ,07:53 PM</v>
      </c>
      <c r="S111" s="13" t="str">
        <v>Damaged Stock</v>
      </c>
    </row>
    <row r="112" customFormat="false" ht="15.75" hidden="false" customHeight="false" outlineLevel="0" collapsed="false">
      <c r="A112" s="13" t="str">
        <f aca="false">IFERROR(__xludf.dummyfunction("""COMPUTED_VALUE"""),"Metro DC Faisalabad")</f>
        <v>Metro DC Faisalabad</v>
      </c>
      <c r="B112" s="13" t="str">
        <f aca="false">IFERROR(__xludf.dummyfunction("""COMPUTED_VALUE"""),"d864c0cd-914b-4a54-96d5-8e894ba5f3b6")</f>
        <v>d864c0cd-914b-4a54-96d5-8e894ba5f3b6</v>
      </c>
      <c r="C112" s="13" t="str">
        <f aca="false">IFERROR(__xludf.dummyfunction("""COMPUTED_VALUE"""),"Surf Excel x6 bundle 20g Rs 10")</f>
        <v>Surf Excel x6 bundle 20g Rs 10</v>
      </c>
      <c r="D112" s="13" t="str">
        <f aca="false">IFERROR(__xludf.dummyfunction("""COMPUTED_VALUE"""),"Surf Excel")</f>
        <v>Surf Excel</v>
      </c>
      <c r="E112" s="13" t="str">
        <f aca="false">IFERROR(__xludf.dummyfunction("""COMPUTED_VALUE"""),"Surf, Bleach")</f>
        <v>Surf, Bleach</v>
      </c>
      <c r="F112" s="11" t="n">
        <f aca="false">IFERROR(__xludf.dummyfunction("""COMPUTED_VALUE"""),45058)</f>
        <v>45058</v>
      </c>
      <c r="G112" s="12" t="n">
        <f aca="false">IFERROR(__xludf.dummyfunction("""COMPUTED_VALUE"""),0.513977893517247)</f>
        <v>0.5139778935</v>
      </c>
      <c r="H112" s="13" t="str">
        <f aca="false">IFERROR(__xludf.dummyfunction("""COMPUTED_VALUE"""),"damaged stock")</f>
        <v>damaged stock</v>
      </c>
      <c r="I112" s="13" t="n">
        <f aca="false">IFERROR(__xludf.dummyfunction("""COMPUTED_VALUE"""),4)</f>
        <v>4</v>
      </c>
      <c r="J112" s="13" t="n">
        <f aca="false">IFERROR(__xludf.dummyfunction("""COMPUTED_VALUE"""),55)</f>
        <v>55</v>
      </c>
      <c r="K112" s="13" t="n">
        <f aca="false">IFERROR(__xludf.dummyfunction("""COMPUTED_VALUE"""),220)</f>
        <v>220</v>
      </c>
      <c r="L112" s="13" t="str">
        <f aca="false">IFERROR(__xludf.dummyfunction("""COMPUTED_VALUE"""),"[Code: 223557] TA;  4unit damage found (sorting krty waqt bag sy damage mily hain)")</f>
        <v>[Code: 223557] TA;  4unit damage found (sorting krty waqt bag sy damage mily hain)</v>
      </c>
      <c r="M112" s="13" t="str">
        <f aca="false">IFERROR(__xludf.dummyfunction("""COMPUTED_VALUE"""),"223557")</f>
        <v>223557</v>
      </c>
      <c r="N112" s="13"/>
      <c r="O112" s="13" t="str">
        <f aca="false">IFERROR(__xludf.dummyfunction("""COMPUTED_VALUE"""),"taufeeq.akhtar@tajir-app.com")</f>
        <v>taufeeq.akhtar@tajir-app.com</v>
      </c>
      <c r="P112" s="13" t="str">
        <f aca="false">IFERROR(__xludf.dummyfunction("""COMPUTED_VALUE"""),"Taufeeq Akhtar ")</f>
        <v>Taufeeq Akhtar </v>
      </c>
      <c r="Q112" s="13" t="str">
        <f aca="false">IFERROR(__xludf.dummyfunction("""COMPUTED_VALUE"""),"[Code: 223557] TA;  4unit damage found (sorting krty waqt bag sy damage mily hain)")</f>
        <v>[Code: 223557] TA;  4unit damage found (sorting krty waqt bag sy damage mily hain)</v>
      </c>
      <c r="R112" s="13" t="str">
        <v>Fri,12-May-2023 ,12:20 PM</v>
      </c>
      <c r="S112" s="13" t="str">
        <v>Damaged Stock</v>
      </c>
    </row>
    <row r="113" customFormat="false" ht="15.75" hidden="false" customHeight="false" outlineLevel="0" collapsed="false">
      <c r="A113" s="13" t="str">
        <f aca="false">IFERROR(__xludf.dummyfunction("""COMPUTED_VALUE"""),"Metro DC Faisalabad")</f>
        <v>Metro DC Faisalabad</v>
      </c>
      <c r="B113" s="13" t="str">
        <f aca="false">IFERROR(__xludf.dummyfunction("""COMPUTED_VALUE"""),"717c11ae-c3bc-4378-a184-2154badcf63d")</f>
        <v>717c11ae-c3bc-4378-a184-2154badcf63d</v>
      </c>
      <c r="C113" s="13" t="str">
        <f aca="false">IFERROR(__xludf.dummyfunction("""COMPUTED_VALUE"""),"Quality Grains Daal Mash Wash 500g")</f>
        <v>Quality Grains Daal Mash Wash 500g</v>
      </c>
      <c r="D113" s="13" t="str">
        <f aca="false">IFERROR(__xludf.dummyfunction("""COMPUTED_VALUE"""),"Quality Grains")</f>
        <v>Quality Grains</v>
      </c>
      <c r="E113" s="13" t="str">
        <f aca="false">IFERROR(__xludf.dummyfunction("""COMPUTED_VALUE"""),"Pulses")</f>
        <v>Pulses</v>
      </c>
      <c r="F113" s="11" t="n">
        <f aca="false">IFERROR(__xludf.dummyfunction("""COMPUTED_VALUE"""),45058)</f>
        <v>45058</v>
      </c>
      <c r="G113" s="12" t="n">
        <f aca="false">IFERROR(__xludf.dummyfunction("""COMPUTED_VALUE"""),0.545684212964413)</f>
        <v>0.545684213</v>
      </c>
      <c r="H113" s="13" t="str">
        <f aca="false">IFERROR(__xludf.dummyfunction("""COMPUTED_VALUE"""),"damaged stock")</f>
        <v>damaged stock</v>
      </c>
      <c r="I113" s="13" t="n">
        <f aca="false">IFERROR(__xludf.dummyfunction("""COMPUTED_VALUE"""),7)</f>
        <v>7</v>
      </c>
      <c r="J113" s="13" t="n">
        <f aca="false">IFERROR(__xludf.dummyfunction("""COMPUTED_VALUE"""),226)</f>
        <v>226</v>
      </c>
      <c r="K113" s="13" t="n">
        <f aca="false">IFERROR(__xludf.dummyfunction("""COMPUTED_VALUE"""),1582)</f>
        <v>1582</v>
      </c>
      <c r="L113" s="13" t="str">
        <f aca="false">IFERROR(__xludf.dummyfunction("""COMPUTED_VALUE"""),"[Code: 445699] TA; 7 units found damaged due to fungus. (quality ashi nhi he)")</f>
        <v>[Code: 445699] TA; 7 units found damaged due to fungus. (quality ashi nhi he)</v>
      </c>
      <c r="M113" s="13" t="str">
        <f aca="false">IFERROR(__xludf.dummyfunction("""COMPUTED_VALUE"""),"445699")</f>
        <v>445699</v>
      </c>
      <c r="N113" s="13"/>
      <c r="O113" s="13" t="str">
        <f aca="false">IFERROR(__xludf.dummyfunction("""COMPUTED_VALUE"""),"taufeeq.akhtar@tajir-app.com")</f>
        <v>taufeeq.akhtar@tajir-app.com</v>
      </c>
      <c r="P113" s="13" t="str">
        <f aca="false">IFERROR(__xludf.dummyfunction("""COMPUTED_VALUE"""),"Taufeeq Akhtar ")</f>
        <v>Taufeeq Akhtar </v>
      </c>
      <c r="Q113" s="13" t="str">
        <f aca="false">IFERROR(__xludf.dummyfunction("""COMPUTED_VALUE"""),"[Code: 445699] TA; 7 units found damaged due to fungus. (quality ashi nhi he)")</f>
        <v>[Code: 445699] TA; 7 units found damaged due to fungus. (quality ashi nhi he)</v>
      </c>
      <c r="R113" s="13" t="str">
        <v>Fri,12-May-2023 ,01:05 PM</v>
      </c>
      <c r="S113" s="13" t="str">
        <v>Damaged Stock</v>
      </c>
    </row>
    <row r="114" customFormat="false" ht="15.75" hidden="false" customHeight="false" outlineLevel="0" collapsed="false">
      <c r="A114" s="13" t="str">
        <f aca="false">IFERROR(__xludf.dummyfunction("""COMPUTED_VALUE"""),"Metro DC Faisalabad")</f>
        <v>Metro DC Faisalabad</v>
      </c>
      <c r="B114" s="13" t="str">
        <f aca="false">IFERROR(__xludf.dummyfunction("""COMPUTED_VALUE"""),"9c395894-35c2-4217-9eff-b0a22e04c2d1")</f>
        <v>9c395894-35c2-4217-9eff-b0a22e04c2d1</v>
      </c>
      <c r="C114" s="13" t="str">
        <f aca="false">IFERROR(__xludf.dummyfunction("""COMPUTED_VALUE"""),"Coca Cola plastic 2.25L (Jumbo)")</f>
        <v>Coca Cola plastic 2.25L (Jumbo)</v>
      </c>
      <c r="D114" s="13" t="str">
        <f aca="false">IFERROR(__xludf.dummyfunction("""COMPUTED_VALUE"""),"Coca Cola")</f>
        <v>Coca Cola</v>
      </c>
      <c r="E114" s="13" t="str">
        <f aca="false">IFERROR(__xludf.dummyfunction("""COMPUTED_VALUE"""),"Beverages")</f>
        <v>Beverages</v>
      </c>
      <c r="F114" s="11" t="n">
        <f aca="false">IFERROR(__xludf.dummyfunction("""COMPUTED_VALUE"""),45058)</f>
        <v>45058</v>
      </c>
      <c r="G114" s="12" t="n">
        <f aca="false">IFERROR(__xludf.dummyfunction("""COMPUTED_VALUE"""),0.707958043981934)</f>
        <v>0.707958044</v>
      </c>
      <c r="H114" s="13" t="str">
        <f aca="false">IFERROR(__xludf.dummyfunction("""COMPUTED_VALUE"""),"damaged stock")</f>
        <v>damaged stock</v>
      </c>
      <c r="I114" s="13" t="n">
        <f aca="false">IFERROR(__xludf.dummyfunction("""COMPUTED_VALUE"""),1)</f>
        <v>1</v>
      </c>
      <c r="J114" s="13" t="n">
        <f aca="false">IFERROR(__xludf.dummyfunction("""COMPUTED_VALUE"""),1108.62)</f>
        <v>1108.62</v>
      </c>
      <c r="K114" s="13" t="n">
        <f aca="false">IFERROR(__xludf.dummyfunction("""COMPUTED_VALUE"""),1108.62)</f>
        <v>1108.62</v>
      </c>
      <c r="L114" s="13" t="str">
        <f aca="false">IFERROR(__xludf.dummyfunction("""COMPUTED_VALUE"""),"[Code: 345578] TA; 1 unit damage found .(  sorting ky doran stock sy lose bottel mili hain)")</f>
        <v>[Code: 345578] TA; 1 unit damage found .(  sorting ky doran stock sy lose bottel mili hain)</v>
      </c>
      <c r="M114" s="13" t="str">
        <f aca="false">IFERROR(__xludf.dummyfunction("""COMPUTED_VALUE"""),"345578")</f>
        <v>345578</v>
      </c>
      <c r="N114" s="13"/>
      <c r="O114" s="13" t="str">
        <f aca="false">IFERROR(__xludf.dummyfunction("""COMPUTED_VALUE"""),"taufeeq.akhtar@tajir-app.com")</f>
        <v>taufeeq.akhtar@tajir-app.com</v>
      </c>
      <c r="P114" s="13" t="str">
        <f aca="false">IFERROR(__xludf.dummyfunction("""COMPUTED_VALUE"""),"Taufeeq Akhtar ")</f>
        <v>Taufeeq Akhtar </v>
      </c>
      <c r="Q114" s="13" t="str">
        <f aca="false">IFERROR(__xludf.dummyfunction("""COMPUTED_VALUE"""),"[Code: 345578] TA; 1 unit damage found .(  sorting ky doran stock sy lose bottel mili hain)")</f>
        <v>[Code: 345578] TA; 1 unit damage found .(  sorting ky doran stock sy lose bottel mili hain)</v>
      </c>
      <c r="R114" s="13" t="str">
        <v>Fri,12-May-2023 ,04:59 PM</v>
      </c>
      <c r="S114" s="13" t="str">
        <v>Damaged Stock</v>
      </c>
    </row>
    <row r="115" customFormat="false" ht="15.75" hidden="false" customHeight="false" outlineLevel="0" collapsed="false">
      <c r="A115" s="13" t="str">
        <f aca="false">IFERROR(__xludf.dummyfunction("""COMPUTED_VALUE"""),"Metro DC Faisalabad")</f>
        <v>Metro DC Faisalabad</v>
      </c>
      <c r="B115" s="13" t="str">
        <f aca="false">IFERROR(__xludf.dummyfunction("""COMPUTED_VALUE"""),"cd68a607-af95-45cb-b9f4-2721224c85f8")</f>
        <v>cd68a607-af95-45cb-b9f4-2721224c85f8</v>
      </c>
      <c r="C115" s="13" t="str">
        <f aca="false">IFERROR(__xludf.dummyfunction("""COMPUTED_VALUE"""),"Coca Cola plastic 1.5L")</f>
        <v>Coca Cola plastic 1.5L</v>
      </c>
      <c r="D115" s="13" t="str">
        <f aca="false">IFERROR(__xludf.dummyfunction("""COMPUTED_VALUE"""),"Coca Cola")</f>
        <v>Coca Cola</v>
      </c>
      <c r="E115" s="13" t="str">
        <f aca="false">IFERROR(__xludf.dummyfunction("""COMPUTED_VALUE"""),"Beverages")</f>
        <v>Beverages</v>
      </c>
      <c r="F115" s="11" t="n">
        <f aca="false">IFERROR(__xludf.dummyfunction("""COMPUTED_VALUE"""),45058)</f>
        <v>45058</v>
      </c>
      <c r="G115" s="12" t="n">
        <f aca="false">IFERROR(__xludf.dummyfunction("""COMPUTED_VALUE"""),0.739659074074543)</f>
        <v>0.7396590741</v>
      </c>
      <c r="H115" s="13" t="str">
        <f aca="false">IFERROR(__xludf.dummyfunction("""COMPUTED_VALUE"""),"damaged stock")</f>
        <v>damaged stock</v>
      </c>
      <c r="I115" s="13" t="n">
        <f aca="false">IFERROR(__xludf.dummyfunction("""COMPUTED_VALUE"""),1)</f>
        <v>1</v>
      </c>
      <c r="J115" s="13" t="n">
        <f aca="false">IFERROR(__xludf.dummyfunction("""COMPUTED_VALUE"""),755)</f>
        <v>755</v>
      </c>
      <c r="K115" s="13" t="n">
        <f aca="false">IFERROR(__xludf.dummyfunction("""COMPUTED_VALUE"""),755)</f>
        <v>755</v>
      </c>
      <c r="L115" s="13" t="str">
        <f aca="false">IFERROR(__xludf.dummyfunction("""COMPUTED_VALUE"""),"[Code: 33559C] TA; 1 unit damage found  (stock my sy lose mila hain )")</f>
        <v>[Code: 33559C] TA; 1 unit damage found  (stock my sy lose mila hain )</v>
      </c>
      <c r="M115" s="13" t="str">
        <f aca="false">IFERROR(__xludf.dummyfunction("""COMPUTED_VALUE"""),"33559C")</f>
        <v>33559C</v>
      </c>
      <c r="N115" s="13"/>
      <c r="O115" s="13" t="str">
        <f aca="false">IFERROR(__xludf.dummyfunction("""COMPUTED_VALUE"""),"taufeeq.akhtar@tajir-app.com")</f>
        <v>taufeeq.akhtar@tajir-app.com</v>
      </c>
      <c r="P115" s="13" t="str">
        <f aca="false">IFERROR(__xludf.dummyfunction("""COMPUTED_VALUE"""),"Taufeeq Akhtar ")</f>
        <v>Taufeeq Akhtar </v>
      </c>
      <c r="Q115" s="13" t="str">
        <f aca="false">IFERROR(__xludf.dummyfunction("""COMPUTED_VALUE"""),"[Code: 33559C] TA; 1 unit damage found  (stock my sy lose mila hain )")</f>
        <v>[Code: 33559C] TA; 1 unit damage found  (stock my sy lose mila hain )</v>
      </c>
      <c r="R115" s="13" t="str">
        <v>Fri,12-May-2023 ,05:45 PM</v>
      </c>
      <c r="S115" s="13" t="str">
        <v>Damaged Stock</v>
      </c>
    </row>
    <row r="116" customFormat="false" ht="15.75" hidden="false" customHeight="false" outlineLevel="0" collapsed="false">
      <c r="A116" s="13" t="str">
        <f aca="false">IFERROR(__xludf.dummyfunction("""COMPUTED_VALUE"""),"Metro DC Faisalabad")</f>
        <v>Metro DC Faisalabad</v>
      </c>
      <c r="B116" s="13" t="str">
        <f aca="false">IFERROR(__xludf.dummyfunction("""COMPUTED_VALUE"""),"cd68a607-af95-45cb-b9f4-2721224c85f8")</f>
        <v>cd68a607-af95-45cb-b9f4-2721224c85f8</v>
      </c>
      <c r="C116" s="13" t="str">
        <f aca="false">IFERROR(__xludf.dummyfunction("""COMPUTED_VALUE"""),"Coca Cola plastic 1.5L")</f>
        <v>Coca Cola plastic 1.5L</v>
      </c>
      <c r="D116" s="13" t="str">
        <f aca="false">IFERROR(__xludf.dummyfunction("""COMPUTED_VALUE"""),"Coca Cola")</f>
        <v>Coca Cola</v>
      </c>
      <c r="E116" s="13" t="str">
        <f aca="false">IFERROR(__xludf.dummyfunction("""COMPUTED_VALUE"""),"Beverages")</f>
        <v>Beverages</v>
      </c>
      <c r="F116" s="11" t="n">
        <f aca="false">IFERROR(__xludf.dummyfunction("""COMPUTED_VALUE"""),45059)</f>
        <v>45059</v>
      </c>
      <c r="G116" s="12" t="n">
        <f aca="false">IFERROR(__xludf.dummyfunction("""COMPUTED_VALUE"""),0.955222430554138)</f>
        <v>0.9552224306</v>
      </c>
      <c r="H116" s="13" t="str">
        <f aca="false">IFERROR(__xludf.dummyfunction("""COMPUTED_VALUE"""),"damaged stock")</f>
        <v>damaged stock</v>
      </c>
      <c r="I116" s="13" t="n">
        <f aca="false">IFERROR(__xludf.dummyfunction("""COMPUTED_VALUE"""),3)</f>
        <v>3</v>
      </c>
      <c r="J116" s="13" t="n">
        <f aca="false">IFERROR(__xludf.dummyfunction("""COMPUTED_VALUE"""),755)</f>
        <v>755</v>
      </c>
      <c r="K116" s="13" t="n">
        <f aca="false">IFERROR(__xludf.dummyfunction("""COMPUTED_VALUE"""),2265)</f>
        <v>2265</v>
      </c>
      <c r="L116" s="13" t="str">
        <f aca="false">IFERROR(__xludf.dummyfunction("""COMPUTED_VALUE"""),"[Code: 59AAJK] TA: sorting k doran kuch botel loose or kuch botel khali milay hay.")</f>
        <v>[Code: 59AAJK] TA: sorting k doran kuch botel loose or kuch botel khali milay hay.</v>
      </c>
      <c r="M116" s="13" t="str">
        <f aca="false">IFERROR(__xludf.dummyfunction("""COMPUTED_VALUE"""),"59AAJK")</f>
        <v>59AAJK</v>
      </c>
      <c r="N116" s="13"/>
      <c r="O116" s="13" t="str">
        <f aca="false">IFERROR(__xludf.dummyfunction("""COMPUTED_VALUE"""),"taufeeq.akhtar@tajir-app.com")</f>
        <v>taufeeq.akhtar@tajir-app.com</v>
      </c>
      <c r="P116" s="13" t="str">
        <f aca="false">IFERROR(__xludf.dummyfunction("""COMPUTED_VALUE"""),"Taufeeq Akhtar ")</f>
        <v>Taufeeq Akhtar </v>
      </c>
      <c r="Q116" s="13" t="str">
        <f aca="false">IFERROR(__xludf.dummyfunction("""COMPUTED_VALUE"""),"[Code: 59AAJK] TA: sorting k doran kuch botel loose or kuch botel khali milay hay.")</f>
        <v>[Code: 59AAJK] TA: sorting k doran kuch botel loose or kuch botel khali milay hay.</v>
      </c>
      <c r="R116" s="13" t="str">
        <v>Sat,13-May-2023 ,10:55 PM</v>
      </c>
      <c r="S116" s="13" t="str">
        <v>Damaged Stock</v>
      </c>
    </row>
    <row r="117" customFormat="false" ht="15.75" hidden="false" customHeight="false" outlineLevel="0" collapsed="false">
      <c r="A117" s="13" t="str">
        <f aca="false">IFERROR(__xludf.dummyfunction("""COMPUTED_VALUE"""),"Metro DC Faisalabad")</f>
        <v>Metro DC Faisalabad</v>
      </c>
      <c r="B117" s="13" t="str">
        <f aca="false">IFERROR(__xludf.dummyfunction("""COMPUTED_VALUE"""),"cd68a607-af95-45cb-b9f4-2721224c85f8")</f>
        <v>cd68a607-af95-45cb-b9f4-2721224c85f8</v>
      </c>
      <c r="C117" s="13" t="str">
        <f aca="false">IFERROR(__xludf.dummyfunction("""COMPUTED_VALUE"""),"Coca Cola plastic 1.5L")</f>
        <v>Coca Cola plastic 1.5L</v>
      </c>
      <c r="D117" s="13" t="str">
        <f aca="false">IFERROR(__xludf.dummyfunction("""COMPUTED_VALUE"""),"Coca Cola")</f>
        <v>Coca Cola</v>
      </c>
      <c r="E117" s="13" t="str">
        <f aca="false">IFERROR(__xludf.dummyfunction("""COMPUTED_VALUE"""),"Beverages")</f>
        <v>Beverages</v>
      </c>
      <c r="F117" s="11" t="n">
        <f aca="false">IFERROR(__xludf.dummyfunction("""COMPUTED_VALUE"""),45060)</f>
        <v>45060</v>
      </c>
      <c r="G117" s="12" t="n">
        <f aca="false">IFERROR(__xludf.dummyfunction("""COMPUTED_VALUE"""),0.879052812501078)</f>
        <v>0.8790528125</v>
      </c>
      <c r="H117" s="13" t="str">
        <f aca="false">IFERROR(__xludf.dummyfunction("""COMPUTED_VALUE"""),"damaged stock")</f>
        <v>damaged stock</v>
      </c>
      <c r="I117" s="13" t="n">
        <f aca="false">IFERROR(__xludf.dummyfunction("""COMPUTED_VALUE"""),2)</f>
        <v>2</v>
      </c>
      <c r="J117" s="13" t="n">
        <f aca="false">IFERROR(__xludf.dummyfunction("""COMPUTED_VALUE"""),755)</f>
        <v>755</v>
      </c>
      <c r="K117" s="13" t="n">
        <f aca="false">IFERROR(__xludf.dummyfunction("""COMPUTED_VALUE"""),1510)</f>
        <v>1510</v>
      </c>
      <c r="L117" s="13" t="str">
        <f aca="false">IFERROR(__xludf.dummyfunction("""COMPUTED_VALUE"""),"[Code: 33668A]  TA: sorting k doran kuch botel loose or kuch botel khali milay hay.")</f>
        <v>[Code: 33668A]  TA: sorting k doran kuch botel loose or kuch botel khali milay hay.</v>
      </c>
      <c r="M117" s="13" t="str">
        <f aca="false">IFERROR(__xludf.dummyfunction("""COMPUTED_VALUE"""),"33668A")</f>
        <v>33668A</v>
      </c>
      <c r="N117" s="13"/>
      <c r="O117" s="13" t="str">
        <f aca="false">IFERROR(__xludf.dummyfunction("""COMPUTED_VALUE"""),"taufeeq.akhtar@tajir-app.com")</f>
        <v>taufeeq.akhtar@tajir-app.com</v>
      </c>
      <c r="P117" s="13" t="str">
        <f aca="false">IFERROR(__xludf.dummyfunction("""COMPUTED_VALUE"""),"Taufeeq Akhtar ")</f>
        <v>Taufeeq Akhtar </v>
      </c>
      <c r="Q117" s="13" t="str">
        <f aca="false">IFERROR(__xludf.dummyfunction("""COMPUTED_VALUE"""),"[Code: 33668A]  TA: sorting k doran kuch botel loose or kuch botel khali milay hay.")</f>
        <v>[Code: 33668A]  TA: sorting k doran kuch botel loose or kuch botel khali milay hay.</v>
      </c>
      <c r="R117" s="13" t="str">
        <v>Sun,14-May-2023 ,09:05 PM</v>
      </c>
      <c r="S117" s="13" t="str">
        <v>Damaged Stock</v>
      </c>
    </row>
    <row r="118" customFormat="false" ht="15.75" hidden="false" customHeight="false" outlineLevel="0" collapsed="false">
      <c r="A118" s="13" t="str">
        <f aca="false">IFERROR(__xludf.dummyfunction("""COMPUTED_VALUE"""),"Metro DC Faisalabad")</f>
        <v>Metro DC Faisalabad</v>
      </c>
      <c r="B118" s="13" t="str">
        <f aca="false">IFERROR(__xludf.dummyfunction("""COMPUTED_VALUE"""),"73450c2c-e78c-4c7c-ada4-17c7817fcb4c")</f>
        <v>73450c2c-e78c-4c7c-ada4-17c7817fcb4c</v>
      </c>
      <c r="C118" s="13" t="str">
        <f aca="false">IFERROR(__xludf.dummyfunction("""COMPUTED_VALUE"""),"Plastic Special Phool Jharoo")</f>
        <v>Plastic Special Phool Jharoo</v>
      </c>
      <c r="D118" s="13" t="str">
        <f aca="false">IFERROR(__xludf.dummyfunction("""COMPUTED_VALUE"""),"Jharoo")</f>
        <v>Jharoo</v>
      </c>
      <c r="E118" s="13" t="str">
        <f aca="false">IFERROR(__xludf.dummyfunction("""COMPUTED_VALUE"""),"Home Care")</f>
        <v>Home Care</v>
      </c>
      <c r="F118" s="11" t="n">
        <f aca="false">IFERROR(__xludf.dummyfunction("""COMPUTED_VALUE"""),45060)</f>
        <v>45060</v>
      </c>
      <c r="G118" s="12" t="n">
        <f aca="false">IFERROR(__xludf.dummyfunction("""COMPUTED_VALUE"""),0.987756921296884)</f>
        <v>0.9877569213</v>
      </c>
      <c r="H118" s="13" t="str">
        <f aca="false">IFERROR(__xludf.dummyfunction("""COMPUTED_VALUE"""),"damaged stock")</f>
        <v>damaged stock</v>
      </c>
      <c r="I118" s="13" t="n">
        <f aca="false">IFERROR(__xludf.dummyfunction("""COMPUTED_VALUE"""),1)</f>
        <v>1</v>
      </c>
      <c r="J118" s="13" t="n">
        <f aca="false">IFERROR(__xludf.dummyfunction("""COMPUTED_VALUE"""),135)</f>
        <v>135</v>
      </c>
      <c r="K118" s="13" t="n">
        <f aca="false">IFERROR(__xludf.dummyfunction("""COMPUTED_VALUE"""),135)</f>
        <v>135</v>
      </c>
      <c r="L118" s="13" t="str">
        <f aca="false">IFERROR(__xludf.dummyfunction("""COMPUTED_VALUE"""),"[Code: 3JJMNN] TA; 1 unit damage found ( Woden Hendle tota mila he stock me sy)")</f>
        <v>[Code: 3JJMNN] TA; 1 unit damage found ( Woden Hendle tota mila he stock me sy)</v>
      </c>
      <c r="M118" s="13" t="str">
        <f aca="false">IFERROR(__xludf.dummyfunction("""COMPUTED_VALUE"""),"3JJMNN")</f>
        <v>3JJMNN</v>
      </c>
      <c r="N118" s="13"/>
      <c r="O118" s="13" t="str">
        <f aca="false">IFERROR(__xludf.dummyfunction("""COMPUTED_VALUE"""),"taufeeq.akhtar@tajir-app.com")</f>
        <v>taufeeq.akhtar@tajir-app.com</v>
      </c>
      <c r="P118" s="13" t="str">
        <f aca="false">IFERROR(__xludf.dummyfunction("""COMPUTED_VALUE"""),"Taufeeq Akhtar ")</f>
        <v>Taufeeq Akhtar </v>
      </c>
      <c r="Q118" s="13" t="str">
        <f aca="false">IFERROR(__xludf.dummyfunction("""COMPUTED_VALUE"""),"[Code: 3JJMNN] TA; 1 unit damage found ( Woden Hendle tota mila he stock me sy)")</f>
        <v>[Code: 3JJMNN] TA; 1 unit damage found ( Woden Hendle tota mila he stock me sy)</v>
      </c>
      <c r="R118" s="13" t="str">
        <v>Sun,14-May-2023 ,11:42 PM</v>
      </c>
      <c r="S118" s="13" t="str">
        <v>Damaged Stock</v>
      </c>
    </row>
    <row r="119" customFormat="false" ht="15.75" hidden="false" customHeight="false" outlineLevel="0" collapsed="false">
      <c r="A119" s="13" t="str">
        <f aca="false">IFERROR(__xludf.dummyfunction("""COMPUTED_VALUE"""),"Metro DC Faisalabad")</f>
        <v>Metro DC Faisalabad</v>
      </c>
      <c r="B119" s="13" t="str">
        <f aca="false">IFERROR(__xludf.dummyfunction("""COMPUTED_VALUE"""),"44f4762f-5274-4866-a30e-c35aa97fb23e")</f>
        <v>44f4762f-5274-4866-a30e-c35aa97fb23e</v>
      </c>
      <c r="C119" s="13" t="str">
        <f aca="false">IFERROR(__xludf.dummyfunction("""COMPUTED_VALUE"""),"Bonus tristar yellow surf 250g Rs50")</f>
        <v>Bonus tristar yellow surf 250g Rs50</v>
      </c>
      <c r="D119" s="13" t="str">
        <f aca="false">IFERROR(__xludf.dummyfunction("""COMPUTED_VALUE"""),"Bonus Surf")</f>
        <v>Bonus Surf</v>
      </c>
      <c r="E119" s="13" t="str">
        <f aca="false">IFERROR(__xludf.dummyfunction("""COMPUTED_VALUE"""),"Surf, Bleach")</f>
        <v>Surf, Bleach</v>
      </c>
      <c r="F119" s="11" t="n">
        <f aca="false">IFERROR(__xludf.dummyfunction("""COMPUTED_VALUE"""),45060)</f>
        <v>45060</v>
      </c>
      <c r="G119" s="12" t="n">
        <f aca="false">IFERROR(__xludf.dummyfunction("""COMPUTED_VALUE"""),0.98899944444349)</f>
        <v>0.9889994444</v>
      </c>
      <c r="H119" s="13" t="str">
        <f aca="false">IFERROR(__xludf.dummyfunction("""COMPUTED_VALUE"""),"damaged stock")</f>
        <v>damaged stock</v>
      </c>
      <c r="I119" s="13" t="n">
        <f aca="false">IFERROR(__xludf.dummyfunction("""COMPUTED_VALUE"""),2)</f>
        <v>2</v>
      </c>
      <c r="J119" s="13" t="n">
        <f aca="false">IFERROR(__xludf.dummyfunction("""COMPUTED_VALUE"""),45.59)</f>
        <v>45.59</v>
      </c>
      <c r="K119" s="13" t="n">
        <f aca="false">IFERROR(__xludf.dummyfunction("""COMPUTED_VALUE"""),91.18)</f>
        <v>91.18</v>
      </c>
      <c r="L119" s="13" t="str">
        <f aca="false">IFERROR(__xludf.dummyfunction("""COMPUTED_VALUE"""),"[Code: 236999] TA; 2unit damage found (bag sy damage mily hain sorting ky doran)")</f>
        <v>[Code: 236999] TA; 2unit damage found (bag sy damage mily hain sorting ky doran)</v>
      </c>
      <c r="M119" s="13" t="str">
        <f aca="false">IFERROR(__xludf.dummyfunction("""COMPUTED_VALUE"""),"236999")</f>
        <v>236999</v>
      </c>
      <c r="N119" s="13"/>
      <c r="O119" s="13" t="str">
        <f aca="false">IFERROR(__xludf.dummyfunction("""COMPUTED_VALUE"""),"taufeeq.akhtar@tajir-app.com")</f>
        <v>taufeeq.akhtar@tajir-app.com</v>
      </c>
      <c r="P119" s="13" t="str">
        <f aca="false">IFERROR(__xludf.dummyfunction("""COMPUTED_VALUE"""),"Taufeeq Akhtar ")</f>
        <v>Taufeeq Akhtar </v>
      </c>
      <c r="Q119" s="13" t="str">
        <f aca="false">IFERROR(__xludf.dummyfunction("""COMPUTED_VALUE"""),"[Code: 236999] TA; 2unit damage found (bag sy damage mily hain sorting ky doran)")</f>
        <v>[Code: 236999] TA; 2unit damage found (bag sy damage mily hain sorting ky doran)</v>
      </c>
      <c r="R119" s="13" t="str">
        <v>Sun,14-May-2023 ,11:44 PM</v>
      </c>
      <c r="S119" s="13" t="str">
        <v>Damaged Stock</v>
      </c>
    </row>
    <row r="120" customFormat="false" ht="15.75" hidden="false" customHeight="false" outlineLevel="0" collapsed="false">
      <c r="A120" s="13" t="str">
        <f aca="false">IFERROR(__xludf.dummyfunction("""COMPUTED_VALUE"""),"Metro DC Faisalabad")</f>
        <v>Metro DC Faisalabad</v>
      </c>
      <c r="B120" s="13" t="str">
        <f aca="false">IFERROR(__xludf.dummyfunction("""COMPUTED_VALUE"""),"cd68a607-af95-45cb-b9f4-2721224c85f8")</f>
        <v>cd68a607-af95-45cb-b9f4-2721224c85f8</v>
      </c>
      <c r="C120" s="13" t="str">
        <f aca="false">IFERROR(__xludf.dummyfunction("""COMPUTED_VALUE"""),"Coca Cola plastic 1.5L")</f>
        <v>Coca Cola plastic 1.5L</v>
      </c>
      <c r="D120" s="13" t="str">
        <f aca="false">IFERROR(__xludf.dummyfunction("""COMPUTED_VALUE"""),"Coca Cola")</f>
        <v>Coca Cola</v>
      </c>
      <c r="E120" s="13" t="str">
        <f aca="false">IFERROR(__xludf.dummyfunction("""COMPUTED_VALUE"""),"Beverages")</f>
        <v>Beverages</v>
      </c>
      <c r="F120" s="11" t="n">
        <f aca="false">IFERROR(__xludf.dummyfunction("""COMPUTED_VALUE"""),45061)</f>
        <v>45061</v>
      </c>
      <c r="G120" s="12" t="n">
        <f aca="false">IFERROR(__xludf.dummyfunction("""COMPUTED_VALUE"""),0.945757638889837)</f>
        <v>0.9457576389</v>
      </c>
      <c r="H120" s="13" t="str">
        <f aca="false">IFERROR(__xludf.dummyfunction("""COMPUTED_VALUE"""),"damaged stock")</f>
        <v>damaged stock</v>
      </c>
      <c r="I120" s="13" t="n">
        <f aca="false">IFERROR(__xludf.dummyfunction("""COMPUTED_VALUE"""),1)</f>
        <v>1</v>
      </c>
      <c r="J120" s="13" t="n">
        <f aca="false">IFERROR(__xludf.dummyfunction("""COMPUTED_VALUE"""),755)</f>
        <v>755</v>
      </c>
      <c r="K120" s="13" t="n">
        <f aca="false">IFERROR(__xludf.dummyfunction("""COMPUTED_VALUE"""),755)</f>
        <v>755</v>
      </c>
      <c r="L120" s="13" t="str">
        <f aca="false">IFERROR(__xludf.dummyfunction("""COMPUTED_VALUE"""),"[Code: 688ABF] TA:  Botle loose niklay pet may say.")</f>
        <v>[Code: 688ABF] TA:  Botle loose niklay pet may say.</v>
      </c>
      <c r="M120" s="13" t="str">
        <f aca="false">IFERROR(__xludf.dummyfunction("""COMPUTED_VALUE"""),"688ABF")</f>
        <v>688ABF</v>
      </c>
      <c r="N120" s="13"/>
      <c r="O120" s="13" t="str">
        <f aca="false">IFERROR(__xludf.dummyfunction("""COMPUTED_VALUE"""),"taufeeq.akhtar@tajir-app.com")</f>
        <v>taufeeq.akhtar@tajir-app.com</v>
      </c>
      <c r="P120" s="13" t="str">
        <f aca="false">IFERROR(__xludf.dummyfunction("""COMPUTED_VALUE"""),"Taufeeq Akhtar ")</f>
        <v>Taufeeq Akhtar </v>
      </c>
      <c r="Q120" s="13" t="str">
        <f aca="false">IFERROR(__xludf.dummyfunction("""COMPUTED_VALUE"""),"[Code: 688ABF] TA:  Botle loose niklay pet may say.")</f>
        <v>[Code: 688ABF] TA:  Botle loose niklay pet may say.</v>
      </c>
      <c r="R120" s="13" t="str">
        <v>Mon,15-May-2023 ,10:41 PM</v>
      </c>
      <c r="S120" s="13" t="str">
        <v>Damaged Stock</v>
      </c>
    </row>
    <row r="121" customFormat="false" ht="15.75" hidden="false" customHeight="false" outlineLevel="0" collapsed="false">
      <c r="A121" s="13" t="str">
        <f aca="false">IFERROR(__xludf.dummyfunction("""COMPUTED_VALUE"""),"Metro DC Faisalabad")</f>
        <v>Metro DC Faisalabad</v>
      </c>
      <c r="B121" s="13" t="str">
        <f aca="false">IFERROR(__xludf.dummyfunction("""COMPUTED_VALUE"""),"6afa406d-5fa6-42ea-a697-9b99ff3ba267")</f>
        <v>6afa406d-5fa6-42ea-a697-9b99ff3ba267</v>
      </c>
      <c r="C121" s="13" t="str">
        <f aca="false">IFERROR(__xludf.dummyfunction("""COMPUTED_VALUE"""),"Sprite plastic 1L")</f>
        <v>Sprite plastic 1L</v>
      </c>
      <c r="D121" s="13" t="str">
        <f aca="false">IFERROR(__xludf.dummyfunction("""COMPUTED_VALUE"""),"Sprite")</f>
        <v>Sprite</v>
      </c>
      <c r="E121" s="13" t="str">
        <f aca="false">IFERROR(__xludf.dummyfunction("""COMPUTED_VALUE"""),"Beverages")</f>
        <v>Beverages</v>
      </c>
      <c r="F121" s="11" t="n">
        <f aca="false">IFERROR(__xludf.dummyfunction("""COMPUTED_VALUE"""),45061)</f>
        <v>45061</v>
      </c>
      <c r="G121" s="12" t="n">
        <f aca="false">IFERROR(__xludf.dummyfunction("""COMPUTED_VALUE"""),0.94932130787154)</f>
        <v>0.9493213079</v>
      </c>
      <c r="H121" s="13" t="str">
        <f aca="false">IFERROR(__xludf.dummyfunction("""COMPUTED_VALUE"""),"damaged stock")</f>
        <v>damaged stock</v>
      </c>
      <c r="I121" s="13" t="n">
        <f aca="false">IFERROR(__xludf.dummyfunction("""COMPUTED_VALUE"""),1)</f>
        <v>1</v>
      </c>
      <c r="J121" s="13" t="n">
        <f aca="false">IFERROR(__xludf.dummyfunction("""COMPUTED_VALUE"""),607)</f>
        <v>607</v>
      </c>
      <c r="K121" s="13" t="n">
        <f aca="false">IFERROR(__xludf.dummyfunction("""COMPUTED_VALUE"""),607)</f>
        <v>607</v>
      </c>
      <c r="L121" s="13" t="str">
        <f aca="false">IFERROR(__xludf.dummyfunction("""COMPUTED_VALUE"""),"[Code: 347ACC] TA: Bottle Loose niklay pet may say")</f>
        <v>[Code: 347ACC] TA: Bottle Loose niklay pet may say</v>
      </c>
      <c r="M121" s="13" t="str">
        <f aca="false">IFERROR(__xludf.dummyfunction("""COMPUTED_VALUE"""),"347ACC")</f>
        <v>347ACC</v>
      </c>
      <c r="N121" s="13"/>
      <c r="O121" s="13" t="str">
        <f aca="false">IFERROR(__xludf.dummyfunction("""COMPUTED_VALUE"""),"taufeeq.akhtar@tajir-app.com")</f>
        <v>taufeeq.akhtar@tajir-app.com</v>
      </c>
      <c r="P121" s="13" t="str">
        <f aca="false">IFERROR(__xludf.dummyfunction("""COMPUTED_VALUE"""),"Taufeeq Akhtar ")</f>
        <v>Taufeeq Akhtar </v>
      </c>
      <c r="Q121" s="13" t="str">
        <f aca="false">IFERROR(__xludf.dummyfunction("""COMPUTED_VALUE"""),"[Code: 347ACC] TA: Bottle Loose niklay pet may say")</f>
        <v>[Code: 347ACC] TA: Bottle Loose niklay pet may say</v>
      </c>
      <c r="R121" s="13" t="str">
        <v>Mon,15-May-2023 ,10:47 PM</v>
      </c>
      <c r="S121" s="13" t="str">
        <v>Damaged Stock</v>
      </c>
    </row>
    <row r="122" customFormat="false" ht="15.75" hidden="false" customHeight="false" outlineLevel="0" collapsed="false">
      <c r="A122" s="13" t="str">
        <f aca="false">IFERROR(__xludf.dummyfunction("""COMPUTED_VALUE"""),"Metro DC Faisalabad")</f>
        <v>Metro DC Faisalabad</v>
      </c>
      <c r="B122" s="13" t="str">
        <f aca="false">IFERROR(__xludf.dummyfunction("""COMPUTED_VALUE"""),"80a44c7b-5c53-448c-a6ff-ff0f99023429")</f>
        <v>80a44c7b-5c53-448c-a6ff-ff0f99023429</v>
      </c>
      <c r="C122" s="13" t="str">
        <f aca="false">IFERROR(__xludf.dummyfunction("""COMPUTED_VALUE"""),"Sunlight Yellow Clean and Rose Fresh 330g Rs99")</f>
        <v>Sunlight Yellow Clean and Rose Fresh 330g Rs99</v>
      </c>
      <c r="D122" s="13" t="str">
        <f aca="false">IFERROR(__xludf.dummyfunction("""COMPUTED_VALUE"""),"Sunlight")</f>
        <v>Sunlight</v>
      </c>
      <c r="E122" s="13" t="str">
        <f aca="false">IFERROR(__xludf.dummyfunction("""COMPUTED_VALUE"""),"Surf, Bleach")</f>
        <v>Surf, Bleach</v>
      </c>
      <c r="F122" s="11" t="n">
        <f aca="false">IFERROR(__xludf.dummyfunction("""COMPUTED_VALUE"""),45061)</f>
        <v>45061</v>
      </c>
      <c r="G122" s="12" t="n">
        <f aca="false">IFERROR(__xludf.dummyfunction("""COMPUTED_VALUE"""),0.957107638888285)</f>
        <v>0.9571076389</v>
      </c>
      <c r="H122" s="13" t="str">
        <f aca="false">IFERROR(__xludf.dummyfunction("""COMPUTED_VALUE"""),"damaged stock")</f>
        <v>damaged stock</v>
      </c>
      <c r="I122" s="13" t="n">
        <f aca="false">IFERROR(__xludf.dummyfunction("""COMPUTED_VALUE"""),2)</f>
        <v>2</v>
      </c>
      <c r="J122" s="13" t="n">
        <f aca="false">IFERROR(__xludf.dummyfunction("""COMPUTED_VALUE"""),87.92)</f>
        <v>87.92</v>
      </c>
      <c r="K122" s="13" t="n">
        <f aca="false">IFERROR(__xludf.dummyfunction("""COMPUTED_VALUE"""),175.84)</f>
        <v>175.84</v>
      </c>
      <c r="L122" s="13" t="str">
        <f aca="false">IFERROR(__xludf.dummyfunction("""COMPUTED_VALUE"""),"[Code: 2BCEEF] TA:bag may say damage niklay.")</f>
        <v>[Code: 2BCEEF] TA:bag may say damage niklay.</v>
      </c>
      <c r="M122" s="13" t="str">
        <f aca="false">IFERROR(__xludf.dummyfunction("""COMPUTED_VALUE"""),"2BCEEF")</f>
        <v>2BCEEF</v>
      </c>
      <c r="N122" s="13"/>
      <c r="O122" s="13" t="str">
        <f aca="false">IFERROR(__xludf.dummyfunction("""COMPUTED_VALUE"""),"taufeeq.akhtar@tajir-app.com")</f>
        <v>taufeeq.akhtar@tajir-app.com</v>
      </c>
      <c r="P122" s="13" t="str">
        <f aca="false">IFERROR(__xludf.dummyfunction("""COMPUTED_VALUE"""),"Taufeeq Akhtar ")</f>
        <v>Taufeeq Akhtar </v>
      </c>
      <c r="Q122" s="13" t="str">
        <f aca="false">IFERROR(__xludf.dummyfunction("""COMPUTED_VALUE"""),"[Code: 2BCEEF] TA:bag may say damage niklay.")</f>
        <v>[Code: 2BCEEF] TA:bag may say damage niklay.</v>
      </c>
      <c r="R122" s="13" t="str">
        <v>Mon,15-May-2023 ,10:58 PM</v>
      </c>
      <c r="S122" s="13" t="str">
        <v>Damaged Stock</v>
      </c>
    </row>
    <row r="123" customFormat="false" ht="15.75" hidden="false" customHeight="false" outlineLevel="0" collapsed="false">
      <c r="A123" s="13" t="str">
        <f aca="false">IFERROR(__xludf.dummyfunction("""COMPUTED_VALUE"""),"Metro DC Faisalabad")</f>
        <v>Metro DC Faisalabad</v>
      </c>
      <c r="B123" s="13" t="str">
        <f aca="false">IFERROR(__xludf.dummyfunction("""COMPUTED_VALUE"""),"cd68a607-af95-45cb-b9f4-2721224c85f8")</f>
        <v>cd68a607-af95-45cb-b9f4-2721224c85f8</v>
      </c>
      <c r="C123" s="13" t="str">
        <f aca="false">IFERROR(__xludf.dummyfunction("""COMPUTED_VALUE"""),"Coca Cola plastic 1.5L")</f>
        <v>Coca Cola plastic 1.5L</v>
      </c>
      <c r="D123" s="13" t="str">
        <f aca="false">IFERROR(__xludf.dummyfunction("""COMPUTED_VALUE"""),"Coca Cola")</f>
        <v>Coca Cola</v>
      </c>
      <c r="E123" s="13" t="str">
        <f aca="false">IFERROR(__xludf.dummyfunction("""COMPUTED_VALUE"""),"Beverages")</f>
        <v>Beverages</v>
      </c>
      <c r="F123" s="11" t="n">
        <f aca="false">IFERROR(__xludf.dummyfunction("""COMPUTED_VALUE"""),45062)</f>
        <v>45062</v>
      </c>
      <c r="G123" s="12" t="n">
        <f aca="false">IFERROR(__xludf.dummyfunction("""COMPUTED_VALUE"""),0.950423888888792)</f>
        <v>0.9504238889</v>
      </c>
      <c r="H123" s="13" t="str">
        <f aca="false">IFERROR(__xludf.dummyfunction("""COMPUTED_VALUE"""),"damaged stock")</f>
        <v>damaged stock</v>
      </c>
      <c r="I123" s="13" t="n">
        <f aca="false">IFERROR(__xludf.dummyfunction("""COMPUTED_VALUE"""),5)</f>
        <v>5</v>
      </c>
      <c r="J123" s="13" t="n">
        <f aca="false">IFERROR(__xludf.dummyfunction("""COMPUTED_VALUE"""),755)</f>
        <v>755</v>
      </c>
      <c r="K123" s="13" t="n">
        <f aca="false">IFERROR(__xludf.dummyfunction("""COMPUTED_VALUE"""),3775)</f>
        <v>3775</v>
      </c>
      <c r="L123" s="13" t="str">
        <f aca="false">IFERROR(__xludf.dummyfunction("""COMPUTED_VALUE"""),"[Code: 5678AF] TA: found in loose condition(Company end issue)")</f>
        <v>[Code: 5678AF] TA: found in loose condition(Company end issue)</v>
      </c>
      <c r="M123" s="13" t="str">
        <f aca="false">IFERROR(__xludf.dummyfunction("""COMPUTED_VALUE"""),"5678AF")</f>
        <v>5678AF</v>
      </c>
      <c r="N123" s="13"/>
      <c r="O123" s="13" t="str">
        <f aca="false">IFERROR(__xludf.dummyfunction("""COMPUTED_VALUE"""),"taufeeq.akhtar@tajir-app.com")</f>
        <v>taufeeq.akhtar@tajir-app.com</v>
      </c>
      <c r="P123" s="13" t="str">
        <f aca="false">IFERROR(__xludf.dummyfunction("""COMPUTED_VALUE"""),"Taufeeq Akhtar ")</f>
        <v>Taufeeq Akhtar </v>
      </c>
      <c r="Q123" s="13" t="str">
        <f aca="false">IFERROR(__xludf.dummyfunction("""COMPUTED_VALUE"""),"[Code: 5678AF] TA: found in loose condition(Company end issue)")</f>
        <v>[Code: 5678AF] TA: found in loose condition(Company end issue)</v>
      </c>
      <c r="R123" s="13" t="str">
        <v>Tue,16-May-2023 ,10:48 PM</v>
      </c>
      <c r="S123" s="13" t="str">
        <v>Damaged Stock</v>
      </c>
    </row>
    <row r="124" customFormat="false" ht="15.75" hidden="false" customHeight="false" outlineLevel="0" collapsed="false">
      <c r="A124" s="13" t="str">
        <f aca="false">IFERROR(__xludf.dummyfunction("""COMPUTED_VALUE"""),"Metro DC Faisalabad")</f>
        <v>Metro DC Faisalabad</v>
      </c>
      <c r="B124" s="13" t="str">
        <f aca="false">IFERROR(__xludf.dummyfunction("""COMPUTED_VALUE"""),"6afa406d-5fa6-42ea-a697-9b99ff3ba267")</f>
        <v>6afa406d-5fa6-42ea-a697-9b99ff3ba267</v>
      </c>
      <c r="C124" s="13" t="str">
        <f aca="false">IFERROR(__xludf.dummyfunction("""COMPUTED_VALUE"""),"Sprite plastic 1L")</f>
        <v>Sprite plastic 1L</v>
      </c>
      <c r="D124" s="13" t="str">
        <f aca="false">IFERROR(__xludf.dummyfunction("""COMPUTED_VALUE"""),"Sprite")</f>
        <v>Sprite</v>
      </c>
      <c r="E124" s="13" t="str">
        <f aca="false">IFERROR(__xludf.dummyfunction("""COMPUTED_VALUE"""),"Beverages")</f>
        <v>Beverages</v>
      </c>
      <c r="F124" s="11" t="n">
        <f aca="false">IFERROR(__xludf.dummyfunction("""COMPUTED_VALUE"""),45062)</f>
        <v>45062</v>
      </c>
      <c r="G124" s="12" t="n">
        <f aca="false">IFERROR(__xludf.dummyfunction("""COMPUTED_VALUE"""),0.952269409722098)</f>
        <v>0.9522694097</v>
      </c>
      <c r="H124" s="13" t="str">
        <f aca="false">IFERROR(__xludf.dummyfunction("""COMPUTED_VALUE"""),"damaged stock")</f>
        <v>damaged stock</v>
      </c>
      <c r="I124" s="13" t="n">
        <f aca="false">IFERROR(__xludf.dummyfunction("""COMPUTED_VALUE"""),2)</f>
        <v>2</v>
      </c>
      <c r="J124" s="13" t="n">
        <f aca="false">IFERROR(__xludf.dummyfunction("""COMPUTED_VALUE"""),607)</f>
        <v>607</v>
      </c>
      <c r="K124" s="13" t="n">
        <f aca="false">IFERROR(__xludf.dummyfunction("""COMPUTED_VALUE"""),1214)</f>
        <v>1214</v>
      </c>
      <c r="L124" s="13" t="str">
        <f aca="false">IFERROR(__xludf.dummyfunction("""COMPUTED_VALUE"""),"[Code: 578BEG] TA:Found loose in floor(Company end issue)")</f>
        <v>[Code: 578BEG] TA:Found loose in floor(Company end issue)</v>
      </c>
      <c r="M124" s="13" t="str">
        <f aca="false">IFERROR(__xludf.dummyfunction("""COMPUTED_VALUE"""),"578BEG")</f>
        <v>578BEG</v>
      </c>
      <c r="N124" s="13"/>
      <c r="O124" s="13" t="str">
        <f aca="false">IFERROR(__xludf.dummyfunction("""COMPUTED_VALUE"""),"taufeeq.akhtar@tajir-app.com")</f>
        <v>taufeeq.akhtar@tajir-app.com</v>
      </c>
      <c r="P124" s="13" t="str">
        <f aca="false">IFERROR(__xludf.dummyfunction("""COMPUTED_VALUE"""),"Taufeeq Akhtar ")</f>
        <v>Taufeeq Akhtar </v>
      </c>
      <c r="Q124" s="13" t="str">
        <f aca="false">IFERROR(__xludf.dummyfunction("""COMPUTED_VALUE"""),"[Code: 578BEG] TA:Found loose in floor(Company end issue)")</f>
        <v>[Code: 578BEG] TA:Found loose in floor(Company end issue)</v>
      </c>
      <c r="R124" s="13" t="str">
        <v>Tue,16-May-2023 ,10:51 PM</v>
      </c>
      <c r="S124" s="13" t="str">
        <v>Damaged Stock</v>
      </c>
    </row>
    <row r="125" customFormat="false" ht="15.75" hidden="false" customHeight="false" outlineLevel="0" collapsed="false">
      <c r="A125" s="13" t="str">
        <f aca="false">IFERROR(__xludf.dummyfunction("""COMPUTED_VALUE"""),"Metro DC Faisalabad")</f>
        <v>Metro DC Faisalabad</v>
      </c>
      <c r="B125" s="13" t="str">
        <f aca="false">IFERROR(__xludf.dummyfunction("""COMPUTED_VALUE"""),"8c6f0a86-09e6-4c8b-ab37-3f37b00556f3")</f>
        <v>8c6f0a86-09e6-4c8b-ab37-3f37b00556f3</v>
      </c>
      <c r="C125" s="13" t="str">
        <f aca="false">IFERROR(__xludf.dummyfunction("""COMPUTED_VALUE"""),"7up plastic 1L (Other city stock)")</f>
        <v>7up plastic 1L (Other city stock)</v>
      </c>
      <c r="D125" s="13" t="str">
        <f aca="false">IFERROR(__xludf.dummyfunction("""COMPUTED_VALUE"""),"7up")</f>
        <v>7up</v>
      </c>
      <c r="E125" s="13" t="str">
        <f aca="false">IFERROR(__xludf.dummyfunction("""COMPUTED_VALUE"""),"Beverages")</f>
        <v>Beverages</v>
      </c>
      <c r="F125" s="11" t="n">
        <f aca="false">IFERROR(__xludf.dummyfunction("""COMPUTED_VALUE"""),45062)</f>
        <v>45062</v>
      </c>
      <c r="G125" s="12" t="n">
        <f aca="false">IFERROR(__xludf.dummyfunction("""COMPUTED_VALUE"""),0.953443333333624)</f>
        <v>0.9534433333</v>
      </c>
      <c r="H125" s="13" t="str">
        <f aca="false">IFERROR(__xludf.dummyfunction("""COMPUTED_VALUE"""),"damaged stock")</f>
        <v>damaged stock</v>
      </c>
      <c r="I125" s="13" t="n">
        <f aca="false">IFERROR(__xludf.dummyfunction("""COMPUTED_VALUE"""),1)</f>
        <v>1</v>
      </c>
      <c r="J125" s="13" t="n">
        <f aca="false">IFERROR(__xludf.dummyfunction("""COMPUTED_VALUE"""),576)</f>
        <v>576</v>
      </c>
      <c r="K125" s="13" t="n">
        <f aca="false">IFERROR(__xludf.dummyfunction("""COMPUTED_VALUE"""),576)</f>
        <v>576</v>
      </c>
      <c r="L125" s="13" t="str">
        <f aca="false">IFERROR(__xludf.dummyfunction("""COMPUTED_VALUE"""),"[Code: 233348] TA: Found in loose condition during sorting (Company end issue)")</f>
        <v>[Code: 233348] TA: Found in loose condition during sorting (Company end issue)</v>
      </c>
      <c r="M125" s="13" t="str">
        <f aca="false">IFERROR(__xludf.dummyfunction("""COMPUTED_VALUE"""),"233348")</f>
        <v>233348</v>
      </c>
      <c r="N125" s="13"/>
      <c r="O125" s="13" t="str">
        <f aca="false">IFERROR(__xludf.dummyfunction("""COMPUTED_VALUE"""),"taufeeq.akhtar@tajir-app.com")</f>
        <v>taufeeq.akhtar@tajir-app.com</v>
      </c>
      <c r="P125" s="13" t="str">
        <f aca="false">IFERROR(__xludf.dummyfunction("""COMPUTED_VALUE"""),"Taufeeq Akhtar ")</f>
        <v>Taufeeq Akhtar </v>
      </c>
      <c r="Q125" s="13" t="str">
        <f aca="false">IFERROR(__xludf.dummyfunction("""COMPUTED_VALUE"""),"[Code: 233348] TA: Found in loose condition during sorting (Company end issue)")</f>
        <v>[Code: 233348] TA: Found in loose condition during sorting (Company end issue)</v>
      </c>
      <c r="R125" s="13" t="str">
        <v>Tue,16-May-2023 ,10:52 PM</v>
      </c>
      <c r="S125" s="13" t="str">
        <v>Damaged Stock</v>
      </c>
    </row>
    <row r="126" customFormat="false" ht="15.75" hidden="false" customHeight="false" outlineLevel="0" collapsed="false">
      <c r="A126" s="13" t="str">
        <f aca="false">IFERROR(__xludf.dummyfunction("""COMPUTED_VALUE"""),"Metro DC Faisalabad")</f>
        <v>Metro DC Faisalabad</v>
      </c>
      <c r="B126" s="13" t="str">
        <f aca="false">IFERROR(__xludf.dummyfunction("""COMPUTED_VALUE"""),"cd68a607-af95-45cb-b9f4-2721224c85f8")</f>
        <v>cd68a607-af95-45cb-b9f4-2721224c85f8</v>
      </c>
      <c r="C126" s="13" t="str">
        <f aca="false">IFERROR(__xludf.dummyfunction("""COMPUTED_VALUE"""),"Coca Cola plastic 1.5L")</f>
        <v>Coca Cola plastic 1.5L</v>
      </c>
      <c r="D126" s="13" t="str">
        <f aca="false">IFERROR(__xludf.dummyfunction("""COMPUTED_VALUE"""),"Coca Cola")</f>
        <v>Coca Cola</v>
      </c>
      <c r="E126" s="13" t="str">
        <f aca="false">IFERROR(__xludf.dummyfunction("""COMPUTED_VALUE"""),"Beverages")</f>
        <v>Beverages</v>
      </c>
      <c r="F126" s="11" t="n">
        <f aca="false">IFERROR(__xludf.dummyfunction("""COMPUTED_VALUE"""),45063)</f>
        <v>45063</v>
      </c>
      <c r="G126" s="12" t="n">
        <f aca="false">IFERROR(__xludf.dummyfunction("""COMPUTED_VALUE"""),0.996459895834886)</f>
        <v>0.9964598958</v>
      </c>
      <c r="H126" s="13" t="str">
        <f aca="false">IFERROR(__xludf.dummyfunction("""COMPUTED_VALUE"""),"damaged stock")</f>
        <v>damaged stock</v>
      </c>
      <c r="I126" s="13" t="n">
        <f aca="false">IFERROR(__xludf.dummyfunction("""COMPUTED_VALUE"""),8)</f>
        <v>8</v>
      </c>
      <c r="J126" s="13" t="n">
        <f aca="false">IFERROR(__xludf.dummyfunction("""COMPUTED_VALUE"""),755)</f>
        <v>755</v>
      </c>
      <c r="K126" s="13" t="n">
        <f aca="false">IFERROR(__xludf.dummyfunction("""COMPUTED_VALUE"""),6040)</f>
        <v>6040</v>
      </c>
      <c r="L126" s="13" t="str">
        <f aca="false">IFERROR(__xludf.dummyfunction("""COMPUTED_VALUE"""),"[Code: 35578B] TA: found in loose conditon during sorting(company end issue)")</f>
        <v>[Code: 35578B] TA: found in loose conditon during sorting(company end issue)</v>
      </c>
      <c r="M126" s="13" t="str">
        <f aca="false">IFERROR(__xludf.dummyfunction("""COMPUTED_VALUE"""),"35578B")</f>
        <v>35578B</v>
      </c>
      <c r="N126" s="13"/>
      <c r="O126" s="13" t="str">
        <f aca="false">IFERROR(__xludf.dummyfunction("""COMPUTED_VALUE"""),"taufeeq.akhtar@tajir-app.com")</f>
        <v>taufeeq.akhtar@tajir-app.com</v>
      </c>
      <c r="P126" s="13" t="str">
        <f aca="false">IFERROR(__xludf.dummyfunction("""COMPUTED_VALUE"""),"Taufeeq Akhtar ")</f>
        <v>Taufeeq Akhtar </v>
      </c>
      <c r="Q126" s="13" t="str">
        <f aca="false">IFERROR(__xludf.dummyfunction("""COMPUTED_VALUE"""),"[Code: 35578B] TA: found in loose conditon during sorting(company end issue)")</f>
        <v>[Code: 35578B] TA: found in loose conditon during sorting(company end issue)</v>
      </c>
      <c r="R126" s="13" t="str">
        <v>Wed,17-May-2023 ,11:54 PM</v>
      </c>
      <c r="S126" s="13" t="str">
        <v>Damaged Stock</v>
      </c>
    </row>
    <row r="127" customFormat="false" ht="15.75" hidden="false" customHeight="false" outlineLevel="0" collapsed="false">
      <c r="A127" s="13" t="str">
        <f aca="false">IFERROR(__xludf.dummyfunction("""COMPUTED_VALUE"""),"Metro DC Faisalabad")</f>
        <v>Metro DC Faisalabad</v>
      </c>
      <c r="B127" s="13" t="str">
        <f aca="false">IFERROR(__xludf.dummyfunction("""COMPUTED_VALUE"""),"65650175-df92-4ef5-ae18-f525df57d160")</f>
        <v>65650175-df92-4ef5-ae18-f525df57d160</v>
      </c>
      <c r="C127" s="13" t="str">
        <f aca="false">IFERROR(__xludf.dummyfunction("""COMPUTED_VALUE"""),"Coca Cola plastic 500ml (Half Liter)")</f>
        <v>Coca Cola plastic 500ml (Half Liter)</v>
      </c>
      <c r="D127" s="13" t="str">
        <f aca="false">IFERROR(__xludf.dummyfunction("""COMPUTED_VALUE"""),"Coca Cola")</f>
        <v>Coca Cola</v>
      </c>
      <c r="E127" s="13" t="str">
        <f aca="false">IFERROR(__xludf.dummyfunction("""COMPUTED_VALUE"""),"Beverages")</f>
        <v>Beverages</v>
      </c>
      <c r="F127" s="11" t="n">
        <f aca="false">IFERROR(__xludf.dummyfunction("""COMPUTED_VALUE"""),45064)</f>
        <v>45064</v>
      </c>
      <c r="G127" s="12" t="n">
        <f aca="false">IFERROR(__xludf.dummyfunction("""COMPUTED_VALUE"""),0.04390244212915)</f>
        <v>0.04390244213</v>
      </c>
      <c r="H127" s="13" t="str">
        <f aca="false">IFERROR(__xludf.dummyfunction("""COMPUTED_VALUE"""),"damaged stock")</f>
        <v>damaged stock</v>
      </c>
      <c r="I127" s="13" t="n">
        <f aca="false">IFERROR(__xludf.dummyfunction("""COMPUTED_VALUE"""),1)</f>
        <v>1</v>
      </c>
      <c r="J127" s="13" t="n">
        <f aca="false">IFERROR(__xludf.dummyfunction("""COMPUTED_VALUE"""),773)</f>
        <v>773</v>
      </c>
      <c r="K127" s="13" t="n">
        <f aca="false">IFERROR(__xludf.dummyfunction("""COMPUTED_VALUE"""),773)</f>
        <v>773</v>
      </c>
      <c r="L127" s="13" t="str">
        <f aca="false">IFERROR(__xludf.dummyfunction("""COMPUTED_VALUE"""),"[Code: 2789DE] TA; Stock sy damage mila he sorting ky doran")</f>
        <v>[Code: 2789DE] TA; Stock sy damage mila he sorting ky doran</v>
      </c>
      <c r="M127" s="13" t="str">
        <f aca="false">IFERROR(__xludf.dummyfunction("""COMPUTED_VALUE"""),"2789DE")</f>
        <v>2789DE</v>
      </c>
      <c r="N127" s="13"/>
      <c r="O127" s="13" t="str">
        <f aca="false">IFERROR(__xludf.dummyfunction("""COMPUTED_VALUE"""),"taufeeq.akhtar@tajir-app.com")</f>
        <v>taufeeq.akhtar@tajir-app.com</v>
      </c>
      <c r="P127" s="13" t="str">
        <f aca="false">IFERROR(__xludf.dummyfunction("""COMPUTED_VALUE"""),"Taufeeq Akhtar ")</f>
        <v>Taufeeq Akhtar </v>
      </c>
      <c r="Q127" s="13" t="str">
        <f aca="false">IFERROR(__xludf.dummyfunction("""COMPUTED_VALUE"""),"[Code: 2789DE] TA; Stock sy damage mila he sorting ky doran")</f>
        <v>[Code: 2789DE] TA; Stock sy damage mila he sorting ky doran</v>
      </c>
      <c r="R127" s="13" t="str">
        <v>Thu,18-May-2023 ,01:03 AM</v>
      </c>
      <c r="S127" s="13" t="str">
        <v>Damaged Stock</v>
      </c>
    </row>
    <row r="128" customFormat="false" ht="15.75" hidden="false" customHeight="false" outlineLevel="0" collapsed="false">
      <c r="A128" s="13" t="str">
        <f aca="false">IFERROR(__xludf.dummyfunction("""COMPUTED_VALUE"""),"Metro DC Faisalabad")</f>
        <v>Metro DC Faisalabad</v>
      </c>
      <c r="B128" s="13" t="str">
        <f aca="false">IFERROR(__xludf.dummyfunction("""COMPUTED_VALUE"""),"20b74367-094d-4004-9a32-f4829b729e1d")</f>
        <v>20b74367-094d-4004-9a32-f4829b729e1d</v>
      </c>
      <c r="C128" s="13" t="str">
        <f aca="false">IFERROR(__xludf.dummyfunction("""COMPUTED_VALUE"""),"Bold Deodorant Body Spray Prime 150ml")</f>
        <v>Bold Deodorant Body Spray Prime 150ml</v>
      </c>
      <c r="D128" s="13" t="str">
        <f aca="false">IFERROR(__xludf.dummyfunction("""COMPUTED_VALUE"""),"Bold")</f>
        <v>Bold</v>
      </c>
      <c r="E128" s="13" t="str">
        <f aca="false">IFERROR(__xludf.dummyfunction("""COMPUTED_VALUE"""),"Personal Care")</f>
        <v>Personal Care</v>
      </c>
      <c r="F128" s="11" t="n">
        <f aca="false">IFERROR(__xludf.dummyfunction("""COMPUTED_VALUE"""),45064)</f>
        <v>45064</v>
      </c>
      <c r="G128" s="12" t="n">
        <f aca="false">IFERROR(__xludf.dummyfunction("""COMPUTED_VALUE"""),0.512479965276732)</f>
        <v>0.5124799653</v>
      </c>
      <c r="H128" s="13" t="str">
        <f aca="false">IFERROR(__xludf.dummyfunction("""COMPUTED_VALUE"""),"damaged stock")</f>
        <v>damaged stock</v>
      </c>
      <c r="I128" s="13" t="n">
        <f aca="false">IFERROR(__xludf.dummyfunction("""COMPUTED_VALUE"""),1)</f>
        <v>1</v>
      </c>
      <c r="J128" s="13" t="n">
        <f aca="false">IFERROR(__xludf.dummyfunction("""COMPUTED_VALUE"""),323)</f>
        <v>323</v>
      </c>
      <c r="K128" s="13" t="n">
        <f aca="false">IFERROR(__xludf.dummyfunction("""COMPUTED_VALUE"""),323)</f>
        <v>323</v>
      </c>
      <c r="L128" s="13" t="str">
        <f aca="false">IFERROR(__xludf.dummyfunction("""COMPUTED_VALUE"""),"[Code: 49ADGH] 01 unit found low fill liquid (Quality Issue)")</f>
        <v>[Code: 49ADGH] 01 unit found low fill liquid (Quality Issue)</v>
      </c>
      <c r="M128" s="13" t="str">
        <f aca="false">IFERROR(__xludf.dummyfunction("""COMPUTED_VALUE"""),"49ADGH")</f>
        <v>49ADGH</v>
      </c>
      <c r="N128" s="13"/>
      <c r="O128" s="13" t="str">
        <f aca="false">IFERROR(__xludf.dummyfunction("""COMPUTED_VALUE"""),"ali.raza@tajir-app.com")</f>
        <v>ali.raza@tajir-app.com</v>
      </c>
      <c r="P128" s="13" t="str">
        <f aca="false">IFERROR(__xludf.dummyfunction("""COMPUTED_VALUE"""),"Ali Raza ")</f>
        <v>Ali Raza </v>
      </c>
      <c r="Q128" s="13" t="str">
        <f aca="false">IFERROR(__xludf.dummyfunction("""COMPUTED_VALUE"""),"[Code: 49ADGH] 01 unit found low fill liquid (Quality Issue)")</f>
        <v>[Code: 49ADGH] 01 unit found low fill liquid (Quality Issue)</v>
      </c>
      <c r="R128" s="13" t="str">
        <v>Thu,18-May-2023 ,12:17 PM</v>
      </c>
      <c r="S128" s="13" t="str">
        <v>Damaged Stock</v>
      </c>
    </row>
    <row r="129" customFormat="false" ht="15.75" hidden="false" customHeight="false" outlineLevel="0" collapsed="false">
      <c r="A129" s="13" t="str">
        <f aca="false">IFERROR(__xludf.dummyfunction("""COMPUTED_VALUE"""),"Metro DC Faisalabad")</f>
        <v>Metro DC Faisalabad</v>
      </c>
      <c r="B129" s="13" t="str">
        <f aca="false">IFERROR(__xludf.dummyfunction("""COMPUTED_VALUE"""),"cd68a607-af95-45cb-b9f4-2721224c85f8")</f>
        <v>cd68a607-af95-45cb-b9f4-2721224c85f8</v>
      </c>
      <c r="C129" s="13" t="str">
        <f aca="false">IFERROR(__xludf.dummyfunction("""COMPUTED_VALUE"""),"Coca Cola plastic 1.5L")</f>
        <v>Coca Cola plastic 1.5L</v>
      </c>
      <c r="D129" s="13" t="str">
        <f aca="false">IFERROR(__xludf.dummyfunction("""COMPUTED_VALUE"""),"Coca Cola")</f>
        <v>Coca Cola</v>
      </c>
      <c r="E129" s="13" t="str">
        <f aca="false">IFERROR(__xludf.dummyfunction("""COMPUTED_VALUE"""),"Beverages")</f>
        <v>Beverages</v>
      </c>
      <c r="F129" s="11" t="n">
        <f aca="false">IFERROR(__xludf.dummyfunction("""COMPUTED_VALUE"""),45065)</f>
        <v>45065</v>
      </c>
      <c r="G129" s="12" t="n">
        <f aca="false">IFERROR(__xludf.dummyfunction("""COMPUTED_VALUE"""),0.771822094906976)</f>
        <v>0.7718220949</v>
      </c>
      <c r="H129" s="13" t="str">
        <f aca="false">IFERROR(__xludf.dummyfunction("""COMPUTED_VALUE"""),"damaged stock")</f>
        <v>damaged stock</v>
      </c>
      <c r="I129" s="13" t="n">
        <f aca="false">IFERROR(__xludf.dummyfunction("""COMPUTED_VALUE"""),3)</f>
        <v>3</v>
      </c>
      <c r="J129" s="13" t="n">
        <f aca="false">IFERROR(__xludf.dummyfunction("""COMPUTED_VALUE"""),755)</f>
        <v>755</v>
      </c>
      <c r="K129" s="13" t="n">
        <f aca="false">IFERROR(__xludf.dummyfunction("""COMPUTED_VALUE"""),2265)</f>
        <v>2265</v>
      </c>
      <c r="L129" s="13" t="str">
        <f aca="false">IFERROR(__xludf.dummyfunction("""COMPUTED_VALUE"""),"[Code: 359BCD] TA: Found in loose condition during sorting")</f>
        <v>[Code: 359BCD] TA: Found in loose condition during sorting</v>
      </c>
      <c r="M129" s="13" t="str">
        <f aca="false">IFERROR(__xludf.dummyfunction("""COMPUTED_VALUE"""),"359BCD")</f>
        <v>359BCD</v>
      </c>
      <c r="N129" s="13"/>
      <c r="O129" s="13" t="str">
        <f aca="false">IFERROR(__xludf.dummyfunction("""COMPUTED_VALUE"""),"taufeeq.akhtar@tajir-app.com")</f>
        <v>taufeeq.akhtar@tajir-app.com</v>
      </c>
      <c r="P129" s="13" t="str">
        <f aca="false">IFERROR(__xludf.dummyfunction("""COMPUTED_VALUE"""),"Taufeeq Akhtar ")</f>
        <v>Taufeeq Akhtar </v>
      </c>
      <c r="Q129" s="13" t="str">
        <f aca="false">IFERROR(__xludf.dummyfunction("""COMPUTED_VALUE"""),"[Code: 359BCD] TA: Found in loose condition during sorting")</f>
        <v>[Code: 359BCD] TA: Found in loose condition during sorting</v>
      </c>
      <c r="R129" s="13" t="str">
        <v>Fri,19-May-2023 ,06:31 PM</v>
      </c>
      <c r="S129" s="13" t="str">
        <v>Damaged Stock</v>
      </c>
    </row>
    <row r="130" customFormat="false" ht="15.75" hidden="false" customHeight="false" outlineLevel="0" collapsed="false">
      <c r="A130" s="13" t="str">
        <f aca="false">IFERROR(__xludf.dummyfunction("""COMPUTED_VALUE"""),"Metro DC Faisalabad")</f>
        <v>Metro DC Faisalabad</v>
      </c>
      <c r="B130" s="13" t="str">
        <f aca="false">IFERROR(__xludf.dummyfunction("""COMPUTED_VALUE"""),"cd68a607-af95-45cb-b9f4-2721224c85f8")</f>
        <v>cd68a607-af95-45cb-b9f4-2721224c85f8</v>
      </c>
      <c r="C130" s="13" t="str">
        <f aca="false">IFERROR(__xludf.dummyfunction("""COMPUTED_VALUE"""),"Coca Cola plastic 1.5L")</f>
        <v>Coca Cola plastic 1.5L</v>
      </c>
      <c r="D130" s="13" t="str">
        <f aca="false">IFERROR(__xludf.dummyfunction("""COMPUTED_VALUE"""),"Coca Cola")</f>
        <v>Coca Cola</v>
      </c>
      <c r="E130" s="13" t="str">
        <f aca="false">IFERROR(__xludf.dummyfunction("""COMPUTED_VALUE"""),"Beverages")</f>
        <v>Beverages</v>
      </c>
      <c r="F130" s="11" t="n">
        <f aca="false">IFERROR(__xludf.dummyfunction("""COMPUTED_VALUE"""),45065)</f>
        <v>45065</v>
      </c>
      <c r="G130" s="12" t="n">
        <f aca="false">IFERROR(__xludf.dummyfunction("""COMPUTED_VALUE"""),0.805701990739657)</f>
        <v>0.8057019907</v>
      </c>
      <c r="H130" s="13" t="str">
        <f aca="false">IFERROR(__xludf.dummyfunction("""COMPUTED_VALUE"""),"damaged stock")</f>
        <v>damaged stock</v>
      </c>
      <c r="I130" s="13" t="n">
        <f aca="false">IFERROR(__xludf.dummyfunction("""COMPUTED_VALUE"""),2)</f>
        <v>2</v>
      </c>
      <c r="J130" s="13" t="n">
        <f aca="false">IFERROR(__xludf.dummyfunction("""COMPUTED_VALUE"""),755)</f>
        <v>755</v>
      </c>
      <c r="K130" s="13" t="n">
        <f aca="false">IFERROR(__xludf.dummyfunction("""COMPUTED_VALUE"""),1510)</f>
        <v>1510</v>
      </c>
      <c r="L130" s="13" t="str">
        <f aca="false">IFERROR(__xludf.dummyfunction("""COMPUTED_VALUE"""),"[Code: 8BCDDF] TA: found in loose condtions during sorting.")</f>
        <v>[Code: 8BCDDF] TA: found in loose condtions during sorting.</v>
      </c>
      <c r="M130" s="13" t="str">
        <f aca="false">IFERROR(__xludf.dummyfunction("""COMPUTED_VALUE"""),"8BCDDF")</f>
        <v>8BCDDF</v>
      </c>
      <c r="N130" s="13"/>
      <c r="O130" s="13" t="str">
        <f aca="false">IFERROR(__xludf.dummyfunction("""COMPUTED_VALUE"""),"taufeeq.akhtar@tajir-app.com")</f>
        <v>taufeeq.akhtar@tajir-app.com</v>
      </c>
      <c r="P130" s="13" t="str">
        <f aca="false">IFERROR(__xludf.dummyfunction("""COMPUTED_VALUE"""),"Taufeeq Akhtar ")</f>
        <v>Taufeeq Akhtar </v>
      </c>
      <c r="Q130" s="13" t="str">
        <f aca="false">IFERROR(__xludf.dummyfunction("""COMPUTED_VALUE"""),"[Code: 8BCDDF] TA: found in loose condtions during sorting.")</f>
        <v>[Code: 8BCDDF] TA: found in loose condtions during sorting.</v>
      </c>
      <c r="R130" s="13" t="str">
        <v>Fri,19-May-2023 ,07:20 PM</v>
      </c>
      <c r="S130" s="13" t="str">
        <v>Damaged Stock</v>
      </c>
    </row>
    <row r="131" customFormat="false" ht="15.75" hidden="false" customHeight="false" outlineLevel="0" collapsed="false">
      <c r="A131" s="13" t="str">
        <f aca="false">IFERROR(__xludf.dummyfunction("""COMPUTED_VALUE"""),"Metro DC Faisalabad")</f>
        <v>Metro DC Faisalabad</v>
      </c>
      <c r="B131" s="13" t="str">
        <f aca="false">IFERROR(__xludf.dummyfunction("""COMPUTED_VALUE"""),"ee9f509f-e6b6-44a0-a37c-57dee8c1a7e4")</f>
        <v>ee9f509f-e6b6-44a0-a37c-57dee8c1a7e4</v>
      </c>
      <c r="C131" s="13" t="str">
        <f aca="false">IFERROR(__xludf.dummyfunction("""COMPUTED_VALUE"""),"Quality Grains Daal Chana Budget 500g")</f>
        <v>Quality Grains Daal Chana Budget 500g</v>
      </c>
      <c r="D131" s="13" t="str">
        <f aca="false">IFERROR(__xludf.dummyfunction("""COMPUTED_VALUE"""),"Quality Grains")</f>
        <v>Quality Grains</v>
      </c>
      <c r="E131" s="13" t="str">
        <f aca="false">IFERROR(__xludf.dummyfunction("""COMPUTED_VALUE"""),"Pulses")</f>
        <v>Pulses</v>
      </c>
      <c r="F131" s="11" t="n">
        <f aca="false">IFERROR(__xludf.dummyfunction("""COMPUTED_VALUE"""),45066)</f>
        <v>45066</v>
      </c>
      <c r="G131" s="12" t="n">
        <f aca="false">IFERROR(__xludf.dummyfunction("""COMPUTED_VALUE"""),0.834633275462823)</f>
        <v>0.8346332755</v>
      </c>
      <c r="H131" s="13" t="str">
        <f aca="false">IFERROR(__xludf.dummyfunction("""COMPUTED_VALUE"""),"damaged stock")</f>
        <v>damaged stock</v>
      </c>
      <c r="I131" s="13" t="n">
        <f aca="false">IFERROR(__xludf.dummyfunction("""COMPUTED_VALUE"""),53)</f>
        <v>53</v>
      </c>
      <c r="J131" s="13" t="n">
        <f aca="false">IFERROR(__xludf.dummyfunction("""COMPUTED_VALUE"""),116)</f>
        <v>116</v>
      </c>
      <c r="K131" s="13" t="n">
        <f aca="false">IFERROR(__xludf.dummyfunction("""COMPUTED_VALUE"""),6148)</f>
        <v>6148</v>
      </c>
      <c r="L131" s="13" t="str">
        <f aca="false">IFERROR(__xludf.dummyfunction("""COMPUTED_VALUE"""),"[Code: 25888A] ZA: Stock removed due to Quality Issue(Found Fungus)")</f>
        <v>[Code: 25888A] ZA: Stock removed due to Quality Issue(Found Fungus)</v>
      </c>
      <c r="M131" s="13" t="str">
        <f aca="false">IFERROR(__xludf.dummyfunction("""COMPUTED_VALUE"""),"25888A")</f>
        <v>25888A</v>
      </c>
      <c r="N131" s="13"/>
      <c r="O131" s="13" t="str">
        <f aca="false">IFERROR(__xludf.dummyfunction("""COMPUTED_VALUE"""),"zeeshan.alimalik@tajir-app.com")</f>
        <v>zeeshan.alimalik@tajir-app.com</v>
      </c>
      <c r="P131" s="13" t="str">
        <f aca="false">IFERROR(__xludf.dummyfunction("""COMPUTED_VALUE"""),"Zeeshan Ali Malik")</f>
        <v>Zeeshan Ali Malik</v>
      </c>
      <c r="Q131" s="13" t="str">
        <f aca="false">IFERROR(__xludf.dummyfunction("""COMPUTED_VALUE"""),"[Code: 25888A] ZA: Stock removed due to Quality Issue(Found Fungus)")</f>
        <v>[Code: 25888A] ZA: Stock removed due to Quality Issue(Found Fungus)</v>
      </c>
      <c r="R131" s="13" t="str">
        <v>Sat,20-May-2023 ,08:01 PM</v>
      </c>
      <c r="S131" s="13" t="str">
        <v>Damaged Stock</v>
      </c>
    </row>
    <row r="132" customFormat="false" ht="15.75" hidden="false" customHeight="false" outlineLevel="0" collapsed="false">
      <c r="A132" s="13" t="str">
        <f aca="false">IFERROR(__xludf.dummyfunction("""COMPUTED_VALUE"""),"Metro DC Faisalabad")</f>
        <v>Metro DC Faisalabad</v>
      </c>
      <c r="B132" s="13" t="str">
        <f aca="false">IFERROR(__xludf.dummyfunction("""COMPUTED_VALUE"""),"091103b8-ad58-4db4-9f95-ecd8969b63d4")</f>
        <v>091103b8-ad58-4db4-9f95-ecd8969b63d4</v>
      </c>
      <c r="C132" s="13" t="str">
        <f aca="false">IFERROR(__xludf.dummyfunction("""COMPUTED_VALUE"""),"Shangrila Mango Pickle Jar 1kg (Purple Jar Large)")</f>
        <v>Shangrila Mango Pickle Jar 1kg (Purple Jar Large)</v>
      </c>
      <c r="D132" s="13" t="str">
        <f aca="false">IFERROR(__xludf.dummyfunction("""COMPUTED_VALUE"""),"Shangrila")</f>
        <v>Shangrila</v>
      </c>
      <c r="E132" s="13" t="str">
        <f aca="false">IFERROR(__xludf.dummyfunction("""COMPUTED_VALUE"""),"Sauces")</f>
        <v>Sauces</v>
      </c>
      <c r="F132" s="11" t="n">
        <f aca="false">IFERROR(__xludf.dummyfunction("""COMPUTED_VALUE"""),45066)</f>
        <v>45066</v>
      </c>
      <c r="G132" s="12" t="n">
        <f aca="false">IFERROR(__xludf.dummyfunction("""COMPUTED_VALUE"""),0.959184664351696)</f>
        <v>0.9591846644</v>
      </c>
      <c r="H132" s="13" t="str">
        <f aca="false">IFERROR(__xludf.dummyfunction("""COMPUTED_VALUE"""),"damaged stock")</f>
        <v>damaged stock</v>
      </c>
      <c r="I132" s="13" t="n">
        <f aca="false">IFERROR(__xludf.dummyfunction("""COMPUTED_VALUE"""),1)</f>
        <v>1</v>
      </c>
      <c r="J132" s="13" t="n">
        <f aca="false">IFERROR(__xludf.dummyfunction("""COMPUTED_VALUE"""),484.71)</f>
        <v>484.71</v>
      </c>
      <c r="K132" s="13" t="n">
        <f aca="false">IFERROR(__xludf.dummyfunction("""COMPUTED_VALUE"""),484.71)</f>
        <v>484.71</v>
      </c>
      <c r="L132" s="13" t="str">
        <f aca="false">IFERROR(__xludf.dummyfunction("""COMPUTED_VALUE"""),"[Code: 334489] TA: sorting kay doran damage hua;")</f>
        <v>[Code: 334489] TA: sorting kay doran damage hua;</v>
      </c>
      <c r="M132" s="13" t="str">
        <f aca="false">IFERROR(__xludf.dummyfunction("""COMPUTED_VALUE"""),"334489")</f>
        <v>334489</v>
      </c>
      <c r="N132" s="13"/>
      <c r="O132" s="13" t="str">
        <f aca="false">IFERROR(__xludf.dummyfunction("""COMPUTED_VALUE"""),"daniyal.ahmad@tajir-app.com")</f>
        <v>daniyal.ahmad@tajir-app.com</v>
      </c>
      <c r="P132" s="13" t="str">
        <f aca="false">IFERROR(__xludf.dummyfunction("""COMPUTED_VALUE"""),"Daniyal Ahmad")</f>
        <v>Daniyal Ahmad</v>
      </c>
      <c r="Q132" s="13" t="str">
        <f aca="false">IFERROR(__xludf.dummyfunction("""COMPUTED_VALUE"""),"[Code: 334489] TA: sorting kay doran damage hua;")</f>
        <v>[Code: 334489] TA: sorting kay doran damage hua;</v>
      </c>
      <c r="R132" s="13" t="str">
        <v>Sat,20-May-2023 ,11:01 PM</v>
      </c>
      <c r="S132" s="13" t="str">
        <v>Damaged Stock</v>
      </c>
    </row>
    <row r="133" customFormat="false" ht="15.75" hidden="false" customHeight="false" outlineLevel="0" collapsed="false">
      <c r="A133" s="13" t="str">
        <f aca="false">IFERROR(__xludf.dummyfunction("""COMPUTED_VALUE"""),"Metro DC Faisalabad")</f>
        <v>Metro DC Faisalabad</v>
      </c>
      <c r="B133" s="13" t="str">
        <f aca="false">IFERROR(__xludf.dummyfunction("""COMPUTED_VALUE"""),"cd68a607-af95-45cb-b9f4-2721224c85f8")</f>
        <v>cd68a607-af95-45cb-b9f4-2721224c85f8</v>
      </c>
      <c r="C133" s="13" t="str">
        <f aca="false">IFERROR(__xludf.dummyfunction("""COMPUTED_VALUE"""),"Coca Cola plastic 1.5L")</f>
        <v>Coca Cola plastic 1.5L</v>
      </c>
      <c r="D133" s="13" t="str">
        <f aca="false">IFERROR(__xludf.dummyfunction("""COMPUTED_VALUE"""),"Coca Cola")</f>
        <v>Coca Cola</v>
      </c>
      <c r="E133" s="13" t="str">
        <f aca="false">IFERROR(__xludf.dummyfunction("""COMPUTED_VALUE"""),"Beverages")</f>
        <v>Beverages</v>
      </c>
      <c r="F133" s="11" t="n">
        <f aca="false">IFERROR(__xludf.dummyfunction("""COMPUTED_VALUE"""),45068)</f>
        <v>45068</v>
      </c>
      <c r="G133" s="12" t="n">
        <f aca="false">IFERROR(__xludf.dummyfunction("""COMPUTED_VALUE"""),0.898247407408706)</f>
        <v>0.8982474074</v>
      </c>
      <c r="H133" s="13" t="str">
        <f aca="false">IFERROR(__xludf.dummyfunction("""COMPUTED_VALUE"""),"damaged stock")</f>
        <v>damaged stock</v>
      </c>
      <c r="I133" s="13" t="n">
        <f aca="false">IFERROR(__xludf.dummyfunction("""COMPUTED_VALUE"""),1)</f>
        <v>1</v>
      </c>
      <c r="J133" s="13" t="n">
        <f aca="false">IFERROR(__xludf.dummyfunction("""COMPUTED_VALUE"""),755)</f>
        <v>755</v>
      </c>
      <c r="K133" s="13" t="n">
        <f aca="false">IFERROR(__xludf.dummyfunction("""COMPUTED_VALUE"""),755)</f>
        <v>755</v>
      </c>
      <c r="L133" s="13" t="str">
        <f aca="false">IFERROR(__xludf.dummyfunction("""COMPUTED_VALUE"""),"[Code: 225578] TA:Found in loose condtion during sorting.")</f>
        <v>[Code: 225578] TA:Found in loose condtion during sorting.</v>
      </c>
      <c r="M133" s="13" t="str">
        <f aca="false">IFERROR(__xludf.dummyfunction("""COMPUTED_VALUE"""),"225578")</f>
        <v>225578</v>
      </c>
      <c r="N133" s="13"/>
      <c r="O133" s="13" t="str">
        <f aca="false">IFERROR(__xludf.dummyfunction("""COMPUTED_VALUE"""),"taufeeq.akhtar@tajir-app.com")</f>
        <v>taufeeq.akhtar@tajir-app.com</v>
      </c>
      <c r="P133" s="13" t="str">
        <f aca="false">IFERROR(__xludf.dummyfunction("""COMPUTED_VALUE"""),"Taufeeq Akhtar ")</f>
        <v>Taufeeq Akhtar </v>
      </c>
      <c r="Q133" s="13" t="str">
        <f aca="false">IFERROR(__xludf.dummyfunction("""COMPUTED_VALUE"""),"[Code: 225578] TA:Found in loose condtion during sorting.")</f>
        <v>[Code: 225578] TA:Found in loose condtion during sorting.</v>
      </c>
      <c r="R133" s="13" t="str">
        <v>Mon,22-May-2023 ,09:33 PM</v>
      </c>
      <c r="S133" s="13" t="str">
        <v>Damaged Stock</v>
      </c>
    </row>
    <row r="134" customFormat="false" ht="15.75" hidden="false" customHeight="false" outlineLevel="0" collapsed="false">
      <c r="A134" s="13" t="str">
        <f aca="false">IFERROR(__xludf.dummyfunction("""COMPUTED_VALUE"""),"Metro DC Faisalabad")</f>
        <v>Metro DC Faisalabad</v>
      </c>
      <c r="B134" s="13" t="str">
        <f aca="false">IFERROR(__xludf.dummyfunction("""COMPUTED_VALUE"""),"bb395c3c-56d7-4e32-b2ae-c52852d22a73")</f>
        <v>bb395c3c-56d7-4e32-b2ae-c52852d22a73</v>
      </c>
      <c r="C134" s="13" t="str">
        <f aca="false">IFERROR(__xludf.dummyfunction("""COMPUTED_VALUE"""),"Seasly Water 1.5L")</f>
        <v>Seasly Water 1.5L</v>
      </c>
      <c r="D134" s="13" t="str">
        <f aca="false">IFERROR(__xludf.dummyfunction("""COMPUTED_VALUE"""),"Seasly Water")</f>
        <v>Seasly Water</v>
      </c>
      <c r="E134" s="13" t="str">
        <f aca="false">IFERROR(__xludf.dummyfunction("""COMPUTED_VALUE"""),"Beverages")</f>
        <v>Beverages</v>
      </c>
      <c r="F134" s="11" t="n">
        <f aca="false">IFERROR(__xludf.dummyfunction("""COMPUTED_VALUE"""),45069)</f>
        <v>45069</v>
      </c>
      <c r="G134" s="12" t="n">
        <f aca="false">IFERROR(__xludf.dummyfunction("""COMPUTED_VALUE"""),0.878743171297083)</f>
        <v>0.8787431713</v>
      </c>
      <c r="H134" s="13" t="str">
        <f aca="false">IFERROR(__xludf.dummyfunction("""COMPUTED_VALUE"""),"damaged stock")</f>
        <v>damaged stock</v>
      </c>
      <c r="I134" s="13" t="n">
        <f aca="false">IFERROR(__xludf.dummyfunction("""COMPUTED_VALUE"""),1)</f>
        <v>1</v>
      </c>
      <c r="J134" s="13" t="n">
        <f aca="false">IFERROR(__xludf.dummyfunction("""COMPUTED_VALUE"""),170)</f>
        <v>170</v>
      </c>
      <c r="K134" s="13" t="n">
        <f aca="false">IFERROR(__xludf.dummyfunction("""COMPUTED_VALUE"""),170)</f>
        <v>170</v>
      </c>
      <c r="L134" s="13" t="str">
        <f aca="false">IFERROR(__xludf.dummyfunction("""COMPUTED_VALUE"""),"[Code: 344568] TA: damaged during sorting.")</f>
        <v>[Code: 344568] TA: damaged during sorting.</v>
      </c>
      <c r="M134" s="13" t="str">
        <f aca="false">IFERROR(__xludf.dummyfunction("""COMPUTED_VALUE"""),"344568")</f>
        <v>344568</v>
      </c>
      <c r="N134" s="13"/>
      <c r="O134" s="13" t="str">
        <f aca="false">IFERROR(__xludf.dummyfunction("""COMPUTED_VALUE"""),"taufeeq.akhtar@tajir-app.com")</f>
        <v>taufeeq.akhtar@tajir-app.com</v>
      </c>
      <c r="P134" s="13" t="str">
        <f aca="false">IFERROR(__xludf.dummyfunction("""COMPUTED_VALUE"""),"Taufeeq Akhtar ")</f>
        <v>Taufeeq Akhtar </v>
      </c>
      <c r="Q134" s="13" t="str">
        <f aca="false">IFERROR(__xludf.dummyfunction("""COMPUTED_VALUE"""),"[Code: 344568] TA: damaged during sorting.")</f>
        <v>[Code: 344568] TA: damaged during sorting.</v>
      </c>
      <c r="R134" s="13" t="str">
        <v>Tue,23-May-2023 ,09:05 PM</v>
      </c>
      <c r="S134" s="13" t="str">
        <v>Damaged Stock</v>
      </c>
    </row>
    <row r="135" customFormat="false" ht="15.75" hidden="false" customHeight="false" outlineLevel="0" collapsed="false">
      <c r="A135" s="13" t="str">
        <f aca="false">IFERROR(__xludf.dummyfunction("""COMPUTED_VALUE"""),"Metro DC Faisalabad")</f>
        <v>Metro DC Faisalabad</v>
      </c>
      <c r="B135" s="13" t="str">
        <f aca="false">IFERROR(__xludf.dummyfunction("""COMPUTED_VALUE"""),"cd68a607-af95-45cb-b9f4-2721224c85f8")</f>
        <v>cd68a607-af95-45cb-b9f4-2721224c85f8</v>
      </c>
      <c r="C135" s="13" t="str">
        <f aca="false">IFERROR(__xludf.dummyfunction("""COMPUTED_VALUE"""),"Coca Cola plastic 1.5L")</f>
        <v>Coca Cola plastic 1.5L</v>
      </c>
      <c r="D135" s="13" t="str">
        <f aca="false">IFERROR(__xludf.dummyfunction("""COMPUTED_VALUE"""),"Coca Cola")</f>
        <v>Coca Cola</v>
      </c>
      <c r="E135" s="13" t="str">
        <f aca="false">IFERROR(__xludf.dummyfunction("""COMPUTED_VALUE"""),"Beverages")</f>
        <v>Beverages</v>
      </c>
      <c r="F135" s="11" t="n">
        <f aca="false">IFERROR(__xludf.dummyfunction("""COMPUTED_VALUE"""),45069)</f>
        <v>45069</v>
      </c>
      <c r="G135" s="12" t="n">
        <f aca="false">IFERROR(__xludf.dummyfunction("""COMPUTED_VALUE"""),0.879882824074435)</f>
        <v>0.8798828241</v>
      </c>
      <c r="H135" s="13" t="str">
        <f aca="false">IFERROR(__xludf.dummyfunction("""COMPUTED_VALUE"""),"damaged stock")</f>
        <v>damaged stock</v>
      </c>
      <c r="I135" s="13" t="n">
        <f aca="false">IFERROR(__xludf.dummyfunction("""COMPUTED_VALUE"""),2)</f>
        <v>2</v>
      </c>
      <c r="J135" s="13" t="n">
        <f aca="false">IFERROR(__xludf.dummyfunction("""COMPUTED_VALUE"""),755)</f>
        <v>755</v>
      </c>
      <c r="K135" s="13" t="n">
        <f aca="false">IFERROR(__xludf.dummyfunction("""COMPUTED_VALUE"""),1510)</f>
        <v>1510</v>
      </c>
      <c r="L135" s="13" t="str">
        <f aca="false">IFERROR(__xludf.dummyfunction("""COMPUTED_VALUE"""),"[Code: 5699BE] TA: Found in loose conditon (company end issue)")</f>
        <v>[Code: 5699BE] TA: Found in loose conditon (company end issue)</v>
      </c>
      <c r="M135" s="13" t="str">
        <f aca="false">IFERROR(__xludf.dummyfunction("""COMPUTED_VALUE"""),"5699BE")</f>
        <v>5699BE</v>
      </c>
      <c r="N135" s="13"/>
      <c r="O135" s="13" t="str">
        <f aca="false">IFERROR(__xludf.dummyfunction("""COMPUTED_VALUE"""),"taufeeq.akhtar@tajir-app.com")</f>
        <v>taufeeq.akhtar@tajir-app.com</v>
      </c>
      <c r="P135" s="13" t="str">
        <f aca="false">IFERROR(__xludf.dummyfunction("""COMPUTED_VALUE"""),"Taufeeq Akhtar ")</f>
        <v>Taufeeq Akhtar </v>
      </c>
      <c r="Q135" s="13" t="str">
        <f aca="false">IFERROR(__xludf.dummyfunction("""COMPUTED_VALUE"""),"[Code: 5699BE] TA: Found in loose conditon (company end issue)")</f>
        <v>[Code: 5699BE] TA: Found in loose conditon (company end issue)</v>
      </c>
      <c r="R135" s="13" t="str">
        <v>Tue,23-May-2023 ,09:07 PM</v>
      </c>
      <c r="S135" s="13" t="str">
        <v>Damaged Stock</v>
      </c>
    </row>
    <row r="136" customFormat="false" ht="15.75" hidden="false" customHeight="false" outlineLevel="0" collapsed="false">
      <c r="A136" s="13" t="str">
        <f aca="false">IFERROR(__xludf.dummyfunction("""COMPUTED_VALUE"""),"Metro DC Faisalabad")</f>
        <v>Metro DC Faisalabad</v>
      </c>
      <c r="B136" s="13" t="str">
        <f aca="false">IFERROR(__xludf.dummyfunction("""COMPUTED_VALUE"""),"61b64cf5-8ce8-47c7-8293-6e04fbebd722")</f>
        <v>61b64cf5-8ce8-47c7-8293-6e04fbebd722</v>
      </c>
      <c r="C136" s="13" t="str">
        <f aca="false">IFERROR(__xludf.dummyfunction("""COMPUTED_VALUE"""),"Lemon Max Liquid Regular Bottle 475ml Rs260")</f>
        <v>Lemon Max Liquid Regular Bottle 475ml Rs260</v>
      </c>
      <c r="D136" s="13" t="str">
        <f aca="false">IFERROR(__xludf.dummyfunction("""COMPUTED_VALUE"""),"Lemon Max")</f>
        <v>Lemon Max</v>
      </c>
      <c r="E136" s="13" t="str">
        <f aca="false">IFERROR(__xludf.dummyfunction("""COMPUTED_VALUE"""),"Home Care")</f>
        <v>Home Care</v>
      </c>
      <c r="F136" s="11" t="n">
        <f aca="false">IFERROR(__xludf.dummyfunction("""COMPUTED_VALUE"""),45070)</f>
        <v>45070</v>
      </c>
      <c r="G136" s="12" t="n">
        <f aca="false">IFERROR(__xludf.dummyfunction("""COMPUTED_VALUE"""),0.709110555557356)</f>
        <v>0.7091105556</v>
      </c>
      <c r="H136" s="13" t="str">
        <f aca="false">IFERROR(__xludf.dummyfunction("""COMPUTED_VALUE"""),"damaged stock")</f>
        <v>damaged stock</v>
      </c>
      <c r="I136" s="13" t="n">
        <f aca="false">IFERROR(__xludf.dummyfunction("""COMPUTED_VALUE"""),1)</f>
        <v>1</v>
      </c>
      <c r="J136" s="13" t="n">
        <f aca="false">IFERROR(__xludf.dummyfunction("""COMPUTED_VALUE"""),239.66)</f>
        <v>239.66</v>
      </c>
      <c r="K136" s="13" t="n">
        <f aca="false">IFERROR(__xludf.dummyfunction("""COMPUTED_VALUE"""),239.66)</f>
        <v>239.66</v>
      </c>
      <c r="L136" s="13" t="str">
        <f aca="false">IFERROR(__xludf.dummyfunction("""COMPUTED_VALUE"""),"[Code: 368AHH] 01 unit found damaged from CTN (Cap Damaged)")</f>
        <v>[Code: 368AHH] 01 unit found damaged from CTN (Cap Damaged)</v>
      </c>
      <c r="M136" s="13" t="str">
        <f aca="false">IFERROR(__xludf.dummyfunction("""COMPUTED_VALUE"""),"368AHH")</f>
        <v>368AHH</v>
      </c>
      <c r="N136" s="13"/>
      <c r="O136" s="13" t="str">
        <f aca="false">IFERROR(__xludf.dummyfunction("""COMPUTED_VALUE"""),"ali.raza@tajir-app.com")</f>
        <v>ali.raza@tajir-app.com</v>
      </c>
      <c r="P136" s="13" t="str">
        <f aca="false">IFERROR(__xludf.dummyfunction("""COMPUTED_VALUE"""),"Ali Raza ")</f>
        <v>Ali Raza </v>
      </c>
      <c r="Q136" s="13" t="str">
        <f aca="false">IFERROR(__xludf.dummyfunction("""COMPUTED_VALUE"""),"[Code: 368AHH] 01 unit found damaged from CTN (Cap Damaged)")</f>
        <v>[Code: 368AHH] 01 unit found damaged from CTN (Cap Damaged)</v>
      </c>
      <c r="R136" s="13" t="str">
        <v>Wed,24-May-2023 ,05:01 PM</v>
      </c>
      <c r="S136" s="13" t="str">
        <v>Damaged Stock</v>
      </c>
    </row>
    <row r="137" customFormat="false" ht="15.75" hidden="false" customHeight="false" outlineLevel="0" collapsed="false">
      <c r="A137" s="13" t="str">
        <f aca="false">IFERROR(__xludf.dummyfunction("""COMPUTED_VALUE"""),"Metro DC Faisalabad")</f>
        <v>Metro DC Faisalabad</v>
      </c>
      <c r="B137" s="13" t="str">
        <f aca="false">IFERROR(__xludf.dummyfunction("""COMPUTED_VALUE"""),"cd68a607-af95-45cb-b9f4-2721224c85f8")</f>
        <v>cd68a607-af95-45cb-b9f4-2721224c85f8</v>
      </c>
      <c r="C137" s="13" t="str">
        <f aca="false">IFERROR(__xludf.dummyfunction("""COMPUTED_VALUE"""),"Coca Cola plastic 1.5L")</f>
        <v>Coca Cola plastic 1.5L</v>
      </c>
      <c r="D137" s="13" t="str">
        <f aca="false">IFERROR(__xludf.dummyfunction("""COMPUTED_VALUE"""),"Coca Cola")</f>
        <v>Coca Cola</v>
      </c>
      <c r="E137" s="13" t="str">
        <f aca="false">IFERROR(__xludf.dummyfunction("""COMPUTED_VALUE"""),"Beverages")</f>
        <v>Beverages</v>
      </c>
      <c r="F137" s="11" t="n">
        <f aca="false">IFERROR(__xludf.dummyfunction("""COMPUTED_VALUE"""),45070)</f>
        <v>45070</v>
      </c>
      <c r="G137" s="12" t="n">
        <f aca="false">IFERROR(__xludf.dummyfunction("""COMPUTED_VALUE"""),0.913605023149064)</f>
        <v>0.9136050231</v>
      </c>
      <c r="H137" s="13" t="str">
        <f aca="false">IFERROR(__xludf.dummyfunction("""COMPUTED_VALUE"""),"damaged stock")</f>
        <v>damaged stock</v>
      </c>
      <c r="I137" s="13" t="n">
        <f aca="false">IFERROR(__xludf.dummyfunction("""COMPUTED_VALUE"""),1)</f>
        <v>1</v>
      </c>
      <c r="J137" s="13" t="n">
        <f aca="false">IFERROR(__xludf.dummyfunction("""COMPUTED_VALUE"""),755)</f>
        <v>755</v>
      </c>
      <c r="K137" s="13" t="n">
        <f aca="false">IFERROR(__xludf.dummyfunction("""COMPUTED_VALUE"""),755)</f>
        <v>755</v>
      </c>
      <c r="L137" s="13" t="str">
        <f aca="false">IFERROR(__xludf.dummyfunction("""COMPUTED_VALUE"""),"[Code: 224679] TA: found in loose condition and emply botels(Company end issue)")</f>
        <v>[Code: 224679] TA: found in loose condition and emply botels(Company end issue)</v>
      </c>
      <c r="M137" s="13" t="str">
        <f aca="false">IFERROR(__xludf.dummyfunction("""COMPUTED_VALUE"""),"224679")</f>
        <v>224679</v>
      </c>
      <c r="N137" s="13"/>
      <c r="O137" s="13" t="str">
        <f aca="false">IFERROR(__xludf.dummyfunction("""COMPUTED_VALUE"""),"taufeeq.akhtar@tajir-app.com")</f>
        <v>taufeeq.akhtar@tajir-app.com</v>
      </c>
      <c r="P137" s="13" t="str">
        <f aca="false">IFERROR(__xludf.dummyfunction("""COMPUTED_VALUE"""),"Taufeeq Akhtar ")</f>
        <v>Taufeeq Akhtar </v>
      </c>
      <c r="Q137" s="13" t="str">
        <f aca="false">IFERROR(__xludf.dummyfunction("""COMPUTED_VALUE"""),"[Code: 224679] TA: found in loose condition and emply botels(Company end issue)")</f>
        <v>[Code: 224679] TA: found in loose condition and emply botels(Company end issue)</v>
      </c>
      <c r="R137" s="13" t="str">
        <v>Wed,24-May-2023 ,09:55 PM</v>
      </c>
      <c r="S137" s="13" t="str">
        <v>Damaged Stock</v>
      </c>
    </row>
    <row r="138" customFormat="false" ht="15.75" hidden="false" customHeight="false" outlineLevel="0" collapsed="false">
      <c r="A138" s="13" t="str">
        <f aca="false">IFERROR(__xludf.dummyfunction("""COMPUTED_VALUE"""),"Metro DC Faisalabad")</f>
        <v>Metro DC Faisalabad</v>
      </c>
      <c r="B138" s="13" t="str">
        <f aca="false">IFERROR(__xludf.dummyfunction("""COMPUTED_VALUE"""),"44f4762f-5274-4866-a30e-c35aa97fb23e")</f>
        <v>44f4762f-5274-4866-a30e-c35aa97fb23e</v>
      </c>
      <c r="C138" s="13" t="str">
        <f aca="false">IFERROR(__xludf.dummyfunction("""COMPUTED_VALUE"""),"Bonus tristar yellow surf 250g Rs50")</f>
        <v>Bonus tristar yellow surf 250g Rs50</v>
      </c>
      <c r="D138" s="13" t="str">
        <f aca="false">IFERROR(__xludf.dummyfunction("""COMPUTED_VALUE"""),"Bonus Surf")</f>
        <v>Bonus Surf</v>
      </c>
      <c r="E138" s="13" t="str">
        <f aca="false">IFERROR(__xludf.dummyfunction("""COMPUTED_VALUE"""),"Surf, Bleach")</f>
        <v>Surf, Bleach</v>
      </c>
      <c r="F138" s="11" t="n">
        <f aca="false">IFERROR(__xludf.dummyfunction("""COMPUTED_VALUE"""),45070)</f>
        <v>45070</v>
      </c>
      <c r="G138" s="12" t="n">
        <f aca="false">IFERROR(__xludf.dummyfunction("""COMPUTED_VALUE"""),0.935947037035582)</f>
        <v>0.935947037</v>
      </c>
      <c r="H138" s="13" t="str">
        <f aca="false">IFERROR(__xludf.dummyfunction("""COMPUTED_VALUE"""),"damaged stock")</f>
        <v>damaged stock</v>
      </c>
      <c r="I138" s="13" t="n">
        <f aca="false">IFERROR(__xludf.dummyfunction("""COMPUTED_VALUE"""),2)</f>
        <v>2</v>
      </c>
      <c r="J138" s="13" t="n">
        <f aca="false">IFERROR(__xludf.dummyfunction("""COMPUTED_VALUE"""),45.59)</f>
        <v>45.59</v>
      </c>
      <c r="K138" s="13" t="n">
        <f aca="false">IFERROR(__xludf.dummyfunction("""COMPUTED_VALUE"""),91.18)</f>
        <v>91.18</v>
      </c>
      <c r="L138" s="13" t="str">
        <f aca="false">IFERROR(__xludf.dummyfunction("""COMPUTED_VALUE"""),"[Code: 2999AC] TA; Bags sy sorting ky doran damage mily hain")</f>
        <v>[Code: 2999AC] TA; Bags sy sorting ky doran damage mily hain</v>
      </c>
      <c r="M138" s="13" t="str">
        <f aca="false">IFERROR(__xludf.dummyfunction("""COMPUTED_VALUE"""),"2999AC")</f>
        <v>2999AC</v>
      </c>
      <c r="N138" s="13"/>
      <c r="O138" s="13" t="str">
        <f aca="false">IFERROR(__xludf.dummyfunction("""COMPUTED_VALUE"""),"taufeeq.akhtar@tajir-app.com")</f>
        <v>taufeeq.akhtar@tajir-app.com</v>
      </c>
      <c r="P138" s="13" t="str">
        <f aca="false">IFERROR(__xludf.dummyfunction("""COMPUTED_VALUE"""),"Taufeeq Akhtar ")</f>
        <v>Taufeeq Akhtar </v>
      </c>
      <c r="Q138" s="13" t="str">
        <f aca="false">IFERROR(__xludf.dummyfunction("""COMPUTED_VALUE"""),"[Code: 2999AC] TA; Bags sy sorting ky doran damage mily hain")</f>
        <v>[Code: 2999AC] TA; Bags sy sorting ky doran damage mily hain</v>
      </c>
      <c r="R138" s="13" t="str">
        <v>Wed,24-May-2023 ,10:27 PM</v>
      </c>
      <c r="S138" s="13" t="str">
        <v>Damaged Stock</v>
      </c>
    </row>
    <row r="139" customFormat="false" ht="15.75" hidden="false" customHeight="false" outlineLevel="0" collapsed="false">
      <c r="A139" s="13" t="str">
        <f aca="false">IFERROR(__xludf.dummyfunction("""COMPUTED_VALUE"""),"Metro DC Faisalabad")</f>
        <v>Metro DC Faisalabad</v>
      </c>
      <c r="B139" s="13" t="str">
        <f aca="false">IFERROR(__xludf.dummyfunction("""COMPUTED_VALUE"""),"cd68a607-af95-45cb-b9f4-2721224c85f8")</f>
        <v>cd68a607-af95-45cb-b9f4-2721224c85f8</v>
      </c>
      <c r="C139" s="13" t="str">
        <f aca="false">IFERROR(__xludf.dummyfunction("""COMPUTED_VALUE"""),"Coca Cola plastic 1.5L")</f>
        <v>Coca Cola plastic 1.5L</v>
      </c>
      <c r="D139" s="13" t="str">
        <f aca="false">IFERROR(__xludf.dummyfunction("""COMPUTED_VALUE"""),"Coca Cola")</f>
        <v>Coca Cola</v>
      </c>
      <c r="E139" s="13" t="str">
        <f aca="false">IFERROR(__xludf.dummyfunction("""COMPUTED_VALUE"""),"Beverages")</f>
        <v>Beverages</v>
      </c>
      <c r="F139" s="11" t="n">
        <f aca="false">IFERROR(__xludf.dummyfunction("""COMPUTED_VALUE"""),45072)</f>
        <v>45072</v>
      </c>
      <c r="G139" s="12" t="n">
        <f aca="false">IFERROR(__xludf.dummyfunction("""COMPUTED_VALUE"""),0.472055509259098)</f>
        <v>0.4720555093</v>
      </c>
      <c r="H139" s="13" t="str">
        <f aca="false">IFERROR(__xludf.dummyfunction("""COMPUTED_VALUE"""),"damaged stock")</f>
        <v>damaged stock</v>
      </c>
      <c r="I139" s="13" t="n">
        <f aca="false">IFERROR(__xludf.dummyfunction("""COMPUTED_VALUE"""),3)</f>
        <v>3</v>
      </c>
      <c r="J139" s="13" t="n">
        <f aca="false">IFERROR(__xludf.dummyfunction("""COMPUTED_VALUE"""),755)</f>
        <v>755</v>
      </c>
      <c r="K139" s="13" t="n">
        <f aca="false">IFERROR(__xludf.dummyfunction("""COMPUTED_VALUE"""),2265)</f>
        <v>2265</v>
      </c>
      <c r="L139" s="13" t="str">
        <f aca="false">IFERROR(__xludf.dummyfunction("""COMPUTED_VALUE"""),"[Code: 34455F] TA: found in loose condition and emply botels(Company end issue)")</f>
        <v>[Code: 34455F] TA: found in loose condition and emply botels(Company end issue)</v>
      </c>
      <c r="M139" s="13" t="str">
        <f aca="false">IFERROR(__xludf.dummyfunction("""COMPUTED_VALUE"""),"34455F")</f>
        <v>34455F</v>
      </c>
      <c r="N139" s="13"/>
      <c r="O139" s="13" t="str">
        <f aca="false">IFERROR(__xludf.dummyfunction("""COMPUTED_VALUE"""),"taufeeq.akhtar@tajir-app.com")</f>
        <v>taufeeq.akhtar@tajir-app.com</v>
      </c>
      <c r="P139" s="13" t="str">
        <f aca="false">IFERROR(__xludf.dummyfunction("""COMPUTED_VALUE"""),"Taufeeq Akhtar ")</f>
        <v>Taufeeq Akhtar </v>
      </c>
      <c r="Q139" s="13" t="str">
        <f aca="false">IFERROR(__xludf.dummyfunction("""COMPUTED_VALUE"""),"[Code: 34455F] TA: found in loose condition and emply botels(Company end issue)")</f>
        <v>[Code: 34455F] TA: found in loose condition and emply botels(Company end issue)</v>
      </c>
      <c r="R139" s="13" t="str">
        <v>Fri,26-May-2023 ,11:19 AM</v>
      </c>
      <c r="S139" s="13" t="str">
        <v>Damaged Stock</v>
      </c>
    </row>
    <row r="140" customFormat="false" ht="15.75" hidden="false" customHeight="false" outlineLevel="0" collapsed="false">
      <c r="A140" s="13" t="str">
        <f aca="false">IFERROR(__xludf.dummyfunction("""COMPUTED_VALUE"""),"Metro DC Faisalabad")</f>
        <v>Metro DC Faisalabad</v>
      </c>
      <c r="B140" s="13" t="str">
        <f aca="false">IFERROR(__xludf.dummyfunction("""COMPUTED_VALUE"""),"cd68a607-af95-45cb-b9f4-2721224c85f8")</f>
        <v>cd68a607-af95-45cb-b9f4-2721224c85f8</v>
      </c>
      <c r="C140" s="13" t="str">
        <f aca="false">IFERROR(__xludf.dummyfunction("""COMPUTED_VALUE"""),"Coca Cola plastic 1.5L")</f>
        <v>Coca Cola plastic 1.5L</v>
      </c>
      <c r="D140" s="13" t="str">
        <f aca="false">IFERROR(__xludf.dummyfunction("""COMPUTED_VALUE"""),"Coca Cola")</f>
        <v>Coca Cola</v>
      </c>
      <c r="E140" s="13" t="str">
        <f aca="false">IFERROR(__xludf.dummyfunction("""COMPUTED_VALUE"""),"Beverages")</f>
        <v>Beverages</v>
      </c>
      <c r="F140" s="11" t="n">
        <f aca="false">IFERROR(__xludf.dummyfunction("""COMPUTED_VALUE"""),45072)</f>
        <v>45072</v>
      </c>
      <c r="G140" s="12" t="n">
        <f aca="false">IFERROR(__xludf.dummyfunction("""COMPUTED_VALUE"""),0.777374710647636)</f>
        <v>0.7773747106</v>
      </c>
      <c r="H140" s="13" t="str">
        <f aca="false">IFERROR(__xludf.dummyfunction("""COMPUTED_VALUE"""),"damaged stock")</f>
        <v>damaged stock</v>
      </c>
      <c r="I140" s="13" t="n">
        <f aca="false">IFERROR(__xludf.dummyfunction("""COMPUTED_VALUE"""),2)</f>
        <v>2</v>
      </c>
      <c r="J140" s="13" t="n">
        <f aca="false">IFERROR(__xludf.dummyfunction("""COMPUTED_VALUE"""),755)</f>
        <v>755</v>
      </c>
      <c r="K140" s="13" t="n">
        <f aca="false">IFERROR(__xludf.dummyfunction("""COMPUTED_VALUE"""),1510)</f>
        <v>1510</v>
      </c>
      <c r="L140" s="13" t="str">
        <f aca="false">IFERROR(__xludf.dummyfunction("""COMPUTED_VALUE"""),"[Code: 2BEGLQ] TA: found in loose condition and empty botels(Company end issue)")</f>
        <v>[Code: 2BEGLQ] TA: found in loose condition and empty botels(Company end issue)</v>
      </c>
      <c r="M140" s="13" t="str">
        <f aca="false">IFERROR(__xludf.dummyfunction("""COMPUTED_VALUE"""),"2BEGLQ")</f>
        <v>2BEGLQ</v>
      </c>
      <c r="N140" s="13"/>
      <c r="O140" s="13" t="str">
        <f aca="false">IFERROR(__xludf.dummyfunction("""COMPUTED_VALUE"""),"taufeeq.akhtar@tajir-app.com")</f>
        <v>taufeeq.akhtar@tajir-app.com</v>
      </c>
      <c r="P140" s="13" t="str">
        <f aca="false">IFERROR(__xludf.dummyfunction("""COMPUTED_VALUE"""),"Taufeeq Akhtar ")</f>
        <v>Taufeeq Akhtar </v>
      </c>
      <c r="Q140" s="13" t="str">
        <f aca="false">IFERROR(__xludf.dummyfunction("""COMPUTED_VALUE"""),"[Code: 2BEGLQ] TA: found in loose condition and empty botels(Company end issue)")</f>
        <v>[Code: 2BEGLQ] TA: found in loose condition and empty botels(Company end issue)</v>
      </c>
      <c r="R140" s="13" t="str">
        <v>Fri,26-May-2023 ,06:39 PM</v>
      </c>
      <c r="S140" s="13" t="str">
        <v>Damaged Stock</v>
      </c>
    </row>
    <row r="141" customFormat="false" ht="15.75" hidden="false" customHeight="false" outlineLevel="0" collapsed="false">
      <c r="A141" s="13" t="str">
        <f aca="false">IFERROR(__xludf.dummyfunction("""COMPUTED_VALUE"""),"Metro DC Faisalabad")</f>
        <v>Metro DC Faisalabad</v>
      </c>
      <c r="B141" s="13" t="str">
        <f aca="false">IFERROR(__xludf.dummyfunction("""COMPUTED_VALUE"""),"0b39f0e9-812a-42f4-a3d7-8dbb4a2038b0")</f>
        <v>0b39f0e9-812a-42f4-a3d7-8dbb4a2038b0</v>
      </c>
      <c r="C141" s="13" t="str">
        <f aca="false">IFERROR(__xludf.dummyfunction("""COMPUTED_VALUE"""),"Kashmir Cooking Oil 1L x5 Polybags")</f>
        <v>Kashmir Cooking Oil 1L x5 Polybags</v>
      </c>
      <c r="D141" s="13" t="str">
        <f aca="false">IFERROR(__xludf.dummyfunction("""COMPUTED_VALUE"""),"Kashmir")</f>
        <v>Kashmir</v>
      </c>
      <c r="E141" s="13" t="str">
        <f aca="false">IFERROR(__xludf.dummyfunction("""COMPUTED_VALUE"""),"Ghee and Oil")</f>
        <v>Ghee and Oil</v>
      </c>
      <c r="F141" s="11" t="n">
        <f aca="false">IFERROR(__xludf.dummyfunction("""COMPUTED_VALUE"""),45073)</f>
        <v>45073</v>
      </c>
      <c r="G141" s="12" t="n">
        <f aca="false">IFERROR(__xludf.dummyfunction("""COMPUTED_VALUE"""),0.477019675925942)</f>
        <v>0.4770196759</v>
      </c>
      <c r="H141" s="13" t="str">
        <f aca="false">IFERROR(__xludf.dummyfunction("""COMPUTED_VALUE"""),"damaged stock")</f>
        <v>damaged stock</v>
      </c>
      <c r="I141" s="13" t="n">
        <f aca="false">IFERROR(__xludf.dummyfunction("""COMPUTED_VALUE"""),1)</f>
        <v>1</v>
      </c>
      <c r="J141" s="13" t="n">
        <f aca="false">IFERROR(__xludf.dummyfunction("""COMPUTED_VALUE"""),3214.33)</f>
        <v>3214.33</v>
      </c>
      <c r="K141" s="13" t="n">
        <f aca="false">IFERROR(__xludf.dummyfunction("""COMPUTED_VALUE"""),3214.33)</f>
        <v>3214.33</v>
      </c>
      <c r="L141" s="13" t="str">
        <f aca="false">IFERROR(__xludf.dummyfunction("""COMPUTED_VALUE"""),"[Code: 226BDF] 01 unit found damaged (1 pouch leak in ctn)")</f>
        <v>[Code: 226BDF] 01 unit found damaged (1 pouch leak in ctn)</v>
      </c>
      <c r="M141" s="13" t="str">
        <f aca="false">IFERROR(__xludf.dummyfunction("""COMPUTED_VALUE"""),"226BDF")</f>
        <v>226BDF</v>
      </c>
      <c r="N141" s="13"/>
      <c r="O141" s="13" t="str">
        <f aca="false">IFERROR(__xludf.dummyfunction("""COMPUTED_VALUE"""),"ali.raza@tajir-app.com")</f>
        <v>ali.raza@tajir-app.com</v>
      </c>
      <c r="P141" s="13" t="str">
        <f aca="false">IFERROR(__xludf.dummyfunction("""COMPUTED_VALUE"""),"Ali Raza ")</f>
        <v>Ali Raza </v>
      </c>
      <c r="Q141" s="13" t="str">
        <f aca="false">IFERROR(__xludf.dummyfunction("""COMPUTED_VALUE"""),"[Code: 226BDF] 01 unit found damaged (1 pouch leak in ctn)")</f>
        <v>[Code: 226BDF] 01 unit found damaged (1 pouch leak in ctn)</v>
      </c>
      <c r="R141" s="13" t="str">
        <v>Sat,27-May-2023 ,11:26 AM</v>
      </c>
      <c r="S141" s="13" t="str">
        <v>Damaged Stock</v>
      </c>
    </row>
    <row r="142" customFormat="false" ht="15.75" hidden="false" customHeight="false" outlineLevel="0" collapsed="false">
      <c r="A142" s="13" t="str">
        <f aca="false">IFERROR(__xludf.dummyfunction("""COMPUTED_VALUE"""),"Metro DC Faisalabad")</f>
        <v>Metro DC Faisalabad</v>
      </c>
      <c r="B142" s="13" t="str">
        <f aca="false">IFERROR(__xludf.dummyfunction("""COMPUTED_VALUE"""),"978a88b5-e0d1-4d9d-b7a1-90921ab8d4f0")</f>
        <v>978a88b5-e0d1-4d9d-b7a1-90921ab8d4f0</v>
      </c>
      <c r="C142" s="13" t="str">
        <f aca="false">IFERROR(__xludf.dummyfunction("""COMPUTED_VALUE"""),"Sherdil Daal Mash Wash 5kg")</f>
        <v>Sherdil Daal Mash Wash 5kg</v>
      </c>
      <c r="D142" s="13" t="str">
        <f aca="false">IFERROR(__xludf.dummyfunction("""COMPUTED_VALUE"""),"Sherdil")</f>
        <v>Sherdil</v>
      </c>
      <c r="E142" s="13" t="str">
        <f aca="false">IFERROR(__xludf.dummyfunction("""COMPUTED_VALUE"""),"Pulses")</f>
        <v>Pulses</v>
      </c>
      <c r="F142" s="11" t="n">
        <f aca="false">IFERROR(__xludf.dummyfunction("""COMPUTED_VALUE"""),45073)</f>
        <v>45073</v>
      </c>
      <c r="G142" s="12" t="n">
        <f aca="false">IFERROR(__xludf.dummyfunction("""COMPUTED_VALUE"""),0.517900023147297)</f>
        <v>0.5179000231</v>
      </c>
      <c r="H142" s="13" t="str">
        <f aca="false">IFERROR(__xludf.dummyfunction("""COMPUTED_VALUE"""),"damaged stock")</f>
        <v>damaged stock</v>
      </c>
      <c r="I142" s="13" t="n">
        <f aca="false">IFERROR(__xludf.dummyfunction("""COMPUTED_VALUE"""),1)</f>
        <v>1</v>
      </c>
      <c r="J142" s="13" t="n">
        <f aca="false">IFERROR(__xludf.dummyfunction("""COMPUTED_VALUE"""),2500)</f>
        <v>2500</v>
      </c>
      <c r="K142" s="13" t="n">
        <f aca="false">IFERROR(__xludf.dummyfunction("""COMPUTED_VALUE"""),2500)</f>
        <v>2500</v>
      </c>
      <c r="L142" s="13" t="str">
        <f aca="false">IFERROR(__xludf.dummyfunction("""COMPUTED_VALUE"""),"[Code: 333357] 01 unit found damaged due to fungus")</f>
        <v>[Code: 333357] 01 unit found damaged due to fungus</v>
      </c>
      <c r="M142" s="13" t="str">
        <f aca="false">IFERROR(__xludf.dummyfunction("""COMPUTED_VALUE"""),"333357")</f>
        <v>333357</v>
      </c>
      <c r="N142" s="13"/>
      <c r="O142" s="13" t="str">
        <f aca="false">IFERROR(__xludf.dummyfunction("""COMPUTED_VALUE"""),"ali.raza@tajir-app.com")</f>
        <v>ali.raza@tajir-app.com</v>
      </c>
      <c r="P142" s="13" t="str">
        <f aca="false">IFERROR(__xludf.dummyfunction("""COMPUTED_VALUE"""),"Ali Raza ")</f>
        <v>Ali Raza </v>
      </c>
      <c r="Q142" s="13" t="str">
        <f aca="false">IFERROR(__xludf.dummyfunction("""COMPUTED_VALUE"""),"[Code: 333357] 01 unit found damaged due to fungus")</f>
        <v>[Code: 333357] 01 unit found damaged due to fungus</v>
      </c>
      <c r="R142" s="13" t="str">
        <v>Sat,27-May-2023 ,12:25 PM</v>
      </c>
      <c r="S142" s="13" t="str">
        <v>Damaged Stock</v>
      </c>
    </row>
    <row r="143" customFormat="false" ht="15.75" hidden="false" customHeight="false" outlineLevel="0" collapsed="false">
      <c r="A143" s="13" t="str">
        <f aca="false">IFERROR(__xludf.dummyfunction("""COMPUTED_VALUE"""),"Metro DC Faisalabad")</f>
        <v>Metro DC Faisalabad</v>
      </c>
      <c r="B143" s="13" t="str">
        <f aca="false">IFERROR(__xludf.dummyfunction("""COMPUTED_VALUE"""),"eb5c71cb-609c-4f22-a442-ffab083be8ac")</f>
        <v>eb5c71cb-609c-4f22-a442-ffab083be8ac</v>
      </c>
      <c r="C143" s="13" t="str">
        <f aca="false">IFERROR(__xludf.dummyfunction("""COMPUTED_VALUE"""),"Sherdil Masar Desi 1kg")</f>
        <v>Sherdil Masar Desi 1kg</v>
      </c>
      <c r="D143" s="13" t="str">
        <f aca="false">IFERROR(__xludf.dummyfunction("""COMPUTED_VALUE"""),"Sherdil")</f>
        <v>Sherdil</v>
      </c>
      <c r="E143" s="13" t="str">
        <f aca="false">IFERROR(__xludf.dummyfunction("""COMPUTED_VALUE"""),"Pulses")</f>
        <v>Pulses</v>
      </c>
      <c r="F143" s="11" t="n">
        <f aca="false">IFERROR(__xludf.dummyfunction("""COMPUTED_VALUE"""),45073)</f>
        <v>45073</v>
      </c>
      <c r="G143" s="12" t="n">
        <f aca="false">IFERROR(__xludf.dummyfunction("""COMPUTED_VALUE"""),0.519871759259971)</f>
        <v>0.5198717593</v>
      </c>
      <c r="H143" s="13" t="str">
        <f aca="false">IFERROR(__xludf.dummyfunction("""COMPUTED_VALUE"""),"damaged stock")</f>
        <v>damaged stock</v>
      </c>
      <c r="I143" s="13" t="n">
        <f aca="false">IFERROR(__xludf.dummyfunction("""COMPUTED_VALUE"""),1)</f>
        <v>1</v>
      </c>
      <c r="J143" s="13" t="n">
        <f aca="false">IFERROR(__xludf.dummyfunction("""COMPUTED_VALUE"""),569)</f>
        <v>569</v>
      </c>
      <c r="K143" s="13" t="n">
        <f aca="false">IFERROR(__xludf.dummyfunction("""COMPUTED_VALUE"""),569)</f>
        <v>569</v>
      </c>
      <c r="L143" s="13" t="str">
        <f aca="false">IFERROR(__xludf.dummyfunction("""COMPUTED_VALUE"""),"[Code: 3448CJ] 01 unit found damaged due to fungus ")</f>
        <v>[Code: 3448CJ] 01 unit found damaged due to fungus </v>
      </c>
      <c r="M143" s="13" t="str">
        <f aca="false">IFERROR(__xludf.dummyfunction("""COMPUTED_VALUE"""),"3448CJ")</f>
        <v>3448CJ</v>
      </c>
      <c r="N143" s="13"/>
      <c r="O143" s="13" t="str">
        <f aca="false">IFERROR(__xludf.dummyfunction("""COMPUTED_VALUE"""),"ali.raza@tajir-app.com")</f>
        <v>ali.raza@tajir-app.com</v>
      </c>
      <c r="P143" s="13" t="str">
        <f aca="false">IFERROR(__xludf.dummyfunction("""COMPUTED_VALUE"""),"Ali Raza ")</f>
        <v>Ali Raza </v>
      </c>
      <c r="Q143" s="13" t="str">
        <f aca="false">IFERROR(__xludf.dummyfunction("""COMPUTED_VALUE"""),"[Code: 3448CJ] 01 unit found damaged due to fungus ")</f>
        <v>[Code: 3448CJ] 01 unit found damaged due to fungus </v>
      </c>
      <c r="R143" s="13" t="str">
        <v>Sat,27-May-2023 ,12:28 PM</v>
      </c>
      <c r="S143" s="13" t="str">
        <v>Damaged Stock</v>
      </c>
    </row>
    <row r="144" customFormat="false" ht="15.75" hidden="false" customHeight="false" outlineLevel="0" collapsed="false">
      <c r="A144" s="13" t="str">
        <f aca="false">IFERROR(__xludf.dummyfunction("""COMPUTED_VALUE"""),"Metro DC Faisalabad")</f>
        <v>Metro DC Faisalabad</v>
      </c>
      <c r="B144" s="13" t="str">
        <f aca="false">IFERROR(__xludf.dummyfunction("""COMPUTED_VALUE"""),"c2dbed6e-d95e-4c43-b456-e74524aeabd0")</f>
        <v>c2dbed6e-d95e-4c43-b456-e74524aeabd0</v>
      </c>
      <c r="C144" s="13" t="str">
        <f aca="false">IFERROR(__xludf.dummyfunction("""COMPUTED_VALUE"""),"Sherdil White Chana Bareek 500g")</f>
        <v>Sherdil White Chana Bareek 500g</v>
      </c>
      <c r="D144" s="13" t="str">
        <f aca="false">IFERROR(__xludf.dummyfunction("""COMPUTED_VALUE"""),"Sherdil")</f>
        <v>Sherdil</v>
      </c>
      <c r="E144" s="13" t="str">
        <f aca="false">IFERROR(__xludf.dummyfunction("""COMPUTED_VALUE"""),"Pulses")</f>
        <v>Pulses</v>
      </c>
      <c r="F144" s="11" t="n">
        <f aca="false">IFERROR(__xludf.dummyfunction("""COMPUTED_VALUE"""),45073)</f>
        <v>45073</v>
      </c>
      <c r="G144" s="12" t="n">
        <f aca="false">IFERROR(__xludf.dummyfunction("""COMPUTED_VALUE"""),0.520312118057216)</f>
        <v>0.5203121181</v>
      </c>
      <c r="H144" s="13" t="str">
        <f aca="false">IFERROR(__xludf.dummyfunction("""COMPUTED_VALUE"""),"damaged stock")</f>
        <v>damaged stock</v>
      </c>
      <c r="I144" s="13" t="n">
        <f aca="false">IFERROR(__xludf.dummyfunction("""COMPUTED_VALUE"""),1)</f>
        <v>1</v>
      </c>
      <c r="J144" s="13" t="n">
        <f aca="false">IFERROR(__xludf.dummyfunction("""COMPUTED_VALUE"""),195)</f>
        <v>195</v>
      </c>
      <c r="K144" s="13" t="n">
        <f aca="false">IFERROR(__xludf.dummyfunction("""COMPUTED_VALUE"""),195)</f>
        <v>195</v>
      </c>
      <c r="L144" s="13" t="str">
        <f aca="false">IFERROR(__xludf.dummyfunction("""COMPUTED_VALUE"""),"[Code: 44556H] 01 unit found damaged due to fungus")</f>
        <v>[Code: 44556H] 01 unit found damaged due to fungus</v>
      </c>
      <c r="M144" s="13" t="str">
        <f aca="false">IFERROR(__xludf.dummyfunction("""COMPUTED_VALUE"""),"44556H")</f>
        <v>44556H</v>
      </c>
      <c r="N144" s="13"/>
      <c r="O144" s="13" t="str">
        <f aca="false">IFERROR(__xludf.dummyfunction("""COMPUTED_VALUE"""),"ali.raza@tajir-app.com")</f>
        <v>ali.raza@tajir-app.com</v>
      </c>
      <c r="P144" s="13" t="str">
        <f aca="false">IFERROR(__xludf.dummyfunction("""COMPUTED_VALUE"""),"Ali Raza ")</f>
        <v>Ali Raza </v>
      </c>
      <c r="Q144" s="13" t="str">
        <f aca="false">IFERROR(__xludf.dummyfunction("""COMPUTED_VALUE"""),"[Code: 44556H] 01 unit found damaged due to fungus")</f>
        <v>[Code: 44556H] 01 unit found damaged due to fungus</v>
      </c>
      <c r="R144" s="13" t="str">
        <v>Sat,27-May-2023 ,12:29 PM</v>
      </c>
      <c r="S144" s="13" t="str">
        <v>Damaged Stock</v>
      </c>
    </row>
    <row r="145" customFormat="false" ht="15.75" hidden="false" customHeight="false" outlineLevel="0" collapsed="false">
      <c r="A145" s="13" t="str">
        <f aca="false">IFERROR(__xludf.dummyfunction("""COMPUTED_VALUE"""),"Metro DC Faisalabad")</f>
        <v>Metro DC Faisalabad</v>
      </c>
      <c r="B145" s="13" t="str">
        <f aca="false">IFERROR(__xludf.dummyfunction("""COMPUTED_VALUE"""),"10f5c620-05d2-4bff-bf22-3c02b5a12fc2")</f>
        <v>10f5c620-05d2-4bff-bf22-3c02b5a12fc2</v>
      </c>
      <c r="C145" s="13" t="str">
        <f aca="false">IFERROR(__xludf.dummyfunction("""COMPUTED_VALUE"""),"Sherdil White Chana Bareek 5kg")</f>
        <v>Sherdil White Chana Bareek 5kg</v>
      </c>
      <c r="D145" s="13" t="str">
        <f aca="false">IFERROR(__xludf.dummyfunction("""COMPUTED_VALUE"""),"Sherdil")</f>
        <v>Sherdil</v>
      </c>
      <c r="E145" s="13" t="str">
        <f aca="false">IFERROR(__xludf.dummyfunction("""COMPUTED_VALUE"""),"Pulses")</f>
        <v>Pulses</v>
      </c>
      <c r="F145" s="11" t="n">
        <f aca="false">IFERROR(__xludf.dummyfunction("""COMPUTED_VALUE"""),45073)</f>
        <v>45073</v>
      </c>
      <c r="G145" s="12" t="n">
        <f aca="false">IFERROR(__xludf.dummyfunction("""COMPUTED_VALUE"""),0.520634722223241)</f>
        <v>0.5206347222</v>
      </c>
      <c r="H145" s="13" t="str">
        <f aca="false">IFERROR(__xludf.dummyfunction("""COMPUTED_VALUE"""),"damaged stock")</f>
        <v>damaged stock</v>
      </c>
      <c r="I145" s="13" t="n">
        <f aca="false">IFERROR(__xludf.dummyfunction("""COMPUTED_VALUE"""),2)</f>
        <v>2</v>
      </c>
      <c r="J145" s="13" t="n">
        <f aca="false">IFERROR(__xludf.dummyfunction("""COMPUTED_VALUE"""),1800)</f>
        <v>1800</v>
      </c>
      <c r="K145" s="13" t="n">
        <f aca="false">IFERROR(__xludf.dummyfunction("""COMPUTED_VALUE"""),3600)</f>
        <v>3600</v>
      </c>
      <c r="L145" s="13" t="str">
        <f aca="false">IFERROR(__xludf.dummyfunction("""COMPUTED_VALUE"""),"[Code: 223356] 02 units found damaged due to fungus")</f>
        <v>[Code: 223356] 02 units found damaged due to fungus</v>
      </c>
      <c r="M145" s="13" t="str">
        <f aca="false">IFERROR(__xludf.dummyfunction("""COMPUTED_VALUE"""),"223356")</f>
        <v>223356</v>
      </c>
      <c r="N145" s="13"/>
      <c r="O145" s="13" t="str">
        <f aca="false">IFERROR(__xludf.dummyfunction("""COMPUTED_VALUE"""),"ali.raza@tajir-app.com")</f>
        <v>ali.raza@tajir-app.com</v>
      </c>
      <c r="P145" s="13" t="str">
        <f aca="false">IFERROR(__xludf.dummyfunction("""COMPUTED_VALUE"""),"Ali Raza ")</f>
        <v>Ali Raza </v>
      </c>
      <c r="Q145" s="13" t="str">
        <f aca="false">IFERROR(__xludf.dummyfunction("""COMPUTED_VALUE"""),"[Code: 223356] 02 units found damaged due to fungus")</f>
        <v>[Code: 223356] 02 units found damaged due to fungus</v>
      </c>
      <c r="R145" s="13" t="str">
        <v>Sat,27-May-2023 ,12:29 PM</v>
      </c>
      <c r="S145" s="13" t="str">
        <v>Damaged Stock</v>
      </c>
    </row>
    <row r="146" customFormat="false" ht="15.75" hidden="false" customHeight="false" outlineLevel="0" collapsed="false">
      <c r="A146" s="13" t="str">
        <f aca="false">IFERROR(__xludf.dummyfunction("""COMPUTED_VALUE"""),"Metro DC Faisalabad")</f>
        <v>Metro DC Faisalabad</v>
      </c>
      <c r="B146" s="13" t="str">
        <f aca="false">IFERROR(__xludf.dummyfunction("""COMPUTED_VALUE"""),"0ec2fbab-4de7-42eb-baaa-9d579f1547ab")</f>
        <v>0ec2fbab-4de7-42eb-baaa-9d579f1547ab</v>
      </c>
      <c r="C146" s="13" t="str">
        <f aca="false">IFERROR(__xludf.dummyfunction("""COMPUTED_VALUE"""),"Swadi Dharra Mirch 2kg")</f>
        <v>Swadi Dharra Mirch 2kg</v>
      </c>
      <c r="D146" s="13" t="str">
        <f aca="false">IFERROR(__xludf.dummyfunction("""COMPUTED_VALUE"""),"Swadi")</f>
        <v>Swadi</v>
      </c>
      <c r="E146" s="13" t="str">
        <f aca="false">IFERROR(__xludf.dummyfunction("""COMPUTED_VALUE"""),"Spices")</f>
        <v>Spices</v>
      </c>
      <c r="F146" s="11" t="n">
        <f aca="false">IFERROR(__xludf.dummyfunction("""COMPUTED_VALUE"""),45073)</f>
        <v>45073</v>
      </c>
      <c r="G146" s="12" t="n">
        <f aca="false">IFERROR(__xludf.dummyfunction("""COMPUTED_VALUE"""),0.959635590277638)</f>
        <v>0.9596355903</v>
      </c>
      <c r="H146" s="13" t="str">
        <f aca="false">IFERROR(__xludf.dummyfunction("""COMPUTED_VALUE"""),"damaged stock")</f>
        <v>damaged stock</v>
      </c>
      <c r="I146" s="13" t="n">
        <f aca="false">IFERROR(__xludf.dummyfunction("""COMPUTED_VALUE"""),2)</f>
        <v>2</v>
      </c>
      <c r="J146" s="13" t="n">
        <f aca="false">IFERROR(__xludf.dummyfunction("""COMPUTED_VALUE"""),1200)</f>
        <v>1200</v>
      </c>
      <c r="K146" s="13" t="n">
        <f aca="false">IFERROR(__xludf.dummyfunction("""COMPUTED_VALUE"""),2400)</f>
        <v>2400</v>
      </c>
      <c r="L146" s="13" t="str">
        <f aca="false">IFERROR(__xludf.dummyfunction("""COMPUTED_VALUE"""),"[Code: 566GHH] TA: quality bari kharab hay. ulli lagi hui hay.")</f>
        <v>[Code: 566GHH] TA: quality bari kharab hay. ulli lagi hui hay.</v>
      </c>
      <c r="M146" s="13" t="str">
        <f aca="false">IFERROR(__xludf.dummyfunction("""COMPUTED_VALUE"""),"566GHH")</f>
        <v>566GHH</v>
      </c>
      <c r="N146" s="13"/>
      <c r="O146" s="13" t="str">
        <f aca="false">IFERROR(__xludf.dummyfunction("""COMPUTED_VALUE"""),"taufeeq.akhtar@tajir-app.com")</f>
        <v>taufeeq.akhtar@tajir-app.com</v>
      </c>
      <c r="P146" s="13" t="str">
        <f aca="false">IFERROR(__xludf.dummyfunction("""COMPUTED_VALUE"""),"Taufeeq Akhtar ")</f>
        <v>Taufeeq Akhtar </v>
      </c>
      <c r="Q146" s="13" t="str">
        <f aca="false">IFERROR(__xludf.dummyfunction("""COMPUTED_VALUE"""),"[Code: 566GHH] TA: quality bari kharab hay. ulli lagi hui hay.")</f>
        <v>[Code: 566GHH] TA: quality bari kharab hay. ulli lagi hui hay.</v>
      </c>
      <c r="R146" s="13" t="str">
        <v>Sat,27-May-2023 ,11:01 PM</v>
      </c>
      <c r="S146" s="13" t="str">
        <v>Damaged Stock</v>
      </c>
    </row>
    <row r="147" customFormat="false" ht="15.75" hidden="false" customHeight="false" outlineLevel="0" collapsed="false">
      <c r="A147" s="13" t="str">
        <f aca="false">IFERROR(__xludf.dummyfunction("""COMPUTED_VALUE"""),"Metro DC Faisalabad")</f>
        <v>Metro DC Faisalabad</v>
      </c>
      <c r="B147" s="13" t="str">
        <f aca="false">IFERROR(__xludf.dummyfunction("""COMPUTED_VALUE"""),"9c395894-35c2-4217-9eff-b0a22e04c2d1")</f>
        <v>9c395894-35c2-4217-9eff-b0a22e04c2d1</v>
      </c>
      <c r="C147" s="13" t="str">
        <f aca="false">IFERROR(__xludf.dummyfunction("""COMPUTED_VALUE"""),"Coca Cola plastic 2.25L (Jumbo)")</f>
        <v>Coca Cola plastic 2.25L (Jumbo)</v>
      </c>
      <c r="D147" s="13" t="str">
        <f aca="false">IFERROR(__xludf.dummyfunction("""COMPUTED_VALUE"""),"Coca Cola")</f>
        <v>Coca Cola</v>
      </c>
      <c r="E147" s="13" t="str">
        <f aca="false">IFERROR(__xludf.dummyfunction("""COMPUTED_VALUE"""),"Beverages")</f>
        <v>Beverages</v>
      </c>
      <c r="F147" s="11" t="n">
        <f aca="false">IFERROR(__xludf.dummyfunction("""COMPUTED_VALUE"""),45074)</f>
        <v>45074</v>
      </c>
      <c r="G147" s="12" t="n">
        <f aca="false">IFERROR(__xludf.dummyfunction("""COMPUTED_VALUE"""),0.830230046294879)</f>
        <v>0.8302300463</v>
      </c>
      <c r="H147" s="13" t="str">
        <f aca="false">IFERROR(__xludf.dummyfunction("""COMPUTED_VALUE"""),"damaged stock")</f>
        <v>damaged stock</v>
      </c>
      <c r="I147" s="13" t="n">
        <f aca="false">IFERROR(__xludf.dummyfunction("""COMPUTED_VALUE"""),1)</f>
        <v>1</v>
      </c>
      <c r="J147" s="13" t="n">
        <f aca="false">IFERROR(__xludf.dummyfunction("""COMPUTED_VALUE"""),1155)</f>
        <v>1155</v>
      </c>
      <c r="K147" s="13" t="n">
        <f aca="false">IFERROR(__xludf.dummyfunction("""COMPUTED_VALUE"""),1155)</f>
        <v>1155</v>
      </c>
      <c r="L147" s="13" t="str">
        <f aca="false">IFERROR(__xludf.dummyfunction("""COMPUTED_VALUE"""),"[Code: ABDEHH] TA; 1unit Damage found During loading")</f>
        <v>[Code: ABDEHH] TA; 1unit Damage found During loading</v>
      </c>
      <c r="M147" s="13" t="str">
        <f aca="false">IFERROR(__xludf.dummyfunction("""COMPUTED_VALUE"""),"ABDEHH")</f>
        <v>ABDEHH</v>
      </c>
      <c r="N147" s="13"/>
      <c r="O147" s="13" t="str">
        <f aca="false">IFERROR(__xludf.dummyfunction("""COMPUTED_VALUE"""),"taufeeq.akhtar@tajir-app.com")</f>
        <v>taufeeq.akhtar@tajir-app.com</v>
      </c>
      <c r="P147" s="13" t="str">
        <f aca="false">IFERROR(__xludf.dummyfunction("""COMPUTED_VALUE"""),"Taufeeq Akhtar ")</f>
        <v>Taufeeq Akhtar </v>
      </c>
      <c r="Q147" s="13" t="str">
        <f aca="false">IFERROR(__xludf.dummyfunction("""COMPUTED_VALUE"""),"[Code: ABDEHH] TA; 1unit Damage found During loading")</f>
        <v>[Code: ABDEHH] TA; 1unit Damage found During loading</v>
      </c>
      <c r="R147" s="13" t="str">
        <v>Sun,28-May-2023 ,07:55 PM</v>
      </c>
      <c r="S147" s="13" t="str">
        <v>Damaged Stock</v>
      </c>
    </row>
    <row r="148" customFormat="false" ht="15.75" hidden="false" customHeight="false" outlineLevel="0" collapsed="false">
      <c r="A148" s="13" t="str">
        <f aca="false">IFERROR(__xludf.dummyfunction("""COMPUTED_VALUE"""),"Metro DC Faisalabad")</f>
        <v>Metro DC Faisalabad</v>
      </c>
      <c r="B148" s="13" t="str">
        <f aca="false">IFERROR(__xludf.dummyfunction("""COMPUTED_VALUE"""),"52258fdc-8b0c-4343-9884-310c160a213d")</f>
        <v>52258fdc-8b0c-4343-9884-310c160a213d</v>
      </c>
      <c r="C148" s="13" t="str">
        <f aca="false">IFERROR(__xludf.dummyfunction("""COMPUTED_VALUE"""),"Sunridge Fortified Chakki Atta 5kg")</f>
        <v>Sunridge Fortified Chakki Atta 5kg</v>
      </c>
      <c r="D148" s="13" t="str">
        <f aca="false">IFERROR(__xludf.dummyfunction("""COMPUTED_VALUE"""),"Sunridge")</f>
        <v>Sunridge</v>
      </c>
      <c r="E148" s="13" t="str">
        <f aca="false">IFERROR(__xludf.dummyfunction("""COMPUTED_VALUE"""),"Flour")</f>
        <v>Flour</v>
      </c>
      <c r="F148" s="11" t="n">
        <f aca="false">IFERROR(__xludf.dummyfunction("""COMPUTED_VALUE"""),45074)</f>
        <v>45074</v>
      </c>
      <c r="G148" s="12" t="n">
        <f aca="false">IFERROR(__xludf.dummyfunction("""COMPUTED_VALUE"""),0.839860462964316)</f>
        <v>0.839860463</v>
      </c>
      <c r="H148" s="13" t="str">
        <f aca="false">IFERROR(__xludf.dummyfunction("""COMPUTED_VALUE"""),"damaged stock")</f>
        <v>damaged stock</v>
      </c>
      <c r="I148" s="13" t="n">
        <f aca="false">IFERROR(__xludf.dummyfunction("""COMPUTED_VALUE"""),1)</f>
        <v>1</v>
      </c>
      <c r="J148" s="13" t="n">
        <f aca="false">IFERROR(__xludf.dummyfunction("""COMPUTED_VALUE"""),790.5)</f>
        <v>790.5</v>
      </c>
      <c r="K148" s="13" t="n">
        <f aca="false">IFERROR(__xludf.dummyfunction("""COMPUTED_VALUE"""),790.5)</f>
        <v>790.5</v>
      </c>
      <c r="L148" s="13" t="str">
        <f aca="false">IFERROR(__xludf.dummyfunction("""COMPUTED_VALUE"""),"[Code: 34567B] TA; 1unit damage during sorting (rack sy lgny ki wja sy damage howa he)")</f>
        <v>[Code: 34567B] TA; 1unit damage during sorting (rack sy lgny ki wja sy damage howa he)</v>
      </c>
      <c r="M148" s="13" t="str">
        <f aca="false">IFERROR(__xludf.dummyfunction("""COMPUTED_VALUE"""),"34567B")</f>
        <v>34567B</v>
      </c>
      <c r="N148" s="13"/>
      <c r="O148" s="13" t="str">
        <f aca="false">IFERROR(__xludf.dummyfunction("""COMPUTED_VALUE"""),"taufeeq.akhtar@tajir-app.com")</f>
        <v>taufeeq.akhtar@tajir-app.com</v>
      </c>
      <c r="P148" s="13" t="str">
        <f aca="false">IFERROR(__xludf.dummyfunction("""COMPUTED_VALUE"""),"Taufeeq Akhtar ")</f>
        <v>Taufeeq Akhtar </v>
      </c>
      <c r="Q148" s="13" t="str">
        <f aca="false">IFERROR(__xludf.dummyfunction("""COMPUTED_VALUE"""),"[Code: 34567B] TA; 1unit damage during sorting (rack sy lgny ki wja sy damage howa he)")</f>
        <v>[Code: 34567B] TA; 1unit damage during sorting (rack sy lgny ki wja sy damage howa he)</v>
      </c>
      <c r="R148" s="13" t="str">
        <v>Sun,28-May-2023 ,08:09 PM</v>
      </c>
      <c r="S148" s="13" t="str">
        <v>Damaged Stock</v>
      </c>
    </row>
    <row r="149" customFormat="false" ht="15.75" hidden="false" customHeight="false" outlineLevel="0" collapsed="false">
      <c r="A149" s="13" t="str">
        <f aca="false">IFERROR(__xludf.dummyfunction("""COMPUTED_VALUE"""),"Metro DC Faisalabad")</f>
        <v>Metro DC Faisalabad</v>
      </c>
      <c r="B149" s="13" t="str">
        <f aca="false">IFERROR(__xludf.dummyfunction("""COMPUTED_VALUE"""),"44f4762f-5274-4866-a30e-c35aa97fb23e")</f>
        <v>44f4762f-5274-4866-a30e-c35aa97fb23e</v>
      </c>
      <c r="C149" s="13" t="str">
        <f aca="false">IFERROR(__xludf.dummyfunction("""COMPUTED_VALUE"""),"Bonus tristar yellow surf 250g Rs50")</f>
        <v>Bonus tristar yellow surf 250g Rs50</v>
      </c>
      <c r="D149" s="13" t="str">
        <f aca="false">IFERROR(__xludf.dummyfunction("""COMPUTED_VALUE"""),"Bonus Surf")</f>
        <v>Bonus Surf</v>
      </c>
      <c r="E149" s="13" t="str">
        <f aca="false">IFERROR(__xludf.dummyfunction("""COMPUTED_VALUE"""),"Surf, Bleach")</f>
        <v>Surf, Bleach</v>
      </c>
      <c r="F149" s="11" t="n">
        <f aca="false">IFERROR(__xludf.dummyfunction("""COMPUTED_VALUE"""),45074)</f>
        <v>45074</v>
      </c>
      <c r="G149" s="12" t="n">
        <f aca="false">IFERROR(__xludf.dummyfunction("""COMPUTED_VALUE"""),0.963978090277233)</f>
        <v>0.9639780903</v>
      </c>
      <c r="H149" s="13" t="str">
        <f aca="false">IFERROR(__xludf.dummyfunction("""COMPUTED_VALUE"""),"damaged stock")</f>
        <v>damaged stock</v>
      </c>
      <c r="I149" s="13" t="n">
        <f aca="false">IFERROR(__xludf.dummyfunction("""COMPUTED_VALUE"""),1)</f>
        <v>1</v>
      </c>
      <c r="J149" s="13" t="n">
        <f aca="false">IFERROR(__xludf.dummyfunction("""COMPUTED_VALUE"""),45.59)</f>
        <v>45.59</v>
      </c>
      <c r="K149" s="13" t="n">
        <f aca="false">IFERROR(__xludf.dummyfunction("""COMPUTED_VALUE"""),45.59)</f>
        <v>45.59</v>
      </c>
      <c r="L149" s="13" t="str">
        <f aca="false">IFERROR(__xludf.dummyfunction("""COMPUTED_VALUE"""),"[Code: 2444AD] TA; 1unit Damage found   (Bags sy damage mila he sorting ky doran)")</f>
        <v>[Code: 2444AD] TA; 1unit Damage found   (Bags sy damage mila he sorting ky doran)</v>
      </c>
      <c r="M149" s="13" t="str">
        <f aca="false">IFERROR(__xludf.dummyfunction("""COMPUTED_VALUE"""),"2444AD")</f>
        <v>2444AD</v>
      </c>
      <c r="N149" s="13"/>
      <c r="O149" s="13" t="str">
        <f aca="false">IFERROR(__xludf.dummyfunction("""COMPUTED_VALUE"""),"taufeeq.akhtar@tajir-app.com")</f>
        <v>taufeeq.akhtar@tajir-app.com</v>
      </c>
      <c r="P149" s="13" t="str">
        <f aca="false">IFERROR(__xludf.dummyfunction("""COMPUTED_VALUE"""),"Taufeeq Akhtar ")</f>
        <v>Taufeeq Akhtar </v>
      </c>
      <c r="Q149" s="13" t="str">
        <f aca="false">IFERROR(__xludf.dummyfunction("""COMPUTED_VALUE"""),"[Code: 2444AD] TA; 1unit Damage found   (Bags sy damage mila he sorting ky doran)")</f>
        <v>[Code: 2444AD] TA; 1unit Damage found   (Bags sy damage mila he sorting ky doran)</v>
      </c>
      <c r="R149" s="13" t="str">
        <v>Sun,28-May-2023 ,11:08 PM</v>
      </c>
      <c r="S149" s="13" t="str">
        <v>Damaged Stock</v>
      </c>
    </row>
    <row r="150" customFormat="false" ht="15.75" hidden="false" customHeight="false" outlineLevel="0" collapsed="false">
      <c r="A150" s="13" t="str">
        <f aca="false">IFERROR(__xludf.dummyfunction("""COMPUTED_VALUE"""),"Metro DC Faisalabad")</f>
        <v>Metro DC Faisalabad</v>
      </c>
      <c r="B150" s="13" t="str">
        <f aca="false">IFERROR(__xludf.dummyfunction("""COMPUTED_VALUE"""),"0d2f17bc-36e0-41fe-b498-89a7a8a34416")</f>
        <v>0d2f17bc-36e0-41fe-b498-89a7a8a34416</v>
      </c>
      <c r="C150" s="13" t="str">
        <f aca="false">IFERROR(__xludf.dummyfunction("""COMPUTED_VALUE"""),"Brite Surf x12 bundle 23g Rs 10")</f>
        <v>Brite Surf x12 bundle 23g Rs 10</v>
      </c>
      <c r="D150" s="13" t="str">
        <f aca="false">IFERROR(__xludf.dummyfunction("""COMPUTED_VALUE"""),"Brite Surf")</f>
        <v>Brite Surf</v>
      </c>
      <c r="E150" s="13" t="str">
        <f aca="false">IFERROR(__xludf.dummyfunction("""COMPUTED_VALUE"""),"Surf, Bleach")</f>
        <v>Surf, Bleach</v>
      </c>
      <c r="F150" s="11" t="n">
        <f aca="false">IFERROR(__xludf.dummyfunction("""COMPUTED_VALUE"""),45074)</f>
        <v>45074</v>
      </c>
      <c r="G150" s="12" t="n">
        <f aca="false">IFERROR(__xludf.dummyfunction("""COMPUTED_VALUE"""),0.964724259259955)</f>
        <v>0.9647242593</v>
      </c>
      <c r="H150" s="13" t="str">
        <f aca="false">IFERROR(__xludf.dummyfunction("""COMPUTED_VALUE"""),"damaged stock")</f>
        <v>damaged stock</v>
      </c>
      <c r="I150" s="13" t="n">
        <f aca="false">IFERROR(__xludf.dummyfunction("""COMPUTED_VALUE"""),4)</f>
        <v>4</v>
      </c>
      <c r="J150" s="13" t="n">
        <f aca="false">IFERROR(__xludf.dummyfunction("""COMPUTED_VALUE"""),107.91)</f>
        <v>107.91</v>
      </c>
      <c r="K150" s="13" t="n">
        <f aca="false">IFERROR(__xludf.dummyfunction("""COMPUTED_VALUE"""),431.64)</f>
        <v>431.64</v>
      </c>
      <c r="L150" s="13" t="str">
        <f aca="false">IFERROR(__xludf.dummyfunction("""COMPUTED_VALUE"""),"[Code: 79ACDD] TA; 4unit Damage found   (Bags sy damage mila he sorting ky doran)")</f>
        <v>[Code: 79ACDD] TA; 4unit Damage found   (Bags sy damage mila he sorting ky doran)</v>
      </c>
      <c r="M150" s="13" t="str">
        <f aca="false">IFERROR(__xludf.dummyfunction("""COMPUTED_VALUE"""),"79ACDD")</f>
        <v>79ACDD</v>
      </c>
      <c r="N150" s="13"/>
      <c r="O150" s="13" t="str">
        <f aca="false">IFERROR(__xludf.dummyfunction("""COMPUTED_VALUE"""),"taufeeq.akhtar@tajir-app.com")</f>
        <v>taufeeq.akhtar@tajir-app.com</v>
      </c>
      <c r="P150" s="13" t="str">
        <f aca="false">IFERROR(__xludf.dummyfunction("""COMPUTED_VALUE"""),"Taufeeq Akhtar ")</f>
        <v>Taufeeq Akhtar </v>
      </c>
      <c r="Q150" s="13" t="str">
        <f aca="false">IFERROR(__xludf.dummyfunction("""COMPUTED_VALUE"""),"[Code: 79ACDD] TA; 4unit Damage found   (Bags sy damage mila he sorting ky doran)")</f>
        <v>[Code: 79ACDD] TA; 4unit Damage found   (Bags sy damage mila he sorting ky doran)</v>
      </c>
      <c r="R150" s="13" t="str">
        <v>Sun,28-May-2023 ,11:09 PM</v>
      </c>
      <c r="S150" s="13" t="str">
        <v>Damaged Stock</v>
      </c>
    </row>
    <row r="151" customFormat="false" ht="15.75" hidden="false" customHeight="false" outlineLevel="0" collapsed="false">
      <c r="A151" s="13" t="str">
        <f aca="false">IFERROR(__xludf.dummyfunction("""COMPUTED_VALUE"""),"Metro DC Faisalabad")</f>
        <v>Metro DC Faisalabad</v>
      </c>
      <c r="B151" s="13" t="str">
        <f aca="false">IFERROR(__xludf.dummyfunction("""COMPUTED_VALUE"""),"d35314e0-f3f4-47fe-90aa-af65dab10e9d")</f>
        <v>d35314e0-f3f4-47fe-90aa-af65dab10e9d</v>
      </c>
      <c r="C151" s="13" t="str">
        <f aca="false">IFERROR(__xludf.dummyfunction("""COMPUTED_VALUE"""),"Bonus tristar detergent x6 bundle 48g Rs10")</f>
        <v>Bonus tristar detergent x6 bundle 48g Rs10</v>
      </c>
      <c r="D151" s="13" t="str">
        <f aca="false">IFERROR(__xludf.dummyfunction("""COMPUTED_VALUE"""),"Bonus Surf")</f>
        <v>Bonus Surf</v>
      </c>
      <c r="E151" s="13" t="str">
        <f aca="false">IFERROR(__xludf.dummyfunction("""COMPUTED_VALUE"""),"Surf, Bleach")</f>
        <v>Surf, Bleach</v>
      </c>
      <c r="F151" s="11" t="n">
        <f aca="false">IFERROR(__xludf.dummyfunction("""COMPUTED_VALUE"""),45074)</f>
        <v>45074</v>
      </c>
      <c r="G151" s="12" t="n">
        <f aca="false">IFERROR(__xludf.dummyfunction("""COMPUTED_VALUE"""),0.965238495370058)</f>
        <v>0.9652384954</v>
      </c>
      <c r="H151" s="13" t="str">
        <f aca="false">IFERROR(__xludf.dummyfunction("""COMPUTED_VALUE"""),"damaged stock")</f>
        <v>damaged stock</v>
      </c>
      <c r="I151" s="13" t="n">
        <f aca="false">IFERROR(__xludf.dummyfunction("""COMPUTED_VALUE"""),6)</f>
        <v>6</v>
      </c>
      <c r="J151" s="13" t="n">
        <f aca="false">IFERROR(__xludf.dummyfunction("""COMPUTED_VALUE"""),55.25)</f>
        <v>55.25</v>
      </c>
      <c r="K151" s="13" t="n">
        <f aca="false">IFERROR(__xludf.dummyfunction("""COMPUTED_VALUE"""),331.5)</f>
        <v>331.5</v>
      </c>
      <c r="L151" s="13" t="str">
        <f aca="false">IFERROR(__xludf.dummyfunction("""COMPUTED_VALUE"""),"[Code: 579ACG] ; 6unit Damage found   (Bags sy damage mila he sorting ky doran)")</f>
        <v>[Code: 579ACG] ; 6unit Damage found   (Bags sy damage mila he sorting ky doran)</v>
      </c>
      <c r="M151" s="13" t="str">
        <f aca="false">IFERROR(__xludf.dummyfunction("""COMPUTED_VALUE"""),"579ACG")</f>
        <v>579ACG</v>
      </c>
      <c r="N151" s="13"/>
      <c r="O151" s="13" t="str">
        <f aca="false">IFERROR(__xludf.dummyfunction("""COMPUTED_VALUE"""),"taufeeq.akhtar@tajir-app.com")</f>
        <v>taufeeq.akhtar@tajir-app.com</v>
      </c>
      <c r="P151" s="13" t="str">
        <f aca="false">IFERROR(__xludf.dummyfunction("""COMPUTED_VALUE"""),"Taufeeq Akhtar ")</f>
        <v>Taufeeq Akhtar </v>
      </c>
      <c r="Q151" s="13" t="str">
        <f aca="false">IFERROR(__xludf.dummyfunction("""COMPUTED_VALUE"""),"[Code: 579ACG] ; 6unit Damage found   (Bags sy damage mila he sorting ky doran)")</f>
        <v>[Code: 579ACG] ; 6unit Damage found   (Bags sy damage mila he sorting ky doran)</v>
      </c>
      <c r="R151" s="13" t="str">
        <v>Sun,28-May-2023 ,11:09 PM</v>
      </c>
      <c r="S151" s="13" t="str">
        <v>Damaged Stock</v>
      </c>
    </row>
    <row r="152" customFormat="false" ht="15.75" hidden="false" customHeight="false" outlineLevel="0" collapsed="false">
      <c r="A152" s="13" t="str">
        <f aca="false">IFERROR(__xludf.dummyfunction("""COMPUTED_VALUE"""),"Metro DC Faisalabad")</f>
        <v>Metro DC Faisalabad</v>
      </c>
      <c r="B152" s="13" t="str">
        <f aca="false">IFERROR(__xludf.dummyfunction("""COMPUTED_VALUE"""),"f04787dc-21e3-4dae-bcbe-e7290c125b85")</f>
        <v>f04787dc-21e3-4dae-bcbe-e7290c125b85</v>
      </c>
      <c r="C152" s="13" t="str">
        <f aca="false">IFERROR(__xludf.dummyfunction("""COMPUTED_VALUE"""),"7up plastic 1.5L (Other city stock)")</f>
        <v>7up plastic 1.5L (Other city stock)</v>
      </c>
      <c r="D152" s="13" t="str">
        <f aca="false">IFERROR(__xludf.dummyfunction("""COMPUTED_VALUE"""),"7up")</f>
        <v>7up</v>
      </c>
      <c r="E152" s="13" t="str">
        <f aca="false">IFERROR(__xludf.dummyfunction("""COMPUTED_VALUE"""),"Beverages")</f>
        <v>Beverages</v>
      </c>
      <c r="F152" s="11" t="n">
        <f aca="false">IFERROR(__xludf.dummyfunction("""COMPUTED_VALUE"""),45077)</f>
        <v>45077</v>
      </c>
      <c r="G152" s="12" t="n">
        <f aca="false">IFERROR(__xludf.dummyfunction("""COMPUTED_VALUE"""),0.81115545138884)</f>
        <v>0.8111554514</v>
      </c>
      <c r="H152" s="13" t="str">
        <f aca="false">IFERROR(__xludf.dummyfunction("""COMPUTED_VALUE"""),"damaged stock")</f>
        <v>damaged stock</v>
      </c>
      <c r="I152" s="13" t="n">
        <f aca="false">IFERROR(__xludf.dummyfunction("""COMPUTED_VALUE"""),1)</f>
        <v>1</v>
      </c>
      <c r="J152" s="13" t="n">
        <f aca="false">IFERROR(__xludf.dummyfunction("""COMPUTED_VALUE"""),726)</f>
        <v>726</v>
      </c>
      <c r="K152" s="13" t="n">
        <f aca="false">IFERROR(__xludf.dummyfunction("""COMPUTED_VALUE"""),726)</f>
        <v>726</v>
      </c>
      <c r="L152" s="13" t="str">
        <f aca="false">IFERROR(__xludf.dummyfunction("""COMPUTED_VALUE"""),"[Code: 346668] TA: Found Loose during sorting;")</f>
        <v>[Code: 346668] TA: Found Loose during sorting;</v>
      </c>
      <c r="M152" s="13" t="str">
        <f aca="false">IFERROR(__xludf.dummyfunction("""COMPUTED_VALUE"""),"346668")</f>
        <v>346668</v>
      </c>
      <c r="N152" s="13"/>
      <c r="O152" s="13" t="str">
        <f aca="false">IFERROR(__xludf.dummyfunction("""COMPUTED_VALUE"""),"taufeeq.akhtar@tajir-app.com")</f>
        <v>taufeeq.akhtar@tajir-app.com</v>
      </c>
      <c r="P152" s="13" t="str">
        <f aca="false">IFERROR(__xludf.dummyfunction("""COMPUTED_VALUE"""),"Taufeeq Akhtar ")</f>
        <v>Taufeeq Akhtar </v>
      </c>
      <c r="Q152" s="13" t="str">
        <f aca="false">IFERROR(__xludf.dummyfunction("""COMPUTED_VALUE"""),"[Code: 346668] TA: Found Loose during sorting;")</f>
        <v>[Code: 346668] TA: Found Loose during sorting;</v>
      </c>
      <c r="R152" s="13" t="str">
        <v>Wed,31-May-2023 ,07:28 PM</v>
      </c>
      <c r="S152" s="13" t="str">
        <v>Damaged Stock</v>
      </c>
    </row>
    <row r="153" customFormat="false" ht="15.75" hidden="false" customHeight="false" outlineLevel="0" collapsed="false">
      <c r="A153" s="13" t="str">
        <f aca="false">IFERROR(__xludf.dummyfunction("""COMPUTED_VALUE"""),"Metro DC Faisalabad")</f>
        <v>Metro DC Faisalabad</v>
      </c>
      <c r="B153" s="13" t="str">
        <f aca="false">IFERROR(__xludf.dummyfunction("""COMPUTED_VALUE"""),"078a3f2f-ce1c-4f45-a2ab-80e3ebbdc2f7")</f>
        <v>078a3f2f-ce1c-4f45-a2ab-80e3ebbdc2f7</v>
      </c>
      <c r="C153" s="13" t="str">
        <f aca="false">IFERROR(__xludf.dummyfunction("""COMPUTED_VALUE"""),"Mountain Dew plastic 1L")</f>
        <v>Mountain Dew plastic 1L</v>
      </c>
      <c r="D153" s="13" t="str">
        <f aca="false">IFERROR(__xludf.dummyfunction("""COMPUTED_VALUE"""),"Mountain Dew")</f>
        <v>Mountain Dew</v>
      </c>
      <c r="E153" s="13" t="str">
        <f aca="false">IFERROR(__xludf.dummyfunction("""COMPUTED_VALUE"""),"Beverages")</f>
        <v>Beverages</v>
      </c>
      <c r="F153" s="11" t="n">
        <f aca="false">IFERROR(__xludf.dummyfunction("""COMPUTED_VALUE"""),45077)</f>
        <v>45077</v>
      </c>
      <c r="G153" s="12" t="n">
        <f aca="false">IFERROR(__xludf.dummyfunction("""COMPUTED_VALUE"""),0.812271192130088)</f>
        <v>0.8122711921</v>
      </c>
      <c r="H153" s="13" t="str">
        <f aca="false">IFERROR(__xludf.dummyfunction("""COMPUTED_VALUE"""),"damaged stock")</f>
        <v>damaged stock</v>
      </c>
      <c r="I153" s="13" t="n">
        <f aca="false">IFERROR(__xludf.dummyfunction("""COMPUTED_VALUE"""),1)</f>
        <v>1</v>
      </c>
      <c r="J153" s="13" t="n">
        <f aca="false">IFERROR(__xludf.dummyfunction("""COMPUTED_VALUE"""),576)</f>
        <v>576</v>
      </c>
      <c r="K153" s="13" t="n">
        <f aca="false">IFERROR(__xludf.dummyfunction("""COMPUTED_VALUE"""),576)</f>
        <v>576</v>
      </c>
      <c r="L153" s="13" t="str">
        <f aca="false">IFERROR(__xludf.dummyfunction("""COMPUTED_VALUE"""),"[Code: 3789AA] TA: Found loose during sorting(quality issue)")</f>
        <v>[Code: 3789AA] TA: Found loose during sorting(quality issue)</v>
      </c>
      <c r="M153" s="13" t="str">
        <f aca="false">IFERROR(__xludf.dummyfunction("""COMPUTED_VALUE"""),"3789AA")</f>
        <v>3789AA</v>
      </c>
      <c r="N153" s="13"/>
      <c r="O153" s="13" t="str">
        <f aca="false">IFERROR(__xludf.dummyfunction("""COMPUTED_VALUE"""),"taufeeq.akhtar@tajir-app.com")</f>
        <v>taufeeq.akhtar@tajir-app.com</v>
      </c>
      <c r="P153" s="13" t="str">
        <f aca="false">IFERROR(__xludf.dummyfunction("""COMPUTED_VALUE"""),"Taufeeq Akhtar ")</f>
        <v>Taufeeq Akhtar </v>
      </c>
      <c r="Q153" s="13" t="str">
        <f aca="false">IFERROR(__xludf.dummyfunction("""COMPUTED_VALUE"""),"[Code: 3789AA] TA: Found loose during sorting(quality issue)")</f>
        <v>[Code: 3789AA] TA: Found loose during sorting(quality issue)</v>
      </c>
      <c r="R153" s="13" t="str">
        <v>Wed,31-May-2023 ,07:29 PM</v>
      </c>
      <c r="S153" s="13" t="str">
        <v>Damaged Stock</v>
      </c>
    </row>
    <row r="154" customFormat="false" ht="15.75" hidden="false" customHeight="false" outlineLevel="0" collapsed="false">
      <c r="A154" s="13" t="str">
        <f aca="false">IFERROR(__xludf.dummyfunction("""COMPUTED_VALUE"""),"Metro DC Faisalabad")</f>
        <v>Metro DC Faisalabad</v>
      </c>
      <c r="B154" s="13" t="str">
        <f aca="false">IFERROR(__xludf.dummyfunction("""COMPUTED_VALUE"""),"9bde6c18-7711-4860-b5bc-8dc06af21b12")</f>
        <v>9bde6c18-7711-4860-b5bc-8dc06af21b12</v>
      </c>
      <c r="C154" s="13" t="str">
        <f aca="false">IFERROR(__xludf.dummyfunction("""COMPUTED_VALUE"""),"Cola Next Plastic 500ml")</f>
        <v>Cola Next Plastic 500ml</v>
      </c>
      <c r="D154" s="13" t="str">
        <f aca="false">IFERROR(__xludf.dummyfunction("""COMPUTED_VALUE"""),"Cola Next")</f>
        <v>Cola Next</v>
      </c>
      <c r="E154" s="13" t="str">
        <f aca="false">IFERROR(__xludf.dummyfunction("""COMPUTED_VALUE"""),"Beverages")</f>
        <v>Beverages</v>
      </c>
      <c r="F154" s="11" t="n">
        <f aca="false">IFERROR(__xludf.dummyfunction("""COMPUTED_VALUE"""),45080)</f>
        <v>45080</v>
      </c>
      <c r="G154" s="12" t="n">
        <f aca="false">IFERROR(__xludf.dummyfunction("""COMPUTED_VALUE"""),0.787124456018729)</f>
        <v>0.787124456</v>
      </c>
      <c r="H154" s="13" t="str">
        <f aca="false">IFERROR(__xludf.dummyfunction("""COMPUTED_VALUE"""),"damaged stock")</f>
        <v>damaged stock</v>
      </c>
      <c r="I154" s="13" t="n">
        <f aca="false">IFERROR(__xludf.dummyfunction("""COMPUTED_VALUE"""),1)</f>
        <v>1</v>
      </c>
      <c r="J154" s="13" t="n">
        <f aca="false">IFERROR(__xludf.dummyfunction("""COMPUTED_VALUE"""),511)</f>
        <v>511</v>
      </c>
      <c r="K154" s="13" t="n">
        <f aca="false">IFERROR(__xludf.dummyfunction("""COMPUTED_VALUE"""),511)</f>
        <v>511</v>
      </c>
      <c r="L154" s="13" t="str">
        <f aca="false">IFERROR(__xludf.dummyfunction("""COMPUTED_VALUE"""),"[Code: 2367BC] TA: Found in loose condition during sorting(company end issue);")</f>
        <v>[Code: 2367BC] TA: Found in loose condition during sorting(company end issue);</v>
      </c>
      <c r="M154" s="13" t="str">
        <f aca="false">IFERROR(__xludf.dummyfunction("""COMPUTED_VALUE"""),"2367BC")</f>
        <v>2367BC</v>
      </c>
      <c r="N154" s="13"/>
      <c r="O154" s="13" t="str">
        <f aca="false">IFERROR(__xludf.dummyfunction("""COMPUTED_VALUE"""),"taufeeq.akhtar@tajir-app.com")</f>
        <v>taufeeq.akhtar@tajir-app.com</v>
      </c>
      <c r="P154" s="13" t="str">
        <f aca="false">IFERROR(__xludf.dummyfunction("""COMPUTED_VALUE"""),"Taufeeq Akhtar ")</f>
        <v>Taufeeq Akhtar </v>
      </c>
      <c r="Q154" s="13" t="str">
        <f aca="false">IFERROR(__xludf.dummyfunction("""COMPUTED_VALUE"""),"[Code: 2367BC] TA: Found in loose condition during sorting(company end issue);")</f>
        <v>[Code: 2367BC] TA: Found in loose condition during sorting(company end issue);</v>
      </c>
      <c r="R154" s="13" t="str">
        <v>Sat,03-June-2023 ,06:53 PM</v>
      </c>
      <c r="S154" s="13" t="str">
        <v>Damaged Stock</v>
      </c>
    </row>
    <row r="155" customFormat="false" ht="15.75" hidden="false" customHeight="false" outlineLevel="0" collapsed="false">
      <c r="A155" s="13" t="str">
        <f aca="false">IFERROR(__xludf.dummyfunction("""COMPUTED_VALUE"""),"Metro DC Faisalabad")</f>
        <v>Metro DC Faisalabad</v>
      </c>
      <c r="B155" s="13" t="str">
        <f aca="false">IFERROR(__xludf.dummyfunction("""COMPUTED_VALUE"""),"a7507847-81de-49fd-b5e8-be87be357b08")</f>
        <v>a7507847-81de-49fd-b5e8-be87be357b08</v>
      </c>
      <c r="C155" s="13" t="str">
        <f aca="false">IFERROR(__xludf.dummyfunction("""COMPUTED_VALUE"""),"Ajinomoto Masako Chicken Flavour Masala 10g Rs20")</f>
        <v>Ajinomoto Masako Chicken Flavour Masala 10g Rs20</v>
      </c>
      <c r="D155" s="13" t="str">
        <f aca="false">IFERROR(__xludf.dummyfunction("""COMPUTED_VALUE"""),"Ajinomoto")</f>
        <v>Ajinomoto</v>
      </c>
      <c r="E155" s="13" t="str">
        <f aca="false">IFERROR(__xludf.dummyfunction("""COMPUTED_VALUE"""),"Grocery")</f>
        <v>Grocery</v>
      </c>
      <c r="F155" s="11" t="n">
        <f aca="false">IFERROR(__xludf.dummyfunction("""COMPUTED_VALUE"""),45081)</f>
        <v>45081</v>
      </c>
      <c r="G155" s="12" t="n">
        <f aca="false">IFERROR(__xludf.dummyfunction("""COMPUTED_VALUE"""),0.425783101850499)</f>
        <v>0.4257831019</v>
      </c>
      <c r="H155" s="13" t="str">
        <f aca="false">IFERROR(__xludf.dummyfunction("""COMPUTED_VALUE"""),"damaged stock")</f>
        <v>damaged stock</v>
      </c>
      <c r="I155" s="13" t="n">
        <f aca="false">IFERROR(__xludf.dummyfunction("""COMPUTED_VALUE"""),1)</f>
        <v>1</v>
      </c>
      <c r="J155" s="13" t="n">
        <f aca="false">IFERROR(__xludf.dummyfunction("""COMPUTED_VALUE"""),17.41)</f>
        <v>17.41</v>
      </c>
      <c r="K155" s="13" t="n">
        <f aca="false">IFERROR(__xludf.dummyfunction("""COMPUTED_VALUE"""),17.41)</f>
        <v>17.41</v>
      </c>
      <c r="L155" s="13" t="str">
        <f aca="false">IFERROR(__xludf.dummyfunction("""COMPUTED_VALUE"""),"[Code: 3778CK] 01 UNIT found damaged seal open (Quality issue)")</f>
        <v>[Code: 3778CK] 01 UNIT found damaged seal open (Quality issue)</v>
      </c>
      <c r="M155" s="13" t="str">
        <f aca="false">IFERROR(__xludf.dummyfunction("""COMPUTED_VALUE"""),"3778CK")</f>
        <v>3778CK</v>
      </c>
      <c r="N155" s="13"/>
      <c r="O155" s="13" t="str">
        <f aca="false">IFERROR(__xludf.dummyfunction("""COMPUTED_VALUE"""),"ali.raza@tajir-app.com")</f>
        <v>ali.raza@tajir-app.com</v>
      </c>
      <c r="P155" s="13" t="str">
        <f aca="false">IFERROR(__xludf.dummyfunction("""COMPUTED_VALUE"""),"Ali Raza ")</f>
        <v>Ali Raza </v>
      </c>
      <c r="Q155" s="13" t="str">
        <f aca="false">IFERROR(__xludf.dummyfunction("""COMPUTED_VALUE"""),"[Code: 3778CK] 01 UNIT found damaged seal open (Quality issue)")</f>
        <v>[Code: 3778CK] 01 UNIT found damaged seal open (Quality issue)</v>
      </c>
      <c r="R155" s="13" t="str">
        <v>Sun,04-June-2023 ,10:13 AM</v>
      </c>
      <c r="S155" s="13" t="str">
        <v>Damaged Stock</v>
      </c>
    </row>
    <row r="156" customFormat="false" ht="15.75" hidden="false" customHeight="false" outlineLevel="0" collapsed="false">
      <c r="A156" s="13" t="str">
        <f aca="false">IFERROR(__xludf.dummyfunction("""COMPUTED_VALUE"""),"Metro DC Faisalabad")</f>
        <v>Metro DC Faisalabad</v>
      </c>
      <c r="B156" s="13" t="str">
        <f aca="false">IFERROR(__xludf.dummyfunction("""COMPUTED_VALUE"""),"10f5c620-05d2-4bff-bf22-3c02b5a12fc2")</f>
        <v>10f5c620-05d2-4bff-bf22-3c02b5a12fc2</v>
      </c>
      <c r="C156" s="13" t="str">
        <f aca="false">IFERROR(__xludf.dummyfunction("""COMPUTED_VALUE"""),"Sherdil White Chana Bareek 5kg")</f>
        <v>Sherdil White Chana Bareek 5kg</v>
      </c>
      <c r="D156" s="13" t="str">
        <f aca="false">IFERROR(__xludf.dummyfunction("""COMPUTED_VALUE"""),"Sherdil")</f>
        <v>Sherdil</v>
      </c>
      <c r="E156" s="13" t="str">
        <f aca="false">IFERROR(__xludf.dummyfunction("""COMPUTED_VALUE"""),"Pulses")</f>
        <v>Pulses</v>
      </c>
      <c r="F156" s="11" t="n">
        <f aca="false">IFERROR(__xludf.dummyfunction("""COMPUTED_VALUE"""),45081)</f>
        <v>45081</v>
      </c>
      <c r="G156" s="12" t="n">
        <f aca="false">IFERROR(__xludf.dummyfunction("""COMPUTED_VALUE"""),0.426500497684231)</f>
        <v>0.4265004977</v>
      </c>
      <c r="H156" s="13" t="str">
        <f aca="false">IFERROR(__xludf.dummyfunction("""COMPUTED_VALUE"""),"damaged stock")</f>
        <v>damaged stock</v>
      </c>
      <c r="I156" s="13" t="n">
        <f aca="false">IFERROR(__xludf.dummyfunction("""COMPUTED_VALUE"""),4)</f>
        <v>4</v>
      </c>
      <c r="J156" s="13" t="n">
        <f aca="false">IFERROR(__xludf.dummyfunction("""COMPUTED_VALUE"""),1800)</f>
        <v>1800</v>
      </c>
      <c r="K156" s="13" t="n">
        <f aca="false">IFERROR(__xludf.dummyfunction("""COMPUTED_VALUE"""),7200)</f>
        <v>7200</v>
      </c>
      <c r="L156" s="13" t="str">
        <f aca="false">IFERROR(__xludf.dummyfunction("""COMPUTED_VALUE"""),"[Code: 345668] 04 units found damaged due to insects (Quality Issue)")</f>
        <v>[Code: 345668] 04 units found damaged due to insects (Quality Issue)</v>
      </c>
      <c r="M156" s="13" t="str">
        <f aca="false">IFERROR(__xludf.dummyfunction("""COMPUTED_VALUE"""),"345668")</f>
        <v>345668</v>
      </c>
      <c r="N156" s="13"/>
      <c r="O156" s="13" t="str">
        <f aca="false">IFERROR(__xludf.dummyfunction("""COMPUTED_VALUE"""),"ali.raza@tajir-app.com")</f>
        <v>ali.raza@tajir-app.com</v>
      </c>
      <c r="P156" s="13" t="str">
        <f aca="false">IFERROR(__xludf.dummyfunction("""COMPUTED_VALUE"""),"Ali Raza ")</f>
        <v>Ali Raza </v>
      </c>
      <c r="Q156" s="13" t="str">
        <f aca="false">IFERROR(__xludf.dummyfunction("""COMPUTED_VALUE"""),"[Code: 345668] 04 units found damaged due to insects (Quality Issue)")</f>
        <v>[Code: 345668] 04 units found damaged due to insects (Quality Issue)</v>
      </c>
      <c r="R156" s="13" t="str">
        <v>Sun,04-June-2023 ,10:14 AM</v>
      </c>
      <c r="S156" s="13" t="str">
        <v>Damaged Stock</v>
      </c>
    </row>
    <row r="157" customFormat="false" ht="15.75" hidden="false" customHeight="false" outlineLevel="0" collapsed="false">
      <c r="A157" s="13" t="str">
        <f aca="false">IFERROR(__xludf.dummyfunction("""COMPUTED_VALUE"""),"Metro DC Faisalabad")</f>
        <v>Metro DC Faisalabad</v>
      </c>
      <c r="B157" s="13" t="str">
        <f aca="false">IFERROR(__xludf.dummyfunction("""COMPUTED_VALUE"""),"6c568402-1788-466b-8f61-43acc83fa9d1")</f>
        <v>6c568402-1788-466b-8f61-43acc83fa9d1</v>
      </c>
      <c r="C157" s="13" t="str">
        <f aca="false">IFERROR(__xludf.dummyfunction("""COMPUTED_VALUE"""),"Sherdil White Chana Mota 5kg")</f>
        <v>Sherdil White Chana Mota 5kg</v>
      </c>
      <c r="D157" s="13" t="str">
        <f aca="false">IFERROR(__xludf.dummyfunction("""COMPUTED_VALUE"""),"Sherdil")</f>
        <v>Sherdil</v>
      </c>
      <c r="E157" s="13" t="str">
        <f aca="false">IFERROR(__xludf.dummyfunction("""COMPUTED_VALUE"""),"Pulses")</f>
        <v>Pulses</v>
      </c>
      <c r="F157" s="11" t="n">
        <f aca="false">IFERROR(__xludf.dummyfunction("""COMPUTED_VALUE"""),45081)</f>
        <v>45081</v>
      </c>
      <c r="G157" s="12" t="n">
        <f aca="false">IFERROR(__xludf.dummyfunction("""COMPUTED_VALUE"""),0.428590104167933)</f>
        <v>0.4285901042</v>
      </c>
      <c r="H157" s="13" t="str">
        <f aca="false">IFERROR(__xludf.dummyfunction("""COMPUTED_VALUE"""),"damaged stock")</f>
        <v>damaged stock</v>
      </c>
      <c r="I157" s="13" t="n">
        <f aca="false">IFERROR(__xludf.dummyfunction("""COMPUTED_VALUE"""),3)</f>
        <v>3</v>
      </c>
      <c r="J157" s="13" t="n">
        <f aca="false">IFERROR(__xludf.dummyfunction("""COMPUTED_VALUE"""),2180)</f>
        <v>2180</v>
      </c>
      <c r="K157" s="13" t="n">
        <f aca="false">IFERROR(__xludf.dummyfunction("""COMPUTED_VALUE"""),6540)</f>
        <v>6540</v>
      </c>
      <c r="L157" s="13" t="str">
        <f aca="false">IFERROR(__xludf.dummyfunction("""COMPUTED_VALUE"""),"[Code: 699BDE] 03 units found damaged due to insects (Quality Issue)")</f>
        <v>[Code: 699BDE] 03 units found damaged due to insects (Quality Issue)</v>
      </c>
      <c r="M157" s="13" t="str">
        <f aca="false">IFERROR(__xludf.dummyfunction("""COMPUTED_VALUE"""),"699BDE")</f>
        <v>699BDE</v>
      </c>
      <c r="N157" s="13"/>
      <c r="O157" s="13" t="str">
        <f aca="false">IFERROR(__xludf.dummyfunction("""COMPUTED_VALUE"""),"ali.raza@tajir-app.com")</f>
        <v>ali.raza@tajir-app.com</v>
      </c>
      <c r="P157" s="13" t="str">
        <f aca="false">IFERROR(__xludf.dummyfunction("""COMPUTED_VALUE"""),"Ali Raza ")</f>
        <v>Ali Raza </v>
      </c>
      <c r="Q157" s="13" t="str">
        <f aca="false">IFERROR(__xludf.dummyfunction("""COMPUTED_VALUE"""),"[Code: 699BDE] 03 units found damaged due to insects (Quality Issue)")</f>
        <v>[Code: 699BDE] 03 units found damaged due to insects (Quality Issue)</v>
      </c>
      <c r="R157" s="13" t="str">
        <v>Sun,04-June-2023 ,10:17 AM</v>
      </c>
      <c r="S157" s="13" t="str">
        <v>Damaged Stock</v>
      </c>
    </row>
    <row r="158" customFormat="false" ht="15.75" hidden="false" customHeight="false" outlineLevel="0" collapsed="false">
      <c r="A158" s="13" t="str">
        <f aca="false">IFERROR(__xludf.dummyfunction("""COMPUTED_VALUE"""),"Metro DC Faisalabad")</f>
        <v>Metro DC Faisalabad</v>
      </c>
      <c r="B158" s="13" t="str">
        <f aca="false">IFERROR(__xludf.dummyfunction("""COMPUTED_VALUE"""),"398986cd-2e1e-4946-a57d-f258ff679bb9")</f>
        <v>398986cd-2e1e-4946-a57d-f258ff679bb9</v>
      </c>
      <c r="C158" s="13" t="str">
        <f aca="false">IFERROR(__xludf.dummyfunction("""COMPUTED_VALUE"""),"Head and Shoulders Classic Clean Shampoo x12 bundle 4.5ml")</f>
        <v>Head and Shoulders Classic Clean Shampoo x12 bundle 4.5ml</v>
      </c>
      <c r="D158" s="13" t="str">
        <f aca="false">IFERROR(__xludf.dummyfunction("""COMPUTED_VALUE"""),"Head and Shoulders")</f>
        <v>Head and Shoulders</v>
      </c>
      <c r="E158" s="13" t="str">
        <f aca="false">IFERROR(__xludf.dummyfunction("""COMPUTED_VALUE"""),"Shampoo")</f>
        <v>Shampoo</v>
      </c>
      <c r="F158" s="11" t="n">
        <f aca="false">IFERROR(__xludf.dummyfunction("""COMPUTED_VALUE"""),45082)</f>
        <v>45082</v>
      </c>
      <c r="G158" s="12" t="n">
        <f aca="false">IFERROR(__xludf.dummyfunction("""COMPUTED_VALUE"""),0.783231666667297)</f>
        <v>0.7832316667</v>
      </c>
      <c r="H158" s="13" t="str">
        <f aca="false">IFERROR(__xludf.dummyfunction("""COMPUTED_VALUE"""),"damaged stock")</f>
        <v>damaged stock</v>
      </c>
      <c r="I158" s="13" t="n">
        <f aca="false">IFERROR(__xludf.dummyfunction("""COMPUTED_VALUE"""),3)</f>
        <v>3</v>
      </c>
      <c r="J158" s="13" t="n">
        <f aca="false">IFERROR(__xludf.dummyfunction("""COMPUTED_VALUE"""),52.7)</f>
        <v>52.7</v>
      </c>
      <c r="K158" s="13" t="n">
        <f aca="false">IFERROR(__xludf.dummyfunction("""COMPUTED_VALUE"""),158.1)</f>
        <v>158.1</v>
      </c>
      <c r="L158" s="13" t="str">
        <f aca="false">IFERROR(__xludf.dummyfunction("""COMPUTED_VALUE"""),"[Code: 568DGG] TA: Found Damaged in Floor;")</f>
        <v>[Code: 568DGG] TA: Found Damaged in Floor;</v>
      </c>
      <c r="M158" s="13" t="str">
        <f aca="false">IFERROR(__xludf.dummyfunction("""COMPUTED_VALUE"""),"568DGG")</f>
        <v>568DGG</v>
      </c>
      <c r="N158" s="13"/>
      <c r="O158" s="13" t="str">
        <f aca="false">IFERROR(__xludf.dummyfunction("""COMPUTED_VALUE"""),"taufeeq.akhtar@tajir-app.com")</f>
        <v>taufeeq.akhtar@tajir-app.com</v>
      </c>
      <c r="P158" s="13" t="str">
        <f aca="false">IFERROR(__xludf.dummyfunction("""COMPUTED_VALUE"""),"Taufeeq Akhtar ")</f>
        <v>Taufeeq Akhtar </v>
      </c>
      <c r="Q158" s="13" t="str">
        <f aca="false">IFERROR(__xludf.dummyfunction("""COMPUTED_VALUE"""),"[Code: 568DGG] TA: Found Damaged in Floor;")</f>
        <v>[Code: 568DGG] TA: Found Damaged in Floor;</v>
      </c>
      <c r="R158" s="13" t="str">
        <v>Mon,05-June-2023 ,06:47 PM</v>
      </c>
      <c r="S158" s="13" t="str">
        <v>Damaged Stock</v>
      </c>
    </row>
    <row r="159" customFormat="false" ht="15.75" hidden="false" customHeight="false" outlineLevel="0" collapsed="false">
      <c r="A159" s="13" t="str">
        <f aca="false">IFERROR(__xludf.dummyfunction("""COMPUTED_VALUE"""),"Metro DC Faisalabad")</f>
        <v>Metro DC Faisalabad</v>
      </c>
      <c r="B159" s="13" t="str">
        <f aca="false">IFERROR(__xludf.dummyfunction("""COMPUTED_VALUE"""),"8ba63ec6-3b42-4cf0-86f4-4da7f87c70d1")</f>
        <v>8ba63ec6-3b42-4cf0-86f4-4da7f87c70d1</v>
      </c>
      <c r="C159" s="13" t="str">
        <f aca="false">IFERROR(__xludf.dummyfunction("""COMPUTED_VALUE"""),"Head and Shoulders Silky Black Shampoo x12 bundle 4.5ml")</f>
        <v>Head and Shoulders Silky Black Shampoo x12 bundle 4.5ml</v>
      </c>
      <c r="D159" s="13" t="str">
        <f aca="false">IFERROR(__xludf.dummyfunction("""COMPUTED_VALUE"""),"Head and Shoulders")</f>
        <v>Head and Shoulders</v>
      </c>
      <c r="E159" s="13" t="str">
        <f aca="false">IFERROR(__xludf.dummyfunction("""COMPUTED_VALUE"""),"Shampoo")</f>
        <v>Shampoo</v>
      </c>
      <c r="F159" s="11" t="n">
        <f aca="false">IFERROR(__xludf.dummyfunction("""COMPUTED_VALUE"""),45082)</f>
        <v>45082</v>
      </c>
      <c r="G159" s="12" t="n">
        <f aca="false">IFERROR(__xludf.dummyfunction("""COMPUTED_VALUE"""),0.784257962961578)</f>
        <v>0.784257963</v>
      </c>
      <c r="H159" s="13" t="str">
        <f aca="false">IFERROR(__xludf.dummyfunction("""COMPUTED_VALUE"""),"damaged stock")</f>
        <v>damaged stock</v>
      </c>
      <c r="I159" s="13" t="n">
        <f aca="false">IFERROR(__xludf.dummyfunction("""COMPUTED_VALUE"""),11)</f>
        <v>11</v>
      </c>
      <c r="J159" s="13" t="n">
        <f aca="false">IFERROR(__xludf.dummyfunction("""COMPUTED_VALUE"""),52.7)</f>
        <v>52.7</v>
      </c>
      <c r="K159" s="13" t="n">
        <f aca="false">IFERROR(__xludf.dummyfunction("""COMPUTED_VALUE"""),579.7)</f>
        <v>579.7</v>
      </c>
      <c r="L159" s="13" t="str">
        <f aca="false">IFERROR(__xludf.dummyfunction("""COMPUTED_VALUE"""),"[Code: 224499] TA:Found Damaged in Floor during sorting (Company end issue )")</f>
        <v>[Code: 224499] TA:Found Damaged in Floor during sorting (Company end issue )</v>
      </c>
      <c r="M159" s="13" t="str">
        <f aca="false">IFERROR(__xludf.dummyfunction("""COMPUTED_VALUE"""),"224499")</f>
        <v>224499</v>
      </c>
      <c r="N159" s="13"/>
      <c r="O159" s="13" t="str">
        <f aca="false">IFERROR(__xludf.dummyfunction("""COMPUTED_VALUE"""),"taufeeq.akhtar@tajir-app.com")</f>
        <v>taufeeq.akhtar@tajir-app.com</v>
      </c>
      <c r="P159" s="13" t="str">
        <f aca="false">IFERROR(__xludf.dummyfunction("""COMPUTED_VALUE"""),"Taufeeq Akhtar ")</f>
        <v>Taufeeq Akhtar </v>
      </c>
      <c r="Q159" s="13" t="str">
        <f aca="false">IFERROR(__xludf.dummyfunction("""COMPUTED_VALUE"""),"[Code: 224499] TA:Found Damaged in Floor during sorting (Company end issue )")</f>
        <v>[Code: 224499] TA:Found Damaged in Floor during sorting (Company end issue )</v>
      </c>
      <c r="R159" s="13" t="str">
        <v>Mon,05-June-2023 ,06:49 PM</v>
      </c>
      <c r="S159" s="13" t="str">
        <v>Damaged Stock</v>
      </c>
    </row>
    <row r="160" customFormat="false" ht="15.75" hidden="false" customHeight="false" outlineLevel="0" collapsed="false">
      <c r="A160" s="13" t="str">
        <f aca="false">IFERROR(__xludf.dummyfunction("""COMPUTED_VALUE"""),"Metro DC Faisalabad")</f>
        <v>Metro DC Faisalabad</v>
      </c>
      <c r="B160" s="13" t="str">
        <f aca="false">IFERROR(__xludf.dummyfunction("""COMPUTED_VALUE"""),"b7e47528-8822-461b-8889-f508bace7dfe")</f>
        <v>b7e47528-8822-461b-8889-f508bace7dfe</v>
      </c>
      <c r="C160" s="13" t="str">
        <f aca="false">IFERROR(__xludf.dummyfunction("""COMPUTED_VALUE"""),"Sherdil Daal Chana Bareek 1kg")</f>
        <v>Sherdil Daal Chana Bareek 1kg</v>
      </c>
      <c r="D160" s="13" t="str">
        <f aca="false">IFERROR(__xludf.dummyfunction("""COMPUTED_VALUE"""),"Sherdil")</f>
        <v>Sherdil</v>
      </c>
      <c r="E160" s="13" t="str">
        <f aca="false">IFERROR(__xludf.dummyfunction("""COMPUTED_VALUE"""),"Pulses")</f>
        <v>Pulses</v>
      </c>
      <c r="F160" s="11" t="n">
        <f aca="false">IFERROR(__xludf.dummyfunction("""COMPUTED_VALUE"""),45082)</f>
        <v>45082</v>
      </c>
      <c r="G160" s="12" t="n">
        <f aca="false">IFERROR(__xludf.dummyfunction("""COMPUTED_VALUE"""),0.870015173612798)</f>
        <v>0.8700151736</v>
      </c>
      <c r="H160" s="13" t="str">
        <f aca="false">IFERROR(__xludf.dummyfunction("""COMPUTED_VALUE"""),"damaged stock")</f>
        <v>damaged stock</v>
      </c>
      <c r="I160" s="13" t="n">
        <f aca="false">IFERROR(__xludf.dummyfunction("""COMPUTED_VALUE"""),1)</f>
        <v>1</v>
      </c>
      <c r="J160" s="13" t="n">
        <f aca="false">IFERROR(__xludf.dummyfunction("""COMPUTED_VALUE"""),272)</f>
        <v>272</v>
      </c>
      <c r="K160" s="13" t="n">
        <f aca="false">IFERROR(__xludf.dummyfunction("""COMPUTED_VALUE"""),272)</f>
        <v>272</v>
      </c>
      <c r="L160" s="13" t="str">
        <f aca="false">IFERROR(__xludf.dummyfunction("""COMPUTED_VALUE"""),"[Code: 34455E] TA:  daal ki quality sahi nahi hay(ulli lagi hay)")</f>
        <v>[Code: 34455E] TA:  daal ki quality sahi nahi hay(ulli lagi hay)</v>
      </c>
      <c r="M160" s="13" t="str">
        <f aca="false">IFERROR(__xludf.dummyfunction("""COMPUTED_VALUE"""),"34455E")</f>
        <v>34455E</v>
      </c>
      <c r="N160" s="13"/>
      <c r="O160" s="13" t="str">
        <f aca="false">IFERROR(__xludf.dummyfunction("""COMPUTED_VALUE"""),"taufeeq.akhtar@tajir-app.com")</f>
        <v>taufeeq.akhtar@tajir-app.com</v>
      </c>
      <c r="P160" s="13" t="str">
        <f aca="false">IFERROR(__xludf.dummyfunction("""COMPUTED_VALUE"""),"Taufeeq Akhtar ")</f>
        <v>Taufeeq Akhtar </v>
      </c>
      <c r="Q160" s="13" t="str">
        <f aca="false">IFERROR(__xludf.dummyfunction("""COMPUTED_VALUE"""),"[Code: 34455E] TA:  daal ki quality sahi nahi hay(ulli lagi hay)")</f>
        <v>[Code: 34455E] TA:  daal ki quality sahi nahi hay(ulli lagi hay)</v>
      </c>
      <c r="R160" s="13" t="str">
        <v>Mon,05-June-2023 ,08:52 PM</v>
      </c>
      <c r="S160" s="13" t="str">
        <v>Damaged Stock</v>
      </c>
    </row>
    <row r="161" customFormat="false" ht="15.75" hidden="false" customHeight="false" outlineLevel="0" collapsed="false">
      <c r="A161" s="13" t="str">
        <f aca="false">IFERROR(__xludf.dummyfunction("""COMPUTED_VALUE"""),"Metro DC Faisalabad")</f>
        <v>Metro DC Faisalabad</v>
      </c>
      <c r="B161" s="13" t="str">
        <f aca="false">IFERROR(__xludf.dummyfunction("""COMPUTED_VALUE"""),"7aa66a56-9483-4d1f-a55d-afced12899de")</f>
        <v>7aa66a56-9483-4d1f-a55d-afced12899de</v>
      </c>
      <c r="C161" s="13" t="str">
        <f aca="false">IFERROR(__xludf.dummyfunction("""COMPUTED_VALUE"""),"Juice Time Mango 1L")</f>
        <v>Juice Time Mango 1L</v>
      </c>
      <c r="D161" s="13" t="str">
        <f aca="false">IFERROR(__xludf.dummyfunction("""COMPUTED_VALUE"""),"Juice Time")</f>
        <v>Juice Time</v>
      </c>
      <c r="E161" s="13" t="str">
        <f aca="false">IFERROR(__xludf.dummyfunction("""COMPUTED_VALUE"""),"Juice, Syrup, Squash")</f>
        <v>Juice, Syrup, Squash</v>
      </c>
      <c r="F161" s="11" t="n">
        <f aca="false">IFERROR(__xludf.dummyfunction("""COMPUTED_VALUE"""),45083)</f>
        <v>45083</v>
      </c>
      <c r="G161" s="12" t="n">
        <f aca="false">IFERROR(__xludf.dummyfunction("""COMPUTED_VALUE"""),0.859882511573999)</f>
        <v>0.8598825116</v>
      </c>
      <c r="H161" s="13" t="str">
        <f aca="false">IFERROR(__xludf.dummyfunction("""COMPUTED_VALUE"""),"damaged stock")</f>
        <v>damaged stock</v>
      </c>
      <c r="I161" s="13" t="n">
        <f aca="false">IFERROR(__xludf.dummyfunction("""COMPUTED_VALUE"""),2)</f>
        <v>2</v>
      </c>
      <c r="J161" s="13" t="n">
        <f aca="false">IFERROR(__xludf.dummyfunction("""COMPUTED_VALUE"""),126.67)</f>
        <v>126.67</v>
      </c>
      <c r="K161" s="13" t="n">
        <f aca="false">IFERROR(__xludf.dummyfunction("""COMPUTED_VALUE"""),253.34)</f>
        <v>253.34</v>
      </c>
      <c r="L161" s="13" t="str">
        <f aca="false">IFERROR(__xludf.dummyfunction("""COMPUTED_VALUE"""),"[Code: 2333BC] TA:")</f>
        <v>[Code: 2333BC] TA:</v>
      </c>
      <c r="M161" s="13" t="str">
        <f aca="false">IFERROR(__xludf.dummyfunction("""COMPUTED_VALUE"""),"2333BC")</f>
        <v>2333BC</v>
      </c>
      <c r="N161" s="13"/>
      <c r="O161" s="13" t="str">
        <f aca="false">IFERROR(__xludf.dummyfunction("""COMPUTED_VALUE"""),"taufeeq.akhtar@tajir-app.com")</f>
        <v>taufeeq.akhtar@tajir-app.com</v>
      </c>
      <c r="P161" s="13" t="str">
        <f aca="false">IFERROR(__xludf.dummyfunction("""COMPUTED_VALUE"""),"Taufeeq Akhtar ")</f>
        <v>Taufeeq Akhtar </v>
      </c>
      <c r="Q161" s="13" t="str">
        <f aca="false">IFERROR(__xludf.dummyfunction("""COMPUTED_VALUE"""),"[Code: 2333BC] TA:")</f>
        <v>[Code: 2333BC] TA:</v>
      </c>
      <c r="R161" s="13" t="str">
        <v>Tue,06-June-2023 ,08:38 PM</v>
      </c>
      <c r="S161" s="13" t="str">
        <v>Damaged Stock</v>
      </c>
    </row>
    <row r="162" customFormat="false" ht="15.75" hidden="false" customHeight="false" outlineLevel="0" collapsed="false">
      <c r="A162" s="13" t="str">
        <f aca="false">IFERROR(__xludf.dummyfunction("""COMPUTED_VALUE"""),"Metro DC Faisalabad")</f>
        <v>Metro DC Faisalabad</v>
      </c>
      <c r="B162" s="13" t="str">
        <f aca="false">IFERROR(__xludf.dummyfunction("""COMPUTED_VALUE"""),"019873e6-cb23-4dc9-84b1-2ca68483b5d3")</f>
        <v>019873e6-cb23-4dc9-84b1-2ca68483b5d3</v>
      </c>
      <c r="C162" s="13" t="str">
        <f aca="false">IFERROR(__xludf.dummyfunction("""COMPUTED_VALUE"""),"Gibs Makhan Badami Toffee Rs5")</f>
        <v>Gibs Makhan Badami Toffee Rs5</v>
      </c>
      <c r="D162" s="13" t="str">
        <f aca="false">IFERROR(__xludf.dummyfunction("""COMPUTED_VALUE"""),"Gibs")</f>
        <v>Gibs</v>
      </c>
      <c r="E162" s="13" t="str">
        <f aca="false">IFERROR(__xludf.dummyfunction("""COMPUTED_VALUE"""),"Confectionary")</f>
        <v>Confectionary</v>
      </c>
      <c r="F162" s="11" t="n">
        <f aca="false">IFERROR(__xludf.dummyfunction("""COMPUTED_VALUE"""),45083)</f>
        <v>45083</v>
      </c>
      <c r="G162" s="12" t="n">
        <f aca="false">IFERROR(__xludf.dummyfunction("""COMPUTED_VALUE"""),0.861500590278133)</f>
        <v>0.8615005903</v>
      </c>
      <c r="H162" s="13" t="str">
        <f aca="false">IFERROR(__xludf.dummyfunction("""COMPUTED_VALUE"""),"damaged stock")</f>
        <v>damaged stock</v>
      </c>
      <c r="I162" s="13" t="n">
        <f aca="false">IFERROR(__xludf.dummyfunction("""COMPUTED_VALUE"""),1)</f>
        <v>1</v>
      </c>
      <c r="J162" s="13" t="n">
        <f aca="false">IFERROR(__xludf.dummyfunction("""COMPUTED_VALUE"""),129.6)</f>
        <v>129.6</v>
      </c>
      <c r="K162" s="13" t="n">
        <f aca="false">IFERROR(__xludf.dummyfunction("""COMPUTED_VALUE"""),129.6)</f>
        <v>129.6</v>
      </c>
      <c r="L162" s="13" t="str">
        <f aca="false">IFERROR(__xludf.dummyfunction("""COMPUTED_VALUE"""),"[Code: 456668] TA: Found damaged and few pieces missing from the box during display.")</f>
        <v>[Code: 456668] TA: Found damaged and few pieces missing from the box during display.</v>
      </c>
      <c r="M162" s="13" t="str">
        <f aca="false">IFERROR(__xludf.dummyfunction("""COMPUTED_VALUE"""),"456668")</f>
        <v>456668</v>
      </c>
      <c r="N162" s="13"/>
      <c r="O162" s="13" t="str">
        <f aca="false">IFERROR(__xludf.dummyfunction("""COMPUTED_VALUE"""),"taufeeq.akhtar@tajir-app.com")</f>
        <v>taufeeq.akhtar@tajir-app.com</v>
      </c>
      <c r="P162" s="13" t="str">
        <f aca="false">IFERROR(__xludf.dummyfunction("""COMPUTED_VALUE"""),"Taufeeq Akhtar ")</f>
        <v>Taufeeq Akhtar </v>
      </c>
      <c r="Q162" s="13" t="str">
        <f aca="false">IFERROR(__xludf.dummyfunction("""COMPUTED_VALUE"""),"[Code: 456668] TA: Found damaged and few pieces missing from the box during display.")</f>
        <v>[Code: 456668] TA: Found damaged and few pieces missing from the box during display.</v>
      </c>
      <c r="R162" s="13" t="str">
        <v>Tue,06-June-2023 ,08:40 PM</v>
      </c>
      <c r="S162" s="13" t="str">
        <v>Damaged Stock</v>
      </c>
    </row>
    <row r="163" customFormat="false" ht="15.75" hidden="false" customHeight="false" outlineLevel="0" collapsed="false">
      <c r="A163" s="13" t="str">
        <f aca="false">IFERROR(__xludf.dummyfunction("""COMPUTED_VALUE"""),"Metro DC Faisalabad")</f>
        <v>Metro DC Faisalabad</v>
      </c>
      <c r="B163" s="13" t="str">
        <f aca="false">IFERROR(__xludf.dummyfunction("""COMPUTED_VALUE"""),"61d83a40-577c-4f96-9f01-3b2d39501f02")</f>
        <v>61d83a40-577c-4f96-9f01-3b2d39501f02</v>
      </c>
      <c r="C163" s="13" t="str">
        <f aca="false">IFERROR(__xludf.dummyfunction("""COMPUTED_VALUE"""),"Sherdil Daal Chana Bareek 5kg")</f>
        <v>Sherdil Daal Chana Bareek 5kg</v>
      </c>
      <c r="D163" s="13" t="str">
        <f aca="false">IFERROR(__xludf.dummyfunction("""COMPUTED_VALUE"""),"Sherdil")</f>
        <v>Sherdil</v>
      </c>
      <c r="E163" s="13" t="str">
        <f aca="false">IFERROR(__xludf.dummyfunction("""COMPUTED_VALUE"""),"Pulses")</f>
        <v>Pulses</v>
      </c>
      <c r="F163" s="11" t="n">
        <f aca="false">IFERROR(__xludf.dummyfunction("""COMPUTED_VALUE"""),45084)</f>
        <v>45084</v>
      </c>
      <c r="G163" s="12" t="n">
        <f aca="false">IFERROR(__xludf.dummyfunction("""COMPUTED_VALUE"""),0.539576377313807)</f>
        <v>0.5395763773</v>
      </c>
      <c r="H163" s="13" t="str">
        <f aca="false">IFERROR(__xludf.dummyfunction("""COMPUTED_VALUE"""),"damaged stock")</f>
        <v>damaged stock</v>
      </c>
      <c r="I163" s="13" t="n">
        <f aca="false">IFERROR(__xludf.dummyfunction("""COMPUTED_VALUE"""),8)</f>
        <v>8</v>
      </c>
      <c r="J163" s="13" t="n">
        <f aca="false">IFERROR(__xludf.dummyfunction("""COMPUTED_VALUE"""),1190)</f>
        <v>1190</v>
      </c>
      <c r="K163" s="13" t="n">
        <f aca="false">IFERROR(__xludf.dummyfunction("""COMPUTED_VALUE"""),9520)</f>
        <v>9520</v>
      </c>
      <c r="L163" s="13" t="str">
        <f aca="false">IFERROR(__xludf.dummyfunction("""COMPUTED_VALUE"""),"[Code: 377GGK] 08 units found damaged due to fungus (Quality Issue)")</f>
        <v>[Code: 377GGK] 08 units found damaged due to fungus (Quality Issue)</v>
      </c>
      <c r="M163" s="13" t="str">
        <f aca="false">IFERROR(__xludf.dummyfunction("""COMPUTED_VALUE"""),"377GGK")</f>
        <v>377GGK</v>
      </c>
      <c r="N163" s="13"/>
      <c r="O163" s="13" t="str">
        <f aca="false">IFERROR(__xludf.dummyfunction("""COMPUTED_VALUE"""),"ali.raza@tajir-app.com")</f>
        <v>ali.raza@tajir-app.com</v>
      </c>
      <c r="P163" s="13" t="str">
        <f aca="false">IFERROR(__xludf.dummyfunction("""COMPUTED_VALUE"""),"Ali Raza ")</f>
        <v>Ali Raza </v>
      </c>
      <c r="Q163" s="13" t="str">
        <f aca="false">IFERROR(__xludf.dummyfunction("""COMPUTED_VALUE"""),"[Code: 377GGK] 08 units found damaged due to fungus (Quality Issue)")</f>
        <v>[Code: 377GGK] 08 units found damaged due to fungus (Quality Issue)</v>
      </c>
      <c r="R163" s="13" t="str">
        <v>Wed,07-June-2023 ,12:56 PM</v>
      </c>
      <c r="S163" s="13" t="str">
        <v>Damaged Stock</v>
      </c>
    </row>
    <row r="164" customFormat="false" ht="15.75" hidden="false" customHeight="false" outlineLevel="0" collapsed="false">
      <c r="A164" s="13" t="str">
        <f aca="false">IFERROR(__xludf.dummyfunction("""COMPUTED_VALUE"""),"Metro DC Faisalabad")</f>
        <v>Metro DC Faisalabad</v>
      </c>
      <c r="B164" s="13" t="str">
        <f aca="false">IFERROR(__xludf.dummyfunction("""COMPUTED_VALUE"""),"fe7f6e44-8ea8-4eee-a9ea-e5fce8ce8067")</f>
        <v>fe7f6e44-8ea8-4eee-a9ea-e5fce8ce8067</v>
      </c>
      <c r="C164" s="13" t="str">
        <f aca="false">IFERROR(__xludf.dummyfunction("""COMPUTED_VALUE"""),"Quality Grains Daal Chana Budget 1kg")</f>
        <v>Quality Grains Daal Chana Budget 1kg</v>
      </c>
      <c r="D164" s="13" t="str">
        <f aca="false">IFERROR(__xludf.dummyfunction("""COMPUTED_VALUE"""),"Quality Grains")</f>
        <v>Quality Grains</v>
      </c>
      <c r="E164" s="13" t="str">
        <f aca="false">IFERROR(__xludf.dummyfunction("""COMPUTED_VALUE"""),"Pulses")</f>
        <v>Pulses</v>
      </c>
      <c r="F164" s="11" t="n">
        <f aca="false">IFERROR(__xludf.dummyfunction("""COMPUTED_VALUE"""),45084)</f>
        <v>45084</v>
      </c>
      <c r="G164" s="12" t="n">
        <f aca="false">IFERROR(__xludf.dummyfunction("""COMPUTED_VALUE"""),0.540494189816545)</f>
        <v>0.5404941898</v>
      </c>
      <c r="H164" s="13" t="str">
        <f aca="false">IFERROR(__xludf.dummyfunction("""COMPUTED_VALUE"""),"damaged stock")</f>
        <v>damaged stock</v>
      </c>
      <c r="I164" s="13" t="n">
        <f aca="false">IFERROR(__xludf.dummyfunction("""COMPUTED_VALUE"""),2)</f>
        <v>2</v>
      </c>
      <c r="J164" s="13" t="n">
        <f aca="false">IFERROR(__xludf.dummyfunction("""COMPUTED_VALUE"""),234)</f>
        <v>234</v>
      </c>
      <c r="K164" s="13" t="n">
        <f aca="false">IFERROR(__xludf.dummyfunction("""COMPUTED_VALUE"""),468)</f>
        <v>468</v>
      </c>
      <c r="L164" s="13" t="str">
        <f aca="false">IFERROR(__xludf.dummyfunction("""COMPUTED_VALUE"""),"[Code: 5567BG] 02 units found damaged due to fungus (quality issue)")</f>
        <v>[Code: 5567BG] 02 units found damaged due to fungus (quality issue)</v>
      </c>
      <c r="M164" s="13" t="str">
        <f aca="false">IFERROR(__xludf.dummyfunction("""COMPUTED_VALUE"""),"5567BG")</f>
        <v>5567BG</v>
      </c>
      <c r="N164" s="13"/>
      <c r="O164" s="13" t="str">
        <f aca="false">IFERROR(__xludf.dummyfunction("""COMPUTED_VALUE"""),"ali.raza@tajir-app.com")</f>
        <v>ali.raza@tajir-app.com</v>
      </c>
      <c r="P164" s="13" t="str">
        <f aca="false">IFERROR(__xludf.dummyfunction("""COMPUTED_VALUE"""),"Ali Raza ")</f>
        <v>Ali Raza </v>
      </c>
      <c r="Q164" s="13" t="str">
        <f aca="false">IFERROR(__xludf.dummyfunction("""COMPUTED_VALUE"""),"[Code: 5567BG] 02 units found damaged due to fungus (quality issue)")</f>
        <v>[Code: 5567BG] 02 units found damaged due to fungus (quality issue)</v>
      </c>
      <c r="R164" s="13" t="str">
        <v>Wed,07-June-2023 ,12:58 PM</v>
      </c>
      <c r="S164" s="13" t="str">
        <v>Damaged Stock</v>
      </c>
    </row>
    <row r="165" customFormat="false" ht="15.75" hidden="false" customHeight="false" outlineLevel="0" collapsed="false">
      <c r="A165" s="13" t="str">
        <f aca="false">IFERROR(__xludf.dummyfunction("""COMPUTED_VALUE"""),"Metro DC Faisalabad")</f>
        <v>Metro DC Faisalabad</v>
      </c>
      <c r="B165" s="13" t="str">
        <f aca="false">IFERROR(__xludf.dummyfunction("""COMPUTED_VALUE"""),"6bf8e4d8-b1ee-4416-8677-04c83525e4ce")</f>
        <v>6bf8e4d8-b1ee-4416-8677-04c83525e4ce</v>
      </c>
      <c r="C165" s="13" t="str">
        <f aca="false">IFERROR(__xludf.dummyfunction("""COMPUTED_VALUE"""),"Dummer Super Fine Atta 15kg")</f>
        <v>Dummer Super Fine Atta 15kg</v>
      </c>
      <c r="D165" s="13" t="str">
        <f aca="false">IFERROR(__xludf.dummyfunction("""COMPUTED_VALUE"""),"Dummer Atta")</f>
        <v>Dummer Atta</v>
      </c>
      <c r="E165" s="13" t="str">
        <f aca="false">IFERROR(__xludf.dummyfunction("""COMPUTED_VALUE"""),"Flour")</f>
        <v>Flour</v>
      </c>
      <c r="F165" s="11" t="n">
        <f aca="false">IFERROR(__xludf.dummyfunction("""COMPUTED_VALUE"""),45084)</f>
        <v>45084</v>
      </c>
      <c r="G165" s="12" t="n">
        <f aca="false">IFERROR(__xludf.dummyfunction("""COMPUTED_VALUE"""),0.912403136573735)</f>
        <v>0.9124031366</v>
      </c>
      <c r="H165" s="13" t="str">
        <f aca="false">IFERROR(__xludf.dummyfunction("""COMPUTED_VALUE"""),"damaged stock")</f>
        <v>damaged stock</v>
      </c>
      <c r="I165" s="13" t="n">
        <f aca="false">IFERROR(__xludf.dummyfunction("""COMPUTED_VALUE"""),21)</f>
        <v>21</v>
      </c>
      <c r="J165" s="13" t="n">
        <f aca="false">IFERROR(__xludf.dummyfunction("""COMPUTED_VALUE"""),1680)</f>
        <v>1680</v>
      </c>
      <c r="K165" s="13" t="n">
        <f aca="false">IFERROR(__xludf.dummyfunction("""COMPUTED_VALUE"""),35280)</f>
        <v>35280</v>
      </c>
      <c r="L165" s="13" t="str">
        <f aca="false">IFERROR(__xludf.dummyfunction("""COMPUTED_VALUE"""),"[Code: 55678B] TA;21 units found damaged due to fungus (Quality issu )")</f>
        <v>[Code: 55678B] TA;21 units found damaged due to fungus (Quality issu )</v>
      </c>
      <c r="M165" s="13" t="str">
        <f aca="false">IFERROR(__xludf.dummyfunction("""COMPUTED_VALUE"""),"55678B")</f>
        <v>55678B</v>
      </c>
      <c r="N165" s="13"/>
      <c r="O165" s="13" t="str">
        <f aca="false">IFERROR(__xludf.dummyfunction("""COMPUTED_VALUE"""),"taufeeq.akhtar@tajir-app.com")</f>
        <v>taufeeq.akhtar@tajir-app.com</v>
      </c>
      <c r="P165" s="13" t="str">
        <f aca="false">IFERROR(__xludf.dummyfunction("""COMPUTED_VALUE"""),"Taufeeq Akhtar ")</f>
        <v>Taufeeq Akhtar </v>
      </c>
      <c r="Q165" s="13" t="str">
        <f aca="false">IFERROR(__xludf.dummyfunction("""COMPUTED_VALUE"""),"[Code: 55678B] TA;21 units found damaged due to fungus (Quality issu )")</f>
        <v>[Code: 55678B] TA;21 units found damaged due to fungus (Quality issu )</v>
      </c>
      <c r="R165" s="13" t="str">
        <v>Wed,07-June-2023 ,09:53 PM</v>
      </c>
      <c r="S165" s="13" t="str">
        <v>Damaged Stock</v>
      </c>
    </row>
    <row r="166" customFormat="false" ht="15.75" hidden="false" customHeight="false" outlineLevel="0" collapsed="false">
      <c r="A166" s="13" t="str">
        <f aca="false">IFERROR(__xludf.dummyfunction("""COMPUTED_VALUE"""),"Metro DC Faisalabad")</f>
        <v>Metro DC Faisalabad</v>
      </c>
      <c r="B166" s="13" t="str">
        <f aca="false">IFERROR(__xludf.dummyfunction("""COMPUTED_VALUE"""),"d833817f-cf3e-4c58-89b9-79905c414df1")</f>
        <v>d833817f-cf3e-4c58-89b9-79905c414df1</v>
      </c>
      <c r="C166" s="13" t="str">
        <f aca="false">IFERROR(__xludf.dummyfunction("""COMPUTED_VALUE"""),"Booster NR 250ml")</f>
        <v>Booster NR 250ml</v>
      </c>
      <c r="D166" s="13" t="str">
        <f aca="false">IFERROR(__xludf.dummyfunction("""COMPUTED_VALUE"""),"Booster")</f>
        <v>Booster</v>
      </c>
      <c r="E166" s="13" t="str">
        <f aca="false">IFERROR(__xludf.dummyfunction("""COMPUTED_VALUE"""),"Beverages")</f>
        <v>Beverages</v>
      </c>
      <c r="F166" s="11" t="n">
        <f aca="false">IFERROR(__xludf.dummyfunction("""COMPUTED_VALUE"""),45086)</f>
        <v>45086</v>
      </c>
      <c r="G166" s="12" t="n">
        <f aca="false">IFERROR(__xludf.dummyfunction("""COMPUTED_VALUE"""),0.674516759257675)</f>
        <v>0.6745167593</v>
      </c>
      <c r="H166" s="13" t="str">
        <f aca="false">IFERROR(__xludf.dummyfunction("""COMPUTED_VALUE"""),"damaged stock")</f>
        <v>damaged stock</v>
      </c>
      <c r="I166" s="13" t="n">
        <f aca="false">IFERROR(__xludf.dummyfunction("""COMPUTED_VALUE"""),1)</f>
        <v>1</v>
      </c>
      <c r="J166" s="13" t="n">
        <f aca="false">IFERROR(__xludf.dummyfunction("""COMPUTED_VALUE"""),669.6)</f>
        <v>669.6</v>
      </c>
      <c r="K166" s="13" t="n">
        <f aca="false">IFERROR(__xludf.dummyfunction("""COMPUTED_VALUE"""),669.6)</f>
        <v>669.6</v>
      </c>
      <c r="L166" s="13" t="str">
        <f aca="false">IFERROR(__xludf.dummyfunction("""COMPUTED_VALUE"""),"[Code: 34BEFK] TA: Four empty botel found in pet During sorting.(Company end issue)")</f>
        <v>[Code: 34BEFK] TA: Four empty botel found in pet During sorting.(Company end issue)</v>
      </c>
      <c r="M166" s="13" t="str">
        <f aca="false">IFERROR(__xludf.dummyfunction("""COMPUTED_VALUE"""),"34BEFK")</f>
        <v>34BEFK</v>
      </c>
      <c r="N166" s="13"/>
      <c r="O166" s="13" t="str">
        <f aca="false">IFERROR(__xludf.dummyfunction("""COMPUTED_VALUE"""),"taufeeq.akhtar@tajir-app.com")</f>
        <v>taufeeq.akhtar@tajir-app.com</v>
      </c>
      <c r="P166" s="13" t="str">
        <f aca="false">IFERROR(__xludf.dummyfunction("""COMPUTED_VALUE"""),"Taufeeq Akhtar ")</f>
        <v>Taufeeq Akhtar </v>
      </c>
      <c r="Q166" s="13" t="str">
        <f aca="false">IFERROR(__xludf.dummyfunction("""COMPUTED_VALUE"""),"[Code: 34BEFK] TA: Four empty botel found in pet During sorting.(Company end issue)")</f>
        <v>[Code: 34BEFK] TA: Four empty botel found in pet During sorting.(Company end issue)</v>
      </c>
      <c r="R166" s="13" t="str">
        <v>Fri,09-June-2023 ,04:11 PM</v>
      </c>
      <c r="S166" s="13" t="str">
        <v>Damaged Stock</v>
      </c>
    </row>
    <row r="167" customFormat="false" ht="15.75" hidden="false" customHeight="false" outlineLevel="0" collapsed="false">
      <c r="A167" s="13" t="str">
        <f aca="false">IFERROR(__xludf.dummyfunction("""COMPUTED_VALUE"""),"Metro DC Faisalabad")</f>
        <v>Metro DC Faisalabad</v>
      </c>
      <c r="B167" s="13" t="str">
        <f aca="false">IFERROR(__xludf.dummyfunction("""COMPUTED_VALUE"""),"b7e47528-8822-461b-8889-f508bace7dfe")</f>
        <v>b7e47528-8822-461b-8889-f508bace7dfe</v>
      </c>
      <c r="C167" s="13" t="str">
        <f aca="false">IFERROR(__xludf.dummyfunction("""COMPUTED_VALUE"""),"Sherdil Daal Chana Bareek 1kg")</f>
        <v>Sherdil Daal Chana Bareek 1kg</v>
      </c>
      <c r="D167" s="13" t="str">
        <f aca="false">IFERROR(__xludf.dummyfunction("""COMPUTED_VALUE"""),"Sherdil")</f>
        <v>Sherdil</v>
      </c>
      <c r="E167" s="13" t="str">
        <f aca="false">IFERROR(__xludf.dummyfunction("""COMPUTED_VALUE"""),"Pulses")</f>
        <v>Pulses</v>
      </c>
      <c r="F167" s="11" t="n">
        <f aca="false">IFERROR(__xludf.dummyfunction("""COMPUTED_VALUE"""),45086)</f>
        <v>45086</v>
      </c>
      <c r="G167" s="12" t="n">
        <f aca="false">IFERROR(__xludf.dummyfunction("""COMPUTED_VALUE"""),0.717020937501617)</f>
        <v>0.7170209375</v>
      </c>
      <c r="H167" s="13" t="str">
        <f aca="false">IFERROR(__xludf.dummyfunction("""COMPUTED_VALUE"""),"damaged stock")</f>
        <v>damaged stock</v>
      </c>
      <c r="I167" s="13" t="n">
        <f aca="false">IFERROR(__xludf.dummyfunction("""COMPUTED_VALUE"""),1)</f>
        <v>1</v>
      </c>
      <c r="J167" s="13" t="n">
        <f aca="false">IFERROR(__xludf.dummyfunction("""COMPUTED_VALUE"""),272)</f>
        <v>272</v>
      </c>
      <c r="K167" s="13" t="n">
        <f aca="false">IFERROR(__xludf.dummyfunction("""COMPUTED_VALUE"""),272)</f>
        <v>272</v>
      </c>
      <c r="L167" s="13" t="str">
        <f aca="false">IFERROR(__xludf.dummyfunction("""COMPUTED_VALUE"""),"[Code: 469BBD] TA: (Quality issue,company end): daal ki qaulity sahi nahi hay ulli lagi hui hain.")</f>
        <v>[Code: 469BBD] TA: (Quality issue,company end): daal ki qaulity sahi nahi hay ulli lagi hui hain.</v>
      </c>
      <c r="M167" s="13" t="str">
        <f aca="false">IFERROR(__xludf.dummyfunction("""COMPUTED_VALUE"""),"469BBD")</f>
        <v>469BBD</v>
      </c>
      <c r="N167" s="13"/>
      <c r="O167" s="13" t="str">
        <f aca="false">IFERROR(__xludf.dummyfunction("""COMPUTED_VALUE"""),"taufeeq.akhtar@tajir-app.com")</f>
        <v>taufeeq.akhtar@tajir-app.com</v>
      </c>
      <c r="P167" s="13" t="str">
        <f aca="false">IFERROR(__xludf.dummyfunction("""COMPUTED_VALUE"""),"Taufeeq Akhtar ")</f>
        <v>Taufeeq Akhtar </v>
      </c>
      <c r="Q167" s="13" t="str">
        <f aca="false">IFERROR(__xludf.dummyfunction("""COMPUTED_VALUE"""),"[Code: 469BBD] TA: (Quality issue,company end): daal ki qaulity sahi nahi hay ulli lagi hui hain.")</f>
        <v>[Code: 469BBD] TA: (Quality issue,company end): daal ki qaulity sahi nahi hay ulli lagi hui hain.</v>
      </c>
      <c r="R167" s="13" t="str">
        <v>Fri,09-June-2023 ,05:12 PM</v>
      </c>
      <c r="S167" s="13" t="str">
        <v>Damaged Stock</v>
      </c>
    </row>
    <row r="168" customFormat="false" ht="15.75" hidden="false" customHeight="false" outlineLevel="0" collapsed="false">
      <c r="A168" s="13" t="str">
        <f aca="false">IFERROR(__xludf.dummyfunction("""COMPUTED_VALUE"""),"Metro DC Faisalabad")</f>
        <v>Metro DC Faisalabad</v>
      </c>
      <c r="B168" s="13" t="str">
        <f aca="false">IFERROR(__xludf.dummyfunction("""COMPUTED_VALUE"""),"36f65055-820f-48bd-917c-ec2013ee64ec")</f>
        <v>36f65055-820f-48bd-917c-ec2013ee64ec</v>
      </c>
      <c r="C168" s="13" t="str">
        <f aca="false">IFERROR(__xludf.dummyfunction("""COMPUTED_VALUE"""),"Shangrila Chilli Garlic Sauce x3 Bundle 800g")</f>
        <v>Shangrila Chilli Garlic Sauce x3 Bundle 800g</v>
      </c>
      <c r="D168" s="13" t="str">
        <f aca="false">IFERROR(__xludf.dummyfunction("""COMPUTED_VALUE"""),"Shangrila")</f>
        <v>Shangrila</v>
      </c>
      <c r="E168" s="13" t="str">
        <f aca="false">IFERROR(__xludf.dummyfunction("""COMPUTED_VALUE"""),"Sauces")</f>
        <v>Sauces</v>
      </c>
      <c r="F168" s="11" t="n">
        <f aca="false">IFERROR(__xludf.dummyfunction("""COMPUTED_VALUE"""),45086)</f>
        <v>45086</v>
      </c>
      <c r="G168" s="12" t="n">
        <f aca="false">IFERROR(__xludf.dummyfunction("""COMPUTED_VALUE"""),0.718477025463513)</f>
        <v>0.7184770255</v>
      </c>
      <c r="H168" s="13" t="str">
        <f aca="false">IFERROR(__xludf.dummyfunction("""COMPUTED_VALUE"""),"damaged stock")</f>
        <v>damaged stock</v>
      </c>
      <c r="I168" s="13" t="n">
        <f aca="false">IFERROR(__xludf.dummyfunction("""COMPUTED_VALUE"""),1)</f>
        <v>1</v>
      </c>
      <c r="J168" s="13" t="n">
        <f aca="false">IFERROR(__xludf.dummyfunction("""COMPUTED_VALUE"""),987.91)</f>
        <v>987.91</v>
      </c>
      <c r="K168" s="13" t="n">
        <f aca="false">IFERROR(__xludf.dummyfunction("""COMPUTED_VALUE"""),987.91)</f>
        <v>987.91</v>
      </c>
      <c r="L168" s="13" t="str">
        <f aca="false">IFERROR(__xludf.dummyfunction("""COMPUTED_VALUE"""),"[Code: 578EFF] TA: Display karty waqt box may say damaged nikla aik piece.")</f>
        <v>[Code: 578EFF] TA: Display karty waqt box may say damaged nikla aik piece.</v>
      </c>
      <c r="M168" s="13" t="str">
        <f aca="false">IFERROR(__xludf.dummyfunction("""COMPUTED_VALUE"""),"578EFF")</f>
        <v>578EFF</v>
      </c>
      <c r="N168" s="13"/>
      <c r="O168" s="13" t="str">
        <f aca="false">IFERROR(__xludf.dummyfunction("""COMPUTED_VALUE"""),"taufeeq.akhtar@tajir-app.com")</f>
        <v>taufeeq.akhtar@tajir-app.com</v>
      </c>
      <c r="P168" s="13" t="str">
        <f aca="false">IFERROR(__xludf.dummyfunction("""COMPUTED_VALUE"""),"Taufeeq Akhtar ")</f>
        <v>Taufeeq Akhtar </v>
      </c>
      <c r="Q168" s="13" t="str">
        <f aca="false">IFERROR(__xludf.dummyfunction("""COMPUTED_VALUE"""),"[Code: 578EFF] TA: Display karty waqt box may say damaged nikla aik piece.")</f>
        <v>[Code: 578EFF] TA: Display karty waqt box may say damaged nikla aik piece.</v>
      </c>
      <c r="R168" s="13" t="str">
        <v>Fri,09-June-2023 ,05:14 PM</v>
      </c>
      <c r="S168" s="13" t="str">
        <v>Damaged Stock</v>
      </c>
    </row>
    <row r="169" customFormat="false" ht="15.75" hidden="false" customHeight="false" outlineLevel="0" collapsed="false">
      <c r="A169" s="13" t="str">
        <f aca="false">IFERROR(__xludf.dummyfunction("""COMPUTED_VALUE"""),"Metro DC Faisalabad")</f>
        <v>Metro DC Faisalabad</v>
      </c>
      <c r="B169" s="13" t="str">
        <f aca="false">IFERROR(__xludf.dummyfunction("""COMPUTED_VALUE"""),"65650175-df92-4ef5-ae18-f525df57d160")</f>
        <v>65650175-df92-4ef5-ae18-f525df57d160</v>
      </c>
      <c r="C169" s="13" t="str">
        <f aca="false">IFERROR(__xludf.dummyfunction("""COMPUTED_VALUE"""),"Coca Cola plastic 500ml (Half Liter)")</f>
        <v>Coca Cola plastic 500ml (Half Liter)</v>
      </c>
      <c r="D169" s="13" t="str">
        <f aca="false">IFERROR(__xludf.dummyfunction("""COMPUTED_VALUE"""),"Coca Cola")</f>
        <v>Coca Cola</v>
      </c>
      <c r="E169" s="13" t="str">
        <f aca="false">IFERROR(__xludf.dummyfunction("""COMPUTED_VALUE"""),"Beverages")</f>
        <v>Beverages</v>
      </c>
      <c r="F169" s="11" t="n">
        <f aca="false">IFERROR(__xludf.dummyfunction("""COMPUTED_VALUE"""),45089)</f>
        <v>45089</v>
      </c>
      <c r="G169" s="12" t="n">
        <f aca="false">IFERROR(__xludf.dummyfunction("""COMPUTED_VALUE"""),0.812744548609721)</f>
        <v>0.8127445486</v>
      </c>
      <c r="H169" s="13" t="str">
        <f aca="false">IFERROR(__xludf.dummyfunction("""COMPUTED_VALUE"""),"damaged stock")</f>
        <v>damaged stock</v>
      </c>
      <c r="I169" s="13" t="n">
        <f aca="false">IFERROR(__xludf.dummyfunction("""COMPUTED_VALUE"""),2)</f>
        <v>2</v>
      </c>
      <c r="J169" s="13" t="n">
        <f aca="false">IFERROR(__xludf.dummyfunction("""COMPUTED_VALUE"""),839)</f>
        <v>839</v>
      </c>
      <c r="K169" s="13" t="n">
        <f aca="false">IFERROR(__xludf.dummyfunction("""COMPUTED_VALUE"""),1678)</f>
        <v>1678</v>
      </c>
      <c r="L169" s="13" t="str">
        <f aca="false">IFERROR(__xludf.dummyfunction("""COMPUTED_VALUE"""),"[Code: 24466E] TA:(company end issuue ) Found in loose condition during sorting:")</f>
        <v>[Code: 24466E] TA:(company end issuue ) Found in loose condition during sorting:</v>
      </c>
      <c r="M169" s="13" t="str">
        <f aca="false">IFERROR(__xludf.dummyfunction("""COMPUTED_VALUE"""),"24466E")</f>
        <v>24466E</v>
      </c>
      <c r="N169" s="13"/>
      <c r="O169" s="13" t="str">
        <f aca="false">IFERROR(__xludf.dummyfunction("""COMPUTED_VALUE"""),"taufeeq.akhtar@tajir-app.com")</f>
        <v>taufeeq.akhtar@tajir-app.com</v>
      </c>
      <c r="P169" s="13" t="str">
        <f aca="false">IFERROR(__xludf.dummyfunction("""COMPUTED_VALUE"""),"Taufeeq Akhtar ")</f>
        <v>Taufeeq Akhtar </v>
      </c>
      <c r="Q169" s="13" t="str">
        <f aca="false">IFERROR(__xludf.dummyfunction("""COMPUTED_VALUE"""),"[Code: 24466E] TA:(company end issuue ) Found in loose condition during sorting:")</f>
        <v>[Code: 24466E] TA:(company end issuue ) Found in loose condition during sorting:</v>
      </c>
      <c r="R169" s="13" t="str">
        <v>Mon,12-June-2023 ,07:30 PM</v>
      </c>
      <c r="S169" s="13" t="str">
        <v>Damaged Stock</v>
      </c>
    </row>
    <row r="170" customFormat="false" ht="15.75" hidden="false" customHeight="false" outlineLevel="0" collapsed="false">
      <c r="A170" s="13" t="str">
        <f aca="false">IFERROR(__xludf.dummyfunction("""COMPUTED_VALUE"""),"Metro DC Faisalabad")</f>
        <v>Metro DC Faisalabad</v>
      </c>
      <c r="B170" s="13" t="str">
        <f aca="false">IFERROR(__xludf.dummyfunction("""COMPUTED_VALUE"""),"e9afd721-6631-4c9e-82b8-a67357d6c119")</f>
        <v>e9afd721-6631-4c9e-82b8-a67357d6c119</v>
      </c>
      <c r="C170" s="13" t="str">
        <f aca="false">IFERROR(__xludf.dummyfunction("""COMPUTED_VALUE"""),"National Hyderabadi Pickle 1kg")</f>
        <v>National Hyderabadi Pickle 1kg</v>
      </c>
      <c r="D170" s="13" t="str">
        <f aca="false">IFERROR(__xludf.dummyfunction("""COMPUTED_VALUE"""),"National")</f>
        <v>National</v>
      </c>
      <c r="E170" s="13" t="str">
        <f aca="false">IFERROR(__xludf.dummyfunction("""COMPUTED_VALUE"""),"Sauces")</f>
        <v>Sauces</v>
      </c>
      <c r="F170" s="11" t="n">
        <f aca="false">IFERROR(__xludf.dummyfunction("""COMPUTED_VALUE"""),45089)</f>
        <v>45089</v>
      </c>
      <c r="G170" s="12" t="n">
        <f aca="false">IFERROR(__xludf.dummyfunction("""COMPUTED_VALUE"""),0.814050208333015)</f>
        <v>0.8140502083</v>
      </c>
      <c r="H170" s="13" t="str">
        <f aca="false">IFERROR(__xludf.dummyfunction("""COMPUTED_VALUE"""),"damaged stock")</f>
        <v>damaged stock</v>
      </c>
      <c r="I170" s="13" t="n">
        <f aca="false">IFERROR(__xludf.dummyfunction("""COMPUTED_VALUE"""),1)</f>
        <v>1</v>
      </c>
      <c r="J170" s="13" t="n">
        <f aca="false">IFERROR(__xludf.dummyfunction("""COMPUTED_VALUE"""),571.67)</f>
        <v>571.67</v>
      </c>
      <c r="K170" s="13" t="n">
        <f aca="false">IFERROR(__xludf.dummyfunction("""COMPUTED_VALUE"""),571.67)</f>
        <v>571.67</v>
      </c>
      <c r="L170" s="13" t="str">
        <f aca="false">IFERROR(__xludf.dummyfunction("""COMPUTED_VALUE"""),"[Code: 34889B] TA: company end issue : found in loose condtion during sorting ;")</f>
        <v>[Code: 34889B] TA: company end issue : found in loose condtion during sorting ;</v>
      </c>
      <c r="M170" s="13" t="str">
        <f aca="false">IFERROR(__xludf.dummyfunction("""COMPUTED_VALUE"""),"34889B")</f>
        <v>34889B</v>
      </c>
      <c r="N170" s="13"/>
      <c r="O170" s="13" t="str">
        <f aca="false">IFERROR(__xludf.dummyfunction("""COMPUTED_VALUE"""),"taufeeq.akhtar@tajir-app.com")</f>
        <v>taufeeq.akhtar@tajir-app.com</v>
      </c>
      <c r="P170" s="13" t="str">
        <f aca="false">IFERROR(__xludf.dummyfunction("""COMPUTED_VALUE"""),"Taufeeq Akhtar ")</f>
        <v>Taufeeq Akhtar </v>
      </c>
      <c r="Q170" s="13" t="str">
        <f aca="false">IFERROR(__xludf.dummyfunction("""COMPUTED_VALUE"""),"[Code: 34889B] TA: company end issue : found in loose condtion during sorting ;")</f>
        <v>[Code: 34889B] TA: company end issue : found in loose condtion during sorting ;</v>
      </c>
      <c r="R170" s="13" t="str">
        <v>Mon,12-June-2023 ,07:32 PM</v>
      </c>
      <c r="S170" s="13" t="str">
        <v>Damaged Stock</v>
      </c>
    </row>
    <row r="171" customFormat="false" ht="15.75" hidden="false" customHeight="false" outlineLevel="0" collapsed="false">
      <c r="A171" s="13" t="str">
        <f aca="false">IFERROR(__xludf.dummyfunction("""COMPUTED_VALUE"""),"Metro DC Faisalabad")</f>
        <v>Metro DC Faisalabad</v>
      </c>
      <c r="B171" s="13" t="str">
        <f aca="false">IFERROR(__xludf.dummyfunction("""COMPUTED_VALUE"""),"75d54c08-307e-4a4f-90f3-1310ae913c1b")</f>
        <v>75d54c08-307e-4a4f-90f3-1310ae913c1b</v>
      </c>
      <c r="C171" s="13" t="str">
        <f aca="false">IFERROR(__xludf.dummyfunction("""COMPUTED_VALUE"""),"Kolson Slanty Jalapeno 60Pcs Rs10 5g")</f>
        <v>Kolson Slanty Jalapeno 60Pcs Rs10 5g</v>
      </c>
      <c r="D171" s="13" t="str">
        <f aca="false">IFERROR(__xludf.dummyfunction("""COMPUTED_VALUE"""),"Kolson")</f>
        <v>Kolson</v>
      </c>
      <c r="E171" s="13" t="str">
        <f aca="false">IFERROR(__xludf.dummyfunction("""COMPUTED_VALUE"""),"Snacks")</f>
        <v>Snacks</v>
      </c>
      <c r="F171" s="11" t="n">
        <f aca="false">IFERROR(__xludf.dummyfunction("""COMPUTED_VALUE"""),45090)</f>
        <v>45090</v>
      </c>
      <c r="G171" s="12" t="n">
        <f aca="false">IFERROR(__xludf.dummyfunction("""COMPUTED_VALUE"""),0.638944652779303)</f>
        <v>0.6389446528</v>
      </c>
      <c r="H171" s="13" t="str">
        <f aca="false">IFERROR(__xludf.dummyfunction("""COMPUTED_VALUE"""),"damaged stock")</f>
        <v>damaged stock</v>
      </c>
      <c r="I171" s="13" t="n">
        <f aca="false">IFERROR(__xludf.dummyfunction("""COMPUTED_VALUE"""),6)</f>
        <v>6</v>
      </c>
      <c r="J171" s="13" t="n">
        <f aca="false">IFERROR(__xludf.dummyfunction("""COMPUTED_VALUE"""),519.82)</f>
        <v>519.82</v>
      </c>
      <c r="K171" s="13" t="n">
        <f aca="false">IFERROR(__xludf.dummyfunction("""COMPUTED_VALUE"""),3118.92)</f>
        <v>3118.92</v>
      </c>
      <c r="L171" s="13" t="str">
        <f aca="false">IFERROR(__xludf.dummyfunction("""COMPUTED_VALUE"""),"[Code: 3668AB] expriy not mentioned on 6 units ")</f>
        <v>[Code: 3668AB] expriy not mentioned on 6 units </v>
      </c>
      <c r="M171" s="13" t="str">
        <f aca="false">IFERROR(__xludf.dummyfunction("""COMPUTED_VALUE"""),"3668AB")</f>
        <v>3668AB</v>
      </c>
      <c r="N171" s="13"/>
      <c r="O171" s="13" t="str">
        <f aca="false">IFERROR(__xludf.dummyfunction("""COMPUTED_VALUE"""),"ali.raza@tajir-app.com")</f>
        <v>ali.raza@tajir-app.com</v>
      </c>
      <c r="P171" s="13" t="str">
        <f aca="false">IFERROR(__xludf.dummyfunction("""COMPUTED_VALUE"""),"Ali Raza ")</f>
        <v>Ali Raza </v>
      </c>
      <c r="Q171" s="13" t="str">
        <f aca="false">IFERROR(__xludf.dummyfunction("""COMPUTED_VALUE"""),"[Code: 3668AB] expriy not mentioned on 6 units ")</f>
        <v>[Code: 3668AB] expriy not mentioned on 6 units </v>
      </c>
      <c r="R171" s="13" t="str">
        <v>Tue,13-June-2023 ,03:20 PM</v>
      </c>
      <c r="S171" s="13" t="str">
        <v>Damaged Stock</v>
      </c>
    </row>
    <row r="172" customFormat="false" ht="15.75" hidden="false" customHeight="false" outlineLevel="0" collapsed="false">
      <c r="A172" s="13" t="str">
        <f aca="false">IFERROR(__xludf.dummyfunction("""COMPUTED_VALUE"""),"Metro DC Faisalabad")</f>
        <v>Metro DC Faisalabad</v>
      </c>
      <c r="B172" s="13" t="str">
        <f aca="false">IFERROR(__xludf.dummyfunction("""COMPUTED_VALUE"""),"73450c2c-e78c-4c7c-ada4-17c7817fcb4c")</f>
        <v>73450c2c-e78c-4c7c-ada4-17c7817fcb4c</v>
      </c>
      <c r="C172" s="13" t="str">
        <f aca="false">IFERROR(__xludf.dummyfunction("""COMPUTED_VALUE"""),"Plastic Special Phool Jharoo")</f>
        <v>Plastic Special Phool Jharoo</v>
      </c>
      <c r="D172" s="13" t="str">
        <f aca="false">IFERROR(__xludf.dummyfunction("""COMPUTED_VALUE"""),"Jharoo")</f>
        <v>Jharoo</v>
      </c>
      <c r="E172" s="13" t="str">
        <f aca="false">IFERROR(__xludf.dummyfunction("""COMPUTED_VALUE"""),"Home Care")</f>
        <v>Home Care</v>
      </c>
      <c r="F172" s="11" t="n">
        <f aca="false">IFERROR(__xludf.dummyfunction("""COMPUTED_VALUE"""),45090)</f>
        <v>45090</v>
      </c>
      <c r="G172" s="12" t="n">
        <f aca="false">IFERROR(__xludf.dummyfunction("""COMPUTED_VALUE"""),0.94817033564797)</f>
        <v>0.9481703356</v>
      </c>
      <c r="H172" s="13" t="str">
        <f aca="false">IFERROR(__xludf.dummyfunction("""COMPUTED_VALUE"""),"damaged stock")</f>
        <v>damaged stock</v>
      </c>
      <c r="I172" s="13" t="n">
        <f aca="false">IFERROR(__xludf.dummyfunction("""COMPUTED_VALUE"""),1)</f>
        <v>1</v>
      </c>
      <c r="J172" s="13" t="n">
        <f aca="false">IFERROR(__xludf.dummyfunction("""COMPUTED_VALUE"""),135)</f>
        <v>135</v>
      </c>
      <c r="K172" s="13" t="n">
        <f aca="false">IFERROR(__xludf.dummyfunction("""COMPUTED_VALUE"""),135)</f>
        <v>135</v>
      </c>
      <c r="L172" s="13" t="str">
        <f aca="false">IFERROR(__xludf.dummyfunction("""COMPUTED_VALUE"""),"[Code: 235579] TA: company end issue(bundle may say toota hua nikla)")</f>
        <v>[Code: 235579] TA: company end issue(bundle may say toota hua nikla)</v>
      </c>
      <c r="M172" s="13" t="str">
        <f aca="false">IFERROR(__xludf.dummyfunction("""COMPUTED_VALUE"""),"235579")</f>
        <v>235579</v>
      </c>
      <c r="N172" s="13"/>
      <c r="O172" s="13" t="str">
        <f aca="false">IFERROR(__xludf.dummyfunction("""COMPUTED_VALUE"""),"taufeeq.akhtar@tajir-app.com")</f>
        <v>taufeeq.akhtar@tajir-app.com</v>
      </c>
      <c r="P172" s="13" t="str">
        <f aca="false">IFERROR(__xludf.dummyfunction("""COMPUTED_VALUE"""),"Taufeeq Akhtar ")</f>
        <v>Taufeeq Akhtar </v>
      </c>
      <c r="Q172" s="13" t="str">
        <f aca="false">IFERROR(__xludf.dummyfunction("""COMPUTED_VALUE"""),"[Code: 235579] TA: company end issue(bundle may say toota hua nikla)")</f>
        <v>[Code: 235579] TA: company end issue(bundle may say toota hua nikla)</v>
      </c>
      <c r="R172" s="13" t="str">
        <v>Tue,13-June-2023 ,10:45 PM</v>
      </c>
      <c r="S172" s="13" t="str">
        <v>Damaged Stock</v>
      </c>
    </row>
    <row r="173" customFormat="false" ht="15.75" hidden="false" customHeight="false" outlineLevel="0" collapsed="false">
      <c r="A173" s="13" t="str">
        <f aca="false">IFERROR(__xludf.dummyfunction("""COMPUTED_VALUE"""),"Metro DC Faisalabad")</f>
        <v>Metro DC Faisalabad</v>
      </c>
      <c r="B173" s="13" t="str">
        <f aca="false">IFERROR(__xludf.dummyfunction("""COMPUTED_VALUE"""),"2078dcd4-3c88-45e1-bc7b-363dde84c6e8")</f>
        <v>2078dcd4-3c88-45e1-bc7b-363dde84c6e8</v>
      </c>
      <c r="C173" s="13" t="str">
        <f aca="false">IFERROR(__xludf.dummyfunction("""COMPUTED_VALUE"""),"Special Wooden Phool Jharoo")</f>
        <v>Special Wooden Phool Jharoo</v>
      </c>
      <c r="D173" s="13" t="str">
        <f aca="false">IFERROR(__xludf.dummyfunction("""COMPUTED_VALUE"""),"Jharoo")</f>
        <v>Jharoo</v>
      </c>
      <c r="E173" s="13" t="str">
        <f aca="false">IFERROR(__xludf.dummyfunction("""COMPUTED_VALUE"""),"Home Care")</f>
        <v>Home Care</v>
      </c>
      <c r="F173" s="11" t="n">
        <f aca="false">IFERROR(__xludf.dummyfunction("""COMPUTED_VALUE"""),45090)</f>
        <v>45090</v>
      </c>
      <c r="G173" s="12" t="n">
        <f aca="false">IFERROR(__xludf.dummyfunction("""COMPUTED_VALUE"""),0.950039386575642)</f>
        <v>0.9500393866</v>
      </c>
      <c r="H173" s="13" t="str">
        <f aca="false">IFERROR(__xludf.dummyfunction("""COMPUTED_VALUE"""),"damaged stock")</f>
        <v>damaged stock</v>
      </c>
      <c r="I173" s="13" t="n">
        <f aca="false">IFERROR(__xludf.dummyfunction("""COMPUTED_VALUE"""),2)</f>
        <v>2</v>
      </c>
      <c r="J173" s="13" t="n">
        <f aca="false">IFERROR(__xludf.dummyfunction("""COMPUTED_VALUE"""),135)</f>
        <v>135</v>
      </c>
      <c r="K173" s="13" t="n">
        <f aca="false">IFERROR(__xludf.dummyfunction("""COMPUTED_VALUE"""),270)</f>
        <v>270</v>
      </c>
      <c r="L173" s="13" t="str">
        <f aca="false">IFERROR(__xludf.dummyfunction("""COMPUTED_VALUE"""),"[Code: 247ACD] TA: bundle may say damaged niklay sorting k doran.")</f>
        <v>[Code: 247ACD] TA: bundle may say damaged niklay sorting k doran.</v>
      </c>
      <c r="M173" s="13" t="str">
        <f aca="false">IFERROR(__xludf.dummyfunction("""COMPUTED_VALUE"""),"247ACD")</f>
        <v>247ACD</v>
      </c>
      <c r="N173" s="13"/>
      <c r="O173" s="13" t="str">
        <f aca="false">IFERROR(__xludf.dummyfunction("""COMPUTED_VALUE"""),"taufeeq.akhtar@tajir-app.com")</f>
        <v>taufeeq.akhtar@tajir-app.com</v>
      </c>
      <c r="P173" s="13" t="str">
        <f aca="false">IFERROR(__xludf.dummyfunction("""COMPUTED_VALUE"""),"Taufeeq Akhtar ")</f>
        <v>Taufeeq Akhtar </v>
      </c>
      <c r="Q173" s="13" t="str">
        <f aca="false">IFERROR(__xludf.dummyfunction("""COMPUTED_VALUE"""),"[Code: 247ACD] TA: bundle may say damaged niklay sorting k doran.")</f>
        <v>[Code: 247ACD] TA: bundle may say damaged niklay sorting k doran.</v>
      </c>
      <c r="R173" s="13" t="str">
        <v>Tue,13-June-2023 ,10:48 PM</v>
      </c>
      <c r="S173" s="13" t="str">
        <v>Damaged Stock</v>
      </c>
    </row>
    <row r="174" customFormat="false" ht="15.75" hidden="false" customHeight="false" outlineLevel="0" collapsed="false">
      <c r="A174" s="13" t="str">
        <f aca="false">IFERROR(__xludf.dummyfunction("""COMPUTED_VALUE"""),"Metro DC Faisalabad")</f>
        <v>Metro DC Faisalabad</v>
      </c>
      <c r="B174" s="13" t="str">
        <f aca="false">IFERROR(__xludf.dummyfunction("""COMPUTED_VALUE"""),"0ee035a6-b655-42e7-9383-db7e445284d9")</f>
        <v>0ee035a6-b655-42e7-9383-db7e445284d9</v>
      </c>
      <c r="C174" s="13" t="str">
        <f aca="false">IFERROR(__xludf.dummyfunction("""COMPUTED_VALUE"""),"Sunlight Yellow Clean and Rose Fresh 760g Rs199")</f>
        <v>Sunlight Yellow Clean and Rose Fresh 760g Rs199</v>
      </c>
      <c r="D174" s="13" t="str">
        <f aca="false">IFERROR(__xludf.dummyfunction("""COMPUTED_VALUE"""),"Sunlight")</f>
        <v>Sunlight</v>
      </c>
      <c r="E174" s="13" t="str">
        <f aca="false">IFERROR(__xludf.dummyfunction("""COMPUTED_VALUE"""),"Surf, Bleach")</f>
        <v>Surf, Bleach</v>
      </c>
      <c r="F174" s="11" t="n">
        <f aca="false">IFERROR(__xludf.dummyfunction("""COMPUTED_VALUE"""),45090)</f>
        <v>45090</v>
      </c>
      <c r="G174" s="12" t="n">
        <f aca="false">IFERROR(__xludf.dummyfunction("""COMPUTED_VALUE"""),0.951193298610389)</f>
        <v>0.9511932986</v>
      </c>
      <c r="H174" s="13" t="str">
        <f aca="false">IFERROR(__xludf.dummyfunction("""COMPUTED_VALUE"""),"damaged stock")</f>
        <v>damaged stock</v>
      </c>
      <c r="I174" s="13" t="n">
        <f aca="false">IFERROR(__xludf.dummyfunction("""COMPUTED_VALUE"""),1)</f>
        <v>1</v>
      </c>
      <c r="J174" s="13" t="n">
        <f aca="false">IFERROR(__xludf.dummyfunction("""COMPUTED_VALUE"""),184.17)</f>
        <v>184.17</v>
      </c>
      <c r="K174" s="13" t="n">
        <f aca="false">IFERROR(__xludf.dummyfunction("""COMPUTED_VALUE"""),184.17)</f>
        <v>184.17</v>
      </c>
      <c r="L174" s="13" t="str">
        <f aca="false">IFERROR(__xludf.dummyfunction("""COMPUTED_VALUE"""),"[Code: 34CCEG] TA: thailay may say damaged nikla(Company end issue )")</f>
        <v>[Code: 34CCEG] TA: thailay may say damaged nikla(Company end issue )</v>
      </c>
      <c r="M174" s="13" t="str">
        <f aca="false">IFERROR(__xludf.dummyfunction("""COMPUTED_VALUE"""),"34CCEG")</f>
        <v>34CCEG</v>
      </c>
      <c r="N174" s="13"/>
      <c r="O174" s="13" t="str">
        <f aca="false">IFERROR(__xludf.dummyfunction("""COMPUTED_VALUE"""),"taufeeq.akhtar@tajir-app.com")</f>
        <v>taufeeq.akhtar@tajir-app.com</v>
      </c>
      <c r="P174" s="13" t="str">
        <f aca="false">IFERROR(__xludf.dummyfunction("""COMPUTED_VALUE"""),"Taufeeq Akhtar ")</f>
        <v>Taufeeq Akhtar </v>
      </c>
      <c r="Q174" s="13" t="str">
        <f aca="false">IFERROR(__xludf.dummyfunction("""COMPUTED_VALUE"""),"[Code: 34CCEG] TA: thailay may say damaged nikla(Company end issue )")</f>
        <v>[Code: 34CCEG] TA: thailay may say damaged nikla(Company end issue )</v>
      </c>
      <c r="R174" s="13" t="str">
        <v>Tue,13-June-2023 ,10:49 PM</v>
      </c>
      <c r="S174" s="13" t="str">
        <v>Damaged Stock</v>
      </c>
    </row>
    <row r="175" customFormat="false" ht="15.75" hidden="false" customHeight="false" outlineLevel="0" collapsed="false">
      <c r="A175" s="13" t="str">
        <f aca="false">IFERROR(__xludf.dummyfunction("""COMPUTED_VALUE"""),"Metro DC Faisalabad")</f>
        <v>Metro DC Faisalabad</v>
      </c>
      <c r="B175" s="13" t="str">
        <f aca="false">IFERROR(__xludf.dummyfunction("""COMPUTED_VALUE"""),"23cd5453-e4e2-4f7a-bdb0-4ba6f0aff353")</f>
        <v>23cd5453-e4e2-4f7a-bdb0-4ba6f0aff353</v>
      </c>
      <c r="C175" s="13" t="str">
        <f aca="false">IFERROR(__xludf.dummyfunction("""COMPUTED_VALUE"""),"Sunlight Green Clean and Fresh 700g Rs199")</f>
        <v>Sunlight Green Clean and Fresh 700g Rs199</v>
      </c>
      <c r="D175" s="13" t="str">
        <f aca="false">IFERROR(__xludf.dummyfunction("""COMPUTED_VALUE"""),"Sunlight")</f>
        <v>Sunlight</v>
      </c>
      <c r="E175" s="13" t="str">
        <f aca="false">IFERROR(__xludf.dummyfunction("""COMPUTED_VALUE"""),"Surf, Bleach")</f>
        <v>Surf, Bleach</v>
      </c>
      <c r="F175" s="11" t="n">
        <f aca="false">IFERROR(__xludf.dummyfunction("""COMPUTED_VALUE"""),45090)</f>
        <v>45090</v>
      </c>
      <c r="G175" s="12" t="n">
        <f aca="false">IFERROR(__xludf.dummyfunction("""COMPUTED_VALUE"""),0.952468321757836)</f>
        <v>0.9524683218</v>
      </c>
      <c r="H175" s="13" t="str">
        <f aca="false">IFERROR(__xludf.dummyfunction("""COMPUTED_VALUE"""),"damaged stock")</f>
        <v>damaged stock</v>
      </c>
      <c r="I175" s="13" t="n">
        <f aca="false">IFERROR(__xludf.dummyfunction("""COMPUTED_VALUE"""),3)</f>
        <v>3</v>
      </c>
      <c r="J175" s="13" t="n">
        <f aca="false">IFERROR(__xludf.dummyfunction("""COMPUTED_VALUE"""),184.17)</f>
        <v>184.17</v>
      </c>
      <c r="K175" s="13" t="n">
        <f aca="false">IFERROR(__xludf.dummyfunction("""COMPUTED_VALUE"""),552.51)</f>
        <v>552.51</v>
      </c>
      <c r="L175" s="13" t="str">
        <f aca="false">IFERROR(__xludf.dummyfunction("""COMPUTED_VALUE"""),"[Code: 345888] TA: Thailay may say damaged niklay ....")</f>
        <v>[Code: 345888] TA: Thailay may say damaged niklay ....</v>
      </c>
      <c r="M175" s="13" t="str">
        <f aca="false">IFERROR(__xludf.dummyfunction("""COMPUTED_VALUE"""),"345888")</f>
        <v>345888</v>
      </c>
      <c r="N175" s="13"/>
      <c r="O175" s="13" t="str">
        <f aca="false">IFERROR(__xludf.dummyfunction("""COMPUTED_VALUE"""),"taufeeq.akhtar@tajir-app.com")</f>
        <v>taufeeq.akhtar@tajir-app.com</v>
      </c>
      <c r="P175" s="13" t="str">
        <f aca="false">IFERROR(__xludf.dummyfunction("""COMPUTED_VALUE"""),"Taufeeq Akhtar ")</f>
        <v>Taufeeq Akhtar </v>
      </c>
      <c r="Q175" s="13" t="str">
        <f aca="false">IFERROR(__xludf.dummyfunction("""COMPUTED_VALUE"""),"[Code: 345888] TA: Thailay may say damaged niklay ....")</f>
        <v>[Code: 345888] TA: Thailay may say damaged niklay ....</v>
      </c>
      <c r="R175" s="13" t="str">
        <v>Tue,13-June-2023 ,10:51 PM</v>
      </c>
      <c r="S175" s="13" t="str">
        <v>Damaged Stock</v>
      </c>
    </row>
    <row r="176" customFormat="false" ht="15.75" hidden="false" customHeight="false" outlineLevel="0" collapsed="false">
      <c r="A176" s="13" t="str">
        <f aca="false">IFERROR(__xludf.dummyfunction("""COMPUTED_VALUE"""),"Metro DC Faisalabad")</f>
        <v>Metro DC Faisalabad</v>
      </c>
      <c r="B176" s="13" t="str">
        <f aca="false">IFERROR(__xludf.dummyfunction("""COMPUTED_VALUE"""),"59e4c477-de73-4b1a-951d-f12eb0f05512")</f>
        <v>59e4c477-de73-4b1a-951d-f12eb0f05512</v>
      </c>
      <c r="C176" s="13" t="str">
        <f aca="false">IFERROR(__xludf.dummyfunction("""COMPUTED_VALUE"""),"Shangrila Tomato Ketchup x3 Bundle 400g")</f>
        <v>Shangrila Tomato Ketchup x3 Bundle 400g</v>
      </c>
      <c r="D176" s="13" t="str">
        <f aca="false">IFERROR(__xludf.dummyfunction("""COMPUTED_VALUE"""),"Shangrila")</f>
        <v>Shangrila</v>
      </c>
      <c r="E176" s="13" t="str">
        <f aca="false">IFERROR(__xludf.dummyfunction("""COMPUTED_VALUE"""),"Sauces")</f>
        <v>Sauces</v>
      </c>
      <c r="F176" s="11" t="n">
        <f aca="false">IFERROR(__xludf.dummyfunction("""COMPUTED_VALUE"""),45091)</f>
        <v>45091</v>
      </c>
      <c r="G176" s="12" t="n">
        <f aca="false">IFERROR(__xludf.dummyfunction("""COMPUTED_VALUE"""),0.907469398148471)</f>
        <v>0.9074693981</v>
      </c>
      <c r="H176" s="13" t="str">
        <f aca="false">IFERROR(__xludf.dummyfunction("""COMPUTED_VALUE"""),"damaged stock")</f>
        <v>damaged stock</v>
      </c>
      <c r="I176" s="13" t="n">
        <f aca="false">IFERROR(__xludf.dummyfunction("""COMPUTED_VALUE"""),1)</f>
        <v>1</v>
      </c>
      <c r="J176" s="13" t="n">
        <f aca="false">IFERROR(__xludf.dummyfunction("""COMPUTED_VALUE"""),540.66)</f>
        <v>540.66</v>
      </c>
      <c r="K176" s="13" t="n">
        <f aca="false">IFERROR(__xludf.dummyfunction("""COMPUTED_VALUE"""),540.66)</f>
        <v>540.66</v>
      </c>
      <c r="L176" s="13" t="str">
        <f aca="false">IFERROR(__xludf.dummyfunction("""COMPUTED_VALUE"""),"[Code: 33AACD] TA: Display krtay waqt box may say damaged nikla.")</f>
        <v>[Code: 33AACD] TA: Display krtay waqt box may say damaged nikla.</v>
      </c>
      <c r="M176" s="13" t="str">
        <f aca="false">IFERROR(__xludf.dummyfunction("""COMPUTED_VALUE"""),"33AACD")</f>
        <v>33AACD</v>
      </c>
      <c r="N176" s="13"/>
      <c r="O176" s="13" t="str">
        <f aca="false">IFERROR(__xludf.dummyfunction("""COMPUTED_VALUE"""),"taufeeq.akhtar@tajir-app.com")</f>
        <v>taufeeq.akhtar@tajir-app.com</v>
      </c>
      <c r="P176" s="13" t="str">
        <f aca="false">IFERROR(__xludf.dummyfunction("""COMPUTED_VALUE"""),"Taufeeq Akhtar ")</f>
        <v>Taufeeq Akhtar </v>
      </c>
      <c r="Q176" s="13" t="str">
        <f aca="false">IFERROR(__xludf.dummyfunction("""COMPUTED_VALUE"""),"[Code: 33AACD] TA: Display krtay waqt box may say damaged nikla.")</f>
        <v>[Code: 33AACD] TA: Display krtay waqt box may say damaged nikla.</v>
      </c>
      <c r="R176" s="13" t="str">
        <v>Wed,14-June-2023 ,09:46 PM</v>
      </c>
      <c r="S176" s="13" t="str">
        <v>Damaged Stock</v>
      </c>
    </row>
    <row r="177" customFormat="false" ht="15.75" hidden="false" customHeight="false" outlineLevel="0" collapsed="false">
      <c r="A177" s="13" t="str">
        <f aca="false">IFERROR(__xludf.dummyfunction("""COMPUTED_VALUE"""),"Metro DC Faisalabad")</f>
        <v>Metro DC Faisalabad</v>
      </c>
      <c r="B177" s="13" t="str">
        <f aca="false">IFERROR(__xludf.dummyfunction("""COMPUTED_VALUE"""),"fe7f6e44-8ea8-4eee-a9ea-e5fce8ce8067")</f>
        <v>fe7f6e44-8ea8-4eee-a9ea-e5fce8ce8067</v>
      </c>
      <c r="C177" s="13" t="str">
        <f aca="false">IFERROR(__xludf.dummyfunction("""COMPUTED_VALUE"""),"Quality Grains Daal Chana Budget 1kg")</f>
        <v>Quality Grains Daal Chana Budget 1kg</v>
      </c>
      <c r="D177" s="13" t="str">
        <f aca="false">IFERROR(__xludf.dummyfunction("""COMPUTED_VALUE"""),"Quality Grains")</f>
        <v>Quality Grains</v>
      </c>
      <c r="E177" s="13" t="str">
        <f aca="false">IFERROR(__xludf.dummyfunction("""COMPUTED_VALUE"""),"Pulses")</f>
        <v>Pulses</v>
      </c>
      <c r="F177" s="11" t="n">
        <f aca="false">IFERROR(__xludf.dummyfunction("""COMPUTED_VALUE"""),45093)</f>
        <v>45093</v>
      </c>
      <c r="G177" s="12" t="n">
        <f aca="false">IFERROR(__xludf.dummyfunction("""COMPUTED_VALUE"""),0.751482060185891)</f>
        <v>0.7514820602</v>
      </c>
      <c r="H177" s="13" t="str">
        <f aca="false">IFERROR(__xludf.dummyfunction("""COMPUTED_VALUE"""),"damaged stock")</f>
        <v>damaged stock</v>
      </c>
      <c r="I177" s="13" t="n">
        <f aca="false">IFERROR(__xludf.dummyfunction("""COMPUTED_VALUE"""),3)</f>
        <v>3</v>
      </c>
      <c r="J177" s="13" t="n">
        <f aca="false">IFERROR(__xludf.dummyfunction("""COMPUTED_VALUE"""),234)</f>
        <v>234</v>
      </c>
      <c r="K177" s="13" t="n">
        <f aca="false">IFERROR(__xludf.dummyfunction("""COMPUTED_VALUE"""),702)</f>
        <v>702</v>
      </c>
      <c r="L177" s="13" t="str">
        <f aca="false">IFERROR(__xludf.dummyfunction("""COMPUTED_VALUE"""),"[Code: 3556DM] TA:Quality sahi nahi hay(Fungus laga hay)")</f>
        <v>[Code: 3556DM] TA:Quality sahi nahi hay(Fungus laga hay)</v>
      </c>
      <c r="M177" s="13" t="str">
        <f aca="false">IFERROR(__xludf.dummyfunction("""COMPUTED_VALUE"""),"3556DM")</f>
        <v>3556DM</v>
      </c>
      <c r="N177" s="13"/>
      <c r="O177" s="13" t="str">
        <f aca="false">IFERROR(__xludf.dummyfunction("""COMPUTED_VALUE"""),"taufeeq.akhtar@tajir-app.com")</f>
        <v>taufeeq.akhtar@tajir-app.com</v>
      </c>
      <c r="P177" s="13" t="str">
        <f aca="false">IFERROR(__xludf.dummyfunction("""COMPUTED_VALUE"""),"Taufeeq Akhtar ")</f>
        <v>Taufeeq Akhtar </v>
      </c>
      <c r="Q177" s="13" t="str">
        <f aca="false">IFERROR(__xludf.dummyfunction("""COMPUTED_VALUE"""),"[Code: 3556DM] TA:Quality sahi nahi hay(Fungus laga hay)")</f>
        <v>[Code: 3556DM] TA:Quality sahi nahi hay(Fungus laga hay)</v>
      </c>
      <c r="R177" s="13" t="str">
        <v>Fri,16-June-2023 ,06:02 PM</v>
      </c>
      <c r="S177" s="13" t="str">
        <v>Damaged Stock</v>
      </c>
    </row>
    <row r="178" customFormat="false" ht="15.75" hidden="false" customHeight="false" outlineLevel="0" collapsed="false">
      <c r="A178" s="13" t="str">
        <f aca="false">IFERROR(__xludf.dummyfunction("""COMPUTED_VALUE"""),"Metro DC Faisalabad")</f>
        <v>Metro DC Faisalabad</v>
      </c>
      <c r="B178" s="13" t="str">
        <f aca="false">IFERROR(__xludf.dummyfunction("""COMPUTED_VALUE"""),"a3fd9ae4-01a1-4cf0-82bb-221e4c8cf42d")</f>
        <v>a3fd9ae4-01a1-4cf0-82bb-221e4c8cf42d</v>
      </c>
      <c r="C178" s="13" t="str">
        <f aca="false">IFERROR(__xludf.dummyfunction("""COMPUTED_VALUE"""),"Lifebuoy Herbal Strong 9ml 16pcs Rs.10")</f>
        <v>Lifebuoy Herbal Strong 9ml 16pcs Rs.10</v>
      </c>
      <c r="D178" s="13" t="str">
        <f aca="false">IFERROR(__xludf.dummyfunction("""COMPUTED_VALUE"""),"Lifebuoy")</f>
        <v>Lifebuoy</v>
      </c>
      <c r="E178" s="13" t="str">
        <f aca="false">IFERROR(__xludf.dummyfunction("""COMPUTED_VALUE"""),"Shampoo")</f>
        <v>Shampoo</v>
      </c>
      <c r="F178" s="11" t="n">
        <f aca="false">IFERROR(__xludf.dummyfunction("""COMPUTED_VALUE"""),45093)</f>
        <v>45093</v>
      </c>
      <c r="G178" s="12" t="n">
        <f aca="false">IFERROR(__xludf.dummyfunction("""COMPUTED_VALUE"""),0.755747280092145)</f>
        <v>0.7557472801</v>
      </c>
      <c r="H178" s="13" t="str">
        <f aca="false">IFERROR(__xludf.dummyfunction("""COMPUTED_VALUE"""),"damaged stock")</f>
        <v>damaged stock</v>
      </c>
      <c r="I178" s="13" t="n">
        <f aca="false">IFERROR(__xludf.dummyfunction("""COMPUTED_VALUE"""),4)</f>
        <v>4</v>
      </c>
      <c r="J178" s="13" t="n">
        <f aca="false">IFERROR(__xludf.dummyfunction("""COMPUTED_VALUE"""),143.67)</f>
        <v>143.67</v>
      </c>
      <c r="K178" s="13" t="n">
        <f aca="false">IFERROR(__xludf.dummyfunction("""COMPUTED_VALUE"""),574.68)</f>
        <v>574.68</v>
      </c>
      <c r="L178" s="13" t="str">
        <f aca="false">IFERROR(__xludf.dummyfunction("""COMPUTED_VALUE"""),"[Code: 244AAC] TA: Found Damaged from Box During sorting:")</f>
        <v>[Code: 244AAC] TA: Found Damaged from Box During sorting:</v>
      </c>
      <c r="M178" s="13" t="str">
        <f aca="false">IFERROR(__xludf.dummyfunction("""COMPUTED_VALUE"""),"244AAC")</f>
        <v>244AAC</v>
      </c>
      <c r="N178" s="13"/>
      <c r="O178" s="13" t="str">
        <f aca="false">IFERROR(__xludf.dummyfunction("""COMPUTED_VALUE"""),"taufeeq.akhtar@tajir-app.com")</f>
        <v>taufeeq.akhtar@tajir-app.com</v>
      </c>
      <c r="P178" s="13" t="str">
        <f aca="false">IFERROR(__xludf.dummyfunction("""COMPUTED_VALUE"""),"Taufeeq Akhtar ")</f>
        <v>Taufeeq Akhtar </v>
      </c>
      <c r="Q178" s="13" t="str">
        <f aca="false">IFERROR(__xludf.dummyfunction("""COMPUTED_VALUE"""),"[Code: 244AAC] TA: Found Damaged from Box During sorting:")</f>
        <v>[Code: 244AAC] TA: Found Damaged from Box During sorting:</v>
      </c>
      <c r="R178" s="13" t="str">
        <v>Fri,16-June-2023 ,06:08 PM</v>
      </c>
      <c r="S178" s="13" t="str">
        <v>Damaged Stock</v>
      </c>
    </row>
    <row r="179" customFormat="false" ht="15.75" hidden="false" customHeight="false" outlineLevel="0" collapsed="false">
      <c r="A179" s="13" t="str">
        <f aca="false">IFERROR(__xludf.dummyfunction("""COMPUTED_VALUE"""),"Metro DC Faisalabad")</f>
        <v>Metro DC Faisalabad</v>
      </c>
      <c r="B179" s="13" t="str">
        <f aca="false">IFERROR(__xludf.dummyfunction("""COMPUTED_VALUE"""),"8c6f0a86-09e6-4c8b-ab37-3f37b00556f3")</f>
        <v>8c6f0a86-09e6-4c8b-ab37-3f37b00556f3</v>
      </c>
      <c r="C179" s="13" t="str">
        <f aca="false">IFERROR(__xludf.dummyfunction("""COMPUTED_VALUE"""),"7up plastic 1L (Other city stock)")</f>
        <v>7up plastic 1L (Other city stock)</v>
      </c>
      <c r="D179" s="13" t="str">
        <f aca="false">IFERROR(__xludf.dummyfunction("""COMPUTED_VALUE"""),"7up")</f>
        <v>7up</v>
      </c>
      <c r="E179" s="13" t="str">
        <f aca="false">IFERROR(__xludf.dummyfunction("""COMPUTED_VALUE"""),"Beverages")</f>
        <v>Beverages</v>
      </c>
      <c r="F179" s="11" t="n">
        <f aca="false">IFERROR(__xludf.dummyfunction("""COMPUTED_VALUE"""),45094)</f>
        <v>45094</v>
      </c>
      <c r="G179" s="12" t="n">
        <f aca="false">IFERROR(__xludf.dummyfunction("""COMPUTED_VALUE"""),0.884680810184226)</f>
        <v>0.8846808102</v>
      </c>
      <c r="H179" s="13" t="str">
        <f aca="false">IFERROR(__xludf.dummyfunction("""COMPUTED_VALUE"""),"damaged stock")</f>
        <v>damaged stock</v>
      </c>
      <c r="I179" s="13" t="n">
        <f aca="false">IFERROR(__xludf.dummyfunction("""COMPUTED_VALUE"""),1)</f>
        <v>1</v>
      </c>
      <c r="J179" s="13" t="n">
        <f aca="false">IFERROR(__xludf.dummyfunction("""COMPUTED_VALUE"""),576)</f>
        <v>576</v>
      </c>
      <c r="K179" s="13" t="n">
        <f aca="false">IFERROR(__xludf.dummyfunction("""COMPUTED_VALUE"""),576)</f>
        <v>576</v>
      </c>
      <c r="L179" s="13" t="str">
        <f aca="false">IFERROR(__xludf.dummyfunction("""COMPUTED_VALUE"""),"[Code: 244679] TA: sorting k doran 4 botel khali milay thay pet k ander say:")</f>
        <v>[Code: 244679] TA: sorting k doran 4 botel khali milay thay pet k ander say:</v>
      </c>
      <c r="M179" s="13" t="str">
        <f aca="false">IFERROR(__xludf.dummyfunction("""COMPUTED_VALUE"""),"244679")</f>
        <v>244679</v>
      </c>
      <c r="N179" s="13"/>
      <c r="O179" s="13" t="str">
        <f aca="false">IFERROR(__xludf.dummyfunction("""COMPUTED_VALUE"""),"taufeeq.akhtar@tajir-app.com")</f>
        <v>taufeeq.akhtar@tajir-app.com</v>
      </c>
      <c r="P179" s="13" t="str">
        <f aca="false">IFERROR(__xludf.dummyfunction("""COMPUTED_VALUE"""),"Taufeeq Akhtar ")</f>
        <v>Taufeeq Akhtar </v>
      </c>
      <c r="Q179" s="13" t="str">
        <f aca="false">IFERROR(__xludf.dummyfunction("""COMPUTED_VALUE"""),"[Code: 244679] TA: sorting k doran 4 botel khali milay thay pet k ander say:")</f>
        <v>[Code: 244679] TA: sorting k doran 4 botel khali milay thay pet k ander say:</v>
      </c>
      <c r="R179" s="13" t="str">
        <v>Sat,17-June-2023 ,09:13 PM</v>
      </c>
      <c r="S179" s="13" t="str">
        <v>Damaged Stock</v>
      </c>
    </row>
    <row r="180" customFormat="false" ht="15.75" hidden="false" customHeight="false" outlineLevel="0" collapsed="false">
      <c r="A180" s="13" t="str">
        <f aca="false">IFERROR(__xludf.dummyfunction("""COMPUTED_VALUE"""),"Metro DC Faisalabad")</f>
        <v>Metro DC Faisalabad</v>
      </c>
      <c r="B180" s="13" t="str">
        <f aca="false">IFERROR(__xludf.dummyfunction("""COMPUTED_VALUE"""),"43f4f41f-1e01-4a55-af90-dda61b167f55")</f>
        <v>43f4f41f-1e01-4a55-af90-dda61b167f55</v>
      </c>
      <c r="C180" s="13" t="str">
        <f aca="false">IFERROR(__xludf.dummyfunction("""COMPUTED_VALUE"""),"National Mixed Fruit Jam 440g")</f>
        <v>National Mixed Fruit Jam 440g</v>
      </c>
      <c r="D180" s="13" t="str">
        <f aca="false">IFERROR(__xludf.dummyfunction("""COMPUTED_VALUE"""),"National")</f>
        <v>National</v>
      </c>
      <c r="E180" s="13" t="str">
        <f aca="false">IFERROR(__xludf.dummyfunction("""COMPUTED_VALUE"""),"Grocery")</f>
        <v>Grocery</v>
      </c>
      <c r="F180" s="11" t="n">
        <f aca="false">IFERROR(__xludf.dummyfunction("""COMPUTED_VALUE"""),45095)</f>
        <v>45095</v>
      </c>
      <c r="G180" s="12" t="n">
        <f aca="false">IFERROR(__xludf.dummyfunction("""COMPUTED_VALUE"""),0.939147245368937)</f>
        <v>0.9391472454</v>
      </c>
      <c r="H180" s="13" t="str">
        <f aca="false">IFERROR(__xludf.dummyfunction("""COMPUTED_VALUE"""),"damaged stock")</f>
        <v>damaged stock</v>
      </c>
      <c r="I180" s="13" t="n">
        <f aca="false">IFERROR(__xludf.dummyfunction("""COMPUTED_VALUE"""),1)</f>
        <v>1</v>
      </c>
      <c r="J180" s="13" t="n">
        <f aca="false">IFERROR(__xludf.dummyfunction("""COMPUTED_VALUE"""),242.5)</f>
        <v>242.5</v>
      </c>
      <c r="K180" s="13" t="n">
        <f aca="false">IFERROR(__xludf.dummyfunction("""COMPUTED_VALUE"""),242.5)</f>
        <v>242.5</v>
      </c>
      <c r="L180" s="13" t="str">
        <f aca="false">IFERROR(__xludf.dummyfunction("""COMPUTED_VALUE"""),"[Code: 556777] TA: Found damaged on rack during sorting.")</f>
        <v>[Code: 556777] TA: Found damaged on rack during sorting.</v>
      </c>
      <c r="M180" s="13" t="str">
        <f aca="false">IFERROR(__xludf.dummyfunction("""COMPUTED_VALUE"""),"556777")</f>
        <v>556777</v>
      </c>
      <c r="N180" s="13"/>
      <c r="O180" s="13" t="str">
        <f aca="false">IFERROR(__xludf.dummyfunction("""COMPUTED_VALUE"""),"taufeeq.akhtar@tajir-app.com")</f>
        <v>taufeeq.akhtar@tajir-app.com</v>
      </c>
      <c r="P180" s="13" t="str">
        <f aca="false">IFERROR(__xludf.dummyfunction("""COMPUTED_VALUE"""),"Taufeeq Akhtar ")</f>
        <v>Taufeeq Akhtar </v>
      </c>
      <c r="Q180" s="13" t="str">
        <f aca="false">IFERROR(__xludf.dummyfunction("""COMPUTED_VALUE"""),"[Code: 556777] TA: Found damaged on rack during sorting.")</f>
        <v>[Code: 556777] TA: Found damaged on rack during sorting.</v>
      </c>
      <c r="R180" s="13" t="str">
        <v>Sun,18-June-2023 ,10:32 PM</v>
      </c>
      <c r="S180" s="13" t="str">
        <v>Damaged Stock</v>
      </c>
    </row>
    <row r="181" customFormat="false" ht="15.75" hidden="false" customHeight="false" outlineLevel="0" collapsed="false">
      <c r="A181" s="13" t="str">
        <f aca="false">IFERROR(__xludf.dummyfunction("""COMPUTED_VALUE"""),"Metro DC Faisalabad")</f>
        <v>Metro DC Faisalabad</v>
      </c>
      <c r="B181" s="13" t="str">
        <f aca="false">IFERROR(__xludf.dummyfunction("""COMPUTED_VALUE"""),"9c395894-35c2-4217-9eff-b0a22e04c2d1")</f>
        <v>9c395894-35c2-4217-9eff-b0a22e04c2d1</v>
      </c>
      <c r="C181" s="13" t="str">
        <f aca="false">IFERROR(__xludf.dummyfunction("""COMPUTED_VALUE"""),"Coca Cola plastic 2.25L (Jumbo)")</f>
        <v>Coca Cola plastic 2.25L (Jumbo)</v>
      </c>
      <c r="D181" s="13" t="str">
        <f aca="false">IFERROR(__xludf.dummyfunction("""COMPUTED_VALUE"""),"Coca Cola")</f>
        <v>Coca Cola</v>
      </c>
      <c r="E181" s="13" t="str">
        <f aca="false">IFERROR(__xludf.dummyfunction("""COMPUTED_VALUE"""),"Beverages")</f>
        <v>Beverages</v>
      </c>
      <c r="F181" s="11" t="n">
        <f aca="false">IFERROR(__xludf.dummyfunction("""COMPUTED_VALUE"""),45096)</f>
        <v>45096</v>
      </c>
      <c r="G181" s="12" t="n">
        <f aca="false">IFERROR(__xludf.dummyfunction("""COMPUTED_VALUE"""),0.838093194445641)</f>
        <v>0.8380931944</v>
      </c>
      <c r="H181" s="13" t="str">
        <f aca="false">IFERROR(__xludf.dummyfunction("""COMPUTED_VALUE"""),"damaged stock")</f>
        <v>damaged stock</v>
      </c>
      <c r="I181" s="13" t="n">
        <f aca="false">IFERROR(__xludf.dummyfunction("""COMPUTED_VALUE"""),1)</f>
        <v>1</v>
      </c>
      <c r="J181" s="13" t="n">
        <f aca="false">IFERROR(__xludf.dummyfunction("""COMPUTED_VALUE"""),1176)</f>
        <v>1176</v>
      </c>
      <c r="K181" s="13" t="n">
        <f aca="false">IFERROR(__xludf.dummyfunction("""COMPUTED_VALUE"""),1176)</f>
        <v>1176</v>
      </c>
      <c r="L181" s="13" t="str">
        <f aca="false">IFERROR(__xludf.dummyfunction("""COMPUTED_VALUE"""),"[Code: 234459] TA; 1 unit Damage found during Sorting.")</f>
        <v>[Code: 234459] TA; 1 unit Damage found during Sorting.</v>
      </c>
      <c r="M181" s="13" t="str">
        <f aca="false">IFERROR(__xludf.dummyfunction("""COMPUTED_VALUE"""),"234459")</f>
        <v>234459</v>
      </c>
      <c r="N181" s="13"/>
      <c r="O181" s="13" t="str">
        <f aca="false">IFERROR(__xludf.dummyfunction("""COMPUTED_VALUE"""),"taufeeq.akhtar@tajir-app.com")</f>
        <v>taufeeq.akhtar@tajir-app.com</v>
      </c>
      <c r="P181" s="13" t="str">
        <f aca="false">IFERROR(__xludf.dummyfunction("""COMPUTED_VALUE"""),"Taufeeq Akhtar ")</f>
        <v>Taufeeq Akhtar </v>
      </c>
      <c r="Q181" s="13" t="str">
        <f aca="false">IFERROR(__xludf.dummyfunction("""COMPUTED_VALUE"""),"[Code: 234459] TA; 1 unit Damage found during Sorting.")</f>
        <v>[Code: 234459] TA; 1 unit Damage found during Sorting.</v>
      </c>
      <c r="R181" s="13" t="str">
        <v>Mon,19-June-2023 ,08:06 PM</v>
      </c>
      <c r="S181" s="13" t="str">
        <v>Damaged Stock</v>
      </c>
    </row>
    <row r="182" customFormat="false" ht="15.75" hidden="false" customHeight="false" outlineLevel="0" collapsed="false">
      <c r="A182" s="13" t="str">
        <f aca="false">IFERROR(__xludf.dummyfunction("""COMPUTED_VALUE"""),"Metro DC Faisalabad")</f>
        <v>Metro DC Faisalabad</v>
      </c>
      <c r="B182" s="13" t="str">
        <f aca="false">IFERROR(__xludf.dummyfunction("""COMPUTED_VALUE"""),"d35314e0-f3f4-47fe-90aa-af65dab10e9d")</f>
        <v>d35314e0-f3f4-47fe-90aa-af65dab10e9d</v>
      </c>
      <c r="C182" s="13" t="str">
        <f aca="false">IFERROR(__xludf.dummyfunction("""COMPUTED_VALUE"""),"Bonus tristar detergent x6 bundle 48g Rs10")</f>
        <v>Bonus tristar detergent x6 bundle 48g Rs10</v>
      </c>
      <c r="D182" s="13" t="str">
        <f aca="false">IFERROR(__xludf.dummyfunction("""COMPUTED_VALUE"""),"Bonus Surf")</f>
        <v>Bonus Surf</v>
      </c>
      <c r="E182" s="13" t="str">
        <f aca="false">IFERROR(__xludf.dummyfunction("""COMPUTED_VALUE"""),"Surf, Bleach")</f>
        <v>Surf, Bleach</v>
      </c>
      <c r="F182" s="11" t="n">
        <f aca="false">IFERROR(__xludf.dummyfunction("""COMPUTED_VALUE"""),45097)</f>
        <v>45097</v>
      </c>
      <c r="G182" s="12" t="n">
        <f aca="false">IFERROR(__xludf.dummyfunction("""COMPUTED_VALUE"""),0.874719664353334)</f>
        <v>0.8747196644</v>
      </c>
      <c r="H182" s="13" t="str">
        <f aca="false">IFERROR(__xludf.dummyfunction("""COMPUTED_VALUE"""),"damaged stock")</f>
        <v>damaged stock</v>
      </c>
      <c r="I182" s="13" t="n">
        <f aca="false">IFERROR(__xludf.dummyfunction("""COMPUTED_VALUE"""),1)</f>
        <v>1</v>
      </c>
      <c r="J182" s="13" t="n">
        <f aca="false">IFERROR(__xludf.dummyfunction("""COMPUTED_VALUE"""),54.99)</f>
        <v>54.99</v>
      </c>
      <c r="K182" s="13" t="n">
        <f aca="false">IFERROR(__xludf.dummyfunction("""COMPUTED_VALUE"""),54.99)</f>
        <v>54.99</v>
      </c>
      <c r="L182" s="13" t="str">
        <f aca="false">IFERROR(__xludf.dummyfunction("""COMPUTED_VALUE"""),"[Code: 67999C] TA: bag may say damaged nikla sorting k doran.")</f>
        <v>[Code: 67999C] TA: bag may say damaged nikla sorting k doran.</v>
      </c>
      <c r="M182" s="13" t="str">
        <f aca="false">IFERROR(__xludf.dummyfunction("""COMPUTED_VALUE"""),"67999C")</f>
        <v>67999C</v>
      </c>
      <c r="N182" s="13"/>
      <c r="O182" s="13" t="str">
        <f aca="false">IFERROR(__xludf.dummyfunction("""COMPUTED_VALUE"""),"taufeeq.akhtar@tajir-app.com")</f>
        <v>taufeeq.akhtar@tajir-app.com</v>
      </c>
      <c r="P182" s="13" t="str">
        <f aca="false">IFERROR(__xludf.dummyfunction("""COMPUTED_VALUE"""),"Taufeeq Akhtar ")</f>
        <v>Taufeeq Akhtar </v>
      </c>
      <c r="Q182" s="13" t="str">
        <f aca="false">IFERROR(__xludf.dummyfunction("""COMPUTED_VALUE"""),"[Code: 67999C] TA: bag may say damaged nikla sorting k doran.")</f>
        <v>[Code: 67999C] TA: bag may say damaged nikla sorting k doran.</v>
      </c>
      <c r="R182" s="13" t="str">
        <v>Tue,20-June-2023 ,08:59 PM</v>
      </c>
      <c r="S182" s="13" t="str">
        <v>Damaged Stock</v>
      </c>
    </row>
    <row r="183" customFormat="false" ht="15.75" hidden="false" customHeight="false" outlineLevel="0" collapsed="false">
      <c r="A183" s="13" t="str">
        <f aca="false">IFERROR(__xludf.dummyfunction("""COMPUTED_VALUE"""),"Metro DC Faisalabad")</f>
        <v>Metro DC Faisalabad</v>
      </c>
      <c r="B183" s="13" t="str">
        <f aca="false">IFERROR(__xludf.dummyfunction("""COMPUTED_VALUE"""),"738b3bdb-3b9e-4c0a-a6fa-18a670c5bcba")</f>
        <v>738b3bdb-3b9e-4c0a-a6fa-18a670c5bcba</v>
      </c>
      <c r="C183" s="13" t="str">
        <f aca="false">IFERROR(__xludf.dummyfunction("""COMPUTED_VALUE"""),"Bonus tristar yellow surf 240g Rs50")</f>
        <v>Bonus tristar yellow surf 240g Rs50</v>
      </c>
      <c r="D183" s="13" t="str">
        <f aca="false">IFERROR(__xludf.dummyfunction("""COMPUTED_VALUE"""),"Bonus Surf")</f>
        <v>Bonus Surf</v>
      </c>
      <c r="E183" s="13" t="str">
        <f aca="false">IFERROR(__xludf.dummyfunction("""COMPUTED_VALUE"""),"Surf, Bleach")</f>
        <v>Surf, Bleach</v>
      </c>
      <c r="F183" s="11" t="n">
        <f aca="false">IFERROR(__xludf.dummyfunction("""COMPUTED_VALUE"""),45097)</f>
        <v>45097</v>
      </c>
      <c r="G183" s="12" t="n">
        <f aca="false">IFERROR(__xludf.dummyfunction("""COMPUTED_VALUE"""),0.875764340278085)</f>
        <v>0.8757643403</v>
      </c>
      <c r="H183" s="13" t="str">
        <f aca="false">IFERROR(__xludf.dummyfunction("""COMPUTED_VALUE"""),"damaged stock")</f>
        <v>damaged stock</v>
      </c>
      <c r="I183" s="13" t="n">
        <f aca="false">IFERROR(__xludf.dummyfunction("""COMPUTED_VALUE"""),1)</f>
        <v>1</v>
      </c>
      <c r="J183" s="13" t="n">
        <f aca="false">IFERROR(__xludf.dummyfunction("""COMPUTED_VALUE"""),45.71)</f>
        <v>45.71</v>
      </c>
      <c r="K183" s="13" t="n">
        <f aca="false">IFERROR(__xludf.dummyfunction("""COMPUTED_VALUE"""),45.71)</f>
        <v>45.71</v>
      </c>
      <c r="L183" s="13" t="str">
        <f aca="false">IFERROR(__xludf.dummyfunction("""COMPUTED_VALUE"""),"[Code: 235568] TA: bag may say damaged nikla .")</f>
        <v>[Code: 235568] TA: bag may say damaged nikla .</v>
      </c>
      <c r="M183" s="13" t="str">
        <f aca="false">IFERROR(__xludf.dummyfunction("""COMPUTED_VALUE"""),"235568")</f>
        <v>235568</v>
      </c>
      <c r="N183" s="13"/>
      <c r="O183" s="13" t="str">
        <f aca="false">IFERROR(__xludf.dummyfunction("""COMPUTED_VALUE"""),"taufeeq.akhtar@tajir-app.com")</f>
        <v>taufeeq.akhtar@tajir-app.com</v>
      </c>
      <c r="P183" s="13" t="str">
        <f aca="false">IFERROR(__xludf.dummyfunction("""COMPUTED_VALUE"""),"Taufeeq Akhtar ")</f>
        <v>Taufeeq Akhtar </v>
      </c>
      <c r="Q183" s="13" t="str">
        <f aca="false">IFERROR(__xludf.dummyfunction("""COMPUTED_VALUE"""),"[Code: 235568] TA: bag may say damaged nikla .")</f>
        <v>[Code: 235568] TA: bag may say damaged nikla .</v>
      </c>
      <c r="R183" s="13" t="str">
        <v>Tue,20-June-2023 ,09:01 PM</v>
      </c>
      <c r="S183" s="13" t="str">
        <v>Damaged Stock</v>
      </c>
    </row>
    <row r="184" customFormat="false" ht="15.75" hidden="false" customHeight="false" outlineLevel="0" collapsed="false">
      <c r="A184" s="13" t="str">
        <f aca="false">IFERROR(__xludf.dummyfunction("""COMPUTED_VALUE"""),"Metro DC Faisalabad")</f>
        <v>Metro DC Faisalabad</v>
      </c>
      <c r="B184" s="13" t="str">
        <f aca="false">IFERROR(__xludf.dummyfunction("""COMPUTED_VALUE"""),"0d2f17bc-36e0-41fe-b498-89a7a8a34416")</f>
        <v>0d2f17bc-36e0-41fe-b498-89a7a8a34416</v>
      </c>
      <c r="C184" s="13" t="str">
        <f aca="false">IFERROR(__xludf.dummyfunction("""COMPUTED_VALUE"""),"Brite Surf x12 bundle 23g Rs 10")</f>
        <v>Brite Surf x12 bundle 23g Rs 10</v>
      </c>
      <c r="D184" s="13" t="str">
        <f aca="false">IFERROR(__xludf.dummyfunction("""COMPUTED_VALUE"""),"Brite Surf")</f>
        <v>Brite Surf</v>
      </c>
      <c r="E184" s="13" t="str">
        <f aca="false">IFERROR(__xludf.dummyfunction("""COMPUTED_VALUE"""),"Surf, Bleach")</f>
        <v>Surf, Bleach</v>
      </c>
      <c r="F184" s="11" t="n">
        <f aca="false">IFERROR(__xludf.dummyfunction("""COMPUTED_VALUE"""),45097)</f>
        <v>45097</v>
      </c>
      <c r="G184" s="12" t="n">
        <f aca="false">IFERROR(__xludf.dummyfunction("""COMPUTED_VALUE"""),0.883016261572775)</f>
        <v>0.8830162616</v>
      </c>
      <c r="H184" s="13" t="str">
        <f aca="false">IFERROR(__xludf.dummyfunction("""COMPUTED_VALUE"""),"damaged stock")</f>
        <v>damaged stock</v>
      </c>
      <c r="I184" s="13" t="n">
        <f aca="false">IFERROR(__xludf.dummyfunction("""COMPUTED_VALUE"""),2)</f>
        <v>2</v>
      </c>
      <c r="J184" s="13" t="n">
        <f aca="false">IFERROR(__xludf.dummyfunction("""COMPUTED_VALUE"""),107.91)</f>
        <v>107.91</v>
      </c>
      <c r="K184" s="13" t="n">
        <f aca="false">IFERROR(__xludf.dummyfunction("""COMPUTED_VALUE"""),215.82)</f>
        <v>215.82</v>
      </c>
      <c r="L184" s="13" t="str">
        <f aca="false">IFERROR(__xludf.dummyfunction("""COMPUTED_VALUE"""),"[Code: 2677CE] TA: bag may damaged niklay ")</f>
        <v>[Code: 2677CE] TA: bag may damaged niklay </v>
      </c>
      <c r="M184" s="13" t="str">
        <f aca="false">IFERROR(__xludf.dummyfunction("""COMPUTED_VALUE"""),"2677CE")</f>
        <v>2677CE</v>
      </c>
      <c r="N184" s="13"/>
      <c r="O184" s="13" t="str">
        <f aca="false">IFERROR(__xludf.dummyfunction("""COMPUTED_VALUE"""),"taufeeq.akhtar@tajir-app.com")</f>
        <v>taufeeq.akhtar@tajir-app.com</v>
      </c>
      <c r="P184" s="13" t="str">
        <f aca="false">IFERROR(__xludf.dummyfunction("""COMPUTED_VALUE"""),"Taufeeq Akhtar ")</f>
        <v>Taufeeq Akhtar </v>
      </c>
      <c r="Q184" s="13" t="str">
        <f aca="false">IFERROR(__xludf.dummyfunction("""COMPUTED_VALUE"""),"[Code: 2677CE] TA: bag may damaged niklay ")</f>
        <v>[Code: 2677CE] TA: bag may damaged niklay </v>
      </c>
      <c r="R184" s="13" t="str">
        <v>Tue,20-June-2023 ,09:11 PM</v>
      </c>
      <c r="S184" s="13" t="str">
        <v>Damaged Stock</v>
      </c>
    </row>
    <row r="185" customFormat="false" ht="15.75" hidden="false" customHeight="false" outlineLevel="0" collapsed="false">
      <c r="A185" s="13" t="str">
        <f aca="false">IFERROR(__xludf.dummyfunction("""COMPUTED_VALUE"""),"Metro DC Faisalabad")</f>
        <v>Metro DC Faisalabad</v>
      </c>
      <c r="B185" s="13" t="str">
        <f aca="false">IFERROR(__xludf.dummyfunction("""COMPUTED_VALUE"""),"67c33ff3-e486-487d-844a-b17c396936ee")</f>
        <v>67c33ff3-e486-487d-844a-b17c396936ee</v>
      </c>
      <c r="C185" s="13" t="str">
        <f aca="false">IFERROR(__xludf.dummyfunction("""COMPUTED_VALUE"""),"Coca Cola plastic 1L")</f>
        <v>Coca Cola plastic 1L</v>
      </c>
      <c r="D185" s="13" t="str">
        <f aca="false">IFERROR(__xludf.dummyfunction("""COMPUTED_VALUE"""),"Coca Cola")</f>
        <v>Coca Cola</v>
      </c>
      <c r="E185" s="13" t="str">
        <f aca="false">IFERROR(__xludf.dummyfunction("""COMPUTED_VALUE"""),"Beverages")</f>
        <v>Beverages</v>
      </c>
      <c r="F185" s="11" t="n">
        <f aca="false">IFERROR(__xludf.dummyfunction("""COMPUTED_VALUE"""),45098)</f>
        <v>45098</v>
      </c>
      <c r="G185" s="12" t="n">
        <f aca="false">IFERROR(__xludf.dummyfunction("""COMPUTED_VALUE"""),0.947511608797401)</f>
        <v>0.9475116088</v>
      </c>
      <c r="H185" s="13" t="str">
        <f aca="false">IFERROR(__xludf.dummyfunction("""COMPUTED_VALUE"""),"damaged stock")</f>
        <v>damaged stock</v>
      </c>
      <c r="I185" s="13" t="n">
        <f aca="false">IFERROR(__xludf.dummyfunction("""COMPUTED_VALUE"""),1)</f>
        <v>1</v>
      </c>
      <c r="J185" s="13" t="n">
        <f aca="false">IFERROR(__xludf.dummyfunction("""COMPUTED_VALUE"""),672)</f>
        <v>672</v>
      </c>
      <c r="K185" s="13" t="n">
        <f aca="false">IFERROR(__xludf.dummyfunction("""COMPUTED_VALUE"""),672)</f>
        <v>672</v>
      </c>
      <c r="L185" s="13" t="str">
        <f aca="false">IFERROR(__xludf.dummyfunction("""COMPUTED_VALUE"""),"[Code: 27HHJK] TA: loose  bottles found during Sorting(Company end issue)")</f>
        <v>[Code: 27HHJK] TA: loose  bottles found during Sorting(Company end issue)</v>
      </c>
      <c r="M185" s="13" t="str">
        <f aca="false">IFERROR(__xludf.dummyfunction("""COMPUTED_VALUE"""),"27HHJK")</f>
        <v>27HHJK</v>
      </c>
      <c r="N185" s="13"/>
      <c r="O185" s="13" t="str">
        <f aca="false">IFERROR(__xludf.dummyfunction("""COMPUTED_VALUE"""),"taufeeq.akhtar@tajir-app.com")</f>
        <v>taufeeq.akhtar@tajir-app.com</v>
      </c>
      <c r="P185" s="13" t="str">
        <f aca="false">IFERROR(__xludf.dummyfunction("""COMPUTED_VALUE"""),"Taufeeq Akhtar ")</f>
        <v>Taufeeq Akhtar </v>
      </c>
      <c r="Q185" s="13" t="str">
        <f aca="false">IFERROR(__xludf.dummyfunction("""COMPUTED_VALUE"""),"[Code: 27HHJK] TA: loose  bottles found during Sorting(Company end issue)")</f>
        <v>[Code: 27HHJK] TA: loose  bottles found during Sorting(Company end issue)</v>
      </c>
      <c r="R185" s="13" t="str">
        <v>Wed,21-June-2023 ,10:44 PM</v>
      </c>
      <c r="S185" s="13" t="str">
        <v>Damaged Stock</v>
      </c>
    </row>
    <row r="186" customFormat="false" ht="15.75" hidden="false" customHeight="false" outlineLevel="0" collapsed="false">
      <c r="A186" s="13" t="str">
        <f aca="false">IFERROR(__xludf.dummyfunction("""COMPUTED_VALUE"""),"Metro DC Faisalabad")</f>
        <v>Metro DC Faisalabad</v>
      </c>
      <c r="B186" s="13" t="str">
        <f aca="false">IFERROR(__xludf.dummyfunction("""COMPUTED_VALUE"""),"89d464f6-022a-41b2-8847-e5d6f1123566")</f>
        <v>89d464f6-022a-41b2-8847-e5d6f1123566</v>
      </c>
      <c r="C186" s="13" t="str">
        <f aca="false">IFERROR(__xludf.dummyfunction("""COMPUTED_VALUE"""),"Guard Long Grain Rice 1kg Rs225")</f>
        <v>Guard Long Grain Rice 1kg Rs225</v>
      </c>
      <c r="D186" s="13" t="str">
        <f aca="false">IFERROR(__xludf.dummyfunction("""COMPUTED_VALUE"""),"Guard Agri")</f>
        <v>Guard Agri</v>
      </c>
      <c r="E186" s="13" t="str">
        <f aca="false">IFERROR(__xludf.dummyfunction("""COMPUTED_VALUE"""),"Rice")</f>
        <v>Rice</v>
      </c>
      <c r="F186" s="11" t="n">
        <f aca="false">IFERROR(__xludf.dummyfunction("""COMPUTED_VALUE"""),45099)</f>
        <v>45099</v>
      </c>
      <c r="G186" s="12" t="n">
        <f aca="false">IFERROR(__xludf.dummyfunction("""COMPUTED_VALUE"""),0.741545335649431)</f>
        <v>0.7415453356</v>
      </c>
      <c r="H186" s="13" t="str">
        <f aca="false">IFERROR(__xludf.dummyfunction("""COMPUTED_VALUE"""),"damaged stock")</f>
        <v>damaged stock</v>
      </c>
      <c r="I186" s="13" t="n">
        <f aca="false">IFERROR(__xludf.dummyfunction("""COMPUTED_VALUE"""),555)</f>
        <v>555</v>
      </c>
      <c r="J186" s="13" t="n">
        <f aca="false">IFERROR(__xludf.dummyfunction("""COMPUTED_VALUE"""),191.67)</f>
        <v>191.67</v>
      </c>
      <c r="K186" s="13" t="n">
        <f aca="false">IFERROR(__xludf.dummyfunction("""COMPUTED_VALUE"""),106376.85)</f>
        <v>106376.85</v>
      </c>
      <c r="L186" s="13" t="str">
        <f aca="false">IFERROR(__xludf.dummyfunction("""COMPUTED_VALUE"""),"[Code: 57889B] Content Spoiled (found susri in pouch)")</f>
        <v>[Code: 57889B] Content Spoiled (found susri in pouch)</v>
      </c>
      <c r="M186" s="13" t="str">
        <f aca="false">IFERROR(__xludf.dummyfunction("""COMPUTED_VALUE"""),"57889B")</f>
        <v>57889B</v>
      </c>
      <c r="N186" s="13"/>
      <c r="O186" s="13" t="str">
        <f aca="false">IFERROR(__xludf.dummyfunction("""COMPUTED_VALUE"""),"ali.raza@tajir-app.com")</f>
        <v>ali.raza@tajir-app.com</v>
      </c>
      <c r="P186" s="13" t="str">
        <f aca="false">IFERROR(__xludf.dummyfunction("""COMPUTED_VALUE"""),"Ali Raza ")</f>
        <v>Ali Raza </v>
      </c>
      <c r="Q186" s="13" t="str">
        <f aca="false">IFERROR(__xludf.dummyfunction("""COMPUTED_VALUE"""),"[Code: 57889B] Content Spoiled (found susri in pouch)")</f>
        <v>[Code: 57889B] Content Spoiled (found susri in pouch)</v>
      </c>
      <c r="R186" s="13" t="str">
        <v>Thu,22-June-2023 ,05:47 PM</v>
      </c>
      <c r="S186" s="13" t="str">
        <v>Damaged Stock</v>
      </c>
    </row>
    <row r="187" customFormat="false" ht="15.75" hidden="false" customHeight="false" outlineLevel="0" collapsed="false">
      <c r="A187" s="13" t="str">
        <f aca="false">IFERROR(__xludf.dummyfunction("""COMPUTED_VALUE"""),"Metro DC Faisalabad")</f>
        <v>Metro DC Faisalabad</v>
      </c>
      <c r="B187" s="13" t="str">
        <f aca="false">IFERROR(__xludf.dummyfunction("""COMPUTED_VALUE"""),"cd68a607-af95-45cb-b9f4-2721224c85f8")</f>
        <v>cd68a607-af95-45cb-b9f4-2721224c85f8</v>
      </c>
      <c r="C187" s="13" t="str">
        <f aca="false">IFERROR(__xludf.dummyfunction("""COMPUTED_VALUE"""),"Coca Cola plastic 1.5L")</f>
        <v>Coca Cola plastic 1.5L</v>
      </c>
      <c r="D187" s="13" t="str">
        <f aca="false">IFERROR(__xludf.dummyfunction("""COMPUTED_VALUE"""),"Coca Cola")</f>
        <v>Coca Cola</v>
      </c>
      <c r="E187" s="13" t="str">
        <f aca="false">IFERROR(__xludf.dummyfunction("""COMPUTED_VALUE"""),"Beverages")</f>
        <v>Beverages</v>
      </c>
      <c r="F187" s="11" t="n">
        <f aca="false">IFERROR(__xludf.dummyfunction("""COMPUTED_VALUE"""),45100)</f>
        <v>45100</v>
      </c>
      <c r="G187" s="12" t="n">
        <f aca="false">IFERROR(__xludf.dummyfunction("""COMPUTED_VALUE"""),0.741748240739792)</f>
        <v>0.7417482407</v>
      </c>
      <c r="H187" s="13" t="str">
        <f aca="false">IFERROR(__xludf.dummyfunction("""COMPUTED_VALUE"""),"damaged stock")</f>
        <v>damaged stock</v>
      </c>
      <c r="I187" s="13" t="n">
        <f aca="false">IFERROR(__xludf.dummyfunction("""COMPUTED_VALUE"""),2)</f>
        <v>2</v>
      </c>
      <c r="J187" s="13" t="n">
        <f aca="false">IFERROR(__xludf.dummyfunction("""COMPUTED_VALUE"""),847)</f>
        <v>847</v>
      </c>
      <c r="K187" s="13" t="n">
        <f aca="false">IFERROR(__xludf.dummyfunction("""COMPUTED_VALUE"""),1694)</f>
        <v>1694</v>
      </c>
      <c r="L187" s="13" t="str">
        <f aca="false">IFERROR(__xludf.dummyfunction("""COMPUTED_VALUE"""),"[Code: 799GJL] TA: Found in Loose condition during sorting.")</f>
        <v>[Code: 799GJL] TA: Found in Loose condition during sorting.</v>
      </c>
      <c r="M187" s="13" t="str">
        <f aca="false">IFERROR(__xludf.dummyfunction("""COMPUTED_VALUE"""),"799GJL")</f>
        <v>799GJL</v>
      </c>
      <c r="N187" s="13"/>
      <c r="O187" s="13" t="str">
        <f aca="false">IFERROR(__xludf.dummyfunction("""COMPUTED_VALUE"""),"taufeeq.akhtar@tajir-app.com")</f>
        <v>taufeeq.akhtar@tajir-app.com</v>
      </c>
      <c r="P187" s="13" t="str">
        <f aca="false">IFERROR(__xludf.dummyfunction("""COMPUTED_VALUE"""),"Taufeeq Akhtar ")</f>
        <v>Taufeeq Akhtar </v>
      </c>
      <c r="Q187" s="13" t="str">
        <f aca="false">IFERROR(__xludf.dummyfunction("""COMPUTED_VALUE"""),"[Code: 799GJL] TA: Found in Loose condition during sorting.")</f>
        <v>[Code: 799GJL] TA: Found in Loose condition during sorting.</v>
      </c>
      <c r="R187" s="13" t="str">
        <v>Fri,23-June-2023 ,05:48 PM</v>
      </c>
      <c r="S187" s="13" t="str">
        <v>Damaged Stock</v>
      </c>
    </row>
    <row r="188" customFormat="false" ht="15.75" hidden="false" customHeight="false" outlineLevel="0" collapsed="false">
      <c r="A188" s="13" t="str">
        <f aca="false">IFERROR(__xludf.dummyfunction("""COMPUTED_VALUE"""),"Metro DC Faisalabad")</f>
        <v>Metro DC Faisalabad</v>
      </c>
      <c r="B188" s="13" t="str">
        <f aca="false">IFERROR(__xludf.dummyfunction("""COMPUTED_VALUE"""),"89d464f6-022a-41b2-8847-e5d6f1123566")</f>
        <v>89d464f6-022a-41b2-8847-e5d6f1123566</v>
      </c>
      <c r="C188" s="13" t="str">
        <f aca="false">IFERROR(__xludf.dummyfunction("""COMPUTED_VALUE"""),"Guard Long Grain Rice 1kg Rs225")</f>
        <v>Guard Long Grain Rice 1kg Rs225</v>
      </c>
      <c r="D188" s="13" t="str">
        <f aca="false">IFERROR(__xludf.dummyfunction("""COMPUTED_VALUE"""),"Guard Agri")</f>
        <v>Guard Agri</v>
      </c>
      <c r="E188" s="13" t="str">
        <f aca="false">IFERROR(__xludf.dummyfunction("""COMPUTED_VALUE"""),"Rice")</f>
        <v>Rice</v>
      </c>
      <c r="F188" s="11" t="n">
        <f aca="false">IFERROR(__xludf.dummyfunction("""COMPUTED_VALUE"""),45101)</f>
        <v>45101</v>
      </c>
      <c r="G188" s="12" t="n">
        <f aca="false">IFERROR(__xludf.dummyfunction("""COMPUTED_VALUE"""),0.422748113425117)</f>
        <v>0.4227481134</v>
      </c>
      <c r="H188" s="13" t="str">
        <f aca="false">IFERROR(__xludf.dummyfunction("""COMPUTED_VALUE"""),"damaged stock")</f>
        <v>damaged stock</v>
      </c>
      <c r="I188" s="13" t="n">
        <f aca="false">IFERROR(__xludf.dummyfunction("""COMPUTED_VALUE"""),555)</f>
        <v>555</v>
      </c>
      <c r="J188" s="13" t="n">
        <f aca="false">IFERROR(__xludf.dummyfunction("""COMPUTED_VALUE"""),191.67)</f>
        <v>191.67</v>
      </c>
      <c r="K188" s="13" t="n">
        <f aca="false">IFERROR(__xludf.dummyfunction("""COMPUTED_VALUE"""),106376.85)</f>
        <v>106376.85</v>
      </c>
      <c r="L188" s="13" t="str">
        <f aca="false">IFERROR(__xludf.dummyfunction("""COMPUTED_VALUE"""),"[Code: 3FGJKM] 555 units damaged due to insects ")</f>
        <v>[Code: 3FGJKM] 555 units damaged due to insects </v>
      </c>
      <c r="M188" s="13" t="str">
        <f aca="false">IFERROR(__xludf.dummyfunction("""COMPUTED_VALUE"""),"3FGJKM")</f>
        <v>3FGJKM</v>
      </c>
      <c r="N188" s="13"/>
      <c r="O188" s="13" t="str">
        <f aca="false">IFERROR(__xludf.dummyfunction("""COMPUTED_VALUE"""),"ali.raza@tajir-app.com")</f>
        <v>ali.raza@tajir-app.com</v>
      </c>
      <c r="P188" s="13" t="str">
        <f aca="false">IFERROR(__xludf.dummyfunction("""COMPUTED_VALUE"""),"Ali Raza ")</f>
        <v>Ali Raza </v>
      </c>
      <c r="Q188" s="13" t="str">
        <f aca="false">IFERROR(__xludf.dummyfunction("""COMPUTED_VALUE"""),"[Code: 3FGJKM] 555 units damaged due to insects ")</f>
        <v>[Code: 3FGJKM] 555 units damaged due to insects </v>
      </c>
      <c r="R188" s="13" t="str">
        <v>Sat,24-June-2023 ,10:08 AM</v>
      </c>
      <c r="S188" s="13" t="str">
        <v>Damaged Stock</v>
      </c>
    </row>
    <row r="189" customFormat="false" ht="15.75" hidden="false" customHeight="false" outlineLevel="0" collapsed="false">
      <c r="A189" s="13" t="str">
        <f aca="false">IFERROR(__xludf.dummyfunction("""COMPUTED_VALUE"""),"Metro DC Faisalabad")</f>
        <v>Metro DC Faisalabad</v>
      </c>
      <c r="B189" s="13" t="str">
        <f aca="false">IFERROR(__xludf.dummyfunction("""COMPUTED_VALUE"""),"c1f7eed2-b097-47f5-ae2f-17507b692319")</f>
        <v>c1f7eed2-b097-47f5-ae2f-17507b692319</v>
      </c>
      <c r="C189" s="13" t="str">
        <f aca="false">IFERROR(__xludf.dummyfunction("""COMPUTED_VALUE"""),"Yadgar Super Special Atta 15kg")</f>
        <v>Yadgar Super Special Atta 15kg</v>
      </c>
      <c r="D189" s="13" t="str">
        <f aca="false">IFERROR(__xludf.dummyfunction("""COMPUTED_VALUE"""),"Yadgar Atta")</f>
        <v>Yadgar Atta</v>
      </c>
      <c r="E189" s="13" t="str">
        <f aca="false">IFERROR(__xludf.dummyfunction("""COMPUTED_VALUE"""),"Flour")</f>
        <v>Flour</v>
      </c>
      <c r="F189" s="11" t="n">
        <f aca="false">IFERROR(__xludf.dummyfunction("""COMPUTED_VALUE"""),45101)</f>
        <v>45101</v>
      </c>
      <c r="G189" s="12" t="n">
        <f aca="false">IFERROR(__xludf.dummyfunction("""COMPUTED_VALUE"""),0.426222048610707)</f>
        <v>0.4262220486</v>
      </c>
      <c r="H189" s="13" t="str">
        <f aca="false">IFERROR(__xludf.dummyfunction("""COMPUTED_VALUE"""),"damaged stock")</f>
        <v>damaged stock</v>
      </c>
      <c r="I189" s="13" t="n">
        <f aca="false">IFERROR(__xludf.dummyfunction("""COMPUTED_VALUE"""),370)</f>
        <v>370</v>
      </c>
      <c r="J189" s="13" t="n">
        <f aca="false">IFERROR(__xludf.dummyfunction("""COMPUTED_VALUE"""),2100)</f>
        <v>2100</v>
      </c>
      <c r="K189" s="13" t="n">
        <f aca="false">IFERROR(__xludf.dummyfunction("""COMPUTED_VALUE"""),777000)</f>
        <v>777000</v>
      </c>
      <c r="L189" s="13" t="str">
        <f aca="false">IFERROR(__xludf.dummyfunction("""COMPUTED_VALUE"""),"[Code: 3468BE]  370 units damaged due to insects ")</f>
        <v>[Code: 3468BE]  370 units damaged due to insects </v>
      </c>
      <c r="M189" s="13" t="str">
        <f aca="false">IFERROR(__xludf.dummyfunction("""COMPUTED_VALUE"""),"3468BE")</f>
        <v>3468BE</v>
      </c>
      <c r="N189" s="13"/>
      <c r="O189" s="13" t="str">
        <f aca="false">IFERROR(__xludf.dummyfunction("""COMPUTED_VALUE"""),"ali.raza@tajir-app.com")</f>
        <v>ali.raza@tajir-app.com</v>
      </c>
      <c r="P189" s="13" t="str">
        <f aca="false">IFERROR(__xludf.dummyfunction("""COMPUTED_VALUE"""),"Ali Raza ")</f>
        <v>Ali Raza </v>
      </c>
      <c r="Q189" s="13" t="str">
        <f aca="false">IFERROR(__xludf.dummyfunction("""COMPUTED_VALUE"""),"[Code: 3468BE]  370 units damaged due to insects ")</f>
        <v>[Code: 3468BE]  370 units damaged due to insects </v>
      </c>
      <c r="R189" s="13" t="str">
        <v>Sat,24-June-2023 ,10:13 AM</v>
      </c>
      <c r="S189" s="13" t="str">
        <v>Damaged Stock</v>
      </c>
    </row>
    <row r="190" customFormat="false" ht="15.75" hidden="false" customHeight="false" outlineLevel="0" collapsed="false">
      <c r="A190" s="13" t="str">
        <f aca="false">IFERROR(__xludf.dummyfunction("""COMPUTED_VALUE"""),"Metro DC Faisalabad")</f>
        <v>Metro DC Faisalabad</v>
      </c>
      <c r="B190" s="13" t="str">
        <f aca="false">IFERROR(__xludf.dummyfunction("""COMPUTED_VALUE"""),"4a7a2807-a0b1-4bb9-af21-da5ec7137065")</f>
        <v>4a7a2807-a0b1-4bb9-af21-da5ec7137065</v>
      </c>
      <c r="C190" s="13" t="str">
        <f aca="false">IFERROR(__xludf.dummyfunction("""COMPUTED_VALUE"""),"Mirinda plastic 345ml (Other city stock)")</f>
        <v>Mirinda plastic 345ml (Other city stock)</v>
      </c>
      <c r="D190" s="13" t="str">
        <f aca="false">IFERROR(__xludf.dummyfunction("""COMPUTED_VALUE"""),"Mirinda")</f>
        <v>Mirinda</v>
      </c>
      <c r="E190" s="13" t="str">
        <f aca="false">IFERROR(__xludf.dummyfunction("""COMPUTED_VALUE"""),"Beverages")</f>
        <v>Beverages</v>
      </c>
      <c r="F190" s="11" t="n">
        <f aca="false">IFERROR(__xludf.dummyfunction("""COMPUTED_VALUE"""),45102)</f>
        <v>45102</v>
      </c>
      <c r="G190" s="12" t="n">
        <f aca="false">IFERROR(__xludf.dummyfunction("""COMPUTED_VALUE"""),0.0209813078688828)</f>
        <v>0.02098130787</v>
      </c>
      <c r="H190" s="13" t="str">
        <f aca="false">IFERROR(__xludf.dummyfunction("""COMPUTED_VALUE"""),"damaged stock")</f>
        <v>damaged stock</v>
      </c>
      <c r="I190" s="13" t="n">
        <f aca="false">IFERROR(__xludf.dummyfunction("""COMPUTED_VALUE"""),1)</f>
        <v>1</v>
      </c>
      <c r="J190" s="13" t="n">
        <f aca="false">IFERROR(__xludf.dummyfunction("""COMPUTED_VALUE"""),520)</f>
        <v>520</v>
      </c>
      <c r="K190" s="13" t="n">
        <f aca="false">IFERROR(__xludf.dummyfunction("""COMPUTED_VALUE"""),520)</f>
        <v>520</v>
      </c>
      <c r="L190" s="13" t="str">
        <f aca="false">IFERROR(__xludf.dummyfunction("""COMPUTED_VALUE"""),"[Code: 333579] TA: damaged because of mouse bite.")</f>
        <v>[Code: 333579] TA: damaged because of mouse bite.</v>
      </c>
      <c r="M190" s="13" t="str">
        <f aca="false">IFERROR(__xludf.dummyfunction("""COMPUTED_VALUE"""),"333579")</f>
        <v>333579</v>
      </c>
      <c r="N190" s="13"/>
      <c r="O190" s="13" t="str">
        <f aca="false">IFERROR(__xludf.dummyfunction("""COMPUTED_VALUE"""),"taufeeq.akhtar@tajir-app.com")</f>
        <v>taufeeq.akhtar@tajir-app.com</v>
      </c>
      <c r="P190" s="13" t="str">
        <f aca="false">IFERROR(__xludf.dummyfunction("""COMPUTED_VALUE"""),"Taufeeq Akhtar ")</f>
        <v>Taufeeq Akhtar </v>
      </c>
      <c r="Q190" s="13" t="str">
        <f aca="false">IFERROR(__xludf.dummyfunction("""COMPUTED_VALUE"""),"[Code: 333579] TA: damaged because of mouse bite.")</f>
        <v>[Code: 333579] TA: damaged because of mouse bite.</v>
      </c>
      <c r="R190" s="13" t="str">
        <v>Sun,25-June-2023 ,12:30 AM</v>
      </c>
      <c r="S190" s="13" t="str">
        <v>Damaged Stock</v>
      </c>
    </row>
    <row r="191" customFormat="false" ht="15.75" hidden="false" customHeight="false" outlineLevel="0" collapsed="false">
      <c r="A191" s="13" t="str">
        <f aca="false">IFERROR(__xludf.dummyfunction("""COMPUTED_VALUE"""),"Metro DC Faisalabad")</f>
        <v>Metro DC Faisalabad</v>
      </c>
      <c r="B191" s="13" t="str">
        <f aca="false">IFERROR(__xludf.dummyfunction("""COMPUTED_VALUE"""),"cd68a607-af95-45cb-b9f4-2721224c85f8")</f>
        <v>cd68a607-af95-45cb-b9f4-2721224c85f8</v>
      </c>
      <c r="C191" s="13" t="str">
        <f aca="false">IFERROR(__xludf.dummyfunction("""COMPUTED_VALUE"""),"Coca Cola plastic 1.5L")</f>
        <v>Coca Cola plastic 1.5L</v>
      </c>
      <c r="D191" s="13" t="str">
        <f aca="false">IFERROR(__xludf.dummyfunction("""COMPUTED_VALUE"""),"Coca Cola")</f>
        <v>Coca Cola</v>
      </c>
      <c r="E191" s="13" t="str">
        <f aca="false">IFERROR(__xludf.dummyfunction("""COMPUTED_VALUE"""),"Beverages")</f>
        <v>Beverages</v>
      </c>
      <c r="F191" s="11" t="n">
        <f aca="false">IFERROR(__xludf.dummyfunction("""COMPUTED_VALUE"""),45102)</f>
        <v>45102</v>
      </c>
      <c r="G191" s="12" t="n">
        <f aca="false">IFERROR(__xludf.dummyfunction("""COMPUTED_VALUE"""),0.0220006481482829)</f>
        <v>0.02200064815</v>
      </c>
      <c r="H191" s="13" t="str">
        <f aca="false">IFERROR(__xludf.dummyfunction("""COMPUTED_VALUE"""),"damaged stock")</f>
        <v>damaged stock</v>
      </c>
      <c r="I191" s="13" t="n">
        <f aca="false">IFERROR(__xludf.dummyfunction("""COMPUTED_VALUE"""),2)</f>
        <v>2</v>
      </c>
      <c r="J191" s="13" t="n">
        <f aca="false">IFERROR(__xludf.dummyfunction("""COMPUTED_VALUE"""),813)</f>
        <v>813</v>
      </c>
      <c r="K191" s="13" t="n">
        <f aca="false">IFERROR(__xludf.dummyfunction("""COMPUTED_VALUE"""),1626)</f>
        <v>1626</v>
      </c>
      <c r="L191" s="13" t="str">
        <f aca="false">IFERROR(__xludf.dummyfunction("""COMPUTED_VALUE"""),"[Code: 23BBCE] TA: Found in Loose condition (Company end issue)")</f>
        <v>[Code: 23BBCE] TA: Found in Loose condition (Company end issue)</v>
      </c>
      <c r="M191" s="13" t="str">
        <f aca="false">IFERROR(__xludf.dummyfunction("""COMPUTED_VALUE"""),"23BBCE")</f>
        <v>23BBCE</v>
      </c>
      <c r="N191" s="13"/>
      <c r="O191" s="13" t="str">
        <f aca="false">IFERROR(__xludf.dummyfunction("""COMPUTED_VALUE"""),"taufeeq.akhtar@tajir-app.com")</f>
        <v>taufeeq.akhtar@tajir-app.com</v>
      </c>
      <c r="P191" s="13" t="str">
        <f aca="false">IFERROR(__xludf.dummyfunction("""COMPUTED_VALUE"""),"Taufeeq Akhtar ")</f>
        <v>Taufeeq Akhtar </v>
      </c>
      <c r="Q191" s="13" t="str">
        <f aca="false">IFERROR(__xludf.dummyfunction("""COMPUTED_VALUE"""),"[Code: 23BBCE] TA: Found in Loose condition (Company end issue)")</f>
        <v>[Code: 23BBCE] TA: Found in Loose condition (Company end issue)</v>
      </c>
      <c r="R191" s="13" t="str">
        <v>Sun,25-June-2023 ,12:31 AM</v>
      </c>
      <c r="S191" s="13" t="str">
        <v>Damaged Stock</v>
      </c>
    </row>
    <row r="192" customFormat="false" ht="15.75" hidden="false" customHeight="false" outlineLevel="0" collapsed="false">
      <c r="A192" s="13" t="str">
        <f aca="false">IFERROR(__xludf.dummyfunction("""COMPUTED_VALUE"""),"Metro DC Faisalabad")</f>
        <v>Metro DC Faisalabad</v>
      </c>
      <c r="B192" s="13" t="str">
        <f aca="false">IFERROR(__xludf.dummyfunction("""COMPUTED_VALUE"""),"d108dc59-da93-451f-9024-d773dad3e97a")</f>
        <v>d108dc59-da93-451f-9024-d773dad3e97a</v>
      </c>
      <c r="C192" s="13" t="str">
        <f aca="false">IFERROR(__xludf.dummyfunction("""COMPUTED_VALUE"""),"Sprite plastic 1.5L")</f>
        <v>Sprite plastic 1.5L</v>
      </c>
      <c r="D192" s="13" t="str">
        <f aca="false">IFERROR(__xludf.dummyfunction("""COMPUTED_VALUE"""),"Sprite")</f>
        <v>Sprite</v>
      </c>
      <c r="E192" s="13" t="str">
        <f aca="false">IFERROR(__xludf.dummyfunction("""COMPUTED_VALUE"""),"Beverages")</f>
        <v>Beverages</v>
      </c>
      <c r="F192" s="11" t="n">
        <f aca="false">IFERROR(__xludf.dummyfunction("""COMPUTED_VALUE"""),45102)</f>
        <v>45102</v>
      </c>
      <c r="G192" s="12" t="n">
        <f aca="false">IFERROR(__xludf.dummyfunction("""COMPUTED_VALUE"""),0.0231460185172951)</f>
        <v>0.02314601852</v>
      </c>
      <c r="H192" s="13" t="str">
        <f aca="false">IFERROR(__xludf.dummyfunction("""COMPUTED_VALUE"""),"damaged stock")</f>
        <v>damaged stock</v>
      </c>
      <c r="I192" s="13" t="n">
        <f aca="false">IFERROR(__xludf.dummyfunction("""COMPUTED_VALUE"""),1)</f>
        <v>1</v>
      </c>
      <c r="J192" s="13" t="n">
        <f aca="false">IFERROR(__xludf.dummyfunction("""COMPUTED_VALUE"""),813)</f>
        <v>813</v>
      </c>
      <c r="K192" s="13" t="n">
        <f aca="false">IFERROR(__xludf.dummyfunction("""COMPUTED_VALUE"""),813)</f>
        <v>813</v>
      </c>
      <c r="L192" s="13" t="str">
        <f aca="false">IFERROR(__xludf.dummyfunction("""COMPUTED_VALUE"""),"[Code: 245678] TA: Found in Loose condition(Company end issue)")</f>
        <v>[Code: 245678] TA: Found in Loose condition(Company end issue)</v>
      </c>
      <c r="M192" s="13" t="str">
        <f aca="false">IFERROR(__xludf.dummyfunction("""COMPUTED_VALUE"""),"245678")</f>
        <v>245678</v>
      </c>
      <c r="N192" s="13"/>
      <c r="O192" s="13" t="str">
        <f aca="false">IFERROR(__xludf.dummyfunction("""COMPUTED_VALUE"""),"taufeeq.akhtar@tajir-app.com")</f>
        <v>taufeeq.akhtar@tajir-app.com</v>
      </c>
      <c r="P192" s="13" t="str">
        <f aca="false">IFERROR(__xludf.dummyfunction("""COMPUTED_VALUE"""),"Taufeeq Akhtar ")</f>
        <v>Taufeeq Akhtar </v>
      </c>
      <c r="Q192" s="13" t="str">
        <f aca="false">IFERROR(__xludf.dummyfunction("""COMPUTED_VALUE"""),"[Code: 245678] TA: Found in Loose condition(Company end issue)")</f>
        <v>[Code: 245678] TA: Found in Loose condition(Company end issue)</v>
      </c>
      <c r="R192" s="13" t="str">
        <v>Sun,25-June-2023 ,12:33 AM</v>
      </c>
      <c r="S192" s="13" t="str">
        <v>Damaged Stock</v>
      </c>
    </row>
    <row r="193" customFormat="false" ht="15.75" hidden="false" customHeight="false" outlineLevel="0" collapsed="false">
      <c r="A193" s="13" t="str">
        <f aca="false">IFERROR(__xludf.dummyfunction("""COMPUTED_VALUE"""),"Metro DC Faisalabad")</f>
        <v>Metro DC Faisalabad</v>
      </c>
      <c r="B193" s="13" t="str">
        <f aca="false">IFERROR(__xludf.dummyfunction("""COMPUTED_VALUE"""),"6afa406d-5fa6-42ea-a697-9b99ff3ba267")</f>
        <v>6afa406d-5fa6-42ea-a697-9b99ff3ba267</v>
      </c>
      <c r="C193" s="13" t="str">
        <f aca="false">IFERROR(__xludf.dummyfunction("""COMPUTED_VALUE"""),"Sprite plastic 1L")</f>
        <v>Sprite plastic 1L</v>
      </c>
      <c r="D193" s="13" t="str">
        <f aca="false">IFERROR(__xludf.dummyfunction("""COMPUTED_VALUE"""),"Sprite")</f>
        <v>Sprite</v>
      </c>
      <c r="E193" s="13" t="str">
        <f aca="false">IFERROR(__xludf.dummyfunction("""COMPUTED_VALUE"""),"Beverages")</f>
        <v>Beverages</v>
      </c>
      <c r="F193" s="11" t="n">
        <f aca="false">IFERROR(__xludf.dummyfunction("""COMPUTED_VALUE"""),45102)</f>
        <v>45102</v>
      </c>
      <c r="G193" s="12" t="n">
        <f aca="false">IFERROR(__xludf.dummyfunction("""COMPUTED_VALUE"""),0.0254548958348047)</f>
        <v>0.02545489583</v>
      </c>
      <c r="H193" s="13" t="str">
        <f aca="false">IFERROR(__xludf.dummyfunction("""COMPUTED_VALUE"""),"damaged stock")</f>
        <v>damaged stock</v>
      </c>
      <c r="I193" s="13" t="n">
        <f aca="false">IFERROR(__xludf.dummyfunction("""COMPUTED_VALUE"""),1)</f>
        <v>1</v>
      </c>
      <c r="J193" s="13" t="n">
        <f aca="false">IFERROR(__xludf.dummyfunction("""COMPUTED_VALUE"""),672)</f>
        <v>672</v>
      </c>
      <c r="K193" s="13" t="n">
        <f aca="false">IFERROR(__xludf.dummyfunction("""COMPUTED_VALUE"""),672)</f>
        <v>672</v>
      </c>
      <c r="L193" s="13" t="str">
        <f aca="false">IFERROR(__xludf.dummyfunction("""COMPUTED_VALUE"""),"[Code: BDFFGM] TA: Found loose condition during sorting.")</f>
        <v>[Code: BDFFGM] TA: Found loose condition during sorting.</v>
      </c>
      <c r="M193" s="13" t="str">
        <f aca="false">IFERROR(__xludf.dummyfunction("""COMPUTED_VALUE"""),"BDFFGM")</f>
        <v>BDFFGM</v>
      </c>
      <c r="N193" s="13"/>
      <c r="O193" s="13" t="str">
        <f aca="false">IFERROR(__xludf.dummyfunction("""COMPUTED_VALUE"""),"taufeeq.akhtar@tajir-app.com")</f>
        <v>taufeeq.akhtar@tajir-app.com</v>
      </c>
      <c r="P193" s="13" t="str">
        <f aca="false">IFERROR(__xludf.dummyfunction("""COMPUTED_VALUE"""),"Taufeeq Akhtar ")</f>
        <v>Taufeeq Akhtar </v>
      </c>
      <c r="Q193" s="13" t="str">
        <f aca="false">IFERROR(__xludf.dummyfunction("""COMPUTED_VALUE"""),"[Code: BDFFGM] TA: Found loose condition during sorting.")</f>
        <v>[Code: BDFFGM] TA: Found loose condition during sorting.</v>
      </c>
      <c r="R193" s="13" t="str">
        <v>Sun,25-June-2023 ,12:36 AM</v>
      </c>
      <c r="S193" s="13" t="str">
        <v>Damaged Stock</v>
      </c>
    </row>
    <row r="194" customFormat="false" ht="15.75" hidden="false" customHeight="false" outlineLevel="0" collapsed="false">
      <c r="A194" s="13" t="str">
        <f aca="false">IFERROR(__xludf.dummyfunction("""COMPUTED_VALUE"""),"Metro DC Faisalabad")</f>
        <v>Metro DC Faisalabad</v>
      </c>
      <c r="B194" s="13" t="str">
        <f aca="false">IFERROR(__xludf.dummyfunction("""COMPUTED_VALUE"""),"cd68a607-af95-45cb-b9f4-2721224c85f8")</f>
        <v>cd68a607-af95-45cb-b9f4-2721224c85f8</v>
      </c>
      <c r="C194" s="13" t="str">
        <f aca="false">IFERROR(__xludf.dummyfunction("""COMPUTED_VALUE"""),"Coca Cola plastic 1.5L")</f>
        <v>Coca Cola plastic 1.5L</v>
      </c>
      <c r="D194" s="13" t="str">
        <f aca="false">IFERROR(__xludf.dummyfunction("""COMPUTED_VALUE"""),"Coca Cola")</f>
        <v>Coca Cola</v>
      </c>
      <c r="E194" s="13" t="str">
        <f aca="false">IFERROR(__xludf.dummyfunction("""COMPUTED_VALUE"""),"Beverages")</f>
        <v>Beverages</v>
      </c>
      <c r="F194" s="11" t="n">
        <f aca="false">IFERROR(__xludf.dummyfunction("""COMPUTED_VALUE"""),45103)</f>
        <v>45103</v>
      </c>
      <c r="G194" s="12" t="n">
        <f aca="false">IFERROR(__xludf.dummyfunction("""COMPUTED_VALUE"""),0.013660624998437)</f>
        <v>0.013660625</v>
      </c>
      <c r="H194" s="13" t="str">
        <f aca="false">IFERROR(__xludf.dummyfunction("""COMPUTED_VALUE"""),"damaged stock")</f>
        <v>damaged stock</v>
      </c>
      <c r="I194" s="13" t="n">
        <f aca="false">IFERROR(__xludf.dummyfunction("""COMPUTED_VALUE"""),2)</f>
        <v>2</v>
      </c>
      <c r="J194" s="13" t="n">
        <f aca="false">IFERROR(__xludf.dummyfunction("""COMPUTED_VALUE"""),813)</f>
        <v>813</v>
      </c>
      <c r="K194" s="13" t="n">
        <f aca="false">IFERROR(__xludf.dummyfunction("""COMPUTED_VALUE"""),1626)</f>
        <v>1626</v>
      </c>
      <c r="L194" s="13" t="str">
        <f aca="false">IFERROR(__xludf.dummyfunction("""COMPUTED_VALUE"""),"[Code: 28AGHL] TA: Found loose during sorting.")</f>
        <v>[Code: 28AGHL] TA: Found loose during sorting.</v>
      </c>
      <c r="M194" s="13" t="str">
        <f aca="false">IFERROR(__xludf.dummyfunction("""COMPUTED_VALUE"""),"28AGHL")</f>
        <v>28AGHL</v>
      </c>
      <c r="N194" s="13"/>
      <c r="O194" s="13" t="str">
        <f aca="false">IFERROR(__xludf.dummyfunction("""COMPUTED_VALUE"""),"taufeeq.akhtar@tajir-app.com")</f>
        <v>taufeeq.akhtar@tajir-app.com</v>
      </c>
      <c r="P194" s="13" t="str">
        <f aca="false">IFERROR(__xludf.dummyfunction("""COMPUTED_VALUE"""),"Taufeeq Akhtar ")</f>
        <v>Taufeeq Akhtar </v>
      </c>
      <c r="Q194" s="13" t="str">
        <f aca="false">IFERROR(__xludf.dummyfunction("""COMPUTED_VALUE"""),"[Code: 28AGHL] TA: Found loose during sorting.")</f>
        <v>[Code: 28AGHL] TA: Found loose during sorting.</v>
      </c>
      <c r="R194" s="13" t="str">
        <v>Mon,26-June-2023 ,12:19 AM</v>
      </c>
      <c r="S194" s="13" t="str">
        <v>Damaged Stock</v>
      </c>
    </row>
    <row r="195" customFormat="false" ht="15.75" hidden="false" customHeight="false" outlineLevel="0" collapsed="false">
      <c r="A195" s="13" t="str">
        <f aca="false">IFERROR(__xludf.dummyfunction("""COMPUTED_VALUE"""),"Metro DC Faisalabad")</f>
        <v>Metro DC Faisalabad</v>
      </c>
      <c r="B195" s="13" t="str">
        <f aca="false">IFERROR(__xludf.dummyfunction("""COMPUTED_VALUE"""),"d108dc59-da93-451f-9024-d773dad3e97a")</f>
        <v>d108dc59-da93-451f-9024-d773dad3e97a</v>
      </c>
      <c r="C195" s="13" t="str">
        <f aca="false">IFERROR(__xludf.dummyfunction("""COMPUTED_VALUE"""),"Sprite plastic 1.5L")</f>
        <v>Sprite plastic 1.5L</v>
      </c>
      <c r="D195" s="13" t="str">
        <f aca="false">IFERROR(__xludf.dummyfunction("""COMPUTED_VALUE"""),"Sprite")</f>
        <v>Sprite</v>
      </c>
      <c r="E195" s="13" t="str">
        <f aca="false">IFERROR(__xludf.dummyfunction("""COMPUTED_VALUE"""),"Beverages")</f>
        <v>Beverages</v>
      </c>
      <c r="F195" s="11" t="n">
        <f aca="false">IFERROR(__xludf.dummyfunction("""COMPUTED_VALUE"""),45103)</f>
        <v>45103</v>
      </c>
      <c r="G195" s="12" t="n">
        <f aca="false">IFERROR(__xludf.dummyfunction("""COMPUTED_VALUE"""),0.0144387962977461)</f>
        <v>0.0144387963</v>
      </c>
      <c r="H195" s="13" t="str">
        <f aca="false">IFERROR(__xludf.dummyfunction("""COMPUTED_VALUE"""),"damaged stock")</f>
        <v>damaged stock</v>
      </c>
      <c r="I195" s="13" t="n">
        <f aca="false">IFERROR(__xludf.dummyfunction("""COMPUTED_VALUE"""),1)</f>
        <v>1</v>
      </c>
      <c r="J195" s="13" t="n">
        <f aca="false">IFERROR(__xludf.dummyfunction("""COMPUTED_VALUE"""),813)</f>
        <v>813</v>
      </c>
      <c r="K195" s="13" t="n">
        <f aca="false">IFERROR(__xludf.dummyfunction("""COMPUTED_VALUE"""),813)</f>
        <v>813</v>
      </c>
      <c r="L195" s="13" t="str">
        <f aca="false">IFERROR(__xludf.dummyfunction("""COMPUTED_VALUE"""),"[Code: 233458] TA: found in loose condition during sorting.")</f>
        <v>[Code: 233458] TA: found in loose condition during sorting.</v>
      </c>
      <c r="M195" s="13" t="str">
        <f aca="false">IFERROR(__xludf.dummyfunction("""COMPUTED_VALUE"""),"233458")</f>
        <v>233458</v>
      </c>
      <c r="N195" s="13"/>
      <c r="O195" s="13" t="str">
        <f aca="false">IFERROR(__xludf.dummyfunction("""COMPUTED_VALUE"""),"taufeeq.akhtar@tajir-app.com")</f>
        <v>taufeeq.akhtar@tajir-app.com</v>
      </c>
      <c r="P195" s="13" t="str">
        <f aca="false">IFERROR(__xludf.dummyfunction("""COMPUTED_VALUE"""),"Taufeeq Akhtar ")</f>
        <v>Taufeeq Akhtar </v>
      </c>
      <c r="Q195" s="13" t="str">
        <f aca="false">IFERROR(__xludf.dummyfunction("""COMPUTED_VALUE"""),"[Code: 233458] TA: found in loose condition during sorting.")</f>
        <v>[Code: 233458] TA: found in loose condition during sorting.</v>
      </c>
      <c r="R195" s="13" t="str">
        <v>Mon,26-June-2023 ,12:20 AM</v>
      </c>
      <c r="S195" s="13" t="str">
        <v>Damaged Stock</v>
      </c>
    </row>
    <row r="196" customFormat="false" ht="15.75" hidden="false" customHeight="false" outlineLevel="0" collapsed="false">
      <c r="A196" s="13" t="str">
        <f aca="false">IFERROR(__xludf.dummyfunction("""COMPUTED_VALUE"""),"Metro DC Faisalabad")</f>
        <v>Metro DC Faisalabad</v>
      </c>
      <c r="B196" s="13" t="str">
        <f aca="false">IFERROR(__xludf.dummyfunction("""COMPUTED_VALUE"""),"6afa406d-5fa6-42ea-a697-9b99ff3ba267")</f>
        <v>6afa406d-5fa6-42ea-a697-9b99ff3ba267</v>
      </c>
      <c r="C196" s="13" t="str">
        <f aca="false">IFERROR(__xludf.dummyfunction("""COMPUTED_VALUE"""),"Sprite plastic 1L")</f>
        <v>Sprite plastic 1L</v>
      </c>
      <c r="D196" s="13" t="str">
        <f aca="false">IFERROR(__xludf.dummyfunction("""COMPUTED_VALUE"""),"Sprite")</f>
        <v>Sprite</v>
      </c>
      <c r="E196" s="13" t="str">
        <f aca="false">IFERROR(__xludf.dummyfunction("""COMPUTED_VALUE"""),"Beverages")</f>
        <v>Beverages</v>
      </c>
      <c r="F196" s="11" t="n">
        <f aca="false">IFERROR(__xludf.dummyfunction("""COMPUTED_VALUE"""),45103)</f>
        <v>45103</v>
      </c>
      <c r="G196" s="12" t="n">
        <f aca="false">IFERROR(__xludf.dummyfunction("""COMPUTED_VALUE"""),0.0150900115742412)</f>
        <v>0.01509001157</v>
      </c>
      <c r="H196" s="13" t="str">
        <f aca="false">IFERROR(__xludf.dummyfunction("""COMPUTED_VALUE"""),"damaged stock")</f>
        <v>damaged stock</v>
      </c>
      <c r="I196" s="13" t="n">
        <f aca="false">IFERROR(__xludf.dummyfunction("""COMPUTED_VALUE"""),1)</f>
        <v>1</v>
      </c>
      <c r="J196" s="13" t="n">
        <f aca="false">IFERROR(__xludf.dummyfunction("""COMPUTED_VALUE"""),672)</f>
        <v>672</v>
      </c>
      <c r="K196" s="13" t="n">
        <f aca="false">IFERROR(__xludf.dummyfunction("""COMPUTED_VALUE"""),672)</f>
        <v>672</v>
      </c>
      <c r="L196" s="13" t="str">
        <f aca="false">IFERROR(__xludf.dummyfunction("""COMPUTED_VALUE"""),"[Code: 34446A] TA:  Found in Loose condition during sorting")</f>
        <v>[Code: 34446A] TA:  Found in Loose condition during sorting</v>
      </c>
      <c r="M196" s="13" t="str">
        <f aca="false">IFERROR(__xludf.dummyfunction("""COMPUTED_VALUE"""),"34446A")</f>
        <v>34446A</v>
      </c>
      <c r="N196" s="13"/>
      <c r="O196" s="13" t="str">
        <f aca="false">IFERROR(__xludf.dummyfunction("""COMPUTED_VALUE"""),"taufeeq.akhtar@tajir-app.com")</f>
        <v>taufeeq.akhtar@tajir-app.com</v>
      </c>
      <c r="P196" s="13" t="str">
        <f aca="false">IFERROR(__xludf.dummyfunction("""COMPUTED_VALUE"""),"Taufeeq Akhtar ")</f>
        <v>Taufeeq Akhtar </v>
      </c>
      <c r="Q196" s="13" t="str">
        <f aca="false">IFERROR(__xludf.dummyfunction("""COMPUTED_VALUE"""),"[Code: 34446A] TA:  Found in Loose condition during sorting")</f>
        <v>[Code: 34446A] TA:  Found in Loose condition during sorting</v>
      </c>
      <c r="R196" s="13" t="str">
        <v>Mon,26-June-2023 ,12:21 AM</v>
      </c>
      <c r="S196" s="13" t="str">
        <v>Damaged Stock</v>
      </c>
    </row>
    <row r="197" customFormat="false" ht="15.75" hidden="false" customHeight="false" outlineLevel="0" collapsed="false">
      <c r="A197" s="13" t="str">
        <f aca="false">IFERROR(__xludf.dummyfunction("""COMPUTED_VALUE"""),"Metro DC Faisalabad")</f>
        <v>Metro DC Faisalabad</v>
      </c>
      <c r="B197" s="13" t="str">
        <f aca="false">IFERROR(__xludf.dummyfunction("""COMPUTED_VALUE"""),"13e1aca6-1334-4628-8642-373185a2eeb7")</f>
        <v>13e1aca6-1334-4628-8642-373185a2eeb7</v>
      </c>
      <c r="C197" s="13" t="str">
        <f aca="false">IFERROR(__xludf.dummyfunction("""COMPUTED_VALUE"""),"Shangrila Tomato Ketchup x6 Bundle 225g")</f>
        <v>Shangrila Tomato Ketchup x6 Bundle 225g</v>
      </c>
      <c r="D197" s="13" t="str">
        <f aca="false">IFERROR(__xludf.dummyfunction("""COMPUTED_VALUE"""),"Shangrila")</f>
        <v>Shangrila</v>
      </c>
      <c r="E197" s="13" t="str">
        <f aca="false">IFERROR(__xludf.dummyfunction("""COMPUTED_VALUE"""),"Sauces")</f>
        <v>Sauces</v>
      </c>
      <c r="F197" s="11" t="n">
        <f aca="false">IFERROR(__xludf.dummyfunction("""COMPUTED_VALUE"""),45103)</f>
        <v>45103</v>
      </c>
      <c r="G197" s="12" t="n">
        <f aca="false">IFERROR(__xludf.dummyfunction("""COMPUTED_VALUE"""),0.0162060185191922)</f>
        <v>0.01620601852</v>
      </c>
      <c r="H197" s="13" t="str">
        <f aca="false">IFERROR(__xludf.dummyfunction("""COMPUTED_VALUE"""),"damaged stock")</f>
        <v>damaged stock</v>
      </c>
      <c r="I197" s="13" t="n">
        <f aca="false">IFERROR(__xludf.dummyfunction("""COMPUTED_VALUE"""),1)</f>
        <v>1</v>
      </c>
      <c r="J197" s="13" t="n">
        <f aca="false">IFERROR(__xludf.dummyfunction("""COMPUTED_VALUE"""),614.12)</f>
        <v>614.12</v>
      </c>
      <c r="K197" s="13" t="n">
        <f aca="false">IFERROR(__xludf.dummyfunction("""COMPUTED_VALUE"""),614.12)</f>
        <v>614.12</v>
      </c>
      <c r="L197" s="13" t="str">
        <f aca="false">IFERROR(__xludf.dummyfunction("""COMPUTED_VALUE"""),"[Code: 46BCGH] TA: Box May say damaged nikla display krtay wqt.")</f>
        <v>[Code: 46BCGH] TA: Box May say damaged nikla display krtay wqt.</v>
      </c>
      <c r="M197" s="13" t="str">
        <f aca="false">IFERROR(__xludf.dummyfunction("""COMPUTED_VALUE"""),"46BCGH")</f>
        <v>46BCGH</v>
      </c>
      <c r="N197" s="13"/>
      <c r="O197" s="13" t="str">
        <f aca="false">IFERROR(__xludf.dummyfunction("""COMPUTED_VALUE"""),"taufeeq.akhtar@tajir-app.com")</f>
        <v>taufeeq.akhtar@tajir-app.com</v>
      </c>
      <c r="P197" s="13" t="str">
        <f aca="false">IFERROR(__xludf.dummyfunction("""COMPUTED_VALUE"""),"Taufeeq Akhtar ")</f>
        <v>Taufeeq Akhtar </v>
      </c>
      <c r="Q197" s="13" t="str">
        <f aca="false">IFERROR(__xludf.dummyfunction("""COMPUTED_VALUE"""),"[Code: 46BCGH] TA: Box May say damaged nikla display krtay wqt.")</f>
        <v>[Code: 46BCGH] TA: Box May say damaged nikla display krtay wqt.</v>
      </c>
      <c r="R197" s="13" t="str">
        <v>Mon,26-June-2023 ,12:23 AM</v>
      </c>
      <c r="S197" s="13" t="str">
        <v>Damaged Stock</v>
      </c>
    </row>
    <row r="198" customFormat="false" ht="15.75" hidden="false" customHeight="false" outlineLevel="0" collapsed="false">
      <c r="A198" s="13" t="str">
        <f aca="false">IFERROR(__xludf.dummyfunction("""COMPUTED_VALUE"""),"Metro DC Faisalabad")</f>
        <v>Metro DC Faisalabad</v>
      </c>
      <c r="B198" s="13" t="str">
        <f aca="false">IFERROR(__xludf.dummyfunction("""COMPUTED_VALUE"""),"59e4c477-de73-4b1a-951d-f12eb0f05512")</f>
        <v>59e4c477-de73-4b1a-951d-f12eb0f05512</v>
      </c>
      <c r="C198" s="13" t="str">
        <f aca="false">IFERROR(__xludf.dummyfunction("""COMPUTED_VALUE"""),"Shangrila Tomato Ketchup x3 Bundle 400g")</f>
        <v>Shangrila Tomato Ketchup x3 Bundle 400g</v>
      </c>
      <c r="D198" s="13" t="str">
        <f aca="false">IFERROR(__xludf.dummyfunction("""COMPUTED_VALUE"""),"Shangrila")</f>
        <v>Shangrila</v>
      </c>
      <c r="E198" s="13" t="str">
        <f aca="false">IFERROR(__xludf.dummyfunction("""COMPUTED_VALUE"""),"Sauces")</f>
        <v>Sauces</v>
      </c>
      <c r="F198" s="11" t="n">
        <f aca="false">IFERROR(__xludf.dummyfunction("""COMPUTED_VALUE"""),45103)</f>
        <v>45103</v>
      </c>
      <c r="G198" s="12" t="n">
        <f aca="false">IFERROR(__xludf.dummyfunction("""COMPUTED_VALUE"""),0.0182868171307507)</f>
        <v>0.01828681713</v>
      </c>
      <c r="H198" s="13" t="str">
        <f aca="false">IFERROR(__xludf.dummyfunction("""COMPUTED_VALUE"""),"damaged stock")</f>
        <v>damaged stock</v>
      </c>
      <c r="I198" s="13" t="n">
        <f aca="false">IFERROR(__xludf.dummyfunction("""COMPUTED_VALUE"""),1)</f>
        <v>1</v>
      </c>
      <c r="J198" s="13" t="n">
        <f aca="false">IFERROR(__xludf.dummyfunction("""COMPUTED_VALUE"""),540.66)</f>
        <v>540.66</v>
      </c>
      <c r="K198" s="13" t="n">
        <f aca="false">IFERROR(__xludf.dummyfunction("""COMPUTED_VALUE"""),540.66)</f>
        <v>540.66</v>
      </c>
      <c r="L198" s="13" t="str">
        <f aca="false">IFERROR(__xludf.dummyfunction("""COMPUTED_VALUE"""),"[Code: 24566A] TA: Diplay krtay waqt box may say damaged nikla")</f>
        <v>[Code: 24566A] TA: Diplay krtay waqt box may say damaged nikla</v>
      </c>
      <c r="M198" s="13" t="str">
        <f aca="false">IFERROR(__xludf.dummyfunction("""COMPUTED_VALUE"""),"24566A")</f>
        <v>24566A</v>
      </c>
      <c r="N198" s="13"/>
      <c r="O198" s="13" t="str">
        <f aca="false">IFERROR(__xludf.dummyfunction("""COMPUTED_VALUE"""),"taufeeq.akhtar@tajir-app.com")</f>
        <v>taufeeq.akhtar@tajir-app.com</v>
      </c>
      <c r="P198" s="13" t="str">
        <f aca="false">IFERROR(__xludf.dummyfunction("""COMPUTED_VALUE"""),"Taufeeq Akhtar ")</f>
        <v>Taufeeq Akhtar </v>
      </c>
      <c r="Q198" s="13" t="str">
        <f aca="false">IFERROR(__xludf.dummyfunction("""COMPUTED_VALUE"""),"[Code: 24566A] TA: Diplay krtay waqt box may say damaged nikla")</f>
        <v>[Code: 24566A] TA: Diplay krtay waqt box may say damaged nikla</v>
      </c>
      <c r="R198" s="13" t="str">
        <v>Mon,26-June-2023 ,12:26 AM</v>
      </c>
      <c r="S198" s="13" t="str">
        <v>Damaged Stock</v>
      </c>
    </row>
    <row r="199" customFormat="false" ht="15.75" hidden="false" customHeight="false" outlineLevel="0" collapsed="false">
      <c r="A199" s="13" t="str">
        <f aca="false">IFERROR(__xludf.dummyfunction("""COMPUTED_VALUE"""),"Metro DC Faisalabad")</f>
        <v>Metro DC Faisalabad</v>
      </c>
      <c r="B199" s="13" t="str">
        <f aca="false">IFERROR(__xludf.dummyfunction("""COMPUTED_VALUE"""),"d108dc59-da93-451f-9024-d773dad3e97a")</f>
        <v>d108dc59-da93-451f-9024-d773dad3e97a</v>
      </c>
      <c r="C199" s="13" t="str">
        <f aca="false">IFERROR(__xludf.dummyfunction("""COMPUTED_VALUE"""),"Sprite plastic 1.5L")</f>
        <v>Sprite plastic 1.5L</v>
      </c>
      <c r="D199" s="13" t="str">
        <f aca="false">IFERROR(__xludf.dummyfunction("""COMPUTED_VALUE"""),"Sprite")</f>
        <v>Sprite</v>
      </c>
      <c r="E199" s="13" t="str">
        <f aca="false">IFERROR(__xludf.dummyfunction("""COMPUTED_VALUE"""),"Beverages")</f>
        <v>Beverages</v>
      </c>
      <c r="F199" s="11" t="n">
        <f aca="false">IFERROR(__xludf.dummyfunction("""COMPUTED_VALUE"""),45104)</f>
        <v>45104</v>
      </c>
      <c r="G199" s="12" t="n">
        <f aca="false">IFERROR(__xludf.dummyfunction("""COMPUTED_VALUE"""),0.0294287962980964)</f>
        <v>0.0294287963</v>
      </c>
      <c r="H199" s="13" t="str">
        <f aca="false">IFERROR(__xludf.dummyfunction("""COMPUTED_VALUE"""),"damaged stock")</f>
        <v>damaged stock</v>
      </c>
      <c r="I199" s="13" t="n">
        <f aca="false">IFERROR(__xludf.dummyfunction("""COMPUTED_VALUE"""),1)</f>
        <v>1</v>
      </c>
      <c r="J199" s="13" t="n">
        <f aca="false">IFERROR(__xludf.dummyfunction("""COMPUTED_VALUE"""),813)</f>
        <v>813</v>
      </c>
      <c r="K199" s="13" t="n">
        <f aca="false">IFERROR(__xludf.dummyfunction("""COMPUTED_VALUE"""),813)</f>
        <v>813</v>
      </c>
      <c r="L199" s="13" t="str">
        <f aca="false">IFERROR(__xludf.dummyfunction("""COMPUTED_VALUE"""),"[Code: 35689A] TA:Found in Loose condition during sorting.")</f>
        <v>[Code: 35689A] TA:Found in Loose condition during sorting.</v>
      </c>
      <c r="M199" s="13" t="str">
        <f aca="false">IFERROR(__xludf.dummyfunction("""COMPUTED_VALUE"""),"35689A")</f>
        <v>35689A</v>
      </c>
      <c r="N199" s="13"/>
      <c r="O199" s="13" t="str">
        <f aca="false">IFERROR(__xludf.dummyfunction("""COMPUTED_VALUE"""),"taufeeq.akhtar@tajir-app.com")</f>
        <v>taufeeq.akhtar@tajir-app.com</v>
      </c>
      <c r="P199" s="13" t="str">
        <f aca="false">IFERROR(__xludf.dummyfunction("""COMPUTED_VALUE"""),"Taufeeq Akhtar ")</f>
        <v>Taufeeq Akhtar </v>
      </c>
      <c r="Q199" s="13" t="str">
        <f aca="false">IFERROR(__xludf.dummyfunction("""COMPUTED_VALUE"""),"[Code: 35689A] TA:Found in Loose condition during sorting.")</f>
        <v>[Code: 35689A] TA:Found in Loose condition during sorting.</v>
      </c>
      <c r="R199" s="13" t="str">
        <v>Tue,27-June-2023 ,12:42 AM</v>
      </c>
      <c r="S199" s="13" t="str">
        <v>Damaged Stock</v>
      </c>
    </row>
    <row r="200" customFormat="false" ht="15.75" hidden="false" customHeight="false" outlineLevel="0" collapsed="false">
      <c r="A200" s="13" t="str">
        <f aca="false">IFERROR(__xludf.dummyfunction("""COMPUTED_VALUE"""),"Metro DC Faisalabad")</f>
        <v>Metro DC Faisalabad</v>
      </c>
      <c r="B200" s="13" t="str">
        <f aca="false">IFERROR(__xludf.dummyfunction("""COMPUTED_VALUE"""),"cd68a607-af95-45cb-b9f4-2721224c85f8")</f>
        <v>cd68a607-af95-45cb-b9f4-2721224c85f8</v>
      </c>
      <c r="C200" s="13" t="str">
        <f aca="false">IFERROR(__xludf.dummyfunction("""COMPUTED_VALUE"""),"Coca Cola plastic 1.5L")</f>
        <v>Coca Cola plastic 1.5L</v>
      </c>
      <c r="D200" s="13" t="str">
        <f aca="false">IFERROR(__xludf.dummyfunction("""COMPUTED_VALUE"""),"Coca Cola")</f>
        <v>Coca Cola</v>
      </c>
      <c r="E200" s="13" t="str">
        <f aca="false">IFERROR(__xludf.dummyfunction("""COMPUTED_VALUE"""),"Beverages")</f>
        <v>Beverages</v>
      </c>
      <c r="F200" s="11" t="n">
        <f aca="false">IFERROR(__xludf.dummyfunction("""COMPUTED_VALUE"""),45104)</f>
        <v>45104</v>
      </c>
      <c r="G200" s="12" t="n">
        <f aca="false">IFERROR(__xludf.dummyfunction("""COMPUTED_VALUE"""),0.0315817939808401)</f>
        <v>0.03158179398</v>
      </c>
      <c r="H200" s="13" t="str">
        <f aca="false">IFERROR(__xludf.dummyfunction("""COMPUTED_VALUE"""),"damaged stock")</f>
        <v>damaged stock</v>
      </c>
      <c r="I200" s="13" t="n">
        <f aca="false">IFERROR(__xludf.dummyfunction("""COMPUTED_VALUE"""),1)</f>
        <v>1</v>
      </c>
      <c r="J200" s="13" t="n">
        <f aca="false">IFERROR(__xludf.dummyfunction("""COMPUTED_VALUE"""),813)</f>
        <v>813</v>
      </c>
      <c r="K200" s="13" t="n">
        <f aca="false">IFERROR(__xludf.dummyfunction("""COMPUTED_VALUE"""),813)</f>
        <v>813</v>
      </c>
      <c r="L200" s="13" t="str">
        <f aca="false">IFERROR(__xludf.dummyfunction("""COMPUTED_VALUE"""),"[Code: 5668AA] TA: Found looase and empty bottels ")</f>
        <v>[Code: 5668AA] TA: Found looase and empty bottels </v>
      </c>
      <c r="M200" s="13" t="str">
        <f aca="false">IFERROR(__xludf.dummyfunction("""COMPUTED_VALUE"""),"5668AA")</f>
        <v>5668AA</v>
      </c>
      <c r="N200" s="13"/>
      <c r="O200" s="13" t="str">
        <f aca="false">IFERROR(__xludf.dummyfunction("""COMPUTED_VALUE"""),"taufeeq.akhtar@tajir-app.com")</f>
        <v>taufeeq.akhtar@tajir-app.com</v>
      </c>
      <c r="P200" s="13" t="str">
        <f aca="false">IFERROR(__xludf.dummyfunction("""COMPUTED_VALUE"""),"Taufeeq Akhtar ")</f>
        <v>Taufeeq Akhtar </v>
      </c>
      <c r="Q200" s="13" t="str">
        <f aca="false">IFERROR(__xludf.dummyfunction("""COMPUTED_VALUE"""),"[Code: 5668AA] TA: Found looase and empty bottels ")</f>
        <v>[Code: 5668AA] TA: Found looase and empty bottels </v>
      </c>
      <c r="R200" s="13" t="str">
        <v>Tue,27-June-2023 ,12:45 AM</v>
      </c>
      <c r="S200" s="13" t="str">
        <v>Damaged Stock</v>
      </c>
    </row>
    <row r="201" customFormat="false" ht="15.75" hidden="false" customHeight="false" outlineLevel="0" collapsed="false">
      <c r="A201" s="13" t="str">
        <f aca="false">IFERROR(__xludf.dummyfunction("""COMPUTED_VALUE"""),"Metro DC Faisalabad")</f>
        <v>Metro DC Faisalabad</v>
      </c>
      <c r="B201" s="13" t="str">
        <f aca="false">IFERROR(__xludf.dummyfunction("""COMPUTED_VALUE"""),"4df466f2-5062-4b23-a5b8-e471d0f47b18")</f>
        <v>4df466f2-5062-4b23-a5b8-e471d0f47b18</v>
      </c>
      <c r="C201" s="13" t="str">
        <f aca="false">IFERROR(__xludf.dummyfunction("""COMPUTED_VALUE"""),"Engro Tarang Liquid Tea Whitener x24 Crate 175ml")</f>
        <v>Engro Tarang Liquid Tea Whitener x24 Crate 175ml</v>
      </c>
      <c r="D201" s="13" t="str">
        <f aca="false">IFERROR(__xludf.dummyfunction("""COMPUTED_VALUE"""),"Tarang")</f>
        <v>Tarang</v>
      </c>
      <c r="E201" s="13" t="str">
        <f aca="false">IFERROR(__xludf.dummyfunction("""COMPUTED_VALUE"""),"Dairy")</f>
        <v>Dairy</v>
      </c>
      <c r="F201" s="11" t="n">
        <f aca="false">IFERROR(__xludf.dummyfunction("""COMPUTED_VALUE"""),45104)</f>
        <v>45104</v>
      </c>
      <c r="G201" s="12" t="n">
        <f aca="false">IFERROR(__xludf.dummyfunction("""COMPUTED_VALUE"""),0.0332824305560945)</f>
        <v>0.03328243056</v>
      </c>
      <c r="H201" s="13" t="str">
        <f aca="false">IFERROR(__xludf.dummyfunction("""COMPUTED_VALUE"""),"damaged stock")</f>
        <v>damaged stock</v>
      </c>
      <c r="I201" s="13" t="n">
        <f aca="false">IFERROR(__xludf.dummyfunction("""COMPUTED_VALUE"""),1)</f>
        <v>1</v>
      </c>
      <c r="J201" s="13" t="n">
        <f aca="false">IFERROR(__xludf.dummyfunction("""COMPUTED_VALUE"""),870)</f>
        <v>870</v>
      </c>
      <c r="K201" s="13" t="n">
        <f aca="false">IFERROR(__xludf.dummyfunction("""COMPUTED_VALUE"""),870)</f>
        <v>870</v>
      </c>
      <c r="L201" s="13" t="str">
        <f aca="false">IFERROR(__xludf.dummyfunction("""COMPUTED_VALUE"""),"[Code: 344CCF] TA: ulli lagi hay leak honay ki wajah say.")</f>
        <v>[Code: 344CCF] TA: ulli lagi hay leak honay ki wajah say.</v>
      </c>
      <c r="M201" s="13" t="str">
        <f aca="false">IFERROR(__xludf.dummyfunction("""COMPUTED_VALUE"""),"344CCF")</f>
        <v>344CCF</v>
      </c>
      <c r="N201" s="13"/>
      <c r="O201" s="13" t="str">
        <f aca="false">IFERROR(__xludf.dummyfunction("""COMPUTED_VALUE"""),"taufeeq.akhtar@tajir-app.com")</f>
        <v>taufeeq.akhtar@tajir-app.com</v>
      </c>
      <c r="P201" s="13" t="str">
        <f aca="false">IFERROR(__xludf.dummyfunction("""COMPUTED_VALUE"""),"Taufeeq Akhtar ")</f>
        <v>Taufeeq Akhtar </v>
      </c>
      <c r="Q201" s="13" t="str">
        <f aca="false">IFERROR(__xludf.dummyfunction("""COMPUTED_VALUE"""),"[Code: 344CCF] TA: ulli lagi hay leak honay ki wajah say.")</f>
        <v>[Code: 344CCF] TA: ulli lagi hay leak honay ki wajah say.</v>
      </c>
      <c r="R201" s="13" t="str">
        <v>Tue,27-June-2023 ,12:47 AM</v>
      </c>
      <c r="S201" s="13" t="str">
        <v>Damaged Stock</v>
      </c>
    </row>
    <row r="202" customFormat="false" ht="15.75" hidden="false" customHeight="false" outlineLevel="0" collapsed="false">
      <c r="A202" s="13" t="str">
        <f aca="false">IFERROR(__xludf.dummyfunction("""COMPUTED_VALUE"""),"Metro DC Faisalabad")</f>
        <v>Metro DC Faisalabad</v>
      </c>
      <c r="B202" s="13" t="str">
        <f aca="false">IFERROR(__xludf.dummyfunction("""COMPUTED_VALUE"""),"446b7945-0903-4143-804b-79769ad0280b")</f>
        <v>446b7945-0903-4143-804b-79769ad0280b</v>
      </c>
      <c r="C202" s="13" t="str">
        <f aca="false">IFERROR(__xludf.dummyfunction("""COMPUTED_VALUE"""),"Engro Olpers Milk x8 Carton 1.5L")</f>
        <v>Engro Olpers Milk x8 Carton 1.5L</v>
      </c>
      <c r="D202" s="13" t="str">
        <f aca="false">IFERROR(__xludf.dummyfunction("""COMPUTED_VALUE"""),"Olpers")</f>
        <v>Olpers</v>
      </c>
      <c r="E202" s="13" t="str">
        <f aca="false">IFERROR(__xludf.dummyfunction("""COMPUTED_VALUE"""),"Dairy")</f>
        <v>Dairy</v>
      </c>
      <c r="F202" s="11" t="n">
        <f aca="false">IFERROR(__xludf.dummyfunction("""COMPUTED_VALUE"""),45104)</f>
        <v>45104</v>
      </c>
      <c r="G202" s="12" t="n">
        <f aca="false">IFERROR(__xludf.dummyfunction("""COMPUTED_VALUE"""),0.994976006946223)</f>
        <v>0.9949760069</v>
      </c>
      <c r="H202" s="13" t="str">
        <f aca="false">IFERROR(__xludf.dummyfunction("""COMPUTED_VALUE"""),"damaged stock")</f>
        <v>damaged stock</v>
      </c>
      <c r="I202" s="13" t="n">
        <f aca="false">IFERROR(__xludf.dummyfunction("""COMPUTED_VALUE"""),1)</f>
        <v>1</v>
      </c>
      <c r="J202" s="13" t="n">
        <f aca="false">IFERROR(__xludf.dummyfunction("""COMPUTED_VALUE"""),2690)</f>
        <v>2690</v>
      </c>
      <c r="K202" s="13" t="n">
        <f aca="false">IFERROR(__xludf.dummyfunction("""COMPUTED_VALUE"""),2690)</f>
        <v>2690</v>
      </c>
      <c r="L202" s="13" t="str">
        <f aca="false">IFERROR(__xludf.dummyfunction("""COMPUTED_VALUE"""),"[Code: 2348AA] TA; 1unit Damage found during sorting (Unit me one piece leak he )")</f>
        <v>[Code: 2348AA] TA; 1unit Damage found during sorting (Unit me one piece leak he )</v>
      </c>
      <c r="M202" s="13" t="str">
        <f aca="false">IFERROR(__xludf.dummyfunction("""COMPUTED_VALUE"""),"2348AA")</f>
        <v>2348AA</v>
      </c>
      <c r="N202" s="13"/>
      <c r="O202" s="13" t="str">
        <f aca="false">IFERROR(__xludf.dummyfunction("""COMPUTED_VALUE"""),"taufeeq.akhtar@tajir-app.com")</f>
        <v>taufeeq.akhtar@tajir-app.com</v>
      </c>
      <c r="P202" s="13" t="str">
        <f aca="false">IFERROR(__xludf.dummyfunction("""COMPUTED_VALUE"""),"Taufeeq Akhtar ")</f>
        <v>Taufeeq Akhtar </v>
      </c>
      <c r="Q202" s="13" t="str">
        <f aca="false">IFERROR(__xludf.dummyfunction("""COMPUTED_VALUE"""),"[Code: 2348AA] TA; 1unit Damage found during sorting (Unit me one piece leak he )")</f>
        <v>[Code: 2348AA] TA; 1unit Damage found during sorting (Unit me one piece leak he )</v>
      </c>
      <c r="R202" s="13" t="str">
        <v>Tue,27-June-2023 ,11:52 PM</v>
      </c>
      <c r="S202" s="13" t="str">
        <v>Damaged Stock</v>
      </c>
    </row>
    <row r="203" customFormat="false" ht="15.75" hidden="false" customHeight="false" outlineLevel="0" collapsed="false">
      <c r="A203" s="13" t="str">
        <f aca="false">IFERROR(__xludf.dummyfunction("""COMPUTED_VALUE"""),"Metro DC Faisalabad")</f>
        <v>Metro DC Faisalabad</v>
      </c>
      <c r="B203" s="13" t="str">
        <f aca="false">IFERROR(__xludf.dummyfunction("""COMPUTED_VALUE"""),"fad25572-0a15-41d0-8d58-dacc5ffc316c")</f>
        <v>fad25572-0a15-41d0-8d58-dacc5ffc316c</v>
      </c>
      <c r="C203" s="13" t="str">
        <f aca="false">IFERROR(__xludf.dummyfunction("""COMPUTED_VALUE"""),"National Mango Jam 200g")</f>
        <v>National Mango Jam 200g</v>
      </c>
      <c r="D203" s="13" t="str">
        <f aca="false">IFERROR(__xludf.dummyfunction("""COMPUTED_VALUE"""),"National")</f>
        <v>National</v>
      </c>
      <c r="E203" s="13" t="str">
        <f aca="false">IFERROR(__xludf.dummyfunction("""COMPUTED_VALUE"""),"Grocery")</f>
        <v>Grocery</v>
      </c>
      <c r="F203" s="11" t="n">
        <f aca="false">IFERROR(__xludf.dummyfunction("""COMPUTED_VALUE"""),45105)</f>
        <v>45105</v>
      </c>
      <c r="G203" s="12" t="n">
        <f aca="false">IFERROR(__xludf.dummyfunction("""COMPUTED_VALUE"""),0.053315740742557)</f>
        <v>0.05331574074</v>
      </c>
      <c r="H203" s="13" t="str">
        <f aca="false">IFERROR(__xludf.dummyfunction("""COMPUTED_VALUE"""),"damaged stock")</f>
        <v>damaged stock</v>
      </c>
      <c r="I203" s="13" t="n">
        <f aca="false">IFERROR(__xludf.dummyfunction("""COMPUTED_VALUE"""),1)</f>
        <v>1</v>
      </c>
      <c r="J203" s="13" t="n">
        <f aca="false">IFERROR(__xludf.dummyfunction("""COMPUTED_VALUE"""),142.08)</f>
        <v>142.08</v>
      </c>
      <c r="K203" s="13" t="n">
        <f aca="false">IFERROR(__xludf.dummyfunction("""COMPUTED_VALUE"""),142.08)</f>
        <v>142.08</v>
      </c>
      <c r="L203" s="13" t="str">
        <f aca="false">IFERROR(__xludf.dummyfunction("""COMPUTED_VALUE"""),"[Code: 44AACD] TA: box may say damage nikla display krtay waqt.")</f>
        <v>[Code: 44AACD] TA: box may say damage nikla display krtay waqt.</v>
      </c>
      <c r="M203" s="13" t="str">
        <f aca="false">IFERROR(__xludf.dummyfunction("""COMPUTED_VALUE"""),"44AACD")</f>
        <v>44AACD</v>
      </c>
      <c r="N203" s="13"/>
      <c r="O203" s="13" t="str">
        <f aca="false">IFERROR(__xludf.dummyfunction("""COMPUTED_VALUE"""),"taufeeq.akhtar@tajir-app.com")</f>
        <v>taufeeq.akhtar@tajir-app.com</v>
      </c>
      <c r="P203" s="13" t="str">
        <f aca="false">IFERROR(__xludf.dummyfunction("""COMPUTED_VALUE"""),"Taufeeq Akhtar ")</f>
        <v>Taufeeq Akhtar </v>
      </c>
      <c r="Q203" s="13" t="str">
        <f aca="false">IFERROR(__xludf.dummyfunction("""COMPUTED_VALUE"""),"[Code: 44AACD] TA: box may say damage nikla display krtay waqt.")</f>
        <v>[Code: 44AACD] TA: box may say damage nikla display krtay waqt.</v>
      </c>
      <c r="R203" s="13" t="str">
        <v>Wed,28-June-2023 ,01:16 AM</v>
      </c>
      <c r="S203" s="13" t="str">
        <v>Damaged Stock</v>
      </c>
    </row>
    <row r="204" customFormat="false" ht="15.75" hidden="false" customHeight="false" outlineLevel="0" collapsed="false">
      <c r="A204" s="13" t="str">
        <f aca="false">IFERROR(__xludf.dummyfunction("""COMPUTED_VALUE"""),"Metro DC Faisalabad")</f>
        <v>Metro DC Faisalabad</v>
      </c>
      <c r="B204" s="13" t="str">
        <f aca="false">IFERROR(__xludf.dummyfunction("""COMPUTED_VALUE"""),"fad25572-0a15-41d0-8d58-dacc5ffc316c")</f>
        <v>fad25572-0a15-41d0-8d58-dacc5ffc316c</v>
      </c>
      <c r="C204" s="13" t="str">
        <f aca="false">IFERROR(__xludf.dummyfunction("""COMPUTED_VALUE"""),"National Mango Jam 200g")</f>
        <v>National Mango Jam 200g</v>
      </c>
      <c r="D204" s="13" t="str">
        <f aca="false">IFERROR(__xludf.dummyfunction("""COMPUTED_VALUE"""),"National")</f>
        <v>National</v>
      </c>
      <c r="E204" s="13" t="str">
        <f aca="false">IFERROR(__xludf.dummyfunction("""COMPUTED_VALUE"""),"Grocery")</f>
        <v>Grocery</v>
      </c>
      <c r="F204" s="11" t="n">
        <f aca="false">IFERROR(__xludf.dummyfunction("""COMPUTED_VALUE"""),45105)</f>
        <v>45105</v>
      </c>
      <c r="G204" s="12" t="n">
        <f aca="false">IFERROR(__xludf.dummyfunction("""COMPUTED_VALUE"""),0.0555539467593832)</f>
        <v>0.05555394676</v>
      </c>
      <c r="H204" s="13" t="str">
        <f aca="false">IFERROR(__xludf.dummyfunction("""COMPUTED_VALUE"""),"damaged stock")</f>
        <v>damaged stock</v>
      </c>
      <c r="I204" s="13" t="n">
        <f aca="false">IFERROR(__xludf.dummyfunction("""COMPUTED_VALUE"""),1)</f>
        <v>1</v>
      </c>
      <c r="J204" s="13" t="n">
        <f aca="false">IFERROR(__xludf.dummyfunction("""COMPUTED_VALUE"""),142.08)</f>
        <v>142.08</v>
      </c>
      <c r="K204" s="13" t="n">
        <f aca="false">IFERROR(__xludf.dummyfunction("""COMPUTED_VALUE"""),142.08)</f>
        <v>142.08</v>
      </c>
      <c r="L204" s="13" t="str">
        <f aca="false">IFERROR(__xludf.dummyfunction("""COMPUTED_VALUE"""),"[Code: 24ADEF] TA: Box May say damaged nikla.")</f>
        <v>[Code: 24ADEF] TA: Box May say damaged nikla.</v>
      </c>
      <c r="M204" s="13" t="str">
        <f aca="false">IFERROR(__xludf.dummyfunction("""COMPUTED_VALUE"""),"24ADEF")</f>
        <v>24ADEF</v>
      </c>
      <c r="N204" s="13"/>
      <c r="O204" s="13" t="str">
        <f aca="false">IFERROR(__xludf.dummyfunction("""COMPUTED_VALUE"""),"taufeeq.akhtar@tajir-app.com")</f>
        <v>taufeeq.akhtar@tajir-app.com</v>
      </c>
      <c r="P204" s="13" t="str">
        <f aca="false">IFERROR(__xludf.dummyfunction("""COMPUTED_VALUE"""),"Taufeeq Akhtar ")</f>
        <v>Taufeeq Akhtar </v>
      </c>
      <c r="Q204" s="13" t="str">
        <f aca="false">IFERROR(__xludf.dummyfunction("""COMPUTED_VALUE"""),"[Code: 24ADEF] TA: Box May say damaged nikla.")</f>
        <v>[Code: 24ADEF] TA: Box May say damaged nikla.</v>
      </c>
      <c r="R204" s="13" t="str">
        <v>Wed,28-June-2023 ,01:19 AM</v>
      </c>
      <c r="S204" s="13" t="str">
        <v>Damaged Stock</v>
      </c>
    </row>
    <row r="205" customFormat="false" ht="15.75" hidden="false" customHeight="false" outlineLevel="0" collapsed="false">
      <c r="A205" s="13" t="str">
        <f aca="false">IFERROR(__xludf.dummyfunction("""COMPUTED_VALUE"""),"Metro DC Faisalabad")</f>
        <v>Metro DC Faisalabad</v>
      </c>
      <c r="B205" s="13" t="str">
        <f aca="false">IFERROR(__xludf.dummyfunction("""COMPUTED_VALUE"""),"9c395894-35c2-4217-9eff-b0a22e04c2d1")</f>
        <v>9c395894-35c2-4217-9eff-b0a22e04c2d1</v>
      </c>
      <c r="C205" s="13" t="str">
        <f aca="false">IFERROR(__xludf.dummyfunction("""COMPUTED_VALUE"""),"Coca Cola plastic 2.25L (Jumbo)")</f>
        <v>Coca Cola plastic 2.25L (Jumbo)</v>
      </c>
      <c r="D205" s="13" t="str">
        <f aca="false">IFERROR(__xludf.dummyfunction("""COMPUTED_VALUE"""),"Coca Cola")</f>
        <v>Coca Cola</v>
      </c>
      <c r="E205" s="13" t="str">
        <f aca="false">IFERROR(__xludf.dummyfunction("""COMPUTED_VALUE"""),"Beverages")</f>
        <v>Beverages</v>
      </c>
      <c r="F205" s="11" t="n">
        <f aca="false">IFERROR(__xludf.dummyfunction("""COMPUTED_VALUE"""),45105)</f>
        <v>45105</v>
      </c>
      <c r="G205" s="12" t="n">
        <f aca="false">IFERROR(__xludf.dummyfunction("""COMPUTED_VALUE"""),0.0925543287024479)</f>
        <v>0.0925543287</v>
      </c>
      <c r="H205" s="13" t="str">
        <f aca="false">IFERROR(__xludf.dummyfunction("""COMPUTED_VALUE"""),"damaged stock")</f>
        <v>damaged stock</v>
      </c>
      <c r="I205" s="13" t="n">
        <f aca="false">IFERROR(__xludf.dummyfunction("""COMPUTED_VALUE"""),1)</f>
        <v>1</v>
      </c>
      <c r="J205" s="13" t="n">
        <f aca="false">IFERROR(__xludf.dummyfunction("""COMPUTED_VALUE"""),1196)</f>
        <v>1196</v>
      </c>
      <c r="K205" s="13" t="n">
        <f aca="false">IFERROR(__xludf.dummyfunction("""COMPUTED_VALUE"""),1196)</f>
        <v>1196</v>
      </c>
      <c r="L205" s="13" t="str">
        <f aca="false">IFERROR(__xludf.dummyfunction("""COMPUTED_VALUE"""),"[Code: 555566] TA: 1 unit Damage found (stock sy lose bottel mili hain")</f>
        <v>[Code: 555566] TA: 1 unit Damage found (stock sy lose bottel mili hain</v>
      </c>
      <c r="M205" s="13" t="str">
        <f aca="false">IFERROR(__xludf.dummyfunction("""COMPUTED_VALUE"""),"555566")</f>
        <v>555566</v>
      </c>
      <c r="N205" s="13"/>
      <c r="O205" s="13" t="str">
        <f aca="false">IFERROR(__xludf.dummyfunction("""COMPUTED_VALUE"""),"taufeeq.akhtar@tajir-app.com")</f>
        <v>taufeeq.akhtar@tajir-app.com</v>
      </c>
      <c r="P205" s="13" t="str">
        <f aca="false">IFERROR(__xludf.dummyfunction("""COMPUTED_VALUE"""),"Taufeeq Akhtar ")</f>
        <v>Taufeeq Akhtar </v>
      </c>
      <c r="Q205" s="13" t="str">
        <f aca="false">IFERROR(__xludf.dummyfunction("""COMPUTED_VALUE"""),"[Code: 555566] TA: 1 unit Damage found (stock sy lose bottel mili hain")</f>
        <v>[Code: 555566] TA: 1 unit Damage found (stock sy lose bottel mili hain</v>
      </c>
      <c r="R205" s="13" t="str">
        <v>Wed,28-June-2023 ,02:13 AM</v>
      </c>
      <c r="S205" s="13" t="str">
        <v>Damaged Stock</v>
      </c>
    </row>
    <row r="206" customFormat="false" ht="15.75" hidden="false" customHeight="false" outlineLevel="0" collapsed="false">
      <c r="A206" s="13" t="str">
        <f aca="false">IFERROR(__xludf.dummyfunction("""COMPUTED_VALUE"""),"Metro DC Faisalabad")</f>
        <v>Metro DC Faisalabad</v>
      </c>
      <c r="B206" s="13" t="str">
        <f aca="false">IFERROR(__xludf.dummyfunction("""COMPUTED_VALUE"""),"6afa406d-5fa6-42ea-a697-9b99ff3ba267")</f>
        <v>6afa406d-5fa6-42ea-a697-9b99ff3ba267</v>
      </c>
      <c r="C206" s="13" t="str">
        <f aca="false">IFERROR(__xludf.dummyfunction("""COMPUTED_VALUE"""),"Sprite plastic 1L")</f>
        <v>Sprite plastic 1L</v>
      </c>
      <c r="D206" s="13" t="str">
        <f aca="false">IFERROR(__xludf.dummyfunction("""COMPUTED_VALUE"""),"Sprite")</f>
        <v>Sprite</v>
      </c>
      <c r="E206" s="13" t="str">
        <f aca="false">IFERROR(__xludf.dummyfunction("""COMPUTED_VALUE"""),"Beverages")</f>
        <v>Beverages</v>
      </c>
      <c r="F206" s="11" t="n">
        <f aca="false">IFERROR(__xludf.dummyfunction("""COMPUTED_VALUE"""),45105)</f>
        <v>45105</v>
      </c>
      <c r="G206" s="12" t="n">
        <f aca="false">IFERROR(__xludf.dummyfunction("""COMPUTED_VALUE"""),0.0932780324056181)</f>
        <v>0.09327803241</v>
      </c>
      <c r="H206" s="13" t="str">
        <f aca="false">IFERROR(__xludf.dummyfunction("""COMPUTED_VALUE"""),"damaged stock")</f>
        <v>damaged stock</v>
      </c>
      <c r="I206" s="13" t="n">
        <f aca="false">IFERROR(__xludf.dummyfunction("""COMPUTED_VALUE"""),1)</f>
        <v>1</v>
      </c>
      <c r="J206" s="13" t="n">
        <f aca="false">IFERROR(__xludf.dummyfunction("""COMPUTED_VALUE"""),672)</f>
        <v>672</v>
      </c>
      <c r="K206" s="13" t="n">
        <f aca="false">IFERROR(__xludf.dummyfunction("""COMPUTED_VALUE"""),672)</f>
        <v>672</v>
      </c>
      <c r="L206" s="13" t="str">
        <f aca="false">IFERROR(__xludf.dummyfunction("""COMPUTED_VALUE"""),"[Code: 44667A] TA: 1 unit Damage found (stock sy lose bottel mili hain )")</f>
        <v>[Code: 44667A] TA: 1 unit Damage found (stock sy lose bottel mili hain )</v>
      </c>
      <c r="M206" s="13" t="str">
        <f aca="false">IFERROR(__xludf.dummyfunction("""COMPUTED_VALUE"""),"44667A")</f>
        <v>44667A</v>
      </c>
      <c r="N206" s="13"/>
      <c r="O206" s="13" t="str">
        <f aca="false">IFERROR(__xludf.dummyfunction("""COMPUTED_VALUE"""),"taufeeq.akhtar@tajir-app.com")</f>
        <v>taufeeq.akhtar@tajir-app.com</v>
      </c>
      <c r="P206" s="13" t="str">
        <f aca="false">IFERROR(__xludf.dummyfunction("""COMPUTED_VALUE"""),"Taufeeq Akhtar ")</f>
        <v>Taufeeq Akhtar </v>
      </c>
      <c r="Q206" s="13" t="str">
        <f aca="false">IFERROR(__xludf.dummyfunction("""COMPUTED_VALUE"""),"[Code: 44667A] TA: 1 unit Damage found (stock sy lose bottel mili hain )")</f>
        <v>[Code: 44667A] TA: 1 unit Damage found (stock sy lose bottel mili hain )</v>
      </c>
      <c r="R206" s="13" t="str">
        <v>Wed,28-June-2023 ,02:14 AM</v>
      </c>
      <c r="S206" s="13" t="str">
        <v>Damaged Stock</v>
      </c>
    </row>
    <row r="207" customFormat="false" ht="15.75" hidden="false" customHeight="false" outlineLevel="0" collapsed="false">
      <c r="A207" s="13" t="str">
        <f aca="false">IFERROR(__xludf.dummyfunction("""COMPUTED_VALUE"""),"Metro DC Faisalabad")</f>
        <v>Metro DC Faisalabad</v>
      </c>
      <c r="B207" s="13" t="str">
        <f aca="false">IFERROR(__xludf.dummyfunction("""COMPUTED_VALUE"""),"43f4f41f-1e01-4a55-af90-dda61b167f55")</f>
        <v>43f4f41f-1e01-4a55-af90-dda61b167f55</v>
      </c>
      <c r="C207" s="13" t="str">
        <f aca="false">IFERROR(__xludf.dummyfunction("""COMPUTED_VALUE"""),"National Mixed Fruit Jam 440g")</f>
        <v>National Mixed Fruit Jam 440g</v>
      </c>
      <c r="D207" s="13" t="str">
        <f aca="false">IFERROR(__xludf.dummyfunction("""COMPUTED_VALUE"""),"National")</f>
        <v>National</v>
      </c>
      <c r="E207" s="13" t="str">
        <f aca="false">IFERROR(__xludf.dummyfunction("""COMPUTED_VALUE"""),"Grocery")</f>
        <v>Grocery</v>
      </c>
      <c r="F207" s="11" t="n">
        <f aca="false">IFERROR(__xludf.dummyfunction("""COMPUTED_VALUE"""),45109)</f>
        <v>45109</v>
      </c>
      <c r="G207" s="12" t="n">
        <f aca="false">IFERROR(__xludf.dummyfunction("""COMPUTED_VALUE"""),0.918009791665222)</f>
        <v>0.9180097917</v>
      </c>
      <c r="H207" s="13" t="str">
        <f aca="false">IFERROR(__xludf.dummyfunction("""COMPUTED_VALUE"""),"damaged stock")</f>
        <v>damaged stock</v>
      </c>
      <c r="I207" s="13" t="n">
        <f aca="false">IFERROR(__xludf.dummyfunction("""COMPUTED_VALUE"""),1)</f>
        <v>1</v>
      </c>
      <c r="J207" s="13" t="n">
        <f aca="false">IFERROR(__xludf.dummyfunction("""COMPUTED_VALUE"""),242.5)</f>
        <v>242.5</v>
      </c>
      <c r="K207" s="13" t="n">
        <f aca="false">IFERROR(__xludf.dummyfunction("""COMPUTED_VALUE"""),242.5)</f>
        <v>242.5</v>
      </c>
      <c r="L207" s="13" t="str">
        <f aca="false">IFERROR(__xludf.dummyfunction("""COMPUTED_VALUE"""),"[Code: 249BBB] TA:Dispaly krtay waqt box may say damaged nikla(Company end issue)")</f>
        <v>[Code: 249BBB] TA:Dispaly krtay waqt box may say damaged nikla(Company end issue)</v>
      </c>
      <c r="M207" s="13" t="str">
        <f aca="false">IFERROR(__xludf.dummyfunction("""COMPUTED_VALUE"""),"249BBB")</f>
        <v>249BBB</v>
      </c>
      <c r="N207" s="13"/>
      <c r="O207" s="13" t="str">
        <f aca="false">IFERROR(__xludf.dummyfunction("""COMPUTED_VALUE"""),"taufeeq.akhtar@tajir-app.com")</f>
        <v>taufeeq.akhtar@tajir-app.com</v>
      </c>
      <c r="P207" s="13" t="str">
        <f aca="false">IFERROR(__xludf.dummyfunction("""COMPUTED_VALUE"""),"Taufeeq Akhtar ")</f>
        <v>Taufeeq Akhtar </v>
      </c>
      <c r="Q207" s="13" t="str">
        <f aca="false">IFERROR(__xludf.dummyfunction("""COMPUTED_VALUE"""),"[Code: 249BBB] TA:Dispaly krtay waqt box may say damaged nikla(Company end issue)")</f>
        <v>[Code: 249BBB] TA:Dispaly krtay waqt box may say damaged nikla(Company end issue)</v>
      </c>
      <c r="R207" s="13" t="str">
        <v>Sun,02-July-2023 ,10:01 PM</v>
      </c>
      <c r="S207" s="13" t="str">
        <v>Damaged Stock</v>
      </c>
    </row>
    <row r="208" customFormat="false" ht="15.75" hidden="false" customHeight="false" outlineLevel="0" collapsed="false">
      <c r="A208" s="13" t="str">
        <f aca="false">IFERROR(__xludf.dummyfunction("""COMPUTED_VALUE"""),"Metro DC Faisalabad")</f>
        <v>Metro DC Faisalabad</v>
      </c>
      <c r="B208" s="13" t="str">
        <f aca="false">IFERROR(__xludf.dummyfunction("""COMPUTED_VALUE"""),"a7d2470b-2460-44b6-8f69-725c45d4b7f9")</f>
        <v>a7d2470b-2460-44b6-8f69-725c45d4b7f9</v>
      </c>
      <c r="C208" s="13" t="str">
        <f aca="false">IFERROR(__xludf.dummyfunction("""COMPUTED_VALUE"""),"Sultan Banaspati Ghee 5kg Tin Rs2740")</f>
        <v>Sultan Banaspati Ghee 5kg Tin Rs2740</v>
      </c>
      <c r="D208" s="13" t="str">
        <f aca="false">IFERROR(__xludf.dummyfunction("""COMPUTED_VALUE"""),"Sultan")</f>
        <v>Sultan</v>
      </c>
      <c r="E208" s="13" t="str">
        <f aca="false">IFERROR(__xludf.dummyfunction("""COMPUTED_VALUE"""),"Ghee and Oil")</f>
        <v>Ghee and Oil</v>
      </c>
      <c r="F208" s="11" t="n">
        <f aca="false">IFERROR(__xludf.dummyfunction("""COMPUTED_VALUE"""),45110)</f>
        <v>45110</v>
      </c>
      <c r="G208" s="12" t="n">
        <f aca="false">IFERROR(__xludf.dummyfunction("""COMPUTED_VALUE"""),0.769055231481977)</f>
        <v>0.7690552315</v>
      </c>
      <c r="H208" s="13" t="str">
        <f aca="false">IFERROR(__xludf.dummyfunction("""COMPUTED_VALUE"""),"damaged stock")</f>
        <v>damaged stock</v>
      </c>
      <c r="I208" s="13" t="n">
        <f aca="false">IFERROR(__xludf.dummyfunction("""COMPUTED_VALUE"""),1)</f>
        <v>1</v>
      </c>
      <c r="J208" s="13" t="n">
        <f aca="false">IFERROR(__xludf.dummyfunction("""COMPUTED_VALUE"""),2430.16)</f>
        <v>2430.16</v>
      </c>
      <c r="K208" s="13" t="n">
        <f aca="false">IFERROR(__xludf.dummyfunction("""COMPUTED_VALUE"""),2430.16)</f>
        <v>2430.16</v>
      </c>
      <c r="L208" s="13" t="str">
        <f aca="false">IFERROR(__xludf.dummyfunction("""COMPUTED_VALUE"""),"[Code: 57AACE] ZA: Stock found damage on floor during Audit")</f>
        <v>[Code: 57AACE] ZA: Stock found damage on floor during Audit</v>
      </c>
      <c r="M208" s="13" t="str">
        <f aca="false">IFERROR(__xludf.dummyfunction("""COMPUTED_VALUE"""),"57AACE")</f>
        <v>57AACE</v>
      </c>
      <c r="N208" s="13"/>
      <c r="O208" s="13" t="str">
        <f aca="false">IFERROR(__xludf.dummyfunction("""COMPUTED_VALUE"""),"zeeshan.alimalik@tajir-app.com")</f>
        <v>zeeshan.alimalik@tajir-app.com</v>
      </c>
      <c r="P208" s="13" t="str">
        <f aca="false">IFERROR(__xludf.dummyfunction("""COMPUTED_VALUE"""),"Zeeshan Ali Malik")</f>
        <v>Zeeshan Ali Malik</v>
      </c>
      <c r="Q208" s="13" t="str">
        <f aca="false">IFERROR(__xludf.dummyfunction("""COMPUTED_VALUE"""),"[Code: 57AACE] ZA: Stock found damage on floor during Audit")</f>
        <v>[Code: 57AACE] ZA: Stock found damage on floor during Audit</v>
      </c>
      <c r="R208" s="13" t="str">
        <v>Mon,03-July-2023 ,06:27 PM</v>
      </c>
      <c r="S208" s="13" t="str">
        <v>Damaged Stock</v>
      </c>
    </row>
    <row r="209" customFormat="false" ht="15.75" hidden="false" customHeight="false" outlineLevel="0" collapsed="false">
      <c r="A209" s="13" t="str">
        <f aca="false">IFERROR(__xludf.dummyfunction("""COMPUTED_VALUE"""),"Metro DC Faisalabad")</f>
        <v>Metro DC Faisalabad</v>
      </c>
      <c r="B209" s="13" t="str">
        <f aca="false">IFERROR(__xludf.dummyfunction("""COMPUTED_VALUE"""),"640b3d13-fe80-4e07-8c7f-6e8b80a71337")</f>
        <v>640b3d13-fe80-4e07-8c7f-6e8b80a71337</v>
      </c>
      <c r="C209" s="13" t="str">
        <f aca="false">IFERROR(__xludf.dummyfunction("""COMPUTED_VALUE"""),"Swadi Besan 5kg")</f>
        <v>Swadi Besan 5kg</v>
      </c>
      <c r="D209" s="13" t="str">
        <f aca="false">IFERROR(__xludf.dummyfunction("""COMPUTED_VALUE"""),"Swadi")</f>
        <v>Swadi</v>
      </c>
      <c r="E209" s="13" t="str">
        <f aca="false">IFERROR(__xludf.dummyfunction("""COMPUTED_VALUE"""),"Pulses")</f>
        <v>Pulses</v>
      </c>
      <c r="F209" s="11" t="n">
        <f aca="false">IFERROR(__xludf.dummyfunction("""COMPUTED_VALUE"""),45110)</f>
        <v>45110</v>
      </c>
      <c r="G209" s="12" t="n">
        <f aca="false">IFERROR(__xludf.dummyfunction("""COMPUTED_VALUE"""),0.779273761573444)</f>
        <v>0.7792737616</v>
      </c>
      <c r="H209" s="13" t="str">
        <f aca="false">IFERROR(__xludf.dummyfunction("""COMPUTED_VALUE"""),"damaged stock")</f>
        <v>damaged stock</v>
      </c>
      <c r="I209" s="13" t="n">
        <f aca="false">IFERROR(__xludf.dummyfunction("""COMPUTED_VALUE"""),6)</f>
        <v>6</v>
      </c>
      <c r="J209" s="13" t="n">
        <f aca="false">IFERROR(__xludf.dummyfunction("""COMPUTED_VALUE"""),1150)</f>
        <v>1150</v>
      </c>
      <c r="K209" s="13" t="n">
        <f aca="false">IFERROR(__xludf.dummyfunction("""COMPUTED_VALUE"""),6900)</f>
        <v>6900</v>
      </c>
      <c r="L209" s="13" t="str">
        <f aca="false">IFERROR(__xludf.dummyfunction("""COMPUTED_VALUE"""),"[Code: 24899A] ZA: Stock Removed due to Quality Issue")</f>
        <v>[Code: 24899A] ZA: Stock Removed due to Quality Issue</v>
      </c>
      <c r="M209" s="13" t="str">
        <f aca="false">IFERROR(__xludf.dummyfunction("""COMPUTED_VALUE"""),"24899A")</f>
        <v>24899A</v>
      </c>
      <c r="N209" s="13"/>
      <c r="O209" s="13" t="str">
        <f aca="false">IFERROR(__xludf.dummyfunction("""COMPUTED_VALUE"""),"zeeshan.alimalik@tajir-app.com")</f>
        <v>zeeshan.alimalik@tajir-app.com</v>
      </c>
      <c r="P209" s="13" t="str">
        <f aca="false">IFERROR(__xludf.dummyfunction("""COMPUTED_VALUE"""),"Zeeshan Ali Malik")</f>
        <v>Zeeshan Ali Malik</v>
      </c>
      <c r="Q209" s="13" t="str">
        <f aca="false">IFERROR(__xludf.dummyfunction("""COMPUTED_VALUE"""),"[Code: 24899A] ZA: Stock Removed due to Quality Issue")</f>
        <v>[Code: 24899A] ZA: Stock Removed due to Quality Issue</v>
      </c>
      <c r="R209" s="13" t="str">
        <v>Mon,03-July-2023 ,06:42 PM</v>
      </c>
      <c r="S209" s="13" t="str">
        <v>Damaged Stock</v>
      </c>
    </row>
    <row r="210" customFormat="false" ht="15.75" hidden="false" customHeight="false" outlineLevel="0" collapsed="false">
      <c r="A210" s="13" t="str">
        <f aca="false">IFERROR(__xludf.dummyfunction("""COMPUTED_VALUE"""),"Metro DC Faisalabad")</f>
        <v>Metro DC Faisalabad</v>
      </c>
      <c r="B210" s="13" t="str">
        <f aca="false">IFERROR(__xludf.dummyfunction("""COMPUTED_VALUE"""),"9c395894-35c2-4217-9eff-b0a22e04c2d1")</f>
        <v>9c395894-35c2-4217-9eff-b0a22e04c2d1</v>
      </c>
      <c r="C210" s="13" t="str">
        <f aca="false">IFERROR(__xludf.dummyfunction("""COMPUTED_VALUE"""),"Coca Cola plastic 2.25L (Jumbo)")</f>
        <v>Coca Cola plastic 2.25L (Jumbo)</v>
      </c>
      <c r="D210" s="13" t="str">
        <f aca="false">IFERROR(__xludf.dummyfunction("""COMPUTED_VALUE"""),"Coca Cola")</f>
        <v>Coca Cola</v>
      </c>
      <c r="E210" s="13" t="str">
        <f aca="false">IFERROR(__xludf.dummyfunction("""COMPUTED_VALUE"""),"Beverages")</f>
        <v>Beverages</v>
      </c>
      <c r="F210" s="11" t="n">
        <f aca="false">IFERROR(__xludf.dummyfunction("""COMPUTED_VALUE"""),45110)</f>
        <v>45110</v>
      </c>
      <c r="G210" s="12" t="n">
        <f aca="false">IFERROR(__xludf.dummyfunction("""COMPUTED_VALUE"""),0.797594398148547)</f>
        <v>0.7975943981</v>
      </c>
      <c r="H210" s="13" t="str">
        <f aca="false">IFERROR(__xludf.dummyfunction("""COMPUTED_VALUE"""),"damaged stock")</f>
        <v>damaged stock</v>
      </c>
      <c r="I210" s="13" t="n">
        <f aca="false">IFERROR(__xludf.dummyfunction("""COMPUTED_VALUE"""),1)</f>
        <v>1</v>
      </c>
      <c r="J210" s="13" t="n">
        <f aca="false">IFERROR(__xludf.dummyfunction("""COMPUTED_VALUE"""),1196)</f>
        <v>1196</v>
      </c>
      <c r="K210" s="13" t="n">
        <f aca="false">IFERROR(__xludf.dummyfunction("""COMPUTED_VALUE"""),1196)</f>
        <v>1196</v>
      </c>
      <c r="L210" s="13" t="str">
        <f aca="false">IFERROR(__xludf.dummyfunction("""COMPUTED_VALUE"""),"[Code: 457CEJ] TA: Found in loose condition during sorting")</f>
        <v>[Code: 457CEJ] TA: Found in loose condition during sorting</v>
      </c>
      <c r="M210" s="13" t="str">
        <f aca="false">IFERROR(__xludf.dummyfunction("""COMPUTED_VALUE"""),"457CEJ")</f>
        <v>457CEJ</v>
      </c>
      <c r="N210" s="13"/>
      <c r="O210" s="13" t="str">
        <f aca="false">IFERROR(__xludf.dummyfunction("""COMPUTED_VALUE"""),"taufeeq.akhtar@tajir-app.com")</f>
        <v>taufeeq.akhtar@tajir-app.com</v>
      </c>
      <c r="P210" s="13" t="str">
        <f aca="false">IFERROR(__xludf.dummyfunction("""COMPUTED_VALUE"""),"Taufeeq Akhtar ")</f>
        <v>Taufeeq Akhtar </v>
      </c>
      <c r="Q210" s="13" t="str">
        <f aca="false">IFERROR(__xludf.dummyfunction("""COMPUTED_VALUE"""),"[Code: 457CEJ] TA: Found in loose condition during sorting")</f>
        <v>[Code: 457CEJ] TA: Found in loose condition during sorting</v>
      </c>
      <c r="R210" s="13" t="str">
        <v>Mon,03-July-2023 ,07:08 PM</v>
      </c>
      <c r="S210" s="13" t="str">
        <v>Damaged Stock</v>
      </c>
    </row>
    <row r="211" customFormat="false" ht="15.75" hidden="false" customHeight="false" outlineLevel="0" collapsed="false">
      <c r="A211" s="13" t="str">
        <f aca="false">IFERROR(__xludf.dummyfunction("""COMPUTED_VALUE"""),"Metro DC Faisalabad")</f>
        <v>Metro DC Faisalabad</v>
      </c>
      <c r="B211" s="13" t="str">
        <f aca="false">IFERROR(__xludf.dummyfunction("""COMPUTED_VALUE"""),"e9c0a6e9-1dec-4df5-baa2-e4de53214163")</f>
        <v>e9c0a6e9-1dec-4df5-baa2-e4de53214163</v>
      </c>
      <c r="C211" s="13" t="str">
        <f aca="false">IFERROR(__xludf.dummyfunction("""COMPUTED_VALUE"""),"Head and Shoulders Classic Clean Shampoo 75ml Rs220")</f>
        <v>Head and Shoulders Classic Clean Shampoo 75ml Rs220</v>
      </c>
      <c r="D211" s="13" t="str">
        <f aca="false">IFERROR(__xludf.dummyfunction("""COMPUTED_VALUE"""),"Head and Shoulders")</f>
        <v>Head and Shoulders</v>
      </c>
      <c r="E211" s="13" t="str">
        <f aca="false">IFERROR(__xludf.dummyfunction("""COMPUTED_VALUE"""),"Shampoo")</f>
        <v>Shampoo</v>
      </c>
      <c r="F211" s="11" t="n">
        <f aca="false">IFERROR(__xludf.dummyfunction("""COMPUTED_VALUE"""),45110)</f>
        <v>45110</v>
      </c>
      <c r="G211" s="12" t="n">
        <f aca="false">IFERROR(__xludf.dummyfunction("""COMPUTED_VALUE"""),0.862046087963152)</f>
        <v>0.862046088</v>
      </c>
      <c r="H211" s="13" t="str">
        <f aca="false">IFERROR(__xludf.dummyfunction("""COMPUTED_VALUE"""),"damaged stock")</f>
        <v>damaged stock</v>
      </c>
      <c r="I211" s="13" t="n">
        <f aca="false">IFERROR(__xludf.dummyfunction("""COMPUTED_VALUE"""),1)</f>
        <v>1</v>
      </c>
      <c r="J211" s="13" t="n">
        <f aca="false">IFERROR(__xludf.dummyfunction("""COMPUTED_VALUE"""),189.3)</f>
        <v>189.3</v>
      </c>
      <c r="K211" s="13" t="n">
        <f aca="false">IFERROR(__xludf.dummyfunction("""COMPUTED_VALUE"""),189.3)</f>
        <v>189.3</v>
      </c>
      <c r="L211" s="13" t="str">
        <f aca="false">IFERROR(__xludf.dummyfunction("""COMPUTED_VALUE"""),"[Code: 335556] TA:BOx may say damaged nikla display krtay waqt.")</f>
        <v>[Code: 335556] TA:BOx may say damaged nikla display krtay waqt.</v>
      </c>
      <c r="M211" s="13" t="str">
        <f aca="false">IFERROR(__xludf.dummyfunction("""COMPUTED_VALUE"""),"335556")</f>
        <v>335556</v>
      </c>
      <c r="N211" s="13"/>
      <c r="O211" s="13" t="str">
        <f aca="false">IFERROR(__xludf.dummyfunction("""COMPUTED_VALUE"""),"taufeeq.akhtar@tajir-app.com")</f>
        <v>taufeeq.akhtar@tajir-app.com</v>
      </c>
      <c r="P211" s="13" t="str">
        <f aca="false">IFERROR(__xludf.dummyfunction("""COMPUTED_VALUE"""),"Taufeeq Akhtar ")</f>
        <v>Taufeeq Akhtar </v>
      </c>
      <c r="Q211" s="13" t="str">
        <f aca="false">IFERROR(__xludf.dummyfunction("""COMPUTED_VALUE"""),"[Code: 335556] TA:BOx may say damaged nikla display krtay waqt.")</f>
        <v>[Code: 335556] TA:BOx may say damaged nikla display krtay waqt.</v>
      </c>
      <c r="R211" s="13" t="str">
        <v>Mon,03-July-2023 ,08:41 PM</v>
      </c>
      <c r="S211" s="13" t="str">
        <v>Damaged Stock</v>
      </c>
    </row>
    <row r="212" customFormat="false" ht="15.75" hidden="false" customHeight="false" outlineLevel="0" collapsed="false">
      <c r="A212" s="13" t="str">
        <f aca="false">IFERROR(__xludf.dummyfunction("""COMPUTED_VALUE"""),"Metro DC Faisalabad")</f>
        <v>Metro DC Faisalabad</v>
      </c>
      <c r="B212" s="13" t="str">
        <f aca="false">IFERROR(__xludf.dummyfunction("""COMPUTED_VALUE"""),"fe1e8ada-86a8-4ffb-aca1-c0717a4122d2")</f>
        <v>fe1e8ada-86a8-4ffb-aca1-c0717a4122d2</v>
      </c>
      <c r="C212" s="13" t="str">
        <f aca="false">IFERROR(__xludf.dummyfunction("""COMPUTED_VALUE"""),"Super Blue Liquid 150ml")</f>
        <v>Super Blue Liquid 150ml</v>
      </c>
      <c r="D212" s="13" t="str">
        <f aca="false">IFERROR(__xludf.dummyfunction("""COMPUTED_VALUE"""),"Super")</f>
        <v>Super</v>
      </c>
      <c r="E212" s="13" t="str">
        <f aca="false">IFERROR(__xludf.dummyfunction("""COMPUTED_VALUE"""),"Surf, Bleach")</f>
        <v>Surf, Bleach</v>
      </c>
      <c r="F212" s="11" t="n">
        <f aca="false">IFERROR(__xludf.dummyfunction("""COMPUTED_VALUE"""),45110)</f>
        <v>45110</v>
      </c>
      <c r="G212" s="12" t="n">
        <f aca="false">IFERROR(__xludf.dummyfunction("""COMPUTED_VALUE"""),0.868793599535695)</f>
        <v>0.8687935995</v>
      </c>
      <c r="H212" s="13" t="str">
        <f aca="false">IFERROR(__xludf.dummyfunction("""COMPUTED_VALUE"""),"damaged stock")</f>
        <v>damaged stock</v>
      </c>
      <c r="I212" s="13" t="n">
        <f aca="false">IFERROR(__xludf.dummyfunction("""COMPUTED_VALUE"""),1)</f>
        <v>1</v>
      </c>
      <c r="J212" s="13" t="n">
        <f aca="false">IFERROR(__xludf.dummyfunction("""COMPUTED_VALUE"""),119)</f>
        <v>119</v>
      </c>
      <c r="K212" s="13" t="n">
        <f aca="false">IFERROR(__xludf.dummyfunction("""COMPUTED_VALUE"""),119)</f>
        <v>119</v>
      </c>
      <c r="L212" s="13" t="str">
        <f aca="false">IFERROR(__xludf.dummyfunction("""COMPUTED_VALUE"""),"[Code: 334469] TA: BOX may sayy damaged nikla.")</f>
        <v>[Code: 334469] TA: BOX may sayy damaged nikla.</v>
      </c>
      <c r="M212" s="13" t="str">
        <f aca="false">IFERROR(__xludf.dummyfunction("""COMPUTED_VALUE"""),"334469")</f>
        <v>334469</v>
      </c>
      <c r="N212" s="13"/>
      <c r="O212" s="13" t="str">
        <f aca="false">IFERROR(__xludf.dummyfunction("""COMPUTED_VALUE"""),"taufeeq.akhtar@tajir-app.com")</f>
        <v>taufeeq.akhtar@tajir-app.com</v>
      </c>
      <c r="P212" s="13" t="str">
        <f aca="false">IFERROR(__xludf.dummyfunction("""COMPUTED_VALUE"""),"Taufeeq Akhtar ")</f>
        <v>Taufeeq Akhtar </v>
      </c>
      <c r="Q212" s="13" t="str">
        <f aca="false">IFERROR(__xludf.dummyfunction("""COMPUTED_VALUE"""),"[Code: 334469] TA: BOX may sayy damaged nikla.")</f>
        <v>[Code: 334469] TA: BOX may sayy damaged nikla.</v>
      </c>
      <c r="R212" s="13" t="str">
        <v>Mon,03-July-2023 ,08:51 PM</v>
      </c>
      <c r="S212" s="13" t="str">
        <v>Damaged Stock</v>
      </c>
    </row>
    <row r="213" customFormat="false" ht="15.75" hidden="false" customHeight="false" outlineLevel="0" collapsed="false">
      <c r="A213" s="13" t="str">
        <f aca="false">IFERROR(__xludf.dummyfunction("""COMPUTED_VALUE"""),"Metro DC Faisalabad")</f>
        <v>Metro DC Faisalabad</v>
      </c>
      <c r="B213" s="13" t="str">
        <f aca="false">IFERROR(__xludf.dummyfunction("""COMPUTED_VALUE"""),"399be4c6-65e9-4f9f-96f8-5dd01114c885")</f>
        <v>399be4c6-65e9-4f9f-96f8-5dd01114c885</v>
      </c>
      <c r="C213" s="13" t="str">
        <f aca="false">IFERROR(__xludf.dummyfunction("""COMPUTED_VALUE"""),"Express power 1kg Rs450")</f>
        <v>Express power 1kg Rs450</v>
      </c>
      <c r="D213" s="13" t="str">
        <f aca="false">IFERROR(__xludf.dummyfunction("""COMPUTED_VALUE"""),"Express Surf")</f>
        <v>Express Surf</v>
      </c>
      <c r="E213" s="13" t="str">
        <f aca="false">IFERROR(__xludf.dummyfunction("""COMPUTED_VALUE"""),"Surf, Bleach")</f>
        <v>Surf, Bleach</v>
      </c>
      <c r="F213" s="11" t="n">
        <f aca="false">IFERROR(__xludf.dummyfunction("""COMPUTED_VALUE"""),45110)</f>
        <v>45110</v>
      </c>
      <c r="G213" s="12" t="n">
        <f aca="false">IFERROR(__xludf.dummyfunction("""COMPUTED_VALUE"""),0.870953784721144)</f>
        <v>0.8709537847</v>
      </c>
      <c r="H213" s="13" t="str">
        <f aca="false">IFERROR(__xludf.dummyfunction("""COMPUTED_VALUE"""),"damaged stock")</f>
        <v>damaged stock</v>
      </c>
      <c r="I213" s="13" t="n">
        <f aca="false">IFERROR(__xludf.dummyfunction("""COMPUTED_VALUE"""),2)</f>
        <v>2</v>
      </c>
      <c r="J213" s="13" t="n">
        <f aca="false">IFERROR(__xludf.dummyfunction("""COMPUTED_VALUE"""),399.79)</f>
        <v>399.79</v>
      </c>
      <c r="K213" s="13" t="n">
        <f aca="false">IFERROR(__xludf.dummyfunction("""COMPUTED_VALUE"""),799.58)</f>
        <v>799.58</v>
      </c>
      <c r="L213" s="13" t="str">
        <f aca="false">IFERROR(__xludf.dummyfunction("""COMPUTED_VALUE"""),"[Code: 37AFFH] TA: box may say damaged nikla .")</f>
        <v>[Code: 37AFFH] TA: box may say damaged nikla .</v>
      </c>
      <c r="M213" s="13" t="str">
        <f aca="false">IFERROR(__xludf.dummyfunction("""COMPUTED_VALUE"""),"37AFFH")</f>
        <v>37AFFH</v>
      </c>
      <c r="N213" s="13"/>
      <c r="O213" s="13" t="str">
        <f aca="false">IFERROR(__xludf.dummyfunction("""COMPUTED_VALUE"""),"taufeeq.akhtar@tajir-app.com")</f>
        <v>taufeeq.akhtar@tajir-app.com</v>
      </c>
      <c r="P213" s="13" t="str">
        <f aca="false">IFERROR(__xludf.dummyfunction("""COMPUTED_VALUE"""),"Taufeeq Akhtar ")</f>
        <v>Taufeeq Akhtar </v>
      </c>
      <c r="Q213" s="13" t="str">
        <f aca="false">IFERROR(__xludf.dummyfunction("""COMPUTED_VALUE"""),"[Code: 37AFFH] TA: box may say damaged nikla .")</f>
        <v>[Code: 37AFFH] TA: box may say damaged nikla .</v>
      </c>
      <c r="R213" s="13" t="str">
        <v>Mon,03-July-2023 ,08:54 PM</v>
      </c>
      <c r="S213" s="13" t="str">
        <v>Damaged Stock</v>
      </c>
    </row>
    <row r="214" customFormat="false" ht="15.75" hidden="false" customHeight="false" outlineLevel="0" collapsed="false">
      <c r="A214" s="13" t="str">
        <f aca="false">IFERROR(__xludf.dummyfunction("""COMPUTED_VALUE"""),"Metro DC Faisalabad")</f>
        <v>Metro DC Faisalabad</v>
      </c>
      <c r="B214" s="13" t="str">
        <f aca="false">IFERROR(__xludf.dummyfunction("""COMPUTED_VALUE"""),"d63ab6cc-42d2-4109-b73f-680b703c1db4")</f>
        <v>d63ab6cc-42d2-4109-b73f-680b703c1db4</v>
      </c>
      <c r="C214" s="13" t="str">
        <f aca="false">IFERROR(__xludf.dummyfunction("""COMPUTED_VALUE"""),"Ariel Original Surf 500g Rs325")</f>
        <v>Ariel Original Surf 500g Rs325</v>
      </c>
      <c r="D214" s="13" t="str">
        <f aca="false">IFERROR(__xludf.dummyfunction("""COMPUTED_VALUE"""),"Ariel Surf")</f>
        <v>Ariel Surf</v>
      </c>
      <c r="E214" s="13" t="str">
        <f aca="false">IFERROR(__xludf.dummyfunction("""COMPUTED_VALUE"""),"Surf, Bleach")</f>
        <v>Surf, Bleach</v>
      </c>
      <c r="F214" s="11" t="n">
        <f aca="false">IFERROR(__xludf.dummyfunction("""COMPUTED_VALUE"""),45110)</f>
        <v>45110</v>
      </c>
      <c r="G214" s="12" t="n">
        <f aca="false">IFERROR(__xludf.dummyfunction("""COMPUTED_VALUE"""),0.875133402778435)</f>
        <v>0.8751334028</v>
      </c>
      <c r="H214" s="13" t="str">
        <f aca="false">IFERROR(__xludf.dummyfunction("""COMPUTED_VALUE"""),"damaged stock")</f>
        <v>damaged stock</v>
      </c>
      <c r="I214" s="13" t="n">
        <f aca="false">IFERROR(__xludf.dummyfunction("""COMPUTED_VALUE"""),1)</f>
        <v>1</v>
      </c>
      <c r="J214" s="13" t="n">
        <f aca="false">IFERROR(__xludf.dummyfunction("""COMPUTED_VALUE"""),289.5)</f>
        <v>289.5</v>
      </c>
      <c r="K214" s="13" t="n">
        <f aca="false">IFERROR(__xludf.dummyfunction("""COMPUTED_VALUE"""),289.5)</f>
        <v>289.5</v>
      </c>
      <c r="L214" s="13" t="str">
        <f aca="false">IFERROR(__xludf.dummyfunction("""COMPUTED_VALUE"""),"[Code: 234789] TA: box may say damaged nikla ")</f>
        <v>[Code: 234789] TA: box may say damaged nikla </v>
      </c>
      <c r="M214" s="13" t="str">
        <f aca="false">IFERROR(__xludf.dummyfunction("""COMPUTED_VALUE"""),"234789")</f>
        <v>234789</v>
      </c>
      <c r="N214" s="13"/>
      <c r="O214" s="13" t="str">
        <f aca="false">IFERROR(__xludf.dummyfunction("""COMPUTED_VALUE"""),"taufeeq.akhtar@tajir-app.com")</f>
        <v>taufeeq.akhtar@tajir-app.com</v>
      </c>
      <c r="P214" s="13" t="str">
        <f aca="false">IFERROR(__xludf.dummyfunction("""COMPUTED_VALUE"""),"Taufeeq Akhtar ")</f>
        <v>Taufeeq Akhtar </v>
      </c>
      <c r="Q214" s="13" t="str">
        <f aca="false">IFERROR(__xludf.dummyfunction("""COMPUTED_VALUE"""),"[Code: 234789] TA: box may say damaged nikla ")</f>
        <v>[Code: 234789] TA: box may say damaged nikla </v>
      </c>
      <c r="R214" s="13" t="str">
        <v>Mon,03-July-2023 ,09:00 PM</v>
      </c>
      <c r="S214" s="13" t="str">
        <v>Damaged Stock</v>
      </c>
    </row>
    <row r="215" customFormat="false" ht="15.75" hidden="false" customHeight="false" outlineLevel="0" collapsed="false">
      <c r="A215" s="13" t="str">
        <f aca="false">IFERROR(__xludf.dummyfunction("""COMPUTED_VALUE"""),"Metro DC Faisalabad")</f>
        <v>Metro DC Faisalabad</v>
      </c>
      <c r="B215" s="13" t="str">
        <f aca="false">IFERROR(__xludf.dummyfunction("""COMPUTED_VALUE"""),"10f5c620-05d2-4bff-bf22-3c02b5a12fc2")</f>
        <v>10f5c620-05d2-4bff-bf22-3c02b5a12fc2</v>
      </c>
      <c r="C215" s="13" t="str">
        <f aca="false">IFERROR(__xludf.dummyfunction("""COMPUTED_VALUE"""),"Sherdil White Chana Bareek 5kg")</f>
        <v>Sherdil White Chana Bareek 5kg</v>
      </c>
      <c r="D215" s="13" t="str">
        <f aca="false">IFERROR(__xludf.dummyfunction("""COMPUTED_VALUE"""),"Sherdil")</f>
        <v>Sherdil</v>
      </c>
      <c r="E215" s="13" t="str">
        <f aca="false">IFERROR(__xludf.dummyfunction("""COMPUTED_VALUE"""),"Pulses")</f>
        <v>Pulses</v>
      </c>
      <c r="F215" s="11" t="n">
        <f aca="false">IFERROR(__xludf.dummyfunction("""COMPUTED_VALUE"""),45111)</f>
        <v>45111</v>
      </c>
      <c r="G215" s="12" t="n">
        <f aca="false">IFERROR(__xludf.dummyfunction("""COMPUTED_VALUE"""),0.360914351851534)</f>
        <v>0.3609143519</v>
      </c>
      <c r="H215" s="13" t="str">
        <f aca="false">IFERROR(__xludf.dummyfunction("""COMPUTED_VALUE"""),"damaged stock")</f>
        <v>damaged stock</v>
      </c>
      <c r="I215" s="13" t="n">
        <f aca="false">IFERROR(__xludf.dummyfunction("""COMPUTED_VALUE"""),1)</f>
        <v>1</v>
      </c>
      <c r="J215" s="13" t="n">
        <f aca="false">IFERROR(__xludf.dummyfunction("""COMPUTED_VALUE"""),1843)</f>
        <v>1843</v>
      </c>
      <c r="K215" s="13" t="n">
        <f aca="false">IFERROR(__xludf.dummyfunction("""COMPUTED_VALUE"""),1843)</f>
        <v>1843</v>
      </c>
      <c r="L215" s="13" t="str">
        <f aca="false">IFERROR(__xludf.dummyfunction("""COMPUTED_VALUE"""),"[Code: 233578] 01 unit has quality issue (Content Spoiled)")</f>
        <v>[Code: 233578] 01 unit has quality issue (Content Spoiled)</v>
      </c>
      <c r="M215" s="13" t="str">
        <f aca="false">IFERROR(__xludf.dummyfunction("""COMPUTED_VALUE"""),"233578")</f>
        <v>233578</v>
      </c>
      <c r="N215" s="13"/>
      <c r="O215" s="13" t="str">
        <f aca="false">IFERROR(__xludf.dummyfunction("""COMPUTED_VALUE"""),"ali.raza@tajir-app.com")</f>
        <v>ali.raza@tajir-app.com</v>
      </c>
      <c r="P215" s="13" t="str">
        <f aca="false">IFERROR(__xludf.dummyfunction("""COMPUTED_VALUE"""),"Ali Raza ")</f>
        <v>Ali Raza </v>
      </c>
      <c r="Q215" s="13" t="str">
        <f aca="false">IFERROR(__xludf.dummyfunction("""COMPUTED_VALUE"""),"[Code: 233578] 01 unit has quality issue (Content Spoiled)")</f>
        <v>[Code: 233578] 01 unit has quality issue (Content Spoiled)</v>
      </c>
      <c r="R215" s="13" t="str">
        <v>Tue,04-July-2023 ,08:39 AM</v>
      </c>
      <c r="S215" s="13" t="str">
        <v>Damaged Stock</v>
      </c>
    </row>
    <row r="216" customFormat="false" ht="15.75" hidden="false" customHeight="false" outlineLevel="0" collapsed="false">
      <c r="A216" s="13" t="str">
        <f aca="false">IFERROR(__xludf.dummyfunction("""COMPUTED_VALUE"""),"Metro DC Faisalabad")</f>
        <v>Metro DC Faisalabad</v>
      </c>
      <c r="B216" s="13" t="str">
        <f aca="false">IFERROR(__xludf.dummyfunction("""COMPUTED_VALUE"""),"3951e68d-8cd5-48c2-ba36-322050c21998")</f>
        <v>3951e68d-8cd5-48c2-ba36-322050c21998</v>
      </c>
      <c r="C216" s="13" t="str">
        <f aca="false">IFERROR(__xludf.dummyfunction("""COMPUTED_VALUE"""),"Sherdil Dal Mash Wash 1kg")</f>
        <v>Sherdil Dal Mash Wash 1kg</v>
      </c>
      <c r="D216" s="13" t="str">
        <f aca="false">IFERROR(__xludf.dummyfunction("""COMPUTED_VALUE"""),"Sherdil")</f>
        <v>Sherdil</v>
      </c>
      <c r="E216" s="13" t="str">
        <f aca="false">IFERROR(__xludf.dummyfunction("""COMPUTED_VALUE"""),"Pulses")</f>
        <v>Pulses</v>
      </c>
      <c r="F216" s="11" t="n">
        <f aca="false">IFERROR(__xludf.dummyfunction("""COMPUTED_VALUE"""),45111)</f>
        <v>45111</v>
      </c>
      <c r="G216" s="12" t="n">
        <f aca="false">IFERROR(__xludf.dummyfunction("""COMPUTED_VALUE"""),0.860856261575712)</f>
        <v>0.8608562616</v>
      </c>
      <c r="H216" s="13" t="str">
        <f aca="false">IFERROR(__xludf.dummyfunction("""COMPUTED_VALUE"""),"damaged stock")</f>
        <v>damaged stock</v>
      </c>
      <c r="I216" s="13" t="n">
        <f aca="false">IFERROR(__xludf.dummyfunction("""COMPUTED_VALUE"""),11)</f>
        <v>11</v>
      </c>
      <c r="J216" s="13" t="n">
        <f aca="false">IFERROR(__xludf.dummyfunction("""COMPUTED_VALUE"""),497)</f>
        <v>497</v>
      </c>
      <c r="K216" s="13" t="n">
        <f aca="false">IFERROR(__xludf.dummyfunction("""COMPUTED_VALUE"""),5467)</f>
        <v>5467</v>
      </c>
      <c r="L216" s="13" t="str">
        <f aca="false">IFERROR(__xludf.dummyfunction("""COMPUTED_VALUE"""),"[Code: 357AHK] TA: quality sahi nahi hay(Fungus lagi hay)")</f>
        <v>[Code: 357AHK] TA: quality sahi nahi hay(Fungus lagi hay)</v>
      </c>
      <c r="M216" s="13" t="str">
        <f aca="false">IFERROR(__xludf.dummyfunction("""COMPUTED_VALUE"""),"357AHK")</f>
        <v>357AHK</v>
      </c>
      <c r="N216" s="13"/>
      <c r="O216" s="13" t="str">
        <f aca="false">IFERROR(__xludf.dummyfunction("""COMPUTED_VALUE"""),"taufeeq.akhtar@tajir-app.com")</f>
        <v>taufeeq.akhtar@tajir-app.com</v>
      </c>
      <c r="P216" s="13" t="str">
        <f aca="false">IFERROR(__xludf.dummyfunction("""COMPUTED_VALUE"""),"Taufeeq Akhtar ")</f>
        <v>Taufeeq Akhtar </v>
      </c>
      <c r="Q216" s="13" t="str">
        <f aca="false">IFERROR(__xludf.dummyfunction("""COMPUTED_VALUE"""),"[Code: 357AHK] TA: quality sahi nahi hay(Fungus lagi hay)")</f>
        <v>[Code: 357AHK] TA: quality sahi nahi hay(Fungus lagi hay)</v>
      </c>
      <c r="R216" s="13" t="str">
        <v>Tue,04-July-2023 ,08:39 PM</v>
      </c>
      <c r="S216" s="13" t="str">
        <v>Damaged Stock</v>
      </c>
    </row>
    <row r="217" customFormat="false" ht="15.75" hidden="false" customHeight="false" outlineLevel="0" collapsed="false">
      <c r="A217" s="13" t="str">
        <f aca="false">IFERROR(__xludf.dummyfunction("""COMPUTED_VALUE"""),"Metro DC Faisalabad")</f>
        <v>Metro DC Faisalabad</v>
      </c>
      <c r="B217" s="13" t="str">
        <f aca="false">IFERROR(__xludf.dummyfunction("""COMPUTED_VALUE"""),"b7ba5d29-7122-4903-a7c5-21040b23784c")</f>
        <v>b7ba5d29-7122-4903-a7c5-21040b23784c</v>
      </c>
      <c r="C217" s="13" t="str">
        <f aca="false">IFERROR(__xludf.dummyfunction("""COMPUTED_VALUE"""),"Shangrila Chilli Garlic Sauce x6 Bundle 70g")</f>
        <v>Shangrila Chilli Garlic Sauce x6 Bundle 70g</v>
      </c>
      <c r="D217" s="13" t="str">
        <f aca="false">IFERROR(__xludf.dummyfunction("""COMPUTED_VALUE"""),"Shangrila")</f>
        <v>Shangrila</v>
      </c>
      <c r="E217" s="13" t="str">
        <f aca="false">IFERROR(__xludf.dummyfunction("""COMPUTED_VALUE"""),"Sauces")</f>
        <v>Sauces</v>
      </c>
      <c r="F217" s="11" t="n">
        <f aca="false">IFERROR(__xludf.dummyfunction("""COMPUTED_VALUE"""),45111)</f>
        <v>45111</v>
      </c>
      <c r="G217" s="12" t="n">
        <f aca="false">IFERROR(__xludf.dummyfunction("""COMPUTED_VALUE"""),0.894642777778015)</f>
        <v>0.8946427778</v>
      </c>
      <c r="H217" s="13" t="str">
        <f aca="false">IFERROR(__xludf.dummyfunction("""COMPUTED_VALUE"""),"damaged stock")</f>
        <v>damaged stock</v>
      </c>
      <c r="I217" s="13" t="n">
        <f aca="false">IFERROR(__xludf.dummyfunction("""COMPUTED_VALUE"""),1)</f>
        <v>1</v>
      </c>
      <c r="J217" s="13" t="n">
        <f aca="false">IFERROR(__xludf.dummyfunction("""COMPUTED_VALUE"""),188.49)</f>
        <v>188.49</v>
      </c>
      <c r="K217" s="13" t="n">
        <f aca="false">IFERROR(__xludf.dummyfunction("""COMPUTED_VALUE"""),188.49)</f>
        <v>188.49</v>
      </c>
      <c r="L217" s="13" t="str">
        <f aca="false">IFERROR(__xludf.dummyfunction("""COMPUTED_VALUE"""),"[Code: 222CFG] TA: Found damaged from box during display.")</f>
        <v>[Code: 222CFG] TA: Found damaged from box during display.</v>
      </c>
      <c r="M217" s="13" t="str">
        <f aca="false">IFERROR(__xludf.dummyfunction("""COMPUTED_VALUE"""),"222CFG")</f>
        <v>222CFG</v>
      </c>
      <c r="N217" s="13"/>
      <c r="O217" s="13" t="str">
        <f aca="false">IFERROR(__xludf.dummyfunction("""COMPUTED_VALUE"""),"taufeeq.akhtar@tajir-app.com")</f>
        <v>taufeeq.akhtar@tajir-app.com</v>
      </c>
      <c r="P217" s="13" t="str">
        <f aca="false">IFERROR(__xludf.dummyfunction("""COMPUTED_VALUE"""),"Taufeeq Akhtar ")</f>
        <v>Taufeeq Akhtar </v>
      </c>
      <c r="Q217" s="13" t="str">
        <f aca="false">IFERROR(__xludf.dummyfunction("""COMPUTED_VALUE"""),"[Code: 222CFG] TA: Found damaged from box during display.")</f>
        <v>[Code: 222CFG] TA: Found damaged from box during display.</v>
      </c>
      <c r="R217" s="13" t="str">
        <v>Tue,04-July-2023 ,09:28 PM</v>
      </c>
      <c r="S217" s="13" t="str">
        <v>Damaged Stock</v>
      </c>
    </row>
    <row r="218" customFormat="false" ht="15.75" hidden="false" customHeight="false" outlineLevel="0" collapsed="false">
      <c r="A218" s="13" t="str">
        <f aca="false">IFERROR(__xludf.dummyfunction("""COMPUTED_VALUE"""),"Metro DC Faisalabad")</f>
        <v>Metro DC Faisalabad</v>
      </c>
      <c r="B218" s="13" t="str">
        <f aca="false">IFERROR(__xludf.dummyfunction("""COMPUTED_VALUE"""),"b223382d-8a2b-4732-988a-47b072256252")</f>
        <v>b223382d-8a2b-4732-988a-47b072256252</v>
      </c>
      <c r="C218" s="13" t="str">
        <f aca="false">IFERROR(__xludf.dummyfunction("""COMPUTED_VALUE"""),"Bio Amla Shampoo 280ml Rs300")</f>
        <v>Bio Amla Shampoo 280ml Rs300</v>
      </c>
      <c r="D218" s="13" t="str">
        <f aca="false">IFERROR(__xludf.dummyfunction("""COMPUTED_VALUE"""),"Bio Amla")</f>
        <v>Bio Amla</v>
      </c>
      <c r="E218" s="13" t="str">
        <f aca="false">IFERROR(__xludf.dummyfunction("""COMPUTED_VALUE"""),"Shampoo")</f>
        <v>Shampoo</v>
      </c>
      <c r="F218" s="11" t="n">
        <f aca="false">IFERROR(__xludf.dummyfunction("""COMPUTED_VALUE"""),45112)</f>
        <v>45112</v>
      </c>
      <c r="G218" s="12" t="n">
        <f aca="false">IFERROR(__xludf.dummyfunction("""COMPUTED_VALUE"""),0.899363113425026)</f>
        <v>0.8993631134</v>
      </c>
      <c r="H218" s="13" t="str">
        <f aca="false">IFERROR(__xludf.dummyfunction("""COMPUTED_VALUE"""),"damaged stock")</f>
        <v>damaged stock</v>
      </c>
      <c r="I218" s="13" t="n">
        <f aca="false">IFERROR(__xludf.dummyfunction("""COMPUTED_VALUE"""),1)</f>
        <v>1</v>
      </c>
      <c r="J218" s="13" t="n">
        <f aca="false">IFERROR(__xludf.dummyfunction("""COMPUTED_VALUE"""),191.25)</f>
        <v>191.25</v>
      </c>
      <c r="K218" s="13" t="n">
        <f aca="false">IFERROR(__xludf.dummyfunction("""COMPUTED_VALUE"""),191.25)</f>
        <v>191.25</v>
      </c>
      <c r="L218" s="13" t="str">
        <f aca="false">IFERROR(__xludf.dummyfunction("""COMPUTED_VALUE"""),"[Code: 2489GK] TA: found empty botel from box during display.")</f>
        <v>[Code: 2489GK] TA: found empty botel from box during display.</v>
      </c>
      <c r="M218" s="13" t="str">
        <f aca="false">IFERROR(__xludf.dummyfunction("""COMPUTED_VALUE"""),"2489GK")</f>
        <v>2489GK</v>
      </c>
      <c r="N218" s="13"/>
      <c r="O218" s="13" t="str">
        <f aca="false">IFERROR(__xludf.dummyfunction("""COMPUTED_VALUE"""),"taufeeq.akhtar@tajir-app.com")</f>
        <v>taufeeq.akhtar@tajir-app.com</v>
      </c>
      <c r="P218" s="13" t="str">
        <f aca="false">IFERROR(__xludf.dummyfunction("""COMPUTED_VALUE"""),"Taufeeq Akhtar ")</f>
        <v>Taufeeq Akhtar </v>
      </c>
      <c r="Q218" s="13" t="str">
        <f aca="false">IFERROR(__xludf.dummyfunction("""COMPUTED_VALUE"""),"[Code: 2489GK] TA: found empty botel from box during display.")</f>
        <v>[Code: 2489GK] TA: found empty botel from box during display.</v>
      </c>
      <c r="R218" s="13" t="str">
        <v>Wed,05-July-2023 ,09:35 PM</v>
      </c>
      <c r="S218" s="13" t="str">
        <v>Damaged Stock</v>
      </c>
    </row>
    <row r="219" customFormat="false" ht="15.75" hidden="false" customHeight="false" outlineLevel="0" collapsed="false">
      <c r="A219" s="13" t="str">
        <f aca="false">IFERROR(__xludf.dummyfunction("""COMPUTED_VALUE"""),"Metro DC Faisalabad")</f>
        <v>Metro DC Faisalabad</v>
      </c>
      <c r="B219" s="13" t="str">
        <f aca="false">IFERROR(__xludf.dummyfunction("""COMPUTED_VALUE"""),"e704339c-42c0-48de-92ab-39348129ef53")</f>
        <v>e704339c-42c0-48de-92ab-39348129ef53</v>
      </c>
      <c r="C219" s="13" t="str">
        <f aca="false">IFERROR(__xludf.dummyfunction("""COMPUTED_VALUE"""),"7up plastic 1L")</f>
        <v>7up plastic 1L</v>
      </c>
      <c r="D219" s="13" t="str">
        <f aca="false">IFERROR(__xludf.dummyfunction("""COMPUTED_VALUE"""),"7up")</f>
        <v>7up</v>
      </c>
      <c r="E219" s="13" t="str">
        <f aca="false">IFERROR(__xludf.dummyfunction("""COMPUTED_VALUE"""),"Beverages")</f>
        <v>Beverages</v>
      </c>
      <c r="F219" s="11" t="n">
        <f aca="false">IFERROR(__xludf.dummyfunction("""COMPUTED_VALUE"""),45114)</f>
        <v>45114</v>
      </c>
      <c r="G219" s="12" t="n">
        <f aca="false">IFERROR(__xludf.dummyfunction("""COMPUTED_VALUE"""),0.673474849535695)</f>
        <v>0.6734748495</v>
      </c>
      <c r="H219" s="13" t="str">
        <f aca="false">IFERROR(__xludf.dummyfunction("""COMPUTED_VALUE"""),"damaged stock")</f>
        <v>damaged stock</v>
      </c>
      <c r="I219" s="13" t="n">
        <f aca="false">IFERROR(__xludf.dummyfunction("""COMPUTED_VALUE"""),1)</f>
        <v>1</v>
      </c>
      <c r="J219" s="13" t="n">
        <f aca="false">IFERROR(__xludf.dummyfunction("""COMPUTED_VALUE"""),576)</f>
        <v>576</v>
      </c>
      <c r="K219" s="13" t="n">
        <f aca="false">IFERROR(__xludf.dummyfunction("""COMPUTED_VALUE"""),576)</f>
        <v>576</v>
      </c>
      <c r="L219" s="13" t="str">
        <f aca="false">IFERROR(__xludf.dummyfunction("""COMPUTED_VALUE"""),"[Code: 3668GG] TA: empty bottels found from pet during sorting.")</f>
        <v>[Code: 3668GG] TA: empty bottels found from pet during sorting.</v>
      </c>
      <c r="M219" s="13" t="str">
        <f aca="false">IFERROR(__xludf.dummyfunction("""COMPUTED_VALUE"""),"3668GG")</f>
        <v>3668GG</v>
      </c>
      <c r="N219" s="13"/>
      <c r="O219" s="13" t="str">
        <f aca="false">IFERROR(__xludf.dummyfunction("""COMPUTED_VALUE"""),"taufeeq.akhtar@tajir-app.com")</f>
        <v>taufeeq.akhtar@tajir-app.com</v>
      </c>
      <c r="P219" s="13" t="str">
        <f aca="false">IFERROR(__xludf.dummyfunction("""COMPUTED_VALUE"""),"Taufeeq Akhtar ")</f>
        <v>Taufeeq Akhtar </v>
      </c>
      <c r="Q219" s="13" t="str">
        <f aca="false">IFERROR(__xludf.dummyfunction("""COMPUTED_VALUE"""),"[Code: 3668GG] TA: empty bottels found from pet during sorting.")</f>
        <v>[Code: 3668GG] TA: empty bottels found from pet during sorting.</v>
      </c>
      <c r="R219" s="13" t="str">
        <v>Fri,07-July-2023 ,04:09 PM</v>
      </c>
      <c r="S219" s="13" t="str">
        <v>Damaged Stock</v>
      </c>
    </row>
    <row r="220" customFormat="false" ht="15.75" hidden="false" customHeight="false" outlineLevel="0" collapsed="false">
      <c r="A220" s="13" t="str">
        <f aca="false">IFERROR(__xludf.dummyfunction("""COMPUTED_VALUE"""),"Metro DC Faisalabad")</f>
        <v>Metro DC Faisalabad</v>
      </c>
      <c r="B220" s="13" t="str">
        <f aca="false">IFERROR(__xludf.dummyfunction("""COMPUTED_VALUE"""),"5a3fa3ee-6f77-4747-96ae-dfa7c713c02c")</f>
        <v>5a3fa3ee-6f77-4747-96ae-dfa7c713c02c</v>
      </c>
      <c r="C220" s="13" t="str">
        <f aca="false">IFERROR(__xludf.dummyfunction("""COMPUTED_VALUE"""),"National Mango Jam 440g")</f>
        <v>National Mango Jam 440g</v>
      </c>
      <c r="D220" s="13" t="str">
        <f aca="false">IFERROR(__xludf.dummyfunction("""COMPUTED_VALUE"""),"National")</f>
        <v>National</v>
      </c>
      <c r="E220" s="13" t="str">
        <f aca="false">IFERROR(__xludf.dummyfunction("""COMPUTED_VALUE"""),"Grocery")</f>
        <v>Grocery</v>
      </c>
      <c r="F220" s="11" t="n">
        <f aca="false">IFERROR(__xludf.dummyfunction("""COMPUTED_VALUE"""),45114)</f>
        <v>45114</v>
      </c>
      <c r="G220" s="12" t="n">
        <f aca="false">IFERROR(__xludf.dummyfunction("""COMPUTED_VALUE"""),0.755100682871206)</f>
        <v>0.7551006829</v>
      </c>
      <c r="H220" s="13" t="str">
        <f aca="false">IFERROR(__xludf.dummyfunction("""COMPUTED_VALUE"""),"damaged stock")</f>
        <v>damaged stock</v>
      </c>
      <c r="I220" s="13" t="n">
        <f aca="false">IFERROR(__xludf.dummyfunction("""COMPUTED_VALUE"""),1)</f>
        <v>1</v>
      </c>
      <c r="J220" s="13" t="n">
        <f aca="false">IFERROR(__xludf.dummyfunction("""COMPUTED_VALUE"""),242.5)</f>
        <v>242.5</v>
      </c>
      <c r="K220" s="13" t="n">
        <f aca="false">IFERROR(__xludf.dummyfunction("""COMPUTED_VALUE"""),242.5)</f>
        <v>242.5</v>
      </c>
      <c r="L220" s="13" t="str">
        <f aca="false">IFERROR(__xludf.dummyfunction("""COMPUTED_VALUE"""),"[Code: 3589AB] TA; 1unit Damage Found during Sorting")</f>
        <v>[Code: 3589AB] TA; 1unit Damage Found during Sorting</v>
      </c>
      <c r="M220" s="13" t="str">
        <f aca="false">IFERROR(__xludf.dummyfunction("""COMPUTED_VALUE"""),"3589AB")</f>
        <v>3589AB</v>
      </c>
      <c r="N220" s="13"/>
      <c r="O220" s="13" t="str">
        <f aca="false">IFERROR(__xludf.dummyfunction("""COMPUTED_VALUE"""),"taufeeq.akhtar@tajir-app.com")</f>
        <v>taufeeq.akhtar@tajir-app.com</v>
      </c>
      <c r="P220" s="13" t="str">
        <f aca="false">IFERROR(__xludf.dummyfunction("""COMPUTED_VALUE"""),"Taufeeq Akhtar ")</f>
        <v>Taufeeq Akhtar </v>
      </c>
      <c r="Q220" s="13" t="str">
        <f aca="false">IFERROR(__xludf.dummyfunction("""COMPUTED_VALUE"""),"[Code: 3589AB] TA; 1unit Damage Found during Sorting")</f>
        <v>[Code: 3589AB] TA; 1unit Damage Found during Sorting</v>
      </c>
      <c r="R220" s="13" t="str">
        <v>Fri,07-July-2023 ,06:07 PM</v>
      </c>
      <c r="S220" s="13" t="str">
        <v>Damaged Stock</v>
      </c>
    </row>
    <row r="221" customFormat="false" ht="15.75" hidden="false" customHeight="false" outlineLevel="0" collapsed="false">
      <c r="A221" s="13" t="str">
        <f aca="false">IFERROR(__xludf.dummyfunction("""COMPUTED_VALUE"""),"Metro DC Faisalabad")</f>
        <v>Metro DC Faisalabad</v>
      </c>
      <c r="B221" s="13" t="str">
        <f aca="false">IFERROR(__xludf.dummyfunction("""COMPUTED_VALUE"""),"e704339c-42c0-48de-92ab-39348129ef53")</f>
        <v>e704339c-42c0-48de-92ab-39348129ef53</v>
      </c>
      <c r="C221" s="13" t="str">
        <f aca="false">IFERROR(__xludf.dummyfunction("""COMPUTED_VALUE"""),"7up plastic 1L")</f>
        <v>7up plastic 1L</v>
      </c>
      <c r="D221" s="13" t="str">
        <f aca="false">IFERROR(__xludf.dummyfunction("""COMPUTED_VALUE"""),"7up")</f>
        <v>7up</v>
      </c>
      <c r="E221" s="13" t="str">
        <f aca="false">IFERROR(__xludf.dummyfunction("""COMPUTED_VALUE"""),"Beverages")</f>
        <v>Beverages</v>
      </c>
      <c r="F221" s="11" t="n">
        <f aca="false">IFERROR(__xludf.dummyfunction("""COMPUTED_VALUE"""),45115)</f>
        <v>45115</v>
      </c>
      <c r="G221" s="12" t="n">
        <f aca="false">IFERROR(__xludf.dummyfunction("""COMPUTED_VALUE"""),0.886173298609925)</f>
        <v>0.8861732986</v>
      </c>
      <c r="H221" s="13" t="str">
        <f aca="false">IFERROR(__xludf.dummyfunction("""COMPUTED_VALUE"""),"damaged stock")</f>
        <v>damaged stock</v>
      </c>
      <c r="I221" s="13" t="n">
        <f aca="false">IFERROR(__xludf.dummyfunction("""COMPUTED_VALUE"""),1)</f>
        <v>1</v>
      </c>
      <c r="J221" s="13" t="n">
        <f aca="false">IFERROR(__xludf.dummyfunction("""COMPUTED_VALUE"""),576)</f>
        <v>576</v>
      </c>
      <c r="K221" s="13" t="n">
        <f aca="false">IFERROR(__xludf.dummyfunction("""COMPUTED_VALUE"""),576)</f>
        <v>576</v>
      </c>
      <c r="L221" s="13" t="str">
        <f aca="false">IFERROR(__xludf.dummyfunction("""COMPUTED_VALUE"""),"[Code: 9ABDHP]  TA: Found in loose condition during sorting")</f>
        <v>[Code: 9ABDHP]  TA: Found in loose condition during sorting</v>
      </c>
      <c r="M221" s="13" t="str">
        <f aca="false">IFERROR(__xludf.dummyfunction("""COMPUTED_VALUE"""),"9ABDHP")</f>
        <v>9ABDHP</v>
      </c>
      <c r="N221" s="13"/>
      <c r="O221" s="13" t="str">
        <f aca="false">IFERROR(__xludf.dummyfunction("""COMPUTED_VALUE"""),"taufeeq.akhtar@tajir-app.com")</f>
        <v>taufeeq.akhtar@tajir-app.com</v>
      </c>
      <c r="P221" s="13" t="str">
        <f aca="false">IFERROR(__xludf.dummyfunction("""COMPUTED_VALUE"""),"Taufeeq Akhtar ")</f>
        <v>Taufeeq Akhtar </v>
      </c>
      <c r="Q221" s="13" t="str">
        <f aca="false">IFERROR(__xludf.dummyfunction("""COMPUTED_VALUE"""),"[Code: 9ABDHP]  TA: Found in loose condition during sorting")</f>
        <v>[Code: 9ABDHP]  TA: Found in loose condition during sorting</v>
      </c>
      <c r="R221" s="13" t="str">
        <v>Sat,08-July-2023 ,09:16 PM</v>
      </c>
      <c r="S221" s="13" t="str">
        <v>Damaged Stock</v>
      </c>
    </row>
    <row r="222" customFormat="false" ht="15.75" hidden="false" customHeight="false" outlineLevel="0" collapsed="false">
      <c r="A222" s="13" t="str">
        <f aca="false">IFERROR(__xludf.dummyfunction("""COMPUTED_VALUE"""),"Metro DC Faisalabad")</f>
        <v>Metro DC Faisalabad</v>
      </c>
      <c r="B222" s="13" t="str">
        <f aca="false">IFERROR(__xludf.dummyfunction("""COMPUTED_VALUE"""),"cd68a607-af95-45cb-b9f4-2721224c85f8")</f>
        <v>cd68a607-af95-45cb-b9f4-2721224c85f8</v>
      </c>
      <c r="C222" s="13" t="str">
        <f aca="false">IFERROR(__xludf.dummyfunction("""COMPUTED_VALUE"""),"Coca Cola plastic 1.5L")</f>
        <v>Coca Cola plastic 1.5L</v>
      </c>
      <c r="D222" s="13" t="str">
        <f aca="false">IFERROR(__xludf.dummyfunction("""COMPUTED_VALUE"""),"Coca Cola")</f>
        <v>Coca Cola</v>
      </c>
      <c r="E222" s="13" t="str">
        <f aca="false">IFERROR(__xludf.dummyfunction("""COMPUTED_VALUE"""),"Beverages")</f>
        <v>Beverages</v>
      </c>
      <c r="F222" s="11" t="n">
        <f aca="false">IFERROR(__xludf.dummyfunction("""COMPUTED_VALUE"""),45115)</f>
        <v>45115</v>
      </c>
      <c r="G222" s="12" t="n">
        <f aca="false">IFERROR(__xludf.dummyfunction("""COMPUTED_VALUE"""),0.887265925924406)</f>
        <v>0.8872659259</v>
      </c>
      <c r="H222" s="13" t="str">
        <f aca="false">IFERROR(__xludf.dummyfunction("""COMPUTED_VALUE"""),"damaged stock")</f>
        <v>damaged stock</v>
      </c>
      <c r="I222" s="13" t="n">
        <f aca="false">IFERROR(__xludf.dummyfunction("""COMPUTED_VALUE"""),1)</f>
        <v>1</v>
      </c>
      <c r="J222" s="13" t="n">
        <f aca="false">IFERROR(__xludf.dummyfunction("""COMPUTED_VALUE"""),872)</f>
        <v>872</v>
      </c>
      <c r="K222" s="13" t="n">
        <f aca="false">IFERROR(__xludf.dummyfunction("""COMPUTED_VALUE"""),872)</f>
        <v>872</v>
      </c>
      <c r="L222" s="13" t="str">
        <f aca="false">IFERROR(__xludf.dummyfunction("""COMPUTED_VALUE"""),"[Code: 6BCDEE]  TA: Found in loose and empty bottels during sorting.")</f>
        <v>[Code: 6BCDEE]  TA: Found in loose and empty bottels during sorting.</v>
      </c>
      <c r="M222" s="13" t="str">
        <f aca="false">IFERROR(__xludf.dummyfunction("""COMPUTED_VALUE"""),"6BCDEE")</f>
        <v>6BCDEE</v>
      </c>
      <c r="N222" s="13"/>
      <c r="O222" s="13" t="str">
        <f aca="false">IFERROR(__xludf.dummyfunction("""COMPUTED_VALUE"""),"taufeeq.akhtar@tajir-app.com")</f>
        <v>taufeeq.akhtar@tajir-app.com</v>
      </c>
      <c r="P222" s="13" t="str">
        <f aca="false">IFERROR(__xludf.dummyfunction("""COMPUTED_VALUE"""),"Taufeeq Akhtar ")</f>
        <v>Taufeeq Akhtar </v>
      </c>
      <c r="Q222" s="13" t="str">
        <f aca="false">IFERROR(__xludf.dummyfunction("""COMPUTED_VALUE"""),"[Code: 6BCDEE]  TA: Found in loose and empty bottels during sorting.")</f>
        <v>[Code: 6BCDEE]  TA: Found in loose and empty bottels during sorting.</v>
      </c>
      <c r="R222" s="13" t="str">
        <v>Sat,08-July-2023 ,09:17 PM</v>
      </c>
      <c r="S222" s="13" t="str">
        <v>Damaged Stock</v>
      </c>
    </row>
    <row r="223" customFormat="false" ht="15.75" hidden="false" customHeight="false" outlineLevel="0" collapsed="false">
      <c r="A223" s="13" t="str">
        <f aca="false">IFERROR(__xludf.dummyfunction("""COMPUTED_VALUE"""),"Metro DC Faisalabad")</f>
        <v>Metro DC Faisalabad</v>
      </c>
      <c r="B223" s="13" t="str">
        <f aca="false">IFERROR(__xludf.dummyfunction("""COMPUTED_VALUE"""),"6afa406d-5fa6-42ea-a697-9b99ff3ba267")</f>
        <v>6afa406d-5fa6-42ea-a697-9b99ff3ba267</v>
      </c>
      <c r="C223" s="13" t="str">
        <f aca="false">IFERROR(__xludf.dummyfunction("""COMPUTED_VALUE"""),"Sprite plastic 1L")</f>
        <v>Sprite plastic 1L</v>
      </c>
      <c r="D223" s="13" t="str">
        <f aca="false">IFERROR(__xludf.dummyfunction("""COMPUTED_VALUE"""),"Sprite")</f>
        <v>Sprite</v>
      </c>
      <c r="E223" s="13" t="str">
        <f aca="false">IFERROR(__xludf.dummyfunction("""COMPUTED_VALUE"""),"Beverages")</f>
        <v>Beverages</v>
      </c>
      <c r="F223" s="11" t="n">
        <f aca="false">IFERROR(__xludf.dummyfunction("""COMPUTED_VALUE"""),45115)</f>
        <v>45115</v>
      </c>
      <c r="G223" s="12" t="n">
        <f aca="false">IFERROR(__xludf.dummyfunction("""COMPUTED_VALUE"""),0.887904953705471)</f>
        <v>0.8879049537</v>
      </c>
      <c r="H223" s="13" t="str">
        <f aca="false">IFERROR(__xludf.dummyfunction("""COMPUTED_VALUE"""),"damaged stock")</f>
        <v>damaged stock</v>
      </c>
      <c r="I223" s="13" t="n">
        <f aca="false">IFERROR(__xludf.dummyfunction("""COMPUTED_VALUE"""),1)</f>
        <v>1</v>
      </c>
      <c r="J223" s="13" t="n">
        <f aca="false">IFERROR(__xludf.dummyfunction("""COMPUTED_VALUE"""),677.4)</f>
        <v>677.4</v>
      </c>
      <c r="K223" s="13" t="n">
        <f aca="false">IFERROR(__xludf.dummyfunction("""COMPUTED_VALUE"""),677.4)</f>
        <v>677.4</v>
      </c>
      <c r="L223" s="13" t="str">
        <f aca="false">IFERROR(__xludf.dummyfunction("""COMPUTED_VALUE"""),"[Code: 577DGL] TA: Found in loose condition during Loading")</f>
        <v>[Code: 577DGL] TA: Found in loose condition during Loading</v>
      </c>
      <c r="M223" s="13" t="str">
        <f aca="false">IFERROR(__xludf.dummyfunction("""COMPUTED_VALUE"""),"577DGL")</f>
        <v>577DGL</v>
      </c>
      <c r="N223" s="13"/>
      <c r="O223" s="13" t="str">
        <f aca="false">IFERROR(__xludf.dummyfunction("""COMPUTED_VALUE"""),"taufeeq.akhtar@tajir-app.com")</f>
        <v>taufeeq.akhtar@tajir-app.com</v>
      </c>
      <c r="P223" s="13" t="str">
        <f aca="false">IFERROR(__xludf.dummyfunction("""COMPUTED_VALUE"""),"Taufeeq Akhtar ")</f>
        <v>Taufeeq Akhtar </v>
      </c>
      <c r="Q223" s="13" t="str">
        <f aca="false">IFERROR(__xludf.dummyfunction("""COMPUTED_VALUE"""),"[Code: 577DGL] TA: Found in loose condition during Loading")</f>
        <v>[Code: 577DGL] TA: Found in loose condition during Loading</v>
      </c>
      <c r="R223" s="13" t="str">
        <v>Sat,08-July-2023 ,09:18 PM</v>
      </c>
      <c r="S223" s="13" t="str">
        <v>Damaged Stock</v>
      </c>
    </row>
    <row r="224" customFormat="false" ht="15.75" hidden="false" customHeight="false" outlineLevel="0" collapsed="false">
      <c r="A224" s="13" t="str">
        <f aca="false">IFERROR(__xludf.dummyfunction("""COMPUTED_VALUE"""),"Metro DC Faisalabad")</f>
        <v>Metro DC Faisalabad</v>
      </c>
      <c r="B224" s="13" t="str">
        <f aca="false">IFERROR(__xludf.dummyfunction("""COMPUTED_VALUE"""),"738b3bdb-3b9e-4c0a-a6fa-18a670c5bcba")</f>
        <v>738b3bdb-3b9e-4c0a-a6fa-18a670c5bcba</v>
      </c>
      <c r="C224" s="13" t="str">
        <f aca="false">IFERROR(__xludf.dummyfunction("""COMPUTED_VALUE"""),"Bonus tristar yellow surf 240g Rs50")</f>
        <v>Bonus tristar yellow surf 240g Rs50</v>
      </c>
      <c r="D224" s="13" t="str">
        <f aca="false">IFERROR(__xludf.dummyfunction("""COMPUTED_VALUE"""),"Bonus Surf")</f>
        <v>Bonus Surf</v>
      </c>
      <c r="E224" s="13" t="str">
        <f aca="false">IFERROR(__xludf.dummyfunction("""COMPUTED_VALUE"""),"Surf, Bleach")</f>
        <v>Surf, Bleach</v>
      </c>
      <c r="F224" s="11" t="n">
        <f aca="false">IFERROR(__xludf.dummyfunction("""COMPUTED_VALUE"""),45116)</f>
        <v>45116</v>
      </c>
      <c r="G224" s="12" t="n">
        <f aca="false">IFERROR(__xludf.dummyfunction("""COMPUTED_VALUE"""),0.000227314815289099)</f>
        <v>0.0002273148153</v>
      </c>
      <c r="H224" s="13" t="str">
        <f aca="false">IFERROR(__xludf.dummyfunction("""COMPUTED_VALUE"""),"damaged stock")</f>
        <v>damaged stock</v>
      </c>
      <c r="I224" s="13" t="n">
        <f aca="false">IFERROR(__xludf.dummyfunction("""COMPUTED_VALUE"""),2)</f>
        <v>2</v>
      </c>
      <c r="J224" s="13" t="n">
        <f aca="false">IFERROR(__xludf.dummyfunction("""COMPUTED_VALUE"""),45.59)</f>
        <v>45.59</v>
      </c>
      <c r="K224" s="13" t="n">
        <f aca="false">IFERROR(__xludf.dummyfunction("""COMPUTED_VALUE"""),91.18)</f>
        <v>91.18</v>
      </c>
      <c r="L224" s="13" t="str">
        <f aca="false">IFERROR(__xludf.dummyfunction("""COMPUTED_VALUE"""),"[Code: 678ADD] TA:bag may say damaged niklay display k doran.")</f>
        <v>[Code: 678ADD] TA:bag may say damaged niklay display k doran.</v>
      </c>
      <c r="M224" s="13" t="str">
        <f aca="false">IFERROR(__xludf.dummyfunction("""COMPUTED_VALUE"""),"678ADD")</f>
        <v>678ADD</v>
      </c>
      <c r="N224" s="13"/>
      <c r="O224" s="13" t="str">
        <f aca="false">IFERROR(__xludf.dummyfunction("""COMPUTED_VALUE"""),"taufeeq.akhtar@tajir-app.com")</f>
        <v>taufeeq.akhtar@tajir-app.com</v>
      </c>
      <c r="P224" s="13" t="str">
        <f aca="false">IFERROR(__xludf.dummyfunction("""COMPUTED_VALUE"""),"Taufeeq Akhtar ")</f>
        <v>Taufeeq Akhtar </v>
      </c>
      <c r="Q224" s="13" t="str">
        <f aca="false">IFERROR(__xludf.dummyfunction("""COMPUTED_VALUE"""),"[Code: 678ADD] TA:bag may say damaged niklay display k doran.")</f>
        <v>[Code: 678ADD] TA:bag may say damaged niklay display k doran.</v>
      </c>
      <c r="R224" s="13" t="str">
        <v>Sun,09-July-2023 ,12:00 AM</v>
      </c>
      <c r="S224" s="13" t="str">
        <v>Damaged Stock</v>
      </c>
    </row>
    <row r="225" customFormat="false" ht="15.75" hidden="false" customHeight="false" outlineLevel="0" collapsed="false">
      <c r="A225" s="13" t="str">
        <f aca="false">IFERROR(__xludf.dummyfunction("""COMPUTED_VALUE"""),"Metro DC Faisalabad")</f>
        <v>Metro DC Faisalabad</v>
      </c>
      <c r="B225" s="13" t="str">
        <f aca="false">IFERROR(__xludf.dummyfunction("""COMPUTED_VALUE"""),"0d2f17bc-36e0-41fe-b498-89a7a8a34416")</f>
        <v>0d2f17bc-36e0-41fe-b498-89a7a8a34416</v>
      </c>
      <c r="C225" s="13" t="str">
        <f aca="false">IFERROR(__xludf.dummyfunction("""COMPUTED_VALUE"""),"Brite Surf x12 bundle 23g Rs 10")</f>
        <v>Brite Surf x12 bundle 23g Rs 10</v>
      </c>
      <c r="D225" s="13" t="str">
        <f aca="false">IFERROR(__xludf.dummyfunction("""COMPUTED_VALUE"""),"Brite Surf")</f>
        <v>Brite Surf</v>
      </c>
      <c r="E225" s="13" t="str">
        <f aca="false">IFERROR(__xludf.dummyfunction("""COMPUTED_VALUE"""),"Surf, Bleach")</f>
        <v>Surf, Bleach</v>
      </c>
      <c r="F225" s="11" t="n">
        <f aca="false">IFERROR(__xludf.dummyfunction("""COMPUTED_VALUE"""),45116)</f>
        <v>45116</v>
      </c>
      <c r="G225" s="12" t="n">
        <f aca="false">IFERROR(__xludf.dummyfunction("""COMPUTED_VALUE"""),0.00119193286985297)</f>
        <v>0.00119193287</v>
      </c>
      <c r="H225" s="13" t="str">
        <f aca="false">IFERROR(__xludf.dummyfunction("""COMPUTED_VALUE"""),"damaged stock")</f>
        <v>damaged stock</v>
      </c>
      <c r="I225" s="13" t="n">
        <f aca="false">IFERROR(__xludf.dummyfunction("""COMPUTED_VALUE"""),1)</f>
        <v>1</v>
      </c>
      <c r="J225" s="13" t="n">
        <f aca="false">IFERROR(__xludf.dummyfunction("""COMPUTED_VALUE"""),107.91)</f>
        <v>107.91</v>
      </c>
      <c r="K225" s="13" t="n">
        <f aca="false">IFERROR(__xludf.dummyfunction("""COMPUTED_VALUE"""),107.91)</f>
        <v>107.91</v>
      </c>
      <c r="L225" s="13" t="str">
        <f aca="false">IFERROR(__xludf.dummyfunction("""COMPUTED_VALUE"""),"[Code: 33689A] TA:bag may say damaged nikla display k doran.")</f>
        <v>[Code: 33689A] TA:bag may say damaged nikla display k doran.</v>
      </c>
      <c r="M225" s="13" t="str">
        <f aca="false">IFERROR(__xludf.dummyfunction("""COMPUTED_VALUE"""),"33689A")</f>
        <v>33689A</v>
      </c>
      <c r="N225" s="13"/>
      <c r="O225" s="13" t="str">
        <f aca="false">IFERROR(__xludf.dummyfunction("""COMPUTED_VALUE"""),"taufeeq.akhtar@tajir-app.com")</f>
        <v>taufeeq.akhtar@tajir-app.com</v>
      </c>
      <c r="P225" s="13" t="str">
        <f aca="false">IFERROR(__xludf.dummyfunction("""COMPUTED_VALUE"""),"Taufeeq Akhtar ")</f>
        <v>Taufeeq Akhtar </v>
      </c>
      <c r="Q225" s="13" t="str">
        <f aca="false">IFERROR(__xludf.dummyfunction("""COMPUTED_VALUE"""),"[Code: 33689A] TA:bag may say damaged nikla display k doran.")</f>
        <v>[Code: 33689A] TA:bag may say damaged nikla display k doran.</v>
      </c>
      <c r="R225" s="13" t="str">
        <v>Sun,09-July-2023 ,12:01 AM</v>
      </c>
      <c r="S225" s="13" t="str">
        <v>Damaged Stock</v>
      </c>
    </row>
    <row r="226" customFormat="false" ht="15.75" hidden="false" customHeight="false" outlineLevel="0" collapsed="false">
      <c r="A226" s="13" t="str">
        <f aca="false">IFERROR(__xludf.dummyfunction("""COMPUTED_VALUE"""),"Metro DC Faisalabad")</f>
        <v>Metro DC Faisalabad</v>
      </c>
      <c r="B226" s="13" t="str">
        <f aca="false">IFERROR(__xludf.dummyfunction("""COMPUTED_VALUE"""),"7c2b8ffc-a709-4cae-922c-ba2811c9531f")</f>
        <v>7c2b8ffc-a709-4cae-922c-ba2811c9531f</v>
      </c>
      <c r="C226" s="13" t="str">
        <f aca="false">IFERROR(__xludf.dummyfunction("""COMPUTED_VALUE"""),"Chill Up Salted Lemon Can x12 Crate 250ml")</f>
        <v>Chill Up Salted Lemon Can x12 Crate 250ml</v>
      </c>
      <c r="D226" s="13" t="str">
        <f aca="false">IFERROR(__xludf.dummyfunction("""COMPUTED_VALUE"""),"Chill Up")</f>
        <v>Chill Up</v>
      </c>
      <c r="E226" s="13" t="str">
        <f aca="false">IFERROR(__xludf.dummyfunction("""COMPUTED_VALUE"""),"Beverages")</f>
        <v>Beverages</v>
      </c>
      <c r="F226" s="11" t="n">
        <f aca="false">IFERROR(__xludf.dummyfunction("""COMPUTED_VALUE"""),45116)</f>
        <v>45116</v>
      </c>
      <c r="G226" s="12" t="n">
        <f aca="false">IFERROR(__xludf.dummyfunction("""COMPUTED_VALUE"""),0.84852858796444)</f>
        <v>0.848528588</v>
      </c>
      <c r="H226" s="13" t="str">
        <f aca="false">IFERROR(__xludf.dummyfunction("""COMPUTED_VALUE"""),"damaged stock")</f>
        <v>damaged stock</v>
      </c>
      <c r="I226" s="13" t="n">
        <f aca="false">IFERROR(__xludf.dummyfunction("""COMPUTED_VALUE"""),1)</f>
        <v>1</v>
      </c>
      <c r="J226" s="13" t="n">
        <f aca="false">IFERROR(__xludf.dummyfunction("""COMPUTED_VALUE"""),994.35)</f>
        <v>994.35</v>
      </c>
      <c r="K226" s="13" t="n">
        <f aca="false">IFERROR(__xludf.dummyfunction("""COMPUTED_VALUE"""),994.35)</f>
        <v>994.35</v>
      </c>
      <c r="L226" s="13" t="str">
        <f aca="false">IFERROR(__xludf.dummyfunction("""COMPUTED_VALUE"""),"[Code: 35578A] TA:Found few bottels damaged during sorting.")</f>
        <v>[Code: 35578A] TA:Found few bottels damaged during sorting.</v>
      </c>
      <c r="M226" s="13" t="str">
        <f aca="false">IFERROR(__xludf.dummyfunction("""COMPUTED_VALUE"""),"35578A")</f>
        <v>35578A</v>
      </c>
      <c r="N226" s="13"/>
      <c r="O226" s="13" t="str">
        <f aca="false">IFERROR(__xludf.dummyfunction("""COMPUTED_VALUE"""),"taufeeq.akhtar@tajir-app.com")</f>
        <v>taufeeq.akhtar@tajir-app.com</v>
      </c>
      <c r="P226" s="13" t="str">
        <f aca="false">IFERROR(__xludf.dummyfunction("""COMPUTED_VALUE"""),"Taufeeq Akhtar ")</f>
        <v>Taufeeq Akhtar </v>
      </c>
      <c r="Q226" s="13" t="str">
        <f aca="false">IFERROR(__xludf.dummyfunction("""COMPUTED_VALUE"""),"[Code: 35578A] TA:Found few bottels damaged during sorting.")</f>
        <v>[Code: 35578A] TA:Found few bottels damaged during sorting.</v>
      </c>
      <c r="R226" s="13" t="str">
        <v>Sun,09-July-2023 ,08:21 PM</v>
      </c>
      <c r="S226" s="13" t="str">
        <v>Damaged Stock</v>
      </c>
    </row>
    <row r="227" customFormat="false" ht="15.75" hidden="false" customHeight="false" outlineLevel="0" collapsed="false">
      <c r="A227" s="13" t="str">
        <f aca="false">IFERROR(__xludf.dummyfunction("""COMPUTED_VALUE"""),"Metro DC Faisalabad")</f>
        <v>Metro DC Faisalabad</v>
      </c>
      <c r="B227" s="13" t="str">
        <f aca="false">IFERROR(__xludf.dummyfunction("""COMPUTED_VALUE"""),"c227111f-6b7d-4366-aa4b-32e58cf5a1f6")</f>
        <v>c227111f-6b7d-4366-aa4b-32e58cf5a1f6</v>
      </c>
      <c r="C227" s="13" t="str">
        <f aca="false">IFERROR(__xludf.dummyfunction("""COMPUTED_VALUE"""),"Sherdil White Chana Mota 500g")</f>
        <v>Sherdil White Chana Mota 500g</v>
      </c>
      <c r="D227" s="13" t="str">
        <f aca="false">IFERROR(__xludf.dummyfunction("""COMPUTED_VALUE"""),"Sherdil")</f>
        <v>Sherdil</v>
      </c>
      <c r="E227" s="13" t="str">
        <f aca="false">IFERROR(__xludf.dummyfunction("""COMPUTED_VALUE"""),"Pulses")</f>
        <v>Pulses</v>
      </c>
      <c r="F227" s="11" t="n">
        <f aca="false">IFERROR(__xludf.dummyfunction("""COMPUTED_VALUE"""),45117)</f>
        <v>45117</v>
      </c>
      <c r="G227" s="12" t="n">
        <f aca="false">IFERROR(__xludf.dummyfunction("""COMPUTED_VALUE"""),0.781304421296205)</f>
        <v>0.7813044213</v>
      </c>
      <c r="H227" s="13" t="str">
        <f aca="false">IFERROR(__xludf.dummyfunction("""COMPUTED_VALUE"""),"damaged stock")</f>
        <v>damaged stock</v>
      </c>
      <c r="I227" s="13" t="n">
        <f aca="false">IFERROR(__xludf.dummyfunction("""COMPUTED_VALUE"""),14)</f>
        <v>14</v>
      </c>
      <c r="J227" s="13" t="n">
        <f aca="false">IFERROR(__xludf.dummyfunction("""COMPUTED_VALUE"""),225)</f>
        <v>225</v>
      </c>
      <c r="K227" s="13" t="n">
        <f aca="false">IFERROR(__xludf.dummyfunction("""COMPUTED_VALUE"""),3150)</f>
        <v>3150</v>
      </c>
      <c r="L227" s="13" t="str">
        <f aca="false">IFERROR(__xludf.dummyfunction("""COMPUTED_VALUE"""),"[Code: 244888] TA: quality sahi nahi hay ulli lagi hay chano may.")</f>
        <v>[Code: 244888] TA: quality sahi nahi hay ulli lagi hay chano may.</v>
      </c>
      <c r="M227" s="13" t="str">
        <f aca="false">IFERROR(__xludf.dummyfunction("""COMPUTED_VALUE"""),"244888")</f>
        <v>244888</v>
      </c>
      <c r="N227" s="13"/>
      <c r="O227" s="13" t="str">
        <f aca="false">IFERROR(__xludf.dummyfunction("""COMPUTED_VALUE"""),"taufeeq.akhtar@tajir-app.com")</f>
        <v>taufeeq.akhtar@tajir-app.com</v>
      </c>
      <c r="P227" s="13" t="str">
        <f aca="false">IFERROR(__xludf.dummyfunction("""COMPUTED_VALUE"""),"Taufeeq Akhtar ")</f>
        <v>Taufeeq Akhtar </v>
      </c>
      <c r="Q227" s="13" t="str">
        <f aca="false">IFERROR(__xludf.dummyfunction("""COMPUTED_VALUE"""),"[Code: 244888] TA: quality sahi nahi hay ulli lagi hay chano may.")</f>
        <v>[Code: 244888] TA: quality sahi nahi hay ulli lagi hay chano may.</v>
      </c>
      <c r="R227" s="13" t="str">
        <v>Mon,10-July-2023 ,06:45 PM</v>
      </c>
      <c r="S227" s="13" t="str">
        <v>Damaged Stock</v>
      </c>
    </row>
    <row r="228" customFormat="false" ht="15.75" hidden="false" customHeight="false" outlineLevel="0" collapsed="false">
      <c r="A228" s="13" t="str">
        <f aca="false">IFERROR(__xludf.dummyfunction("""COMPUTED_VALUE"""),"Metro DC Faisalabad")</f>
        <v>Metro DC Faisalabad</v>
      </c>
      <c r="B228" s="13" t="str">
        <f aca="false">IFERROR(__xludf.dummyfunction("""COMPUTED_VALUE"""),"cd68a607-af95-45cb-b9f4-2721224c85f8")</f>
        <v>cd68a607-af95-45cb-b9f4-2721224c85f8</v>
      </c>
      <c r="C228" s="13" t="str">
        <f aca="false">IFERROR(__xludf.dummyfunction("""COMPUTED_VALUE"""),"Coca Cola plastic 1.5L")</f>
        <v>Coca Cola plastic 1.5L</v>
      </c>
      <c r="D228" s="13" t="str">
        <f aca="false">IFERROR(__xludf.dummyfunction("""COMPUTED_VALUE"""),"Coca Cola")</f>
        <v>Coca Cola</v>
      </c>
      <c r="E228" s="13" t="str">
        <f aca="false">IFERROR(__xludf.dummyfunction("""COMPUTED_VALUE"""),"Beverages")</f>
        <v>Beverages</v>
      </c>
      <c r="F228" s="11" t="n">
        <f aca="false">IFERROR(__xludf.dummyfunction("""COMPUTED_VALUE"""),45117)</f>
        <v>45117</v>
      </c>
      <c r="G228" s="12" t="n">
        <f aca="false">IFERROR(__xludf.dummyfunction("""COMPUTED_VALUE"""),0.90671760416575)</f>
        <v>0.9067176042</v>
      </c>
      <c r="H228" s="13" t="str">
        <f aca="false">IFERROR(__xludf.dummyfunction("""COMPUTED_VALUE"""),"damaged stock")</f>
        <v>damaged stock</v>
      </c>
      <c r="I228" s="13" t="n">
        <f aca="false">IFERROR(__xludf.dummyfunction("""COMPUTED_VALUE"""),1)</f>
        <v>1</v>
      </c>
      <c r="J228" s="13" t="n">
        <f aca="false">IFERROR(__xludf.dummyfunction("""COMPUTED_VALUE"""),856)</f>
        <v>856</v>
      </c>
      <c r="K228" s="13" t="n">
        <f aca="false">IFERROR(__xludf.dummyfunction("""COMPUTED_VALUE"""),856)</f>
        <v>856</v>
      </c>
      <c r="L228" s="13" t="str">
        <f aca="false">IFERROR(__xludf.dummyfunction("""COMPUTED_VALUE"""),"[Code: 22255A]   TA: Found in loose and empty bottels during sorting.")</f>
        <v>[Code: 22255A]   TA: Found in loose and empty bottels during sorting.</v>
      </c>
      <c r="M228" s="13" t="str">
        <f aca="false">IFERROR(__xludf.dummyfunction("""COMPUTED_VALUE"""),"22255A")</f>
        <v>22255A</v>
      </c>
      <c r="N228" s="13"/>
      <c r="O228" s="13" t="str">
        <f aca="false">IFERROR(__xludf.dummyfunction("""COMPUTED_VALUE"""),"taufeeq.akhtar@tajir-app.com")</f>
        <v>taufeeq.akhtar@tajir-app.com</v>
      </c>
      <c r="P228" s="13" t="str">
        <f aca="false">IFERROR(__xludf.dummyfunction("""COMPUTED_VALUE"""),"Taufeeq Akhtar ")</f>
        <v>Taufeeq Akhtar </v>
      </c>
      <c r="Q228" s="13" t="str">
        <f aca="false">IFERROR(__xludf.dummyfunction("""COMPUTED_VALUE"""),"[Code: 22255A]   TA: Found in loose and empty bottels during sorting.")</f>
        <v>[Code: 22255A]   TA: Found in loose and empty bottels during sorting.</v>
      </c>
      <c r="R228" s="13" t="str">
        <v>Mon,10-July-2023 ,09:45 PM</v>
      </c>
      <c r="S228" s="13" t="str">
        <v>Damaged Stock</v>
      </c>
    </row>
    <row r="229" customFormat="false" ht="15.75" hidden="false" customHeight="false" outlineLevel="0" collapsed="false">
      <c r="A229" s="13" t="str">
        <f aca="false">IFERROR(__xludf.dummyfunction("""COMPUTED_VALUE"""),"Metro DC Faisalabad")</f>
        <v>Metro DC Faisalabad</v>
      </c>
      <c r="B229" s="13" t="str">
        <f aca="false">IFERROR(__xludf.dummyfunction("""COMPUTED_VALUE"""),"671572b4-dd58-442e-8057-59bc8f59fb09")</f>
        <v>671572b4-dd58-442e-8057-59bc8f59fb09</v>
      </c>
      <c r="C229" s="13" t="str">
        <f aca="false">IFERROR(__xludf.dummyfunction("""COMPUTED_VALUE"""),"Quality Grains Daal Mash Wash 1kg")</f>
        <v>Quality Grains Daal Mash Wash 1kg</v>
      </c>
      <c r="D229" s="13" t="str">
        <f aca="false">IFERROR(__xludf.dummyfunction("""COMPUTED_VALUE"""),"Quality Grains")</f>
        <v>Quality Grains</v>
      </c>
      <c r="E229" s="13" t="str">
        <f aca="false">IFERROR(__xludf.dummyfunction("""COMPUTED_VALUE"""),"Pulses")</f>
        <v>Pulses</v>
      </c>
      <c r="F229" s="11" t="n">
        <f aca="false">IFERROR(__xludf.dummyfunction("""COMPUTED_VALUE"""),45117)</f>
        <v>45117</v>
      </c>
      <c r="G229" s="12" t="n">
        <f aca="false">IFERROR(__xludf.dummyfunction("""COMPUTED_VALUE"""),0.971791620369826)</f>
        <v>0.9717916204</v>
      </c>
      <c r="H229" s="13" t="str">
        <f aca="false">IFERROR(__xludf.dummyfunction("""COMPUTED_VALUE"""),"damaged stock")</f>
        <v>damaged stock</v>
      </c>
      <c r="I229" s="13" t="n">
        <f aca="false">IFERROR(__xludf.dummyfunction("""COMPUTED_VALUE"""),6)</f>
        <v>6</v>
      </c>
      <c r="J229" s="13" t="n">
        <f aca="false">IFERROR(__xludf.dummyfunction("""COMPUTED_VALUE"""),500)</f>
        <v>500</v>
      </c>
      <c r="K229" s="13" t="n">
        <f aca="false">IFERROR(__xludf.dummyfunction("""COMPUTED_VALUE"""),3000)</f>
        <v>3000</v>
      </c>
      <c r="L229" s="13" t="str">
        <f aca="false">IFERROR(__xludf.dummyfunction("""COMPUTED_VALUE"""),"[Code: 679AAA] TA: aik unit para hay lakin quality  sahi nahi or 5 unit floor pr available nahi hay.")</f>
        <v>[Code: 679AAA] TA: aik unit para hay lakin quality  sahi nahi or 5 unit floor pr available nahi hay.</v>
      </c>
      <c r="M229" s="13" t="str">
        <f aca="false">IFERROR(__xludf.dummyfunction("""COMPUTED_VALUE"""),"679AAA")</f>
        <v>679AAA</v>
      </c>
      <c r="N229" s="13"/>
      <c r="O229" s="13" t="str">
        <f aca="false">IFERROR(__xludf.dummyfunction("""COMPUTED_VALUE"""),"taufeeq.akhtar@tajir-app.com")</f>
        <v>taufeeq.akhtar@tajir-app.com</v>
      </c>
      <c r="P229" s="13" t="str">
        <f aca="false">IFERROR(__xludf.dummyfunction("""COMPUTED_VALUE"""),"Taufeeq Akhtar ")</f>
        <v>Taufeeq Akhtar </v>
      </c>
      <c r="Q229" s="13" t="str">
        <f aca="false">IFERROR(__xludf.dummyfunction("""COMPUTED_VALUE"""),"[Code: 679AAA] TA: aik unit para hay lakin quality  sahi nahi or 5 unit floor pr available nahi hay.")</f>
        <v>[Code: 679AAA] TA: aik unit para hay lakin quality  sahi nahi or 5 unit floor pr available nahi hay.</v>
      </c>
      <c r="R229" s="13" t="str">
        <v>Mon,10-July-2023 ,11:19 PM</v>
      </c>
      <c r="S229" s="13" t="str">
        <v>Damaged Stock</v>
      </c>
    </row>
    <row r="230" customFormat="false" ht="15.75" hidden="false" customHeight="false" outlineLevel="0" collapsed="false">
      <c r="A230" s="13" t="str">
        <f aca="false">IFERROR(__xludf.dummyfunction("""COMPUTED_VALUE"""),"Metro DC Faisalabad")</f>
        <v>Metro DC Faisalabad</v>
      </c>
      <c r="B230" s="13" t="str">
        <f aca="false">IFERROR(__xludf.dummyfunction("""COMPUTED_VALUE"""),"717c11ae-c3bc-4378-a184-2154badcf63d")</f>
        <v>717c11ae-c3bc-4378-a184-2154badcf63d</v>
      </c>
      <c r="C230" s="13" t="str">
        <f aca="false">IFERROR(__xludf.dummyfunction("""COMPUTED_VALUE"""),"Quality Grains Daal Mash Wash 500g")</f>
        <v>Quality Grains Daal Mash Wash 500g</v>
      </c>
      <c r="D230" s="13" t="str">
        <f aca="false">IFERROR(__xludf.dummyfunction("""COMPUTED_VALUE"""),"Quality Grains")</f>
        <v>Quality Grains</v>
      </c>
      <c r="E230" s="13" t="str">
        <f aca="false">IFERROR(__xludf.dummyfunction("""COMPUTED_VALUE"""),"Pulses")</f>
        <v>Pulses</v>
      </c>
      <c r="F230" s="11" t="n">
        <f aca="false">IFERROR(__xludf.dummyfunction("""COMPUTED_VALUE"""),45117)</f>
        <v>45117</v>
      </c>
      <c r="G230" s="12" t="n">
        <f aca="false">IFERROR(__xludf.dummyfunction("""COMPUTED_VALUE"""),0.976897743054914)</f>
        <v>0.9768977431</v>
      </c>
      <c r="H230" s="13" t="str">
        <f aca="false">IFERROR(__xludf.dummyfunction("""COMPUTED_VALUE"""),"damaged stock")</f>
        <v>damaged stock</v>
      </c>
      <c r="I230" s="13" t="n">
        <f aca="false">IFERROR(__xludf.dummyfunction("""COMPUTED_VALUE"""),6)</f>
        <v>6</v>
      </c>
      <c r="J230" s="13" t="n">
        <f aca="false">IFERROR(__xludf.dummyfunction("""COMPUTED_VALUE"""),246)</f>
        <v>246</v>
      </c>
      <c r="K230" s="13" t="n">
        <f aca="false">IFERROR(__xludf.dummyfunction("""COMPUTED_VALUE"""),1476)</f>
        <v>1476</v>
      </c>
      <c r="L230" s="13" t="str">
        <f aca="false">IFERROR(__xludf.dummyfunction("""COMPUTED_VALUE"""),"[Code: 299BDE] TA: Aik unit ki quality sahi nahi thi or 5 units floor pr available nahi thay...")</f>
        <v>[Code: 299BDE] TA: Aik unit ki quality sahi nahi thi or 5 units floor pr available nahi thay...</v>
      </c>
      <c r="M230" s="13" t="str">
        <f aca="false">IFERROR(__xludf.dummyfunction("""COMPUTED_VALUE"""),"299BDE")</f>
        <v>299BDE</v>
      </c>
      <c r="N230" s="13"/>
      <c r="O230" s="13" t="str">
        <f aca="false">IFERROR(__xludf.dummyfunction("""COMPUTED_VALUE"""),"taufeeq.akhtar@tajir-app.com")</f>
        <v>taufeeq.akhtar@tajir-app.com</v>
      </c>
      <c r="P230" s="13" t="str">
        <f aca="false">IFERROR(__xludf.dummyfunction("""COMPUTED_VALUE"""),"Taufeeq Akhtar ")</f>
        <v>Taufeeq Akhtar </v>
      </c>
      <c r="Q230" s="13" t="str">
        <f aca="false">IFERROR(__xludf.dummyfunction("""COMPUTED_VALUE"""),"[Code: 299BDE] TA: Aik unit ki quality sahi nahi thi or 5 units floor pr available nahi thay...")</f>
        <v>[Code: 299BDE] TA: Aik unit ki quality sahi nahi thi or 5 units floor pr available nahi thay...</v>
      </c>
      <c r="R230" s="13" t="str">
        <v>Mon,10-July-2023 ,11:26 PM</v>
      </c>
      <c r="S230" s="13" t="str">
        <v>Damaged Stock</v>
      </c>
    </row>
    <row r="231" customFormat="false" ht="15.75" hidden="false" customHeight="false" outlineLevel="0" collapsed="false">
      <c r="A231" s="13" t="str">
        <f aca="false">IFERROR(__xludf.dummyfunction("""COMPUTED_VALUE"""),"Metro DC Faisalabad")</f>
        <v>Metro DC Faisalabad</v>
      </c>
      <c r="B231" s="13" t="str">
        <f aca="false">IFERROR(__xludf.dummyfunction("""COMPUTED_VALUE"""),"fe7f6e44-8ea8-4eee-a9ea-e5fce8ce8067")</f>
        <v>fe7f6e44-8ea8-4eee-a9ea-e5fce8ce8067</v>
      </c>
      <c r="C231" s="13" t="str">
        <f aca="false">IFERROR(__xludf.dummyfunction("""COMPUTED_VALUE"""),"Quality Grains Daal Chana Budget 1kg")</f>
        <v>Quality Grains Daal Chana Budget 1kg</v>
      </c>
      <c r="D231" s="13" t="str">
        <f aca="false">IFERROR(__xludf.dummyfunction("""COMPUTED_VALUE"""),"Quality Grains")</f>
        <v>Quality Grains</v>
      </c>
      <c r="E231" s="13" t="str">
        <f aca="false">IFERROR(__xludf.dummyfunction("""COMPUTED_VALUE"""),"Pulses")</f>
        <v>Pulses</v>
      </c>
      <c r="F231" s="11" t="n">
        <f aca="false">IFERROR(__xludf.dummyfunction("""COMPUTED_VALUE"""),45118)</f>
        <v>45118</v>
      </c>
      <c r="G231" s="12" t="n">
        <f aca="false">IFERROR(__xludf.dummyfunction("""COMPUTED_VALUE"""),0.52672322916837)</f>
        <v>0.5267232292</v>
      </c>
      <c r="H231" s="13" t="str">
        <f aca="false">IFERROR(__xludf.dummyfunction("""COMPUTED_VALUE"""),"damaged stock")</f>
        <v>damaged stock</v>
      </c>
      <c r="I231" s="13" t="n">
        <f aca="false">IFERROR(__xludf.dummyfunction("""COMPUTED_VALUE"""),181)</f>
        <v>181</v>
      </c>
      <c r="J231" s="13" t="n">
        <f aca="false">IFERROR(__xludf.dummyfunction("""COMPUTED_VALUE"""),234)</f>
        <v>234</v>
      </c>
      <c r="K231" s="13" t="n">
        <f aca="false">IFERROR(__xludf.dummyfunction("""COMPUTED_VALUE"""),42354)</f>
        <v>42354</v>
      </c>
      <c r="L231" s="13" t="str">
        <f aca="false">IFERROR(__xludf.dummyfunction("""COMPUTED_VALUE"""),"[Code: 58CHHJ] 181 units damaged due to fungus")</f>
        <v>[Code: 58CHHJ] 181 units damaged due to fungus</v>
      </c>
      <c r="M231" s="13" t="str">
        <f aca="false">IFERROR(__xludf.dummyfunction("""COMPUTED_VALUE"""),"58CHHJ")</f>
        <v>58CHHJ</v>
      </c>
      <c r="N231" s="13"/>
      <c r="O231" s="13" t="str">
        <f aca="false">IFERROR(__xludf.dummyfunction("""COMPUTED_VALUE"""),"ali.raza@tajir-app.com")</f>
        <v>ali.raza@tajir-app.com</v>
      </c>
      <c r="P231" s="13" t="str">
        <f aca="false">IFERROR(__xludf.dummyfunction("""COMPUTED_VALUE"""),"Ali Raza ")</f>
        <v>Ali Raza </v>
      </c>
      <c r="Q231" s="13" t="str">
        <f aca="false">IFERROR(__xludf.dummyfunction("""COMPUTED_VALUE"""),"[Code: 58CHHJ] 181 units damaged due to fungus")</f>
        <v>[Code: 58CHHJ] 181 units damaged due to fungus</v>
      </c>
      <c r="R231" s="13" t="str">
        <v>Tue,11-July-2023 ,12:38 PM</v>
      </c>
      <c r="S231" s="13" t="str">
        <v>Damaged Stock</v>
      </c>
    </row>
    <row r="232" customFormat="false" ht="15.75" hidden="false" customHeight="false" outlineLevel="0" collapsed="false">
      <c r="A232" s="13" t="str">
        <f aca="false">IFERROR(__xludf.dummyfunction("""COMPUTED_VALUE"""),"Metro DC Faisalabad")</f>
        <v>Metro DC Faisalabad</v>
      </c>
      <c r="B232" s="13" t="str">
        <f aca="false">IFERROR(__xludf.dummyfunction("""COMPUTED_VALUE"""),"6c568402-1788-466b-8f61-43acc83fa9d1")</f>
        <v>6c568402-1788-466b-8f61-43acc83fa9d1</v>
      </c>
      <c r="C232" s="13" t="str">
        <f aca="false">IFERROR(__xludf.dummyfunction("""COMPUTED_VALUE"""),"Sherdil White Chana Mota 5kg")</f>
        <v>Sherdil White Chana Mota 5kg</v>
      </c>
      <c r="D232" s="13" t="str">
        <f aca="false">IFERROR(__xludf.dummyfunction("""COMPUTED_VALUE"""),"Sherdil")</f>
        <v>Sherdil</v>
      </c>
      <c r="E232" s="13" t="str">
        <f aca="false">IFERROR(__xludf.dummyfunction("""COMPUTED_VALUE"""),"Pulses")</f>
        <v>Pulses</v>
      </c>
      <c r="F232" s="11" t="n">
        <f aca="false">IFERROR(__xludf.dummyfunction("""COMPUTED_VALUE"""),45118)</f>
        <v>45118</v>
      </c>
      <c r="G232" s="12" t="n">
        <f aca="false">IFERROR(__xludf.dummyfunction("""COMPUTED_VALUE"""),0.527506620370516)</f>
        <v>0.5275066204</v>
      </c>
      <c r="H232" s="13" t="str">
        <f aca="false">IFERROR(__xludf.dummyfunction("""COMPUTED_VALUE"""),"damaged stock")</f>
        <v>damaged stock</v>
      </c>
      <c r="I232" s="13" t="n">
        <f aca="false">IFERROR(__xludf.dummyfunction("""COMPUTED_VALUE"""),2)</f>
        <v>2</v>
      </c>
      <c r="J232" s="13" t="n">
        <f aca="false">IFERROR(__xludf.dummyfunction("""COMPUTED_VALUE"""),2180)</f>
        <v>2180</v>
      </c>
      <c r="K232" s="13" t="n">
        <f aca="false">IFERROR(__xludf.dummyfunction("""COMPUTED_VALUE"""),4360)</f>
        <v>4360</v>
      </c>
      <c r="L232" s="13" t="str">
        <f aca="false">IFERROR(__xludf.dummyfunction("""COMPUTED_VALUE"""),"[Code: 5779EF] 2 units damaged due to due to insects (Quality Issue)")</f>
        <v>[Code: 5779EF] 2 units damaged due to due to insects (Quality Issue)</v>
      </c>
      <c r="M232" s="13" t="str">
        <f aca="false">IFERROR(__xludf.dummyfunction("""COMPUTED_VALUE"""),"5779EF")</f>
        <v>5779EF</v>
      </c>
      <c r="N232" s="13"/>
      <c r="O232" s="13" t="str">
        <f aca="false">IFERROR(__xludf.dummyfunction("""COMPUTED_VALUE"""),"ali.raza@tajir-app.com")</f>
        <v>ali.raza@tajir-app.com</v>
      </c>
      <c r="P232" s="13" t="str">
        <f aca="false">IFERROR(__xludf.dummyfunction("""COMPUTED_VALUE"""),"Ali Raza ")</f>
        <v>Ali Raza </v>
      </c>
      <c r="Q232" s="13" t="str">
        <f aca="false">IFERROR(__xludf.dummyfunction("""COMPUTED_VALUE"""),"[Code: 5779EF] 2 units damaged due to due to insects (Quality Issue)")</f>
        <v>[Code: 5779EF] 2 units damaged due to due to insects (Quality Issue)</v>
      </c>
      <c r="R232" s="13" t="str">
        <v>Tue,11-July-2023 ,12:39 PM</v>
      </c>
      <c r="S232" s="13" t="str">
        <v>Damaged Stock</v>
      </c>
    </row>
    <row r="233" customFormat="false" ht="15.75" hidden="false" customHeight="false" outlineLevel="0" collapsed="false">
      <c r="A233" s="13" t="str">
        <f aca="false">IFERROR(__xludf.dummyfunction("""COMPUTED_VALUE"""),"Metro DC Faisalabad")</f>
        <v>Metro DC Faisalabad</v>
      </c>
      <c r="B233" s="13" t="str">
        <f aca="false">IFERROR(__xludf.dummyfunction("""COMPUTED_VALUE"""),"c2dbed6e-d95e-4c43-b456-e74524aeabd0")</f>
        <v>c2dbed6e-d95e-4c43-b456-e74524aeabd0</v>
      </c>
      <c r="C233" s="13" t="str">
        <f aca="false">IFERROR(__xludf.dummyfunction("""COMPUTED_VALUE"""),"Sherdil White Chana Bareek 500g")</f>
        <v>Sherdil White Chana Bareek 500g</v>
      </c>
      <c r="D233" s="13" t="str">
        <f aca="false">IFERROR(__xludf.dummyfunction("""COMPUTED_VALUE"""),"Sherdil")</f>
        <v>Sherdil</v>
      </c>
      <c r="E233" s="13" t="str">
        <f aca="false">IFERROR(__xludf.dummyfunction("""COMPUTED_VALUE"""),"Pulses")</f>
        <v>Pulses</v>
      </c>
      <c r="F233" s="11" t="n">
        <f aca="false">IFERROR(__xludf.dummyfunction("""COMPUTED_VALUE"""),45118)</f>
        <v>45118</v>
      </c>
      <c r="G233" s="12" t="n">
        <f aca="false">IFERROR(__xludf.dummyfunction("""COMPUTED_VALUE"""),0.528183564814518)</f>
        <v>0.5281835648</v>
      </c>
      <c r="H233" s="13" t="str">
        <f aca="false">IFERROR(__xludf.dummyfunction("""COMPUTED_VALUE"""),"damaged stock")</f>
        <v>damaged stock</v>
      </c>
      <c r="I233" s="13" t="n">
        <f aca="false">IFERROR(__xludf.dummyfunction("""COMPUTED_VALUE"""),1)</f>
        <v>1</v>
      </c>
      <c r="J233" s="13" t="n">
        <f aca="false">IFERROR(__xludf.dummyfunction("""COMPUTED_VALUE"""),190)</f>
        <v>190</v>
      </c>
      <c r="K233" s="13" t="n">
        <f aca="false">IFERROR(__xludf.dummyfunction("""COMPUTED_VALUE"""),190)</f>
        <v>190</v>
      </c>
      <c r="L233" s="13" t="str">
        <f aca="false">IFERROR(__xludf.dummyfunction("""COMPUTED_VALUE"""),"[Code: 567788] 1 unit found damaged due to insects (Quality Issue0")</f>
        <v>[Code: 567788] 1 unit found damaged due to insects (Quality Issue0</v>
      </c>
      <c r="M233" s="13" t="str">
        <f aca="false">IFERROR(__xludf.dummyfunction("""COMPUTED_VALUE"""),"567788")</f>
        <v>567788</v>
      </c>
      <c r="N233" s="13"/>
      <c r="O233" s="13" t="str">
        <f aca="false">IFERROR(__xludf.dummyfunction("""COMPUTED_VALUE"""),"ali.raza@tajir-app.com")</f>
        <v>ali.raza@tajir-app.com</v>
      </c>
      <c r="P233" s="13" t="str">
        <f aca="false">IFERROR(__xludf.dummyfunction("""COMPUTED_VALUE"""),"Ali Raza ")</f>
        <v>Ali Raza </v>
      </c>
      <c r="Q233" s="13" t="str">
        <f aca="false">IFERROR(__xludf.dummyfunction("""COMPUTED_VALUE"""),"[Code: 567788] 1 unit found damaged due to insects (Quality Issue0")</f>
        <v>[Code: 567788] 1 unit found damaged due to insects (Quality Issue0</v>
      </c>
      <c r="R233" s="13" t="str">
        <v>Tue,11-July-2023 ,12:40 PM</v>
      </c>
      <c r="S233" s="13" t="str">
        <v>Damaged Stock</v>
      </c>
    </row>
    <row r="234" customFormat="false" ht="15.75" hidden="false" customHeight="false" outlineLevel="0" collapsed="false">
      <c r="A234" s="13" t="str">
        <f aca="false">IFERROR(__xludf.dummyfunction("""COMPUTED_VALUE"""),"Metro DC Faisalabad")</f>
        <v>Metro DC Faisalabad</v>
      </c>
      <c r="B234" s="13" t="str">
        <f aca="false">IFERROR(__xludf.dummyfunction("""COMPUTED_VALUE"""),"978a88b5-e0d1-4d9d-b7a1-90921ab8d4f0")</f>
        <v>978a88b5-e0d1-4d9d-b7a1-90921ab8d4f0</v>
      </c>
      <c r="C234" s="13" t="str">
        <f aca="false">IFERROR(__xludf.dummyfunction("""COMPUTED_VALUE"""),"Sherdil Daal Mash Wash 5kg")</f>
        <v>Sherdil Daal Mash Wash 5kg</v>
      </c>
      <c r="D234" s="13" t="str">
        <f aca="false">IFERROR(__xludf.dummyfunction("""COMPUTED_VALUE"""),"Sherdil")</f>
        <v>Sherdil</v>
      </c>
      <c r="E234" s="13" t="str">
        <f aca="false">IFERROR(__xludf.dummyfunction("""COMPUTED_VALUE"""),"Pulses")</f>
        <v>Pulses</v>
      </c>
      <c r="F234" s="11" t="n">
        <f aca="false">IFERROR(__xludf.dummyfunction("""COMPUTED_VALUE"""),45118)</f>
        <v>45118</v>
      </c>
      <c r="G234" s="12" t="n">
        <f aca="false">IFERROR(__xludf.dummyfunction("""COMPUTED_VALUE"""),0.5292867129614)</f>
        <v>0.529286713</v>
      </c>
      <c r="H234" s="13" t="str">
        <f aca="false">IFERROR(__xludf.dummyfunction("""COMPUTED_VALUE"""),"damaged stock")</f>
        <v>damaged stock</v>
      </c>
      <c r="I234" s="13" t="n">
        <f aca="false">IFERROR(__xludf.dummyfunction("""COMPUTED_VALUE"""),4)</f>
        <v>4</v>
      </c>
      <c r="J234" s="13" t="n">
        <f aca="false">IFERROR(__xludf.dummyfunction("""COMPUTED_VALUE"""),2432)</f>
        <v>2432</v>
      </c>
      <c r="K234" s="13" t="n">
        <f aca="false">IFERROR(__xludf.dummyfunction("""COMPUTED_VALUE"""),9728)</f>
        <v>9728</v>
      </c>
      <c r="L234" s="13" t="str">
        <f aca="false">IFERROR(__xludf.dummyfunction("""COMPUTED_VALUE"""),"[Code: 334779] 4 units found damaged due to fungus")</f>
        <v>[Code: 334779] 4 units found damaged due to fungus</v>
      </c>
      <c r="M234" s="13" t="str">
        <f aca="false">IFERROR(__xludf.dummyfunction("""COMPUTED_VALUE"""),"334779")</f>
        <v>334779</v>
      </c>
      <c r="N234" s="13"/>
      <c r="O234" s="13" t="str">
        <f aca="false">IFERROR(__xludf.dummyfunction("""COMPUTED_VALUE"""),"ali.raza@tajir-app.com")</f>
        <v>ali.raza@tajir-app.com</v>
      </c>
      <c r="P234" s="13" t="str">
        <f aca="false">IFERROR(__xludf.dummyfunction("""COMPUTED_VALUE"""),"Ali Raza ")</f>
        <v>Ali Raza </v>
      </c>
      <c r="Q234" s="13" t="str">
        <f aca="false">IFERROR(__xludf.dummyfunction("""COMPUTED_VALUE"""),"[Code: 334779] 4 units found damaged due to fungus")</f>
        <v>[Code: 334779] 4 units found damaged due to fungus</v>
      </c>
      <c r="R234" s="13" t="str">
        <v>Tue,11-July-2023 ,12:42 PM</v>
      </c>
      <c r="S234" s="13" t="str">
        <v>Damaged Stock</v>
      </c>
    </row>
    <row r="235" customFormat="false" ht="15.75" hidden="false" customHeight="false" outlineLevel="0" collapsed="false">
      <c r="A235" s="13" t="str">
        <f aca="false">IFERROR(__xludf.dummyfunction("""COMPUTED_VALUE"""),"Metro DC Faisalabad")</f>
        <v>Metro DC Faisalabad</v>
      </c>
      <c r="B235" s="13" t="str">
        <f aca="false">IFERROR(__xludf.dummyfunction("""COMPUTED_VALUE"""),"7f12f4f8-6be0-4afc-98a9-afca65a480b4")</f>
        <v>7f12f4f8-6be0-4afc-98a9-afca65a480b4</v>
      </c>
      <c r="C235" s="13" t="str">
        <f aca="false">IFERROR(__xludf.dummyfunction("""COMPUTED_VALUE"""),"Sherdil Daal Moong Wash 5kg")</f>
        <v>Sherdil Daal Moong Wash 5kg</v>
      </c>
      <c r="D235" s="13" t="str">
        <f aca="false">IFERROR(__xludf.dummyfunction("""COMPUTED_VALUE"""),"Sherdil")</f>
        <v>Sherdil</v>
      </c>
      <c r="E235" s="13" t="str">
        <f aca="false">IFERROR(__xludf.dummyfunction("""COMPUTED_VALUE"""),"Pulses")</f>
        <v>Pulses</v>
      </c>
      <c r="F235" s="11" t="n">
        <f aca="false">IFERROR(__xludf.dummyfunction("""COMPUTED_VALUE"""),45118)</f>
        <v>45118</v>
      </c>
      <c r="G235" s="12" t="n">
        <f aca="false">IFERROR(__xludf.dummyfunction("""COMPUTED_VALUE"""),0.529663888890231)</f>
        <v>0.5296638889</v>
      </c>
      <c r="H235" s="13" t="str">
        <f aca="false">IFERROR(__xludf.dummyfunction("""COMPUTED_VALUE"""),"damaged stock")</f>
        <v>damaged stock</v>
      </c>
      <c r="I235" s="13" t="n">
        <f aca="false">IFERROR(__xludf.dummyfunction("""COMPUTED_VALUE"""),1)</f>
        <v>1</v>
      </c>
      <c r="J235" s="13" t="n">
        <f aca="false">IFERROR(__xludf.dummyfunction("""COMPUTED_VALUE"""),1357)</f>
        <v>1357</v>
      </c>
      <c r="K235" s="13" t="n">
        <f aca="false">IFERROR(__xludf.dummyfunction("""COMPUTED_VALUE"""),1357)</f>
        <v>1357</v>
      </c>
      <c r="L235" s="13" t="str">
        <f aca="false">IFERROR(__xludf.dummyfunction("""COMPUTED_VALUE"""),"[Code: 24577A] 1 unit found damaged due to fungus")</f>
        <v>[Code: 24577A] 1 unit found damaged due to fungus</v>
      </c>
      <c r="M235" s="13" t="str">
        <f aca="false">IFERROR(__xludf.dummyfunction("""COMPUTED_VALUE"""),"24577A")</f>
        <v>24577A</v>
      </c>
      <c r="N235" s="13"/>
      <c r="O235" s="13" t="str">
        <f aca="false">IFERROR(__xludf.dummyfunction("""COMPUTED_VALUE"""),"ali.raza@tajir-app.com")</f>
        <v>ali.raza@tajir-app.com</v>
      </c>
      <c r="P235" s="13" t="str">
        <f aca="false">IFERROR(__xludf.dummyfunction("""COMPUTED_VALUE"""),"Ali Raza ")</f>
        <v>Ali Raza </v>
      </c>
      <c r="Q235" s="13" t="str">
        <f aca="false">IFERROR(__xludf.dummyfunction("""COMPUTED_VALUE"""),"[Code: 24577A] 1 unit found damaged due to fungus")</f>
        <v>[Code: 24577A] 1 unit found damaged due to fungus</v>
      </c>
      <c r="R235" s="13" t="str">
        <v>Tue,11-July-2023 ,12:42 PM</v>
      </c>
      <c r="S235" s="13" t="str">
        <v>Damaged Stock</v>
      </c>
    </row>
    <row r="236" customFormat="false" ht="15.75" hidden="false" customHeight="false" outlineLevel="0" collapsed="false">
      <c r="A236" s="13" t="str">
        <f aca="false">IFERROR(__xludf.dummyfunction("""COMPUTED_VALUE"""),"Metro DC Faisalabad")</f>
        <v>Metro DC Faisalabad</v>
      </c>
      <c r="B236" s="13" t="str">
        <f aca="false">IFERROR(__xludf.dummyfunction("""COMPUTED_VALUE"""),"d108dc59-da93-451f-9024-d773dad3e97a")</f>
        <v>d108dc59-da93-451f-9024-d773dad3e97a</v>
      </c>
      <c r="C236" s="13" t="str">
        <f aca="false">IFERROR(__xludf.dummyfunction("""COMPUTED_VALUE"""),"Sprite plastic 1.5L")</f>
        <v>Sprite plastic 1.5L</v>
      </c>
      <c r="D236" s="13" t="str">
        <f aca="false">IFERROR(__xludf.dummyfunction("""COMPUTED_VALUE"""),"Sprite")</f>
        <v>Sprite</v>
      </c>
      <c r="E236" s="13" t="str">
        <f aca="false">IFERROR(__xludf.dummyfunction("""COMPUTED_VALUE"""),"Beverages")</f>
        <v>Beverages</v>
      </c>
      <c r="F236" s="11" t="n">
        <f aca="false">IFERROR(__xludf.dummyfunction("""COMPUTED_VALUE"""),45118)</f>
        <v>45118</v>
      </c>
      <c r="G236" s="12" t="n">
        <f aca="false">IFERROR(__xludf.dummyfunction("""COMPUTED_VALUE"""),0.979033032408895)</f>
        <v>0.9790330324</v>
      </c>
      <c r="H236" s="13" t="str">
        <f aca="false">IFERROR(__xludf.dummyfunction("""COMPUTED_VALUE"""),"damaged stock")</f>
        <v>damaged stock</v>
      </c>
      <c r="I236" s="13" t="n">
        <f aca="false">IFERROR(__xludf.dummyfunction("""COMPUTED_VALUE"""),1)</f>
        <v>1</v>
      </c>
      <c r="J236" s="13" t="n">
        <f aca="false">IFERROR(__xludf.dummyfunction("""COMPUTED_VALUE"""),856)</f>
        <v>856</v>
      </c>
      <c r="K236" s="13" t="n">
        <f aca="false">IFERROR(__xludf.dummyfunction("""COMPUTED_VALUE"""),856)</f>
        <v>856</v>
      </c>
      <c r="L236" s="13" t="str">
        <f aca="false">IFERROR(__xludf.dummyfunction("""COMPUTED_VALUE"""),"[Code: 24DGHJ] TA: 4 bottels found loose during sorting.")</f>
        <v>[Code: 24DGHJ] TA: 4 bottels found loose during sorting.</v>
      </c>
      <c r="M236" s="13" t="str">
        <f aca="false">IFERROR(__xludf.dummyfunction("""COMPUTED_VALUE"""),"24DGHJ")</f>
        <v>24DGHJ</v>
      </c>
      <c r="N236" s="13"/>
      <c r="O236" s="13" t="str">
        <f aca="false">IFERROR(__xludf.dummyfunction("""COMPUTED_VALUE"""),"taufeeq.akhtar@tajir-app.com")</f>
        <v>taufeeq.akhtar@tajir-app.com</v>
      </c>
      <c r="P236" s="13" t="str">
        <f aca="false">IFERROR(__xludf.dummyfunction("""COMPUTED_VALUE"""),"Taufeeq Akhtar ")</f>
        <v>Taufeeq Akhtar </v>
      </c>
      <c r="Q236" s="13" t="str">
        <f aca="false">IFERROR(__xludf.dummyfunction("""COMPUTED_VALUE"""),"[Code: 24DGHJ] TA: 4 bottels found loose during sorting.")</f>
        <v>[Code: 24DGHJ] TA: 4 bottels found loose during sorting.</v>
      </c>
      <c r="R236" s="13" t="str">
        <v>Tue,11-July-2023 ,11:29 PM</v>
      </c>
      <c r="S236" s="13" t="str">
        <v>Damaged Stock</v>
      </c>
    </row>
    <row r="237" customFormat="false" ht="15.75" hidden="false" customHeight="false" outlineLevel="0" collapsed="false">
      <c r="A237" s="13" t="str">
        <f aca="false">IFERROR(__xludf.dummyfunction("""COMPUTED_VALUE"""),"Metro DC Faisalabad")</f>
        <v>Metro DC Faisalabad</v>
      </c>
      <c r="B237" s="13" t="str">
        <f aca="false">IFERROR(__xludf.dummyfunction("""COMPUTED_VALUE"""),"8c6f0a86-09e6-4c8b-ab37-3f37b00556f3")</f>
        <v>8c6f0a86-09e6-4c8b-ab37-3f37b00556f3</v>
      </c>
      <c r="C237" s="13" t="str">
        <f aca="false">IFERROR(__xludf.dummyfunction("""COMPUTED_VALUE"""),"7up plastic 1L (Other city stock)")</f>
        <v>7up plastic 1L (Other city stock)</v>
      </c>
      <c r="D237" s="13" t="str">
        <f aca="false">IFERROR(__xludf.dummyfunction("""COMPUTED_VALUE"""),"7up")</f>
        <v>7up</v>
      </c>
      <c r="E237" s="13" t="str">
        <f aca="false">IFERROR(__xludf.dummyfunction("""COMPUTED_VALUE"""),"Beverages")</f>
        <v>Beverages</v>
      </c>
      <c r="F237" s="11" t="n">
        <f aca="false">IFERROR(__xludf.dummyfunction("""COMPUTED_VALUE"""),45119)</f>
        <v>45119</v>
      </c>
      <c r="G237" s="12" t="n">
        <f aca="false">IFERROR(__xludf.dummyfunction("""COMPUTED_VALUE"""),0.920185173609931)</f>
        <v>0.9201851736</v>
      </c>
      <c r="H237" s="13" t="str">
        <f aca="false">IFERROR(__xludf.dummyfunction("""COMPUTED_VALUE"""),"damaged stock")</f>
        <v>damaged stock</v>
      </c>
      <c r="I237" s="13" t="n">
        <f aca="false">IFERROR(__xludf.dummyfunction("""COMPUTED_VALUE"""),1)</f>
        <v>1</v>
      </c>
      <c r="J237" s="13" t="n">
        <f aca="false">IFERROR(__xludf.dummyfunction("""COMPUTED_VALUE"""),576)</f>
        <v>576</v>
      </c>
      <c r="K237" s="13" t="n">
        <f aca="false">IFERROR(__xludf.dummyfunction("""COMPUTED_VALUE"""),576)</f>
        <v>576</v>
      </c>
      <c r="L237" s="13" t="str">
        <f aca="false">IFERROR(__xludf.dummyfunction("""COMPUTED_VALUE"""),"[Code: 6889BC] TA: Found in loose and empty bottels during sorting.")</f>
        <v>[Code: 6889BC] TA: Found in loose and empty bottels during sorting.</v>
      </c>
      <c r="M237" s="13" t="str">
        <f aca="false">IFERROR(__xludf.dummyfunction("""COMPUTED_VALUE"""),"6889BC")</f>
        <v>6889BC</v>
      </c>
      <c r="N237" s="13"/>
      <c r="O237" s="13" t="str">
        <f aca="false">IFERROR(__xludf.dummyfunction("""COMPUTED_VALUE"""),"taufeeq.akhtar@tajir-app.com")</f>
        <v>taufeeq.akhtar@tajir-app.com</v>
      </c>
      <c r="P237" s="13" t="str">
        <f aca="false">IFERROR(__xludf.dummyfunction("""COMPUTED_VALUE"""),"Taufeeq Akhtar ")</f>
        <v>Taufeeq Akhtar </v>
      </c>
      <c r="Q237" s="13" t="str">
        <f aca="false">IFERROR(__xludf.dummyfunction("""COMPUTED_VALUE"""),"[Code: 6889BC] TA: Found in loose and empty bottels during sorting.")</f>
        <v>[Code: 6889BC] TA: Found in loose and empty bottels during sorting.</v>
      </c>
      <c r="R237" s="13" t="str">
        <v>Wed,12-July-2023 ,10:05 PM</v>
      </c>
      <c r="S237" s="13" t="str">
        <v>Damaged Stock</v>
      </c>
    </row>
    <row r="238" customFormat="false" ht="15.75" hidden="false" customHeight="false" outlineLevel="0" collapsed="false">
      <c r="A238" s="13" t="str">
        <f aca="false">IFERROR(__xludf.dummyfunction("""COMPUTED_VALUE"""),"Metro DC Faisalabad")</f>
        <v>Metro DC Faisalabad</v>
      </c>
      <c r="B238" s="13" t="str">
        <f aca="false">IFERROR(__xludf.dummyfunction("""COMPUTED_VALUE"""),"48d86c7f-335c-4978-b5da-a55e35053778")</f>
        <v>48d86c7f-335c-4978-b5da-a55e35053778</v>
      </c>
      <c r="C238" s="13" t="str">
        <f aca="false">IFERROR(__xludf.dummyfunction("""COMPUTED_VALUE"""),"Surf Excel x6 bundle 35g Rs20")</f>
        <v>Surf Excel x6 bundle 35g Rs20</v>
      </c>
      <c r="D238" s="13" t="str">
        <f aca="false">IFERROR(__xludf.dummyfunction("""COMPUTED_VALUE"""),"Surf Excel")</f>
        <v>Surf Excel</v>
      </c>
      <c r="E238" s="13" t="str">
        <f aca="false">IFERROR(__xludf.dummyfunction("""COMPUTED_VALUE"""),"Surf, Bleach")</f>
        <v>Surf, Bleach</v>
      </c>
      <c r="F238" s="11" t="n">
        <f aca="false">IFERROR(__xludf.dummyfunction("""COMPUTED_VALUE"""),45119)</f>
        <v>45119</v>
      </c>
      <c r="G238" s="12" t="n">
        <f aca="false">IFERROR(__xludf.dummyfunction("""COMPUTED_VALUE"""),0.941715844906346)</f>
        <v>0.9417158449</v>
      </c>
      <c r="H238" s="13" t="str">
        <f aca="false">IFERROR(__xludf.dummyfunction("""COMPUTED_VALUE"""),"damaged stock")</f>
        <v>damaged stock</v>
      </c>
      <c r="I238" s="13" t="n">
        <f aca="false">IFERROR(__xludf.dummyfunction("""COMPUTED_VALUE"""),8)</f>
        <v>8</v>
      </c>
      <c r="J238" s="13" t="n">
        <f aca="false">IFERROR(__xludf.dummyfunction("""COMPUTED_VALUE"""),111)</f>
        <v>111</v>
      </c>
      <c r="K238" s="13" t="n">
        <f aca="false">IFERROR(__xludf.dummyfunction("""COMPUTED_VALUE"""),888)</f>
        <v>888</v>
      </c>
      <c r="L238" s="13" t="str">
        <f aca="false">IFERROR(__xludf.dummyfunction("""COMPUTED_VALUE"""),"[Code: 4589AD] TA: bag may say damaged milay display krnay kay doran.")</f>
        <v>[Code: 4589AD] TA: bag may say damaged milay display krnay kay doran.</v>
      </c>
      <c r="M238" s="13" t="str">
        <f aca="false">IFERROR(__xludf.dummyfunction("""COMPUTED_VALUE"""),"4589AD")</f>
        <v>4589AD</v>
      </c>
      <c r="N238" s="13"/>
      <c r="O238" s="13" t="str">
        <f aca="false">IFERROR(__xludf.dummyfunction("""COMPUTED_VALUE"""),"taufeeq.akhtar@tajir-app.com")</f>
        <v>taufeeq.akhtar@tajir-app.com</v>
      </c>
      <c r="P238" s="13" t="str">
        <f aca="false">IFERROR(__xludf.dummyfunction("""COMPUTED_VALUE"""),"Taufeeq Akhtar ")</f>
        <v>Taufeeq Akhtar </v>
      </c>
      <c r="Q238" s="13" t="str">
        <f aca="false">IFERROR(__xludf.dummyfunction("""COMPUTED_VALUE"""),"[Code: 4589AD] TA: bag may say damaged milay display krnay kay doran.")</f>
        <v>[Code: 4589AD] TA: bag may say damaged milay display krnay kay doran.</v>
      </c>
      <c r="R238" s="13" t="str">
        <v>Wed,12-July-2023 ,10:36 PM</v>
      </c>
      <c r="S238" s="13" t="str">
        <v>Damaged Stock</v>
      </c>
    </row>
    <row r="239" customFormat="false" ht="15.75" hidden="false" customHeight="false" outlineLevel="0" collapsed="false">
      <c r="A239" s="13" t="str">
        <f aca="false">IFERROR(__xludf.dummyfunction("""COMPUTED_VALUE"""),"Metro DC Faisalabad")</f>
        <v>Metro DC Faisalabad</v>
      </c>
      <c r="B239" s="13" t="str">
        <f aca="false">IFERROR(__xludf.dummyfunction("""COMPUTED_VALUE"""),"5c5c14c0-1835-4730-97c8-c60574b0a2d5")</f>
        <v>5c5c14c0-1835-4730-97c8-c60574b0a2d5</v>
      </c>
      <c r="C239" s="13" t="str">
        <f aca="false">IFERROR(__xludf.dummyfunction("""COMPUTED_VALUE"""),"Surf Excel x6 bundle 95g Rs50")</f>
        <v>Surf Excel x6 bundle 95g Rs50</v>
      </c>
      <c r="D239" s="13" t="str">
        <f aca="false">IFERROR(__xludf.dummyfunction("""COMPUTED_VALUE"""),"Surf Excel")</f>
        <v>Surf Excel</v>
      </c>
      <c r="E239" s="13" t="str">
        <f aca="false">IFERROR(__xludf.dummyfunction("""COMPUTED_VALUE"""),"Surf, Bleach")</f>
        <v>Surf, Bleach</v>
      </c>
      <c r="F239" s="11" t="n">
        <f aca="false">IFERROR(__xludf.dummyfunction("""COMPUTED_VALUE"""),45119)</f>
        <v>45119</v>
      </c>
      <c r="G239" s="12" t="n">
        <f aca="false">IFERROR(__xludf.dummyfunction("""COMPUTED_VALUE"""),0.945309687500932)</f>
        <v>0.9453096875</v>
      </c>
      <c r="H239" s="13" t="str">
        <f aca="false">IFERROR(__xludf.dummyfunction("""COMPUTED_VALUE"""),"damaged stock")</f>
        <v>damaged stock</v>
      </c>
      <c r="I239" s="13" t="n">
        <f aca="false">IFERROR(__xludf.dummyfunction("""COMPUTED_VALUE"""),1)</f>
        <v>1</v>
      </c>
      <c r="J239" s="13" t="n">
        <f aca="false">IFERROR(__xludf.dummyfunction("""COMPUTED_VALUE"""),274.5)</f>
        <v>274.5</v>
      </c>
      <c r="K239" s="13" t="n">
        <f aca="false">IFERROR(__xludf.dummyfunction("""COMPUTED_VALUE"""),274.5)</f>
        <v>274.5</v>
      </c>
      <c r="L239" s="13" t="str">
        <f aca="false">IFERROR(__xludf.dummyfunction("""COMPUTED_VALUE"""),"[Code: 347ACD] TA: bag may say damaged mila display karnay kay doran.")</f>
        <v>[Code: 347ACD] TA: bag may say damaged mila display karnay kay doran.</v>
      </c>
      <c r="M239" s="13" t="str">
        <f aca="false">IFERROR(__xludf.dummyfunction("""COMPUTED_VALUE"""),"347ACD")</f>
        <v>347ACD</v>
      </c>
      <c r="N239" s="13"/>
      <c r="O239" s="13" t="str">
        <f aca="false">IFERROR(__xludf.dummyfunction("""COMPUTED_VALUE"""),"taufeeq.akhtar@tajir-app.com")</f>
        <v>taufeeq.akhtar@tajir-app.com</v>
      </c>
      <c r="P239" s="13" t="str">
        <f aca="false">IFERROR(__xludf.dummyfunction("""COMPUTED_VALUE"""),"Taufeeq Akhtar ")</f>
        <v>Taufeeq Akhtar </v>
      </c>
      <c r="Q239" s="13" t="str">
        <f aca="false">IFERROR(__xludf.dummyfunction("""COMPUTED_VALUE"""),"[Code: 347ACD] TA: bag may say damaged mila display karnay kay doran.")</f>
        <v>[Code: 347ACD] TA: bag may say damaged mila display karnay kay doran.</v>
      </c>
      <c r="R239" s="13" t="str">
        <v>Wed,12-July-2023 ,10:41 PM</v>
      </c>
      <c r="S239" s="13" t="str">
        <v>Damaged Stock</v>
      </c>
    </row>
    <row r="240" customFormat="false" ht="15.75" hidden="false" customHeight="false" outlineLevel="0" collapsed="false">
      <c r="A240" s="13" t="str">
        <f aca="false">IFERROR(__xludf.dummyfunction("""COMPUTED_VALUE"""),"Metro DC Faisalabad")</f>
        <v>Metro DC Faisalabad</v>
      </c>
      <c r="B240" s="13" t="str">
        <f aca="false">IFERROR(__xludf.dummyfunction("""COMPUTED_VALUE"""),"0d2f17bc-36e0-41fe-b498-89a7a8a34416")</f>
        <v>0d2f17bc-36e0-41fe-b498-89a7a8a34416</v>
      </c>
      <c r="C240" s="13" t="str">
        <f aca="false">IFERROR(__xludf.dummyfunction("""COMPUTED_VALUE"""),"Brite Surf x12 bundle 23g Rs 10")</f>
        <v>Brite Surf x12 bundle 23g Rs 10</v>
      </c>
      <c r="D240" s="13" t="str">
        <f aca="false">IFERROR(__xludf.dummyfunction("""COMPUTED_VALUE"""),"Brite Surf")</f>
        <v>Brite Surf</v>
      </c>
      <c r="E240" s="13" t="str">
        <f aca="false">IFERROR(__xludf.dummyfunction("""COMPUTED_VALUE"""),"Surf, Bleach")</f>
        <v>Surf, Bleach</v>
      </c>
      <c r="F240" s="11" t="n">
        <f aca="false">IFERROR(__xludf.dummyfunction("""COMPUTED_VALUE"""),45119)</f>
        <v>45119</v>
      </c>
      <c r="G240" s="12" t="n">
        <f aca="false">IFERROR(__xludf.dummyfunction("""COMPUTED_VALUE"""),0.946235335647248)</f>
        <v>0.9462353356</v>
      </c>
      <c r="H240" s="13" t="str">
        <f aca="false">IFERROR(__xludf.dummyfunction("""COMPUTED_VALUE"""),"damaged stock")</f>
        <v>damaged stock</v>
      </c>
      <c r="I240" s="13" t="n">
        <f aca="false">IFERROR(__xludf.dummyfunction("""COMPUTED_VALUE"""),2)</f>
        <v>2</v>
      </c>
      <c r="J240" s="13" t="n">
        <f aca="false">IFERROR(__xludf.dummyfunction("""COMPUTED_VALUE"""),107.91)</f>
        <v>107.91</v>
      </c>
      <c r="K240" s="13" t="n">
        <f aca="false">IFERROR(__xludf.dummyfunction("""COMPUTED_VALUE"""),215.82)</f>
        <v>215.82</v>
      </c>
      <c r="L240" s="13" t="str">
        <f aca="false">IFERROR(__xludf.dummyfunction("""COMPUTED_VALUE"""),"[Code: 36ACEE] TA: bag may say damaged milay display k doran.")</f>
        <v>[Code: 36ACEE] TA: bag may say damaged milay display k doran.</v>
      </c>
      <c r="M240" s="13" t="str">
        <f aca="false">IFERROR(__xludf.dummyfunction("""COMPUTED_VALUE"""),"36ACEE")</f>
        <v>36ACEE</v>
      </c>
      <c r="N240" s="13"/>
      <c r="O240" s="13" t="str">
        <f aca="false">IFERROR(__xludf.dummyfunction("""COMPUTED_VALUE"""),"taufeeq.akhtar@tajir-app.com")</f>
        <v>taufeeq.akhtar@tajir-app.com</v>
      </c>
      <c r="P240" s="13" t="str">
        <f aca="false">IFERROR(__xludf.dummyfunction("""COMPUTED_VALUE"""),"Taufeeq Akhtar ")</f>
        <v>Taufeeq Akhtar </v>
      </c>
      <c r="Q240" s="13" t="str">
        <f aca="false">IFERROR(__xludf.dummyfunction("""COMPUTED_VALUE"""),"[Code: 36ACEE] TA: bag may say damaged milay display k doran.")</f>
        <v>[Code: 36ACEE] TA: bag may say damaged milay display k doran.</v>
      </c>
      <c r="R240" s="13" t="str">
        <v>Wed,12-July-2023 ,10:42 PM</v>
      </c>
      <c r="S240" s="13" t="str">
        <v>Damaged Stock</v>
      </c>
    </row>
    <row r="241" customFormat="false" ht="15.75" hidden="false" customHeight="false" outlineLevel="0" collapsed="false">
      <c r="A241" s="13" t="str">
        <f aca="false">IFERROR(__xludf.dummyfunction("""COMPUTED_VALUE"""),"Metro DC Faisalabad")</f>
        <v>Metro DC Faisalabad</v>
      </c>
      <c r="B241" s="13" t="str">
        <f aca="false">IFERROR(__xludf.dummyfunction("""COMPUTED_VALUE"""),"9c395894-35c2-4217-9eff-b0a22e04c2d1")</f>
        <v>9c395894-35c2-4217-9eff-b0a22e04c2d1</v>
      </c>
      <c r="C241" s="13" t="str">
        <f aca="false">IFERROR(__xludf.dummyfunction("""COMPUTED_VALUE"""),"Coca Cola plastic 2.25L (Jumbo)")</f>
        <v>Coca Cola plastic 2.25L (Jumbo)</v>
      </c>
      <c r="D241" s="13" t="str">
        <f aca="false">IFERROR(__xludf.dummyfunction("""COMPUTED_VALUE"""),"Coca Cola")</f>
        <v>Coca Cola</v>
      </c>
      <c r="E241" s="13" t="str">
        <f aca="false">IFERROR(__xludf.dummyfunction("""COMPUTED_VALUE"""),"Beverages")</f>
        <v>Beverages</v>
      </c>
      <c r="F241" s="11" t="n">
        <f aca="false">IFERROR(__xludf.dummyfunction("""COMPUTED_VALUE"""),45122)</f>
        <v>45122</v>
      </c>
      <c r="G241" s="12" t="n">
        <f aca="false">IFERROR(__xludf.dummyfunction("""COMPUTED_VALUE"""),0.85987717592585)</f>
        <v>0.8598771759</v>
      </c>
      <c r="H241" s="13" t="str">
        <f aca="false">IFERROR(__xludf.dummyfunction("""COMPUTED_VALUE"""),"damaged stock")</f>
        <v>damaged stock</v>
      </c>
      <c r="I241" s="13" t="n">
        <f aca="false">IFERROR(__xludf.dummyfunction("""COMPUTED_VALUE"""),1)</f>
        <v>1</v>
      </c>
      <c r="J241" s="13" t="n">
        <f aca="false">IFERROR(__xludf.dummyfunction("""COMPUTED_VALUE"""),1226)</f>
        <v>1226</v>
      </c>
      <c r="K241" s="13" t="n">
        <f aca="false">IFERROR(__xludf.dummyfunction("""COMPUTED_VALUE"""),1226)</f>
        <v>1226</v>
      </c>
      <c r="L241" s="13" t="str">
        <f aca="false">IFERROR(__xludf.dummyfunction("""COMPUTED_VALUE"""),"[Code: 67CCGH] TA: 4 bottels Found Loose during Sorting.(Company end issue)")</f>
        <v>[Code: 67CCGH] TA: 4 bottels Found Loose during Sorting.(Company end issue)</v>
      </c>
      <c r="M241" s="13" t="str">
        <f aca="false">IFERROR(__xludf.dummyfunction("""COMPUTED_VALUE"""),"67CCGH")</f>
        <v>67CCGH</v>
      </c>
      <c r="N241" s="13"/>
      <c r="O241" s="13" t="str">
        <f aca="false">IFERROR(__xludf.dummyfunction("""COMPUTED_VALUE"""),"taufeeq.akhtar@tajir-app.com")</f>
        <v>taufeeq.akhtar@tajir-app.com</v>
      </c>
      <c r="P241" s="13" t="str">
        <f aca="false">IFERROR(__xludf.dummyfunction("""COMPUTED_VALUE"""),"Taufeeq Akhtar ")</f>
        <v>Taufeeq Akhtar </v>
      </c>
      <c r="Q241" s="13" t="str">
        <f aca="false">IFERROR(__xludf.dummyfunction("""COMPUTED_VALUE"""),"[Code: 67CCGH] TA: 4 bottels Found Loose during Sorting.(Company end issue)")</f>
        <v>[Code: 67CCGH] TA: 4 bottels Found Loose during Sorting.(Company end issue)</v>
      </c>
      <c r="R241" s="13" t="str">
        <v>Sat,15-July-2023 ,08:38 PM</v>
      </c>
      <c r="S241" s="13" t="str">
        <v>Damaged Stock</v>
      </c>
    </row>
    <row r="242" customFormat="false" ht="15.75" hidden="false" customHeight="false" outlineLevel="0" collapsed="false">
      <c r="A242" s="13" t="str">
        <f aca="false">IFERROR(__xludf.dummyfunction("""COMPUTED_VALUE"""),"Metro DC Faisalabad")</f>
        <v>Metro DC Faisalabad</v>
      </c>
      <c r="B242" s="13" t="str">
        <f aca="false">IFERROR(__xludf.dummyfunction("""COMPUTED_VALUE"""),"1416169c-68df-4f79-9126-fe301e8ac9d9")</f>
        <v>1416169c-68df-4f79-9126-fe301e8ac9d9</v>
      </c>
      <c r="C242" s="13" t="str">
        <f aca="false">IFERROR(__xludf.dummyfunction("""COMPUTED_VALUE"""),"Sprite Plastic 2.25L (Jumbo)")</f>
        <v>Sprite Plastic 2.25L (Jumbo)</v>
      </c>
      <c r="D242" s="13" t="str">
        <f aca="false">IFERROR(__xludf.dummyfunction("""COMPUTED_VALUE"""),"Sprite")</f>
        <v>Sprite</v>
      </c>
      <c r="E242" s="13" t="str">
        <f aca="false">IFERROR(__xludf.dummyfunction("""COMPUTED_VALUE"""),"Beverages")</f>
        <v>Beverages</v>
      </c>
      <c r="F242" s="11" t="n">
        <f aca="false">IFERROR(__xludf.dummyfunction("""COMPUTED_VALUE"""),45122)</f>
        <v>45122</v>
      </c>
      <c r="G242" s="12" t="n">
        <f aca="false">IFERROR(__xludf.dummyfunction("""COMPUTED_VALUE"""),0.914099583334174)</f>
        <v>0.9140995833</v>
      </c>
      <c r="H242" s="13" t="str">
        <f aca="false">IFERROR(__xludf.dummyfunction("""COMPUTED_VALUE"""),"damaged stock")</f>
        <v>damaged stock</v>
      </c>
      <c r="I242" s="13" t="n">
        <f aca="false">IFERROR(__xludf.dummyfunction("""COMPUTED_VALUE"""),1)</f>
        <v>1</v>
      </c>
      <c r="J242" s="13" t="n">
        <f aca="false">IFERROR(__xludf.dummyfunction("""COMPUTED_VALUE"""),1206)</f>
        <v>1206</v>
      </c>
      <c r="K242" s="13" t="n">
        <f aca="false">IFERROR(__xludf.dummyfunction("""COMPUTED_VALUE"""),1206)</f>
        <v>1206</v>
      </c>
      <c r="L242" s="13" t="str">
        <f aca="false">IFERROR(__xludf.dummyfunction("""COMPUTED_VALUE"""),"[Code: 5688AA] TA: Found in loose and empty bottels during sorting.")</f>
        <v>[Code: 5688AA] TA: Found in loose and empty bottels during sorting.</v>
      </c>
      <c r="M242" s="13" t="str">
        <f aca="false">IFERROR(__xludf.dummyfunction("""COMPUTED_VALUE"""),"5688AA")</f>
        <v>5688AA</v>
      </c>
      <c r="N242" s="13"/>
      <c r="O242" s="13" t="str">
        <f aca="false">IFERROR(__xludf.dummyfunction("""COMPUTED_VALUE"""),"taufeeq.akhtar@tajir-app.com")</f>
        <v>taufeeq.akhtar@tajir-app.com</v>
      </c>
      <c r="P242" s="13" t="str">
        <f aca="false">IFERROR(__xludf.dummyfunction("""COMPUTED_VALUE"""),"Taufeeq Akhtar ")</f>
        <v>Taufeeq Akhtar </v>
      </c>
      <c r="Q242" s="13" t="str">
        <f aca="false">IFERROR(__xludf.dummyfunction("""COMPUTED_VALUE"""),"[Code: 5688AA] TA: Found in loose and empty bottels during sorting.")</f>
        <v>[Code: 5688AA] TA: Found in loose and empty bottels during sorting.</v>
      </c>
      <c r="R242" s="13" t="str">
        <v>Sat,15-July-2023 ,09:56 PM</v>
      </c>
      <c r="S242" s="13" t="str">
        <v>Damaged Stock</v>
      </c>
    </row>
    <row r="243" customFormat="false" ht="15.75" hidden="false" customHeight="false" outlineLevel="0" collapsed="false">
      <c r="A243" s="13" t="str">
        <f aca="false">IFERROR(__xludf.dummyfunction("""COMPUTED_VALUE"""),"Metro DC Faisalabad")</f>
        <v>Metro DC Faisalabad</v>
      </c>
      <c r="B243" s="13" t="str">
        <f aca="false">IFERROR(__xludf.dummyfunction("""COMPUTED_VALUE"""),"cd68a607-af95-45cb-b9f4-2721224c85f8")</f>
        <v>cd68a607-af95-45cb-b9f4-2721224c85f8</v>
      </c>
      <c r="C243" s="13" t="str">
        <f aca="false">IFERROR(__xludf.dummyfunction("""COMPUTED_VALUE"""),"Coca Cola plastic 1.5L")</f>
        <v>Coca Cola plastic 1.5L</v>
      </c>
      <c r="D243" s="13" t="str">
        <f aca="false">IFERROR(__xludf.dummyfunction("""COMPUTED_VALUE"""),"Coca Cola")</f>
        <v>Coca Cola</v>
      </c>
      <c r="E243" s="13" t="str">
        <f aca="false">IFERROR(__xludf.dummyfunction("""COMPUTED_VALUE"""),"Beverages")</f>
        <v>Beverages</v>
      </c>
      <c r="F243" s="11" t="n">
        <f aca="false">IFERROR(__xludf.dummyfunction("""COMPUTED_VALUE"""),45122)</f>
        <v>45122</v>
      </c>
      <c r="G243" s="12" t="n">
        <f aca="false">IFERROR(__xludf.dummyfunction("""COMPUTED_VALUE"""),0.967591828703289)</f>
        <v>0.9675918287</v>
      </c>
      <c r="H243" s="13" t="str">
        <f aca="false">IFERROR(__xludf.dummyfunction("""COMPUTED_VALUE"""),"damaged stock")</f>
        <v>damaged stock</v>
      </c>
      <c r="I243" s="13" t="n">
        <f aca="false">IFERROR(__xludf.dummyfunction("""COMPUTED_VALUE"""),3)</f>
        <v>3</v>
      </c>
      <c r="J243" s="13" t="n">
        <f aca="false">IFERROR(__xludf.dummyfunction("""COMPUTED_VALUE"""),885)</f>
        <v>885</v>
      </c>
      <c r="K243" s="13" t="n">
        <f aca="false">IFERROR(__xludf.dummyfunction("""COMPUTED_VALUE"""),2655)</f>
        <v>2655</v>
      </c>
      <c r="L243" s="13" t="str">
        <f aca="false">IFERROR(__xludf.dummyfunction("""COMPUTED_VALUE"""),"[Code: 356AEG] TA:Found Loose bottels during sorting.(Company end issue)")</f>
        <v>[Code: 356AEG] TA:Found Loose bottels during sorting.(Company end issue)</v>
      </c>
      <c r="M243" s="13" t="str">
        <f aca="false">IFERROR(__xludf.dummyfunction("""COMPUTED_VALUE"""),"356AEG")</f>
        <v>356AEG</v>
      </c>
      <c r="N243" s="13"/>
      <c r="O243" s="13" t="str">
        <f aca="false">IFERROR(__xludf.dummyfunction("""COMPUTED_VALUE"""),"taufeeq.akhtar@tajir-app.com")</f>
        <v>taufeeq.akhtar@tajir-app.com</v>
      </c>
      <c r="P243" s="13" t="str">
        <f aca="false">IFERROR(__xludf.dummyfunction("""COMPUTED_VALUE"""),"Taufeeq Akhtar ")</f>
        <v>Taufeeq Akhtar </v>
      </c>
      <c r="Q243" s="13" t="str">
        <f aca="false">IFERROR(__xludf.dummyfunction("""COMPUTED_VALUE"""),"[Code: 356AEG] TA:Found Loose bottels during sorting.(Company end issue)")</f>
        <v>[Code: 356AEG] TA:Found Loose bottels during sorting.(Company end issue)</v>
      </c>
      <c r="R243" s="13" t="str">
        <v>Sat,15-July-2023 ,11:13 PM</v>
      </c>
      <c r="S243" s="13" t="str">
        <v>Damaged Stock</v>
      </c>
    </row>
    <row r="244" customFormat="false" ht="15.75" hidden="false" customHeight="false" outlineLevel="0" collapsed="false">
      <c r="A244" s="13" t="str">
        <f aca="false">IFERROR(__xludf.dummyfunction("""COMPUTED_VALUE"""),"Metro DC Faisalabad")</f>
        <v>Metro DC Faisalabad</v>
      </c>
      <c r="B244" s="13" t="str">
        <f aca="false">IFERROR(__xludf.dummyfunction("""COMPUTED_VALUE"""),"6afa406d-5fa6-42ea-a697-9b99ff3ba267")</f>
        <v>6afa406d-5fa6-42ea-a697-9b99ff3ba267</v>
      </c>
      <c r="C244" s="13" t="str">
        <f aca="false">IFERROR(__xludf.dummyfunction("""COMPUTED_VALUE"""),"Sprite plastic 1L")</f>
        <v>Sprite plastic 1L</v>
      </c>
      <c r="D244" s="13" t="str">
        <f aca="false">IFERROR(__xludf.dummyfunction("""COMPUTED_VALUE"""),"Sprite")</f>
        <v>Sprite</v>
      </c>
      <c r="E244" s="13" t="str">
        <f aca="false">IFERROR(__xludf.dummyfunction("""COMPUTED_VALUE"""),"Beverages")</f>
        <v>Beverages</v>
      </c>
      <c r="F244" s="11" t="n">
        <f aca="false">IFERROR(__xludf.dummyfunction("""COMPUTED_VALUE"""),45122)</f>
        <v>45122</v>
      </c>
      <c r="G244" s="12" t="n">
        <f aca="false">IFERROR(__xludf.dummyfunction("""COMPUTED_VALUE"""),0.968925393519084)</f>
        <v>0.9689253935</v>
      </c>
      <c r="H244" s="13" t="str">
        <f aca="false">IFERROR(__xludf.dummyfunction("""COMPUTED_VALUE"""),"damaged stock")</f>
        <v>damaged stock</v>
      </c>
      <c r="I244" s="13" t="n">
        <f aca="false">IFERROR(__xludf.dummyfunction("""COMPUTED_VALUE"""),1)</f>
        <v>1</v>
      </c>
      <c r="J244" s="13" t="n">
        <f aca="false">IFERROR(__xludf.dummyfunction("""COMPUTED_VALUE"""),670)</f>
        <v>670</v>
      </c>
      <c r="K244" s="13" t="n">
        <f aca="false">IFERROR(__xludf.dummyfunction("""COMPUTED_VALUE"""),670)</f>
        <v>670</v>
      </c>
      <c r="L244" s="13" t="str">
        <f aca="false">IFERROR(__xludf.dummyfunction("""COMPUTED_VALUE"""),"[Code: 24567C] TA: Found loose bottles During Sorting(Company end issue)")</f>
        <v>[Code: 24567C] TA: Found loose bottles During Sorting(Company end issue)</v>
      </c>
      <c r="M244" s="13" t="str">
        <f aca="false">IFERROR(__xludf.dummyfunction("""COMPUTED_VALUE"""),"24567C")</f>
        <v>24567C</v>
      </c>
      <c r="N244" s="13"/>
      <c r="O244" s="13" t="str">
        <f aca="false">IFERROR(__xludf.dummyfunction("""COMPUTED_VALUE"""),"taufeeq.akhtar@tajir-app.com")</f>
        <v>taufeeq.akhtar@tajir-app.com</v>
      </c>
      <c r="P244" s="13" t="str">
        <f aca="false">IFERROR(__xludf.dummyfunction("""COMPUTED_VALUE"""),"Taufeeq Akhtar ")</f>
        <v>Taufeeq Akhtar </v>
      </c>
      <c r="Q244" s="13" t="str">
        <f aca="false">IFERROR(__xludf.dummyfunction("""COMPUTED_VALUE"""),"[Code: 24567C] TA: Found loose bottles During Sorting(Company end issue)")</f>
        <v>[Code: 24567C] TA: Found loose bottles During Sorting(Company end issue)</v>
      </c>
      <c r="R244" s="13" t="str">
        <v>Sat,15-July-2023 ,11:15 PM</v>
      </c>
      <c r="S244" s="13" t="str">
        <v>Damaged Stock</v>
      </c>
    </row>
    <row r="245" customFormat="false" ht="15.75" hidden="false" customHeight="false" outlineLevel="0" collapsed="false">
      <c r="A245" s="13" t="str">
        <f aca="false">IFERROR(__xludf.dummyfunction("""COMPUTED_VALUE"""),"Metro DC Faisalabad")</f>
        <v>Metro DC Faisalabad</v>
      </c>
      <c r="B245" s="13" t="str">
        <f aca="false">IFERROR(__xludf.dummyfunction("""COMPUTED_VALUE"""),"6afa406d-5fa6-42ea-a697-9b99ff3ba267")</f>
        <v>6afa406d-5fa6-42ea-a697-9b99ff3ba267</v>
      </c>
      <c r="C245" s="13" t="str">
        <f aca="false">IFERROR(__xludf.dummyfunction("""COMPUTED_VALUE"""),"Sprite plastic 1L")</f>
        <v>Sprite plastic 1L</v>
      </c>
      <c r="D245" s="13" t="str">
        <f aca="false">IFERROR(__xludf.dummyfunction("""COMPUTED_VALUE"""),"Sprite")</f>
        <v>Sprite</v>
      </c>
      <c r="E245" s="13" t="str">
        <f aca="false">IFERROR(__xludf.dummyfunction("""COMPUTED_VALUE"""),"Beverages")</f>
        <v>Beverages</v>
      </c>
      <c r="F245" s="11" t="n">
        <f aca="false">IFERROR(__xludf.dummyfunction("""COMPUTED_VALUE"""),45122)</f>
        <v>45122</v>
      </c>
      <c r="G245" s="12" t="n">
        <f aca="false">IFERROR(__xludf.dummyfunction("""COMPUTED_VALUE"""),0.968928009259825)</f>
        <v>0.9689280093</v>
      </c>
      <c r="H245" s="13" t="str">
        <f aca="false">IFERROR(__xludf.dummyfunction("""COMPUTED_VALUE"""),"damaged stock")</f>
        <v>damaged stock</v>
      </c>
      <c r="I245" s="13" t="n">
        <f aca="false">IFERROR(__xludf.dummyfunction("""COMPUTED_VALUE"""),1)</f>
        <v>1</v>
      </c>
      <c r="J245" s="13" t="n">
        <f aca="false">IFERROR(__xludf.dummyfunction("""COMPUTED_VALUE"""),670)</f>
        <v>670</v>
      </c>
      <c r="K245" s="13" t="n">
        <f aca="false">IFERROR(__xludf.dummyfunction("""COMPUTED_VALUE"""),670)</f>
        <v>670</v>
      </c>
      <c r="L245" s="13" t="str">
        <f aca="false">IFERROR(__xludf.dummyfunction("""COMPUTED_VALUE"""),"[Code: 24567C] TA: Found loose bottles During Sorting(Company end issue)")</f>
        <v>[Code: 24567C] TA: Found loose bottles During Sorting(Company end issue)</v>
      </c>
      <c r="M245" s="13" t="str">
        <f aca="false">IFERROR(__xludf.dummyfunction("""COMPUTED_VALUE"""),"24567C")</f>
        <v>24567C</v>
      </c>
      <c r="N245" s="13"/>
      <c r="O245" s="13" t="str">
        <f aca="false">IFERROR(__xludf.dummyfunction("""COMPUTED_VALUE"""),"taufeeq.akhtar@tajir-app.com")</f>
        <v>taufeeq.akhtar@tajir-app.com</v>
      </c>
      <c r="P245" s="13" t="str">
        <f aca="false">IFERROR(__xludf.dummyfunction("""COMPUTED_VALUE"""),"Taufeeq Akhtar ")</f>
        <v>Taufeeq Akhtar </v>
      </c>
      <c r="Q245" s="13" t="str">
        <f aca="false">IFERROR(__xludf.dummyfunction("""COMPUTED_VALUE"""),"[Code: 24567C] TA: Found loose bottles During Sorting(Company end issue)")</f>
        <v>[Code: 24567C] TA: Found loose bottles During Sorting(Company end issue)</v>
      </c>
      <c r="R245" s="13" t="str">
        <v>Sat,15-July-2023 ,11:15 PM</v>
      </c>
      <c r="S245" s="13" t="str">
        <v>Damaged Stock</v>
      </c>
    </row>
    <row r="246" customFormat="false" ht="15.75" hidden="false" customHeight="false" outlineLevel="0" collapsed="false">
      <c r="A246" s="13" t="str">
        <f aca="false">IFERROR(__xludf.dummyfunction("""COMPUTED_VALUE"""),"Metro DC Faisalabad")</f>
        <v>Metro DC Faisalabad</v>
      </c>
      <c r="B246" s="13" t="str">
        <f aca="false">IFERROR(__xludf.dummyfunction("""COMPUTED_VALUE"""),"138f860f-6230-442e-9fbc-5d3c54065f1e")</f>
        <v>138f860f-6230-442e-9fbc-5d3c54065f1e</v>
      </c>
      <c r="C246" s="13" t="str">
        <f aca="false">IFERROR(__xludf.dummyfunction("""COMPUTED_VALUE"""),"Pepsi plastic 1L")</f>
        <v>Pepsi plastic 1L</v>
      </c>
      <c r="D246" s="13" t="str">
        <f aca="false">IFERROR(__xludf.dummyfunction("""COMPUTED_VALUE"""),"Pepsi")</f>
        <v>Pepsi</v>
      </c>
      <c r="E246" s="13" t="str">
        <f aca="false">IFERROR(__xludf.dummyfunction("""COMPUTED_VALUE"""),"Beverages")</f>
        <v>Beverages</v>
      </c>
      <c r="F246" s="11" t="n">
        <f aca="false">IFERROR(__xludf.dummyfunction("""COMPUTED_VALUE"""),45123)</f>
        <v>45123</v>
      </c>
      <c r="G246" s="12" t="n">
        <f aca="false">IFERROR(__xludf.dummyfunction("""COMPUTED_VALUE"""),0.916867997685099)</f>
        <v>0.9168679977</v>
      </c>
      <c r="H246" s="13" t="str">
        <f aca="false">IFERROR(__xludf.dummyfunction("""COMPUTED_VALUE"""),"damaged stock")</f>
        <v>damaged stock</v>
      </c>
      <c r="I246" s="13" t="n">
        <f aca="false">IFERROR(__xludf.dummyfunction("""COMPUTED_VALUE"""),1)</f>
        <v>1</v>
      </c>
      <c r="J246" s="13" t="n">
        <f aca="false">IFERROR(__xludf.dummyfunction("""COMPUTED_VALUE"""),556)</f>
        <v>556</v>
      </c>
      <c r="K246" s="13" t="n">
        <f aca="false">IFERROR(__xludf.dummyfunction("""COMPUTED_VALUE"""),556)</f>
        <v>556</v>
      </c>
      <c r="L246" s="13" t="str">
        <f aca="false">IFERROR(__xludf.dummyfunction("""COMPUTED_VALUE"""),"[Code: 345677] TA: Found in loose and Empty bottels during sorting.")</f>
        <v>[Code: 345677] TA: Found in loose and Empty bottels during sorting.</v>
      </c>
      <c r="M246" s="13" t="str">
        <f aca="false">IFERROR(__xludf.dummyfunction("""COMPUTED_VALUE"""),"345677")</f>
        <v>345677</v>
      </c>
      <c r="N246" s="13"/>
      <c r="O246" s="13" t="str">
        <f aca="false">IFERROR(__xludf.dummyfunction("""COMPUTED_VALUE"""),"taufeeq.akhtar@tajir-app.com")</f>
        <v>taufeeq.akhtar@tajir-app.com</v>
      </c>
      <c r="P246" s="13" t="str">
        <f aca="false">IFERROR(__xludf.dummyfunction("""COMPUTED_VALUE"""),"Taufeeq Akhtar ")</f>
        <v>Taufeeq Akhtar </v>
      </c>
      <c r="Q246" s="13" t="str">
        <f aca="false">IFERROR(__xludf.dummyfunction("""COMPUTED_VALUE"""),"[Code: 345677] TA: Found in loose and Empty bottels during sorting.")</f>
        <v>[Code: 345677] TA: Found in loose and Empty bottels during sorting.</v>
      </c>
      <c r="R246" s="13" t="str">
        <v>Sun,16-July-2023 ,10:00 PM</v>
      </c>
      <c r="S246" s="13" t="str">
        <v>Damaged Stock</v>
      </c>
    </row>
    <row r="247" customFormat="false" ht="15.75" hidden="false" customHeight="false" outlineLevel="0" collapsed="false">
      <c r="A247" s="13" t="str">
        <f aca="false">IFERROR(__xludf.dummyfunction("""COMPUTED_VALUE"""),"Metro DC Faisalabad")</f>
        <v>Metro DC Faisalabad</v>
      </c>
      <c r="B247" s="13" t="str">
        <f aca="false">IFERROR(__xludf.dummyfunction("""COMPUTED_VALUE"""),"abcf8988-e2e3-45c6-9460-b69fac4fd0e1")</f>
        <v>abcf8988-e2e3-45c6-9460-b69fac4fd0e1</v>
      </c>
      <c r="C247" s="13" t="str">
        <f aca="false">IFERROR(__xludf.dummyfunction("""COMPUTED_VALUE"""),"Bonus tristar yellow surf 1kg Rs220")</f>
        <v>Bonus tristar yellow surf 1kg Rs220</v>
      </c>
      <c r="D247" s="13" t="str">
        <f aca="false">IFERROR(__xludf.dummyfunction("""COMPUTED_VALUE"""),"Bonus Surf")</f>
        <v>Bonus Surf</v>
      </c>
      <c r="E247" s="13" t="str">
        <f aca="false">IFERROR(__xludf.dummyfunction("""COMPUTED_VALUE"""),"Surf, Bleach")</f>
        <v>Surf, Bleach</v>
      </c>
      <c r="F247" s="11" t="n">
        <f aca="false">IFERROR(__xludf.dummyfunction("""COMPUTED_VALUE"""),45123)</f>
        <v>45123</v>
      </c>
      <c r="G247" s="12" t="n">
        <f aca="false">IFERROR(__xludf.dummyfunction("""COMPUTED_VALUE"""),0.918111574072446)</f>
        <v>0.9181115741</v>
      </c>
      <c r="H247" s="13" t="str">
        <f aca="false">IFERROR(__xludf.dummyfunction("""COMPUTED_VALUE"""),"damaged stock")</f>
        <v>damaged stock</v>
      </c>
      <c r="I247" s="13" t="n">
        <f aca="false">IFERROR(__xludf.dummyfunction("""COMPUTED_VALUE"""),1)</f>
        <v>1</v>
      </c>
      <c r="J247" s="13" t="n">
        <f aca="false">IFERROR(__xludf.dummyfunction("""COMPUTED_VALUE"""),201.18)</f>
        <v>201.18</v>
      </c>
      <c r="K247" s="13" t="n">
        <f aca="false">IFERROR(__xludf.dummyfunction("""COMPUTED_VALUE"""),201.18)</f>
        <v>201.18</v>
      </c>
      <c r="L247" s="13" t="str">
        <f aca="false">IFERROR(__xludf.dummyfunction("""COMPUTED_VALUE"""),"[Code: 2357AB] TA: bag may say damaged nikla display krtay waqt.")</f>
        <v>[Code: 2357AB] TA: bag may say damaged nikla display krtay waqt.</v>
      </c>
      <c r="M247" s="13" t="str">
        <f aca="false">IFERROR(__xludf.dummyfunction("""COMPUTED_VALUE"""),"2357AB")</f>
        <v>2357AB</v>
      </c>
      <c r="N247" s="13"/>
      <c r="O247" s="13" t="str">
        <f aca="false">IFERROR(__xludf.dummyfunction("""COMPUTED_VALUE"""),"taufeeq.akhtar@tajir-app.com")</f>
        <v>taufeeq.akhtar@tajir-app.com</v>
      </c>
      <c r="P247" s="13" t="str">
        <f aca="false">IFERROR(__xludf.dummyfunction("""COMPUTED_VALUE"""),"Taufeeq Akhtar ")</f>
        <v>Taufeeq Akhtar </v>
      </c>
      <c r="Q247" s="13" t="str">
        <f aca="false">IFERROR(__xludf.dummyfunction("""COMPUTED_VALUE"""),"[Code: 2357AB] TA: bag may say damaged nikla display krtay waqt.")</f>
        <v>[Code: 2357AB] TA: bag may say damaged nikla display krtay waqt.</v>
      </c>
      <c r="R247" s="13" t="str">
        <v>Sun,16-July-2023 ,10:02 PM</v>
      </c>
      <c r="S247" s="13" t="str">
        <v>Damaged Stock</v>
      </c>
    </row>
    <row r="248" customFormat="false" ht="15.75" hidden="false" customHeight="false" outlineLevel="0" collapsed="false">
      <c r="A248" s="13" t="str">
        <f aca="false">IFERROR(__xludf.dummyfunction("""COMPUTED_VALUE"""),"Metro DC Faisalabad")</f>
        <v>Metro DC Faisalabad</v>
      </c>
      <c r="B248" s="13" t="str">
        <f aca="false">IFERROR(__xludf.dummyfunction("""COMPUTED_VALUE"""),"738b3bdb-3b9e-4c0a-a6fa-18a670c5bcba")</f>
        <v>738b3bdb-3b9e-4c0a-a6fa-18a670c5bcba</v>
      </c>
      <c r="C248" s="13" t="str">
        <f aca="false">IFERROR(__xludf.dummyfunction("""COMPUTED_VALUE"""),"Bonus tristar yellow surf 240g Rs50")</f>
        <v>Bonus tristar yellow surf 240g Rs50</v>
      </c>
      <c r="D248" s="13" t="str">
        <f aca="false">IFERROR(__xludf.dummyfunction("""COMPUTED_VALUE"""),"Bonus Surf")</f>
        <v>Bonus Surf</v>
      </c>
      <c r="E248" s="13" t="str">
        <f aca="false">IFERROR(__xludf.dummyfunction("""COMPUTED_VALUE"""),"Surf, Bleach")</f>
        <v>Surf, Bleach</v>
      </c>
      <c r="F248" s="11" t="n">
        <f aca="false">IFERROR(__xludf.dummyfunction("""COMPUTED_VALUE"""),45123)</f>
        <v>45123</v>
      </c>
      <c r="G248" s="12" t="n">
        <f aca="false">IFERROR(__xludf.dummyfunction("""COMPUTED_VALUE"""),0.918979849538239)</f>
        <v>0.9189798495</v>
      </c>
      <c r="H248" s="13" t="str">
        <f aca="false">IFERROR(__xludf.dummyfunction("""COMPUTED_VALUE"""),"damaged stock")</f>
        <v>damaged stock</v>
      </c>
      <c r="I248" s="13" t="n">
        <f aca="false">IFERROR(__xludf.dummyfunction("""COMPUTED_VALUE"""),1)</f>
        <v>1</v>
      </c>
      <c r="J248" s="13" t="n">
        <f aca="false">IFERROR(__xludf.dummyfunction("""COMPUTED_VALUE"""),45.59)</f>
        <v>45.59</v>
      </c>
      <c r="K248" s="13" t="n">
        <f aca="false">IFERROR(__xludf.dummyfunction("""COMPUTED_VALUE"""),45.59)</f>
        <v>45.59</v>
      </c>
      <c r="L248" s="13" t="str">
        <f aca="false">IFERROR(__xludf.dummyfunction("""COMPUTED_VALUE"""),"[Code: 669BCE] TA: bag may say damaged mila.")</f>
        <v>[Code: 669BCE] TA: bag may say damaged mila.</v>
      </c>
      <c r="M248" s="13" t="str">
        <f aca="false">IFERROR(__xludf.dummyfunction("""COMPUTED_VALUE"""),"669BCE")</f>
        <v>669BCE</v>
      </c>
      <c r="N248" s="13"/>
      <c r="O248" s="13" t="str">
        <f aca="false">IFERROR(__xludf.dummyfunction("""COMPUTED_VALUE"""),"taufeeq.akhtar@tajir-app.com")</f>
        <v>taufeeq.akhtar@tajir-app.com</v>
      </c>
      <c r="P248" s="13" t="str">
        <f aca="false">IFERROR(__xludf.dummyfunction("""COMPUTED_VALUE"""),"Taufeeq Akhtar ")</f>
        <v>Taufeeq Akhtar </v>
      </c>
      <c r="Q248" s="13" t="str">
        <f aca="false">IFERROR(__xludf.dummyfunction("""COMPUTED_VALUE"""),"[Code: 669BCE] TA: bag may say damaged mila.")</f>
        <v>[Code: 669BCE] TA: bag may say damaged mila.</v>
      </c>
      <c r="R248" s="13" t="str">
        <v>Sun,16-July-2023 ,10:03 PM</v>
      </c>
      <c r="S248" s="13" t="str">
        <v>Damaged Stock</v>
      </c>
    </row>
    <row r="249" customFormat="false" ht="15.75" hidden="false" customHeight="false" outlineLevel="0" collapsed="false">
      <c r="A249" s="13" t="str">
        <f aca="false">IFERROR(__xludf.dummyfunction("""COMPUTED_VALUE"""),"Metro DC Faisalabad")</f>
        <v>Metro DC Faisalabad</v>
      </c>
      <c r="B249" s="13" t="str">
        <f aca="false">IFERROR(__xludf.dummyfunction("""COMPUTED_VALUE"""),"cd68a607-af95-45cb-b9f4-2721224c85f8")</f>
        <v>cd68a607-af95-45cb-b9f4-2721224c85f8</v>
      </c>
      <c r="C249" s="13" t="str">
        <f aca="false">IFERROR(__xludf.dummyfunction("""COMPUTED_VALUE"""),"Coca Cola plastic 1.5L")</f>
        <v>Coca Cola plastic 1.5L</v>
      </c>
      <c r="D249" s="13" t="str">
        <f aca="false">IFERROR(__xludf.dummyfunction("""COMPUTED_VALUE"""),"Coca Cola")</f>
        <v>Coca Cola</v>
      </c>
      <c r="E249" s="13" t="str">
        <f aca="false">IFERROR(__xludf.dummyfunction("""COMPUTED_VALUE"""),"Beverages")</f>
        <v>Beverages</v>
      </c>
      <c r="F249" s="11" t="n">
        <f aca="false">IFERROR(__xludf.dummyfunction("""COMPUTED_VALUE"""),45124)</f>
        <v>45124</v>
      </c>
      <c r="G249" s="12" t="n">
        <f aca="false">IFERROR(__xludf.dummyfunction("""COMPUTED_VALUE"""),0.869458599536185)</f>
        <v>0.8694585995</v>
      </c>
      <c r="H249" s="13" t="str">
        <f aca="false">IFERROR(__xludf.dummyfunction("""COMPUTED_VALUE"""),"damaged stock")</f>
        <v>damaged stock</v>
      </c>
      <c r="I249" s="13" t="n">
        <f aca="false">IFERROR(__xludf.dummyfunction("""COMPUTED_VALUE"""),2)</f>
        <v>2</v>
      </c>
      <c r="J249" s="13" t="n">
        <f aca="false">IFERROR(__xludf.dummyfunction("""COMPUTED_VALUE"""),885)</f>
        <v>885</v>
      </c>
      <c r="K249" s="13" t="n">
        <f aca="false">IFERROR(__xludf.dummyfunction("""COMPUTED_VALUE"""),1770)</f>
        <v>1770</v>
      </c>
      <c r="L249" s="13" t="str">
        <f aca="false">IFERROR(__xludf.dummyfunction("""COMPUTED_VALUE"""),"[Code: 689ACE]  TA: Found loose bottles During Sorting(Company end issue)")</f>
        <v>[Code: 689ACE]  TA: Found loose bottles During Sorting(Company end issue)</v>
      </c>
      <c r="M249" s="13" t="str">
        <f aca="false">IFERROR(__xludf.dummyfunction("""COMPUTED_VALUE"""),"689ACE")</f>
        <v>689ACE</v>
      </c>
      <c r="N249" s="13"/>
      <c r="O249" s="13" t="str">
        <f aca="false">IFERROR(__xludf.dummyfunction("""COMPUTED_VALUE"""),"taufeeq.akhtar@tajir-app.com")</f>
        <v>taufeeq.akhtar@tajir-app.com</v>
      </c>
      <c r="P249" s="13" t="str">
        <f aca="false">IFERROR(__xludf.dummyfunction("""COMPUTED_VALUE"""),"Taufeeq Akhtar ")</f>
        <v>Taufeeq Akhtar </v>
      </c>
      <c r="Q249" s="13" t="str">
        <f aca="false">IFERROR(__xludf.dummyfunction("""COMPUTED_VALUE"""),"[Code: 689ACE]  TA: Found loose bottles During Sorting(Company end issue)")</f>
        <v>[Code: 689ACE]  TA: Found loose bottles During Sorting(Company end issue)</v>
      </c>
      <c r="R249" s="13" t="str">
        <v>Mon,17-July-2023 ,08:52 PM</v>
      </c>
      <c r="S249" s="13" t="str">
        <v>Damaged Stock</v>
      </c>
    </row>
    <row r="250" customFormat="false" ht="15.75" hidden="false" customHeight="false" outlineLevel="0" collapsed="false">
      <c r="A250" s="13" t="str">
        <f aca="false">IFERROR(__xludf.dummyfunction("""COMPUTED_VALUE"""),"Metro DC Faisalabad")</f>
        <v>Metro DC Faisalabad</v>
      </c>
      <c r="B250" s="13" t="str">
        <f aca="false">IFERROR(__xludf.dummyfunction("""COMPUTED_VALUE"""),"67c33ff3-e486-487d-844a-b17c396936ee")</f>
        <v>67c33ff3-e486-487d-844a-b17c396936ee</v>
      </c>
      <c r="C250" s="13" t="str">
        <f aca="false">IFERROR(__xludf.dummyfunction("""COMPUTED_VALUE"""),"Coca Cola plastic 1L")</f>
        <v>Coca Cola plastic 1L</v>
      </c>
      <c r="D250" s="13" t="str">
        <f aca="false">IFERROR(__xludf.dummyfunction("""COMPUTED_VALUE"""),"Coca Cola")</f>
        <v>Coca Cola</v>
      </c>
      <c r="E250" s="13" t="str">
        <f aca="false">IFERROR(__xludf.dummyfunction("""COMPUTED_VALUE"""),"Beverages")</f>
        <v>Beverages</v>
      </c>
      <c r="F250" s="11" t="n">
        <f aca="false">IFERROR(__xludf.dummyfunction("""COMPUTED_VALUE"""),45125)</f>
        <v>45125</v>
      </c>
      <c r="G250" s="12" t="n">
        <f aca="false">IFERROR(__xludf.dummyfunction("""COMPUTED_VALUE"""),0.861169513889886)</f>
        <v>0.8611695139</v>
      </c>
      <c r="H250" s="13" t="str">
        <f aca="false">IFERROR(__xludf.dummyfunction("""COMPUTED_VALUE"""),"damaged stock")</f>
        <v>damaged stock</v>
      </c>
      <c r="I250" s="13" t="n">
        <f aca="false">IFERROR(__xludf.dummyfunction("""COMPUTED_VALUE"""),1)</f>
        <v>1</v>
      </c>
      <c r="J250" s="13" t="n">
        <f aca="false">IFERROR(__xludf.dummyfunction("""COMPUTED_VALUE"""),698)</f>
        <v>698</v>
      </c>
      <c r="K250" s="13" t="n">
        <f aca="false">IFERROR(__xludf.dummyfunction("""COMPUTED_VALUE"""),698)</f>
        <v>698</v>
      </c>
      <c r="L250" s="13" t="str">
        <f aca="false">IFERROR(__xludf.dummyfunction("""COMPUTED_VALUE"""),"[Code: 222457]  TA: Found in loose and empty bottels during sorting.")</f>
        <v>[Code: 222457]  TA: Found in loose and empty bottels during sorting.</v>
      </c>
      <c r="M250" s="13" t="str">
        <f aca="false">IFERROR(__xludf.dummyfunction("""COMPUTED_VALUE"""),"222457")</f>
        <v>222457</v>
      </c>
      <c r="N250" s="13"/>
      <c r="O250" s="13" t="str">
        <f aca="false">IFERROR(__xludf.dummyfunction("""COMPUTED_VALUE"""),"taufeeq.akhtar@tajir-app.com")</f>
        <v>taufeeq.akhtar@tajir-app.com</v>
      </c>
      <c r="P250" s="13" t="str">
        <f aca="false">IFERROR(__xludf.dummyfunction("""COMPUTED_VALUE"""),"Taufeeq Akhtar ")</f>
        <v>Taufeeq Akhtar </v>
      </c>
      <c r="Q250" s="13" t="str">
        <f aca="false">IFERROR(__xludf.dummyfunction("""COMPUTED_VALUE"""),"[Code: 222457]  TA: Found in loose and empty bottels during sorting.")</f>
        <v>[Code: 222457]  TA: Found in loose and empty bottels during sorting.</v>
      </c>
      <c r="R250" s="13" t="str">
        <v>Tue,18-July-2023 ,08:40 PM</v>
      </c>
      <c r="S250" s="13" t="str">
        <v>Damaged Stock</v>
      </c>
    </row>
    <row r="251" customFormat="false" ht="15.75" hidden="false" customHeight="false" outlineLevel="0" collapsed="false">
      <c r="A251" s="13" t="str">
        <f aca="false">IFERROR(__xludf.dummyfunction("""COMPUTED_VALUE"""),"Metro DC Faisalabad")</f>
        <v>Metro DC Faisalabad</v>
      </c>
      <c r="B251" s="13" t="str">
        <f aca="false">IFERROR(__xludf.dummyfunction("""COMPUTED_VALUE"""),"cba4160d-2426-4f0a-86e5-206cc7183440")</f>
        <v>cba4160d-2426-4f0a-86e5-206cc7183440</v>
      </c>
      <c r="C251" s="13" t="str">
        <f aca="false">IFERROR(__xludf.dummyfunction("""COMPUTED_VALUE"""),"Ultra Pure Dish Wash Liquid 1000ml Rs350")</f>
        <v>Ultra Pure Dish Wash Liquid 1000ml Rs350</v>
      </c>
      <c r="D251" s="13" t="str">
        <f aca="false">IFERROR(__xludf.dummyfunction("""COMPUTED_VALUE"""),"Ultra Pure")</f>
        <v>Ultra Pure</v>
      </c>
      <c r="E251" s="13" t="str">
        <f aca="false">IFERROR(__xludf.dummyfunction("""COMPUTED_VALUE"""),"Home Care")</f>
        <v>Home Care</v>
      </c>
      <c r="F251" s="11" t="n">
        <f aca="false">IFERROR(__xludf.dummyfunction("""COMPUTED_VALUE"""),45126)</f>
        <v>45126</v>
      </c>
      <c r="G251" s="12" t="n">
        <f aca="false">IFERROR(__xludf.dummyfunction("""COMPUTED_VALUE"""),0.616849027776646)</f>
        <v>0.6168490278</v>
      </c>
      <c r="H251" s="13" t="str">
        <f aca="false">IFERROR(__xludf.dummyfunction("""COMPUTED_VALUE"""),"damaged stock")</f>
        <v>damaged stock</v>
      </c>
      <c r="I251" s="13" t="n">
        <f aca="false">IFERROR(__xludf.dummyfunction("""COMPUTED_VALUE"""),1)</f>
        <v>1</v>
      </c>
      <c r="J251" s="13" t="n">
        <f aca="false">IFERROR(__xludf.dummyfunction("""COMPUTED_VALUE"""),184)</f>
        <v>184</v>
      </c>
      <c r="K251" s="13" t="n">
        <f aca="false">IFERROR(__xludf.dummyfunction("""COMPUTED_VALUE"""),184)</f>
        <v>184</v>
      </c>
      <c r="L251" s="13" t="str">
        <f aca="false">IFERROR(__xludf.dummyfunction("""COMPUTED_VALUE"""),"[Code: 66777A] 01 unit found cap damaged ")</f>
        <v>[Code: 66777A] 01 unit found cap damaged </v>
      </c>
      <c r="M251" s="13" t="str">
        <f aca="false">IFERROR(__xludf.dummyfunction("""COMPUTED_VALUE"""),"66777A")</f>
        <v>66777A</v>
      </c>
      <c r="N251" s="13"/>
      <c r="O251" s="13" t="str">
        <f aca="false">IFERROR(__xludf.dummyfunction("""COMPUTED_VALUE"""),"ali.raza@tajir-app.com")</f>
        <v>ali.raza@tajir-app.com</v>
      </c>
      <c r="P251" s="13" t="str">
        <f aca="false">IFERROR(__xludf.dummyfunction("""COMPUTED_VALUE"""),"Ali Raza ")</f>
        <v>Ali Raza </v>
      </c>
      <c r="Q251" s="13" t="str">
        <f aca="false">IFERROR(__xludf.dummyfunction("""COMPUTED_VALUE"""),"[Code: 66777A] 01 unit found cap damaged ")</f>
        <v>[Code: 66777A] 01 unit found cap damaged </v>
      </c>
      <c r="R251" s="13" t="str">
        <v>Wed,19-July-2023 ,02:48 PM</v>
      </c>
      <c r="S251" s="13" t="str">
        <v>Damaged Stock</v>
      </c>
    </row>
    <row r="252" customFormat="false" ht="15.75" hidden="false" customHeight="false" outlineLevel="0" collapsed="false">
      <c r="A252" s="13" t="str">
        <f aca="false">IFERROR(__xludf.dummyfunction("""COMPUTED_VALUE"""),"Metro DC Faisalabad")</f>
        <v>Metro DC Faisalabad</v>
      </c>
      <c r="B252" s="13" t="str">
        <f aca="false">IFERROR(__xludf.dummyfunction("""COMPUTED_VALUE"""),"4f93819e-18b1-4234-b206-d6b3121ef80c")</f>
        <v>4f93819e-18b1-4234-b206-d6b3121ef80c</v>
      </c>
      <c r="C252" s="13" t="str">
        <f aca="false">IFERROR(__xludf.dummyfunction("""COMPUTED_VALUE"""),"Giggly Opus Bar Caramel Filled Chocolate 15Pcs Rs10 (caramel bar)")</f>
        <v>Giggly Opus Bar Caramel Filled Chocolate 15Pcs Rs10 (caramel bar)</v>
      </c>
      <c r="D252" s="13" t="str">
        <f aca="false">IFERROR(__xludf.dummyfunction("""COMPUTED_VALUE"""),"Giggly")</f>
        <v>Giggly</v>
      </c>
      <c r="E252" s="13" t="str">
        <f aca="false">IFERROR(__xludf.dummyfunction("""COMPUTED_VALUE"""),"Confectionary")</f>
        <v>Confectionary</v>
      </c>
      <c r="F252" s="11" t="n">
        <f aca="false">IFERROR(__xludf.dummyfunction("""COMPUTED_VALUE"""),45126)</f>
        <v>45126</v>
      </c>
      <c r="G252" s="12" t="n">
        <f aca="false">IFERROR(__xludf.dummyfunction("""COMPUTED_VALUE"""),0.889252187501816)</f>
        <v>0.8892521875</v>
      </c>
      <c r="H252" s="13" t="str">
        <f aca="false">IFERROR(__xludf.dummyfunction("""COMPUTED_VALUE"""),"damaged stock")</f>
        <v>damaged stock</v>
      </c>
      <c r="I252" s="13" t="n">
        <f aca="false">IFERROR(__xludf.dummyfunction("""COMPUTED_VALUE"""),1)</f>
        <v>1</v>
      </c>
      <c r="J252" s="13" t="n">
        <f aca="false">IFERROR(__xludf.dummyfunction("""COMPUTED_VALUE"""),119.41)</f>
        <v>119.41</v>
      </c>
      <c r="K252" s="13" t="n">
        <f aca="false">IFERROR(__xludf.dummyfunction("""COMPUTED_VALUE"""),119.41)</f>
        <v>119.41</v>
      </c>
      <c r="L252" s="13" t="str">
        <f aca="false">IFERROR(__xludf.dummyfunction("""COMPUTED_VALUE"""),"[Code: 599BEF] TA: Found damaged from rack and few pieces are missing from the box.")</f>
        <v>[Code: 599BEF] TA: Found damaged from rack and few pieces are missing from the box.</v>
      </c>
      <c r="M252" s="13" t="str">
        <f aca="false">IFERROR(__xludf.dummyfunction("""COMPUTED_VALUE"""),"599BEF")</f>
        <v>599BEF</v>
      </c>
      <c r="N252" s="13"/>
      <c r="O252" s="13" t="str">
        <f aca="false">IFERROR(__xludf.dummyfunction("""COMPUTED_VALUE"""),"taufeeq.akhtar@tajir-app.com")</f>
        <v>taufeeq.akhtar@tajir-app.com</v>
      </c>
      <c r="P252" s="13" t="str">
        <f aca="false">IFERROR(__xludf.dummyfunction("""COMPUTED_VALUE"""),"Taufeeq Akhtar ")</f>
        <v>Taufeeq Akhtar </v>
      </c>
      <c r="Q252" s="13" t="str">
        <f aca="false">IFERROR(__xludf.dummyfunction("""COMPUTED_VALUE"""),"[Code: 599BEF] TA: Found damaged from rack and few pieces are missing from the box.")</f>
        <v>[Code: 599BEF] TA: Found damaged from rack and few pieces are missing from the box.</v>
      </c>
      <c r="R252" s="13" t="str">
        <v>Wed,19-July-2023 ,09:20 PM</v>
      </c>
      <c r="S252" s="13" t="str">
        <v>Damaged Stock</v>
      </c>
    </row>
    <row r="253" customFormat="false" ht="15.75" hidden="false" customHeight="false" outlineLevel="0" collapsed="false">
      <c r="A253" s="13" t="str">
        <f aca="false">IFERROR(__xludf.dummyfunction("""COMPUTED_VALUE"""),"Metro DC Faisalabad")</f>
        <v>Metro DC Faisalabad</v>
      </c>
      <c r="B253" s="13" t="str">
        <f aca="false">IFERROR(__xludf.dummyfunction("""COMPUTED_VALUE"""),"08c91743-6dd7-4879-95b9-a808ee0d28cd")</f>
        <v>08c91743-6dd7-4879-95b9-a808ee0d28cd</v>
      </c>
      <c r="C253" s="13" t="str">
        <f aca="false">IFERROR(__xludf.dummyfunction("""COMPUTED_VALUE"""),"Bisconni Chocolatto Filled Biscuits 8pcs Rs30")</f>
        <v>Bisconni Chocolatto Filled Biscuits 8pcs Rs30</v>
      </c>
      <c r="D253" s="13" t="str">
        <f aca="false">IFERROR(__xludf.dummyfunction("""COMPUTED_VALUE"""),"Bisconni")</f>
        <v>Bisconni</v>
      </c>
      <c r="E253" s="13" t="str">
        <f aca="false">IFERROR(__xludf.dummyfunction("""COMPUTED_VALUE"""),"Biscuits, Wafers")</f>
        <v>Biscuits, Wafers</v>
      </c>
      <c r="F253" s="11" t="n">
        <f aca="false">IFERROR(__xludf.dummyfunction("""COMPUTED_VALUE"""),45126)</f>
        <v>45126</v>
      </c>
      <c r="G253" s="12" t="n">
        <f aca="false">IFERROR(__xludf.dummyfunction("""COMPUTED_VALUE"""),0.891685532406232)</f>
        <v>0.8916855324</v>
      </c>
      <c r="H253" s="13" t="str">
        <f aca="false">IFERROR(__xludf.dummyfunction("""COMPUTED_VALUE"""),"damaged stock")</f>
        <v>damaged stock</v>
      </c>
      <c r="I253" s="13" t="n">
        <f aca="false">IFERROR(__xludf.dummyfunction("""COMPUTED_VALUE"""),3)</f>
        <v>3</v>
      </c>
      <c r="J253" s="13" t="n">
        <f aca="false">IFERROR(__xludf.dummyfunction("""COMPUTED_VALUE"""),213)</f>
        <v>213</v>
      </c>
      <c r="K253" s="13" t="n">
        <f aca="false">IFERROR(__xludf.dummyfunction("""COMPUTED_VALUE"""),639)</f>
        <v>639</v>
      </c>
      <c r="L253" s="13" t="str">
        <f aca="false">IFERROR(__xludf.dummyfunction("""COMPUTED_VALUE"""),"[Code: 478899] TA: 3 Units less in floor(Night audit).")</f>
        <v>[Code: 478899] TA: 3 Units less in floor(Night audit).</v>
      </c>
      <c r="M253" s="13" t="str">
        <f aca="false">IFERROR(__xludf.dummyfunction("""COMPUTED_VALUE"""),"478899")</f>
        <v>478899</v>
      </c>
      <c r="N253" s="13"/>
      <c r="O253" s="13" t="str">
        <f aca="false">IFERROR(__xludf.dummyfunction("""COMPUTED_VALUE"""),"taufeeq.akhtar@tajir-app.com")</f>
        <v>taufeeq.akhtar@tajir-app.com</v>
      </c>
      <c r="P253" s="13" t="str">
        <f aca="false">IFERROR(__xludf.dummyfunction("""COMPUTED_VALUE"""),"Taufeeq Akhtar ")</f>
        <v>Taufeeq Akhtar </v>
      </c>
      <c r="Q253" s="13" t="str">
        <f aca="false">IFERROR(__xludf.dummyfunction("""COMPUTED_VALUE"""),"[Code: 478899] TA: 3 Units less in floor(Night audit).")</f>
        <v>[Code: 478899] TA: 3 Units less in floor(Night audit).</v>
      </c>
      <c r="R253" s="13" t="str">
        <v>Wed,19-July-2023 ,09:24 PM</v>
      </c>
      <c r="S253" s="13" t="str">
        <v>Damaged Stock</v>
      </c>
    </row>
    <row r="254" customFormat="false" ht="15.75" hidden="false" customHeight="false" outlineLevel="0" collapsed="false">
      <c r="A254" s="13" t="str">
        <f aca="false">IFERROR(__xludf.dummyfunction("""COMPUTED_VALUE"""),"Metro DC Faisalabad")</f>
        <v>Metro DC Faisalabad</v>
      </c>
      <c r="B254" s="13" t="str">
        <f aca="false">IFERROR(__xludf.dummyfunction("""COMPUTED_VALUE"""),"e9ed0c29-a010-4faa-8134-f48eaaca8f25")</f>
        <v>e9ed0c29-a010-4faa-8134-f48eaaca8f25</v>
      </c>
      <c r="C254" s="13" t="str">
        <f aca="false">IFERROR(__xludf.dummyfunction("""COMPUTED_VALUE"""),"Crown Chakki Atta 5kg")</f>
        <v>Crown Chakki Atta 5kg</v>
      </c>
      <c r="D254" s="13" t="str">
        <f aca="false">IFERROR(__xludf.dummyfunction("""COMPUTED_VALUE"""),"Crown Chakki Atta")</f>
        <v>Crown Chakki Atta</v>
      </c>
      <c r="E254" s="13" t="str">
        <f aca="false">IFERROR(__xludf.dummyfunction("""COMPUTED_VALUE"""),"Flour")</f>
        <v>Flour</v>
      </c>
      <c r="F254" s="11" t="n">
        <f aca="false">IFERROR(__xludf.dummyfunction("""COMPUTED_VALUE"""),45128)</f>
        <v>45128</v>
      </c>
      <c r="G254" s="12" t="n">
        <f aca="false">IFERROR(__xludf.dummyfunction("""COMPUTED_VALUE"""),0.61937283564748)</f>
        <v>0.6193728356</v>
      </c>
      <c r="H254" s="13" t="str">
        <f aca="false">IFERROR(__xludf.dummyfunction("""COMPUTED_VALUE"""),"damaged stock")</f>
        <v>damaged stock</v>
      </c>
      <c r="I254" s="13" t="n">
        <f aca="false">IFERROR(__xludf.dummyfunction("""COMPUTED_VALUE"""),92)</f>
        <v>92</v>
      </c>
      <c r="J254" s="13" t="n">
        <f aca="false">IFERROR(__xludf.dummyfunction("""COMPUTED_VALUE"""),690)</f>
        <v>690</v>
      </c>
      <c r="K254" s="13" t="n">
        <f aca="false">IFERROR(__xludf.dummyfunction("""COMPUTED_VALUE"""),63480)</f>
        <v>63480</v>
      </c>
      <c r="L254" s="13" t="str">
        <f aca="false">IFERROR(__xludf.dummyfunction("""COMPUTED_VALUE"""),"[Code: 23889C] TA: fangus lagi hay. quality issue(company end)")</f>
        <v>[Code: 23889C] TA: fangus lagi hay. quality issue(company end)</v>
      </c>
      <c r="M254" s="13" t="str">
        <f aca="false">IFERROR(__xludf.dummyfunction("""COMPUTED_VALUE"""),"23889C")</f>
        <v>23889C</v>
      </c>
      <c r="N254" s="13"/>
      <c r="O254" s="13" t="str">
        <f aca="false">IFERROR(__xludf.dummyfunction("""COMPUTED_VALUE"""),"taufeeq.akhtar@tajir-app.com")</f>
        <v>taufeeq.akhtar@tajir-app.com</v>
      </c>
      <c r="P254" s="13" t="str">
        <f aca="false">IFERROR(__xludf.dummyfunction("""COMPUTED_VALUE"""),"Taufeeq Akhtar ")</f>
        <v>Taufeeq Akhtar </v>
      </c>
      <c r="Q254" s="13" t="str">
        <f aca="false">IFERROR(__xludf.dummyfunction("""COMPUTED_VALUE"""),"[Code: 23889C] TA: fangus lagi hay. quality issue(company end)")</f>
        <v>[Code: 23889C] TA: fangus lagi hay. quality issue(company end)</v>
      </c>
      <c r="R254" s="13" t="str">
        <v>Fri,21-July-2023 ,02:51 PM</v>
      </c>
      <c r="S254" s="13" t="str">
        <v>Damaged Stock</v>
      </c>
    </row>
    <row r="255" customFormat="false" ht="15.75" hidden="false" customHeight="false" outlineLevel="0" collapsed="false">
      <c r="A255" s="13" t="str">
        <f aca="false">IFERROR(__xludf.dummyfunction("""COMPUTED_VALUE"""),"Metro DC Faisalabad")</f>
        <v>Metro DC Faisalabad</v>
      </c>
      <c r="B255" s="13" t="str">
        <f aca="false">IFERROR(__xludf.dummyfunction("""COMPUTED_VALUE"""),"76cbd286-ec03-4842-a510-1302d929540b")</f>
        <v>76cbd286-ec03-4842-a510-1302d929540b</v>
      </c>
      <c r="C255" s="13" t="str">
        <f aca="false">IFERROR(__xludf.dummyfunction("""COMPUTED_VALUE"""),"A One Fine Atta 15kg")</f>
        <v>A One Fine Atta 15kg</v>
      </c>
      <c r="D255" s="13" t="str">
        <f aca="false">IFERROR(__xludf.dummyfunction("""COMPUTED_VALUE"""),"A One Atta")</f>
        <v>A One Atta</v>
      </c>
      <c r="E255" s="13" t="str">
        <f aca="false">IFERROR(__xludf.dummyfunction("""COMPUTED_VALUE"""),"Flour")</f>
        <v>Flour</v>
      </c>
      <c r="F255" s="11" t="n">
        <f aca="false">IFERROR(__xludf.dummyfunction("""COMPUTED_VALUE"""),45128)</f>
        <v>45128</v>
      </c>
      <c r="G255" s="12" t="n">
        <f aca="false">IFERROR(__xludf.dummyfunction("""COMPUTED_VALUE"""),0.620522233796975)</f>
        <v>0.6205222338</v>
      </c>
      <c r="H255" s="13" t="str">
        <f aca="false">IFERROR(__xludf.dummyfunction("""COMPUTED_VALUE"""),"damaged stock")</f>
        <v>damaged stock</v>
      </c>
      <c r="I255" s="13" t="n">
        <f aca="false">IFERROR(__xludf.dummyfunction("""COMPUTED_VALUE"""),143)</f>
        <v>143</v>
      </c>
      <c r="J255" s="13" t="n">
        <f aca="false">IFERROR(__xludf.dummyfunction("""COMPUTED_VALUE"""),2050)</f>
        <v>2050</v>
      </c>
      <c r="K255" s="13" t="n">
        <f aca="false">IFERROR(__xludf.dummyfunction("""COMPUTED_VALUE"""),293150)</f>
        <v>293150</v>
      </c>
      <c r="L255" s="13" t="str">
        <f aca="false">IFERROR(__xludf.dummyfunction("""COMPUTED_VALUE"""),"[Code: 69AFGG] TA:quality sahi nahi hay (fangus laga hay.)")</f>
        <v>[Code: 69AFGG] TA:quality sahi nahi hay (fangus laga hay.)</v>
      </c>
      <c r="M255" s="13" t="str">
        <f aca="false">IFERROR(__xludf.dummyfunction("""COMPUTED_VALUE"""),"69AFGG")</f>
        <v>69AFGG</v>
      </c>
      <c r="N255" s="13"/>
      <c r="O255" s="13" t="str">
        <f aca="false">IFERROR(__xludf.dummyfunction("""COMPUTED_VALUE"""),"taufeeq.akhtar@tajir-app.com")</f>
        <v>taufeeq.akhtar@tajir-app.com</v>
      </c>
      <c r="P255" s="13" t="str">
        <f aca="false">IFERROR(__xludf.dummyfunction("""COMPUTED_VALUE"""),"Taufeeq Akhtar ")</f>
        <v>Taufeeq Akhtar </v>
      </c>
      <c r="Q255" s="13" t="str">
        <f aca="false">IFERROR(__xludf.dummyfunction("""COMPUTED_VALUE"""),"[Code: 69AFGG] TA:quality sahi nahi hay (fangus laga hay.)")</f>
        <v>[Code: 69AFGG] TA:quality sahi nahi hay (fangus laga hay.)</v>
      </c>
      <c r="R255" s="13" t="str">
        <v>Fri,21-July-2023 ,02:53 PM</v>
      </c>
      <c r="S255" s="13" t="str">
        <v>Damaged Stock</v>
      </c>
    </row>
    <row r="256" customFormat="false" ht="15.75" hidden="false" customHeight="false" outlineLevel="0" collapsed="false">
      <c r="A256" s="13" t="str">
        <f aca="false">IFERROR(__xludf.dummyfunction("""COMPUTED_VALUE"""),"Metro DC Faisalabad")</f>
        <v>Metro DC Faisalabad</v>
      </c>
      <c r="B256" s="13" t="str">
        <f aca="false">IFERROR(__xludf.dummyfunction("""COMPUTED_VALUE"""),"379bf168-787d-41f8-b497-a8cc19cbb48e")</f>
        <v>379bf168-787d-41f8-b497-a8cc19cbb48e</v>
      </c>
      <c r="C256" s="13" t="str">
        <f aca="false">IFERROR(__xludf.dummyfunction("""COMPUTED_VALUE"""),"Super Shaheen Atta 10kg")</f>
        <v>Super Shaheen Atta 10kg</v>
      </c>
      <c r="D256" s="13" t="str">
        <f aca="false">IFERROR(__xludf.dummyfunction("""COMPUTED_VALUE"""),"Khalid Flour &amp; General Mills")</f>
        <v>Khalid Flour &amp; General Mills</v>
      </c>
      <c r="E256" s="13" t="str">
        <f aca="false">IFERROR(__xludf.dummyfunction("""COMPUTED_VALUE"""),"Flour")</f>
        <v>Flour</v>
      </c>
      <c r="F256" s="11" t="n">
        <f aca="false">IFERROR(__xludf.dummyfunction("""COMPUTED_VALUE"""),45128)</f>
        <v>45128</v>
      </c>
      <c r="G256" s="12" t="n">
        <f aca="false">IFERROR(__xludf.dummyfunction("""COMPUTED_VALUE"""),0.697580416666747)</f>
        <v>0.6975804167</v>
      </c>
      <c r="H256" s="13" t="str">
        <f aca="false">IFERROR(__xludf.dummyfunction("""COMPUTED_VALUE"""),"damaged stock")</f>
        <v>damaged stock</v>
      </c>
      <c r="I256" s="13" t="n">
        <f aca="false">IFERROR(__xludf.dummyfunction("""COMPUTED_VALUE"""),43)</f>
        <v>43</v>
      </c>
      <c r="J256" s="13" t="n">
        <f aca="false">IFERROR(__xludf.dummyfunction("""COMPUTED_VALUE"""),1330)</f>
        <v>1330</v>
      </c>
      <c r="K256" s="13" t="n">
        <f aca="false">IFERROR(__xludf.dummyfunction("""COMPUTED_VALUE"""),57190)</f>
        <v>57190</v>
      </c>
      <c r="L256" s="13" t="str">
        <f aca="false">IFERROR(__xludf.dummyfunction("""COMPUTED_VALUE"""),"[Code: ADFFGH] TA:quality sahi nahi hay.(Fungus lagi hay).")</f>
        <v>[Code: ADFFGH] TA:quality sahi nahi hay.(Fungus lagi hay).</v>
      </c>
      <c r="M256" s="13" t="str">
        <f aca="false">IFERROR(__xludf.dummyfunction("""COMPUTED_VALUE"""),"ADFFGH")</f>
        <v>ADFFGH</v>
      </c>
      <c r="N256" s="13"/>
      <c r="O256" s="13" t="str">
        <f aca="false">IFERROR(__xludf.dummyfunction("""COMPUTED_VALUE"""),"taufeeq.akhtar@tajir-app.com")</f>
        <v>taufeeq.akhtar@tajir-app.com</v>
      </c>
      <c r="P256" s="13" t="str">
        <f aca="false">IFERROR(__xludf.dummyfunction("""COMPUTED_VALUE"""),"Taufeeq Akhtar ")</f>
        <v>Taufeeq Akhtar </v>
      </c>
      <c r="Q256" s="13" t="str">
        <f aca="false">IFERROR(__xludf.dummyfunction("""COMPUTED_VALUE"""),"[Code: ADFFGH] TA:quality sahi nahi hay.(Fungus lagi hay).")</f>
        <v>[Code: ADFFGH] TA:quality sahi nahi hay.(Fungus lagi hay).</v>
      </c>
      <c r="R256" s="13" t="str">
        <v>Fri,21-July-2023 ,04:44 PM</v>
      </c>
      <c r="S256" s="13" t="str">
        <v>Damaged Stock</v>
      </c>
    </row>
    <row r="257" customFormat="false" ht="15.75" hidden="false" customHeight="false" outlineLevel="0" collapsed="false">
      <c r="A257" s="13" t="str">
        <f aca="false">IFERROR(__xludf.dummyfunction("""COMPUTED_VALUE"""),"Metro DC Faisalabad")</f>
        <v>Metro DC Faisalabad</v>
      </c>
      <c r="B257" s="13" t="str">
        <f aca="false">IFERROR(__xludf.dummyfunction("""COMPUTED_VALUE"""),"d864c0cd-914b-4a54-96d5-8e894ba5f3b6")</f>
        <v>d864c0cd-914b-4a54-96d5-8e894ba5f3b6</v>
      </c>
      <c r="C257" s="13" t="str">
        <f aca="false">IFERROR(__xludf.dummyfunction("""COMPUTED_VALUE"""),"Surf Excel x6 bundle 20g Rs 10")</f>
        <v>Surf Excel x6 bundle 20g Rs 10</v>
      </c>
      <c r="D257" s="13" t="str">
        <f aca="false">IFERROR(__xludf.dummyfunction("""COMPUTED_VALUE"""),"Surf Excel")</f>
        <v>Surf Excel</v>
      </c>
      <c r="E257" s="13" t="str">
        <f aca="false">IFERROR(__xludf.dummyfunction("""COMPUTED_VALUE"""),"Surf, Bleach")</f>
        <v>Surf, Bleach</v>
      </c>
      <c r="F257" s="11" t="n">
        <f aca="false">IFERROR(__xludf.dummyfunction("""COMPUTED_VALUE"""),45128)</f>
        <v>45128</v>
      </c>
      <c r="G257" s="12" t="n">
        <f aca="false">IFERROR(__xludf.dummyfunction("""COMPUTED_VALUE"""),0.759723206017468)</f>
        <v>0.759723206</v>
      </c>
      <c r="H257" s="13" t="str">
        <f aca="false">IFERROR(__xludf.dummyfunction("""COMPUTED_VALUE"""),"damaged stock")</f>
        <v>damaged stock</v>
      </c>
      <c r="I257" s="13" t="n">
        <f aca="false">IFERROR(__xludf.dummyfunction("""COMPUTED_VALUE"""),4)</f>
        <v>4</v>
      </c>
      <c r="J257" s="13" t="n">
        <f aca="false">IFERROR(__xludf.dummyfunction("""COMPUTED_VALUE"""),55.21)</f>
        <v>55.21</v>
      </c>
      <c r="K257" s="13" t="n">
        <f aca="false">IFERROR(__xludf.dummyfunction("""COMPUTED_VALUE"""),220.84)</f>
        <v>220.84</v>
      </c>
      <c r="L257" s="13" t="str">
        <f aca="false">IFERROR(__xludf.dummyfunction("""COMPUTED_VALUE"""),"[Code: 2668DD] TA: found in damaged from bag during display.")</f>
        <v>[Code: 2668DD] TA: found in damaged from bag during display.</v>
      </c>
      <c r="M257" s="13" t="str">
        <f aca="false">IFERROR(__xludf.dummyfunction("""COMPUTED_VALUE"""),"2668DD")</f>
        <v>2668DD</v>
      </c>
      <c r="N257" s="13"/>
      <c r="O257" s="13" t="str">
        <f aca="false">IFERROR(__xludf.dummyfunction("""COMPUTED_VALUE"""),"taufeeq.akhtar@tajir-app.com")</f>
        <v>taufeeq.akhtar@tajir-app.com</v>
      </c>
      <c r="P257" s="13" t="str">
        <f aca="false">IFERROR(__xludf.dummyfunction("""COMPUTED_VALUE"""),"Taufeeq Akhtar ")</f>
        <v>Taufeeq Akhtar </v>
      </c>
      <c r="Q257" s="13" t="str">
        <f aca="false">IFERROR(__xludf.dummyfunction("""COMPUTED_VALUE"""),"[Code: 2668DD] TA: found in damaged from bag during display.")</f>
        <v>[Code: 2668DD] TA: found in damaged from bag during display.</v>
      </c>
      <c r="R257" s="13" t="str">
        <v>Fri,21-July-2023 ,06:14 PM</v>
      </c>
      <c r="S257" s="13" t="str">
        <v>Damaged Stock</v>
      </c>
    </row>
    <row r="258" customFormat="false" ht="15.75" hidden="false" customHeight="false" outlineLevel="0" collapsed="false">
      <c r="A258" s="13" t="str">
        <f aca="false">IFERROR(__xludf.dummyfunction("""COMPUTED_VALUE"""),"Metro DC Faisalabad")</f>
        <v>Metro DC Faisalabad</v>
      </c>
      <c r="B258" s="13" t="str">
        <f aca="false">IFERROR(__xludf.dummyfunction("""COMPUTED_VALUE"""),"80a44c7b-5c53-448c-a6ff-ff0f99023429")</f>
        <v>80a44c7b-5c53-448c-a6ff-ff0f99023429</v>
      </c>
      <c r="C258" s="13" t="str">
        <f aca="false">IFERROR(__xludf.dummyfunction("""COMPUTED_VALUE"""),"Sunlight Yellow Clean and Rose Fresh 330g Rs99")</f>
        <v>Sunlight Yellow Clean and Rose Fresh 330g Rs99</v>
      </c>
      <c r="D258" s="13" t="str">
        <f aca="false">IFERROR(__xludf.dummyfunction("""COMPUTED_VALUE"""),"Sunlight")</f>
        <v>Sunlight</v>
      </c>
      <c r="E258" s="13" t="str">
        <f aca="false">IFERROR(__xludf.dummyfunction("""COMPUTED_VALUE"""),"Surf, Bleach")</f>
        <v>Surf, Bleach</v>
      </c>
      <c r="F258" s="11" t="n">
        <f aca="false">IFERROR(__xludf.dummyfunction("""COMPUTED_VALUE"""),45128)</f>
        <v>45128</v>
      </c>
      <c r="G258" s="12" t="n">
        <f aca="false">IFERROR(__xludf.dummyfunction("""COMPUTED_VALUE"""),0.761106307871141)</f>
        <v>0.7611063079</v>
      </c>
      <c r="H258" s="13" t="str">
        <f aca="false">IFERROR(__xludf.dummyfunction("""COMPUTED_VALUE"""),"damaged stock")</f>
        <v>damaged stock</v>
      </c>
      <c r="I258" s="13" t="n">
        <f aca="false">IFERROR(__xludf.dummyfunction("""COMPUTED_VALUE"""),1)</f>
        <v>1</v>
      </c>
      <c r="J258" s="13" t="n">
        <f aca="false">IFERROR(__xludf.dummyfunction("""COMPUTED_VALUE"""),90.42)</f>
        <v>90.42</v>
      </c>
      <c r="K258" s="13" t="n">
        <f aca="false">IFERROR(__xludf.dummyfunction("""COMPUTED_VALUE"""),90.42)</f>
        <v>90.42</v>
      </c>
      <c r="L258" s="13" t="str">
        <f aca="false">IFERROR(__xludf.dummyfunction("""COMPUTED_VALUE"""),"[Code: 689DHJ] TA: found damaged during display.")</f>
        <v>[Code: 689DHJ] TA: found damaged during display.</v>
      </c>
      <c r="M258" s="13" t="str">
        <f aca="false">IFERROR(__xludf.dummyfunction("""COMPUTED_VALUE"""),"689DHJ")</f>
        <v>689DHJ</v>
      </c>
      <c r="N258" s="13"/>
      <c r="O258" s="13" t="str">
        <f aca="false">IFERROR(__xludf.dummyfunction("""COMPUTED_VALUE"""),"taufeeq.akhtar@tajir-app.com")</f>
        <v>taufeeq.akhtar@tajir-app.com</v>
      </c>
      <c r="P258" s="13" t="str">
        <f aca="false">IFERROR(__xludf.dummyfunction("""COMPUTED_VALUE"""),"Taufeeq Akhtar ")</f>
        <v>Taufeeq Akhtar </v>
      </c>
      <c r="Q258" s="13" t="str">
        <f aca="false">IFERROR(__xludf.dummyfunction("""COMPUTED_VALUE"""),"[Code: 689DHJ] TA: found damaged during display.")</f>
        <v>[Code: 689DHJ] TA: found damaged during display.</v>
      </c>
      <c r="R258" s="13" t="str">
        <v>Fri,21-July-2023 ,06:15 PM</v>
      </c>
      <c r="S258" s="13" t="str">
        <v>Damaged Stock</v>
      </c>
    </row>
    <row r="259" customFormat="false" ht="15.75" hidden="false" customHeight="false" outlineLevel="0" collapsed="false">
      <c r="A259" s="13" t="str">
        <f aca="false">IFERROR(__xludf.dummyfunction("""COMPUTED_VALUE"""),"Metro DC Faisalabad")</f>
        <v>Metro DC Faisalabad</v>
      </c>
      <c r="B259" s="13" t="str">
        <f aca="false">IFERROR(__xludf.dummyfunction("""COMPUTED_VALUE"""),"621dbd60-720f-4ade-92c4-b3749f55891a")</f>
        <v>621dbd60-720f-4ade-92c4-b3749f55891a</v>
      </c>
      <c r="C259" s="13" t="str">
        <f aca="false">IFERROR(__xludf.dummyfunction("""COMPUTED_VALUE"""),"Al-Munawar Chaat Masala 500g")</f>
        <v>Al-Munawar Chaat Masala 500g</v>
      </c>
      <c r="D259" s="13" t="str">
        <f aca="false">IFERROR(__xludf.dummyfunction("""COMPUTED_VALUE"""),"Al-Munawar")</f>
        <v>Al-Munawar</v>
      </c>
      <c r="E259" s="13" t="str">
        <f aca="false">IFERROR(__xludf.dummyfunction("""COMPUTED_VALUE"""),"Spices")</f>
        <v>Spices</v>
      </c>
      <c r="F259" s="11" t="n">
        <f aca="false">IFERROR(__xludf.dummyfunction("""COMPUTED_VALUE"""),45129)</f>
        <v>45129</v>
      </c>
      <c r="G259" s="12" t="n">
        <f aca="false">IFERROR(__xludf.dummyfunction("""COMPUTED_VALUE"""),0.415430682869487)</f>
        <v>0.4154306829</v>
      </c>
      <c r="H259" s="13" t="str">
        <f aca="false">IFERROR(__xludf.dummyfunction("""COMPUTED_VALUE"""),"damaged stock")</f>
        <v>damaged stock</v>
      </c>
      <c r="I259" s="13" t="n">
        <f aca="false">IFERROR(__xludf.dummyfunction("""COMPUTED_VALUE"""),13)</f>
        <v>13</v>
      </c>
      <c r="J259" s="13" t="n">
        <f aca="false">IFERROR(__xludf.dummyfunction("""COMPUTED_VALUE"""),165)</f>
        <v>165</v>
      </c>
      <c r="K259" s="13" t="n">
        <f aca="false">IFERROR(__xludf.dummyfunction("""COMPUTED_VALUE"""),2145)</f>
        <v>2145</v>
      </c>
      <c r="L259" s="13" t="str">
        <f aca="false">IFERROR(__xludf.dummyfunction("""COMPUTED_VALUE"""),"[Code: 34566C] 13 units have quality issue")</f>
        <v>[Code: 34566C] 13 units have quality issue</v>
      </c>
      <c r="M259" s="13" t="str">
        <f aca="false">IFERROR(__xludf.dummyfunction("""COMPUTED_VALUE"""),"34566C")</f>
        <v>34566C</v>
      </c>
      <c r="N259" s="13"/>
      <c r="O259" s="13" t="str">
        <f aca="false">IFERROR(__xludf.dummyfunction("""COMPUTED_VALUE"""),"ali.raza@tajir-app.com")</f>
        <v>ali.raza@tajir-app.com</v>
      </c>
      <c r="P259" s="13" t="str">
        <f aca="false">IFERROR(__xludf.dummyfunction("""COMPUTED_VALUE"""),"Ali Raza ")</f>
        <v>Ali Raza </v>
      </c>
      <c r="Q259" s="13" t="str">
        <f aca="false">IFERROR(__xludf.dummyfunction("""COMPUTED_VALUE"""),"[Code: 34566C] 13 units have quality issue")</f>
        <v>[Code: 34566C] 13 units have quality issue</v>
      </c>
      <c r="R259" s="13" t="str">
        <v>Sat,22-July-2023 ,09:58 AM</v>
      </c>
      <c r="S259" s="13" t="str">
        <v>Damaged Stock</v>
      </c>
    </row>
    <row r="260" customFormat="false" ht="15.75" hidden="false" customHeight="false" outlineLevel="0" collapsed="false">
      <c r="A260" s="13" t="str">
        <f aca="false">IFERROR(__xludf.dummyfunction("""COMPUTED_VALUE"""),"Metro DC Faisalabad")</f>
        <v>Metro DC Faisalabad</v>
      </c>
      <c r="B260" s="13" t="str">
        <f aca="false">IFERROR(__xludf.dummyfunction("""COMPUTED_VALUE"""),"c32c9268-2957-4ca1-b416-07784f269da3")</f>
        <v>c32c9268-2957-4ca1-b416-07784f269da3</v>
      </c>
      <c r="C260" s="13" t="str">
        <f aca="false">IFERROR(__xludf.dummyfunction("""COMPUTED_VALUE"""),"Al-Munawar Dar Cheeni 500g")</f>
        <v>Al-Munawar Dar Cheeni 500g</v>
      </c>
      <c r="D260" s="13" t="str">
        <f aca="false">IFERROR(__xludf.dummyfunction("""COMPUTED_VALUE"""),"Al-Munawar")</f>
        <v>Al-Munawar</v>
      </c>
      <c r="E260" s="13" t="str">
        <f aca="false">IFERROR(__xludf.dummyfunction("""COMPUTED_VALUE"""),"Spices")</f>
        <v>Spices</v>
      </c>
      <c r="F260" s="11" t="n">
        <f aca="false">IFERROR(__xludf.dummyfunction("""COMPUTED_VALUE"""),45129)</f>
        <v>45129</v>
      </c>
      <c r="G260" s="12" t="n">
        <f aca="false">IFERROR(__xludf.dummyfunction("""COMPUTED_VALUE"""),0.415784444444692)</f>
        <v>0.4157844444</v>
      </c>
      <c r="H260" s="13" t="str">
        <f aca="false">IFERROR(__xludf.dummyfunction("""COMPUTED_VALUE"""),"damaged stock")</f>
        <v>damaged stock</v>
      </c>
      <c r="I260" s="13" t="n">
        <f aca="false">IFERROR(__xludf.dummyfunction("""COMPUTED_VALUE"""),14)</f>
        <v>14</v>
      </c>
      <c r="J260" s="13" t="n">
        <f aca="false">IFERROR(__xludf.dummyfunction("""COMPUTED_VALUE"""),540)</f>
        <v>540</v>
      </c>
      <c r="K260" s="13" t="n">
        <f aca="false">IFERROR(__xludf.dummyfunction("""COMPUTED_VALUE"""),7560)</f>
        <v>7560</v>
      </c>
      <c r="L260" s="13" t="str">
        <f aca="false">IFERROR(__xludf.dummyfunction("""COMPUTED_VALUE"""),"[Code: 2349DF] 14 units have quality issue ")</f>
        <v>[Code: 2349DF] 14 units have quality issue </v>
      </c>
      <c r="M260" s="13" t="str">
        <f aca="false">IFERROR(__xludf.dummyfunction("""COMPUTED_VALUE"""),"2349DF")</f>
        <v>2349DF</v>
      </c>
      <c r="N260" s="13"/>
      <c r="O260" s="13" t="str">
        <f aca="false">IFERROR(__xludf.dummyfunction("""COMPUTED_VALUE"""),"ali.raza@tajir-app.com")</f>
        <v>ali.raza@tajir-app.com</v>
      </c>
      <c r="P260" s="13" t="str">
        <f aca="false">IFERROR(__xludf.dummyfunction("""COMPUTED_VALUE"""),"Ali Raza ")</f>
        <v>Ali Raza </v>
      </c>
      <c r="Q260" s="13" t="str">
        <f aca="false">IFERROR(__xludf.dummyfunction("""COMPUTED_VALUE"""),"[Code: 2349DF] 14 units have quality issue ")</f>
        <v>[Code: 2349DF] 14 units have quality issue </v>
      </c>
      <c r="R260" s="13" t="str">
        <v>Sat,22-July-2023 ,09:58 AM</v>
      </c>
      <c r="S260" s="13" t="str">
        <v>Damaged Stock</v>
      </c>
    </row>
    <row r="261" customFormat="false" ht="15.75" hidden="false" customHeight="false" outlineLevel="0" collapsed="false">
      <c r="A261" s="13" t="str">
        <f aca="false">IFERROR(__xludf.dummyfunction("""COMPUTED_VALUE"""),"Metro DC Faisalabad")</f>
        <v>Metro DC Faisalabad</v>
      </c>
      <c r="B261" s="13" t="str">
        <f aca="false">IFERROR(__xludf.dummyfunction("""COMPUTED_VALUE"""),"db2a9e21-31e6-49fe-af06-a1ebbfaf94f6")</f>
        <v>db2a9e21-31e6-49fe-af06-a1ebbfaf94f6</v>
      </c>
      <c r="C261" s="13" t="str">
        <f aca="false">IFERROR(__xludf.dummyfunction("""COMPUTED_VALUE"""),"Al-Munawar Garam Masala Powder 1kg")</f>
        <v>Al-Munawar Garam Masala Powder 1kg</v>
      </c>
      <c r="D261" s="13" t="str">
        <f aca="false">IFERROR(__xludf.dummyfunction("""COMPUTED_VALUE"""),"Al-Munawar")</f>
        <v>Al-Munawar</v>
      </c>
      <c r="E261" s="13" t="str">
        <f aca="false">IFERROR(__xludf.dummyfunction("""COMPUTED_VALUE"""),"Spices")</f>
        <v>Spices</v>
      </c>
      <c r="F261" s="11" t="n">
        <f aca="false">IFERROR(__xludf.dummyfunction("""COMPUTED_VALUE"""),45129)</f>
        <v>45129</v>
      </c>
      <c r="G261" s="12" t="n">
        <f aca="false">IFERROR(__xludf.dummyfunction("""COMPUTED_VALUE"""),0.416321307870451)</f>
        <v>0.4163213079</v>
      </c>
      <c r="H261" s="13" t="str">
        <f aca="false">IFERROR(__xludf.dummyfunction("""COMPUTED_VALUE"""),"damaged stock")</f>
        <v>damaged stock</v>
      </c>
      <c r="I261" s="13" t="n">
        <f aca="false">IFERROR(__xludf.dummyfunction("""COMPUTED_VALUE"""),13)</f>
        <v>13</v>
      </c>
      <c r="J261" s="13" t="n">
        <f aca="false">IFERROR(__xludf.dummyfunction("""COMPUTED_VALUE"""),1510)</f>
        <v>1510</v>
      </c>
      <c r="K261" s="13" t="n">
        <f aca="false">IFERROR(__xludf.dummyfunction("""COMPUTED_VALUE"""),19630)</f>
        <v>19630</v>
      </c>
      <c r="L261" s="13" t="str">
        <f aca="false">IFERROR(__xludf.dummyfunction("""COMPUTED_VALUE"""),"[Code: 2558AB] 14 units found and have quality issue")</f>
        <v>[Code: 2558AB] 14 units found and have quality issue</v>
      </c>
      <c r="M261" s="13" t="str">
        <f aca="false">IFERROR(__xludf.dummyfunction("""COMPUTED_VALUE"""),"2558AB")</f>
        <v>2558AB</v>
      </c>
      <c r="N261" s="13"/>
      <c r="O261" s="13" t="str">
        <f aca="false">IFERROR(__xludf.dummyfunction("""COMPUTED_VALUE"""),"ali.raza@tajir-app.com")</f>
        <v>ali.raza@tajir-app.com</v>
      </c>
      <c r="P261" s="13" t="str">
        <f aca="false">IFERROR(__xludf.dummyfunction("""COMPUTED_VALUE"""),"Ali Raza ")</f>
        <v>Ali Raza </v>
      </c>
      <c r="Q261" s="13" t="str">
        <f aca="false">IFERROR(__xludf.dummyfunction("""COMPUTED_VALUE"""),"[Code: 2558AB] 14 units found and have quality issue")</f>
        <v>[Code: 2558AB] 14 units found and have quality issue</v>
      </c>
      <c r="R261" s="13" t="str">
        <v>Sat,22-July-2023 ,09:59 AM</v>
      </c>
      <c r="S261" s="13" t="str">
        <v>Damaged Stock</v>
      </c>
    </row>
    <row r="262" customFormat="false" ht="15.75" hidden="false" customHeight="false" outlineLevel="0" collapsed="false">
      <c r="A262" s="13" t="str">
        <f aca="false">IFERROR(__xludf.dummyfunction("""COMPUTED_VALUE"""),"Metro DC Faisalabad")</f>
        <v>Metro DC Faisalabad</v>
      </c>
      <c r="B262" s="13" t="str">
        <f aca="false">IFERROR(__xludf.dummyfunction("""COMPUTED_VALUE"""),"c5f28882-1e06-4a8e-9655-5fb37e9446a2")</f>
        <v>c5f28882-1e06-4a8e-9655-5fb37e9446a2</v>
      </c>
      <c r="C262" s="13" t="str">
        <f aca="false">IFERROR(__xludf.dummyfunction("""COMPUTED_VALUE"""),"Dove Intense Repair Shampoo 175ml Rs450")</f>
        <v>Dove Intense Repair Shampoo 175ml Rs450</v>
      </c>
      <c r="D262" s="13" t="str">
        <f aca="false">IFERROR(__xludf.dummyfunction("""COMPUTED_VALUE"""),"Dove")</f>
        <v>Dove</v>
      </c>
      <c r="E262" s="13" t="str">
        <f aca="false">IFERROR(__xludf.dummyfunction("""COMPUTED_VALUE"""),"Shampoo")</f>
        <v>Shampoo</v>
      </c>
      <c r="F262" s="11" t="n">
        <f aca="false">IFERROR(__xludf.dummyfunction("""COMPUTED_VALUE"""),45129)</f>
        <v>45129</v>
      </c>
      <c r="G262" s="12" t="n">
        <f aca="false">IFERROR(__xludf.dummyfunction("""COMPUTED_VALUE"""),0.861695856480538)</f>
        <v>0.8616958565</v>
      </c>
      <c r="H262" s="13" t="str">
        <f aca="false">IFERROR(__xludf.dummyfunction("""COMPUTED_VALUE"""),"damaged stock")</f>
        <v>damaged stock</v>
      </c>
      <c r="I262" s="13" t="n">
        <f aca="false">IFERROR(__xludf.dummyfunction("""COMPUTED_VALUE"""),1)</f>
        <v>1</v>
      </c>
      <c r="J262" s="13" t="n">
        <f aca="false">IFERROR(__xludf.dummyfunction("""COMPUTED_VALUE"""),395)</f>
        <v>395</v>
      </c>
      <c r="K262" s="13" t="n">
        <f aca="false">IFERROR(__xludf.dummyfunction("""COMPUTED_VALUE"""),395)</f>
        <v>395</v>
      </c>
      <c r="L262" s="13" t="str">
        <f aca="false">IFERROR(__xludf.dummyfunction("""COMPUTED_VALUE"""),"[Code: 347889] TA: box may day damage mila(Leak hua hay cap open haoay k wajah say).")</f>
        <v>[Code: 347889] TA: box may day damage mila(Leak hua hay cap open haoay k wajah say).</v>
      </c>
      <c r="M262" s="13" t="str">
        <f aca="false">IFERROR(__xludf.dummyfunction("""COMPUTED_VALUE"""),"347889")</f>
        <v>347889</v>
      </c>
      <c r="N262" s="13"/>
      <c r="O262" s="13" t="str">
        <f aca="false">IFERROR(__xludf.dummyfunction("""COMPUTED_VALUE"""),"taufeeq.akhtar@tajir-app.com")</f>
        <v>taufeeq.akhtar@tajir-app.com</v>
      </c>
      <c r="P262" s="13" t="str">
        <f aca="false">IFERROR(__xludf.dummyfunction("""COMPUTED_VALUE"""),"Taufeeq Akhtar ")</f>
        <v>Taufeeq Akhtar </v>
      </c>
      <c r="Q262" s="13" t="str">
        <f aca="false">IFERROR(__xludf.dummyfunction("""COMPUTED_VALUE"""),"[Code: 347889] TA: box may day damage mila(Leak hua hay cap open haoay k wajah say).")</f>
        <v>[Code: 347889] TA: box may day damage mila(Leak hua hay cap open haoay k wajah say).</v>
      </c>
      <c r="R262" s="13" t="str">
        <v>Sat,22-July-2023 ,08:40 PM</v>
      </c>
      <c r="S262" s="13" t="str">
        <v>Damaged Stock</v>
      </c>
    </row>
    <row r="263" customFormat="false" ht="15.75" hidden="false" customHeight="false" outlineLevel="0" collapsed="false">
      <c r="A263" s="13" t="str">
        <f aca="false">IFERROR(__xludf.dummyfunction("""COMPUTED_VALUE"""),"Metro DC Faisalabad")</f>
        <v>Metro DC Faisalabad</v>
      </c>
      <c r="B263" s="13" t="str">
        <f aca="false">IFERROR(__xludf.dummyfunction("""COMPUTED_VALUE"""),"2078dcd4-3c88-45e1-bc7b-363dde84c6e8")</f>
        <v>2078dcd4-3c88-45e1-bc7b-363dde84c6e8</v>
      </c>
      <c r="C263" s="13" t="str">
        <f aca="false">IFERROR(__xludf.dummyfunction("""COMPUTED_VALUE"""),"Special Wooden Phool Jharoo")</f>
        <v>Special Wooden Phool Jharoo</v>
      </c>
      <c r="D263" s="13" t="str">
        <f aca="false">IFERROR(__xludf.dummyfunction("""COMPUTED_VALUE"""),"Jharoo")</f>
        <v>Jharoo</v>
      </c>
      <c r="E263" s="13" t="str">
        <f aca="false">IFERROR(__xludf.dummyfunction("""COMPUTED_VALUE"""),"Home Care")</f>
        <v>Home Care</v>
      </c>
      <c r="F263" s="11" t="n">
        <f aca="false">IFERROR(__xludf.dummyfunction("""COMPUTED_VALUE"""),45130)</f>
        <v>45130</v>
      </c>
      <c r="G263" s="12" t="n">
        <f aca="false">IFERROR(__xludf.dummyfunction("""COMPUTED_VALUE"""),0.917942962963475)</f>
        <v>0.917942963</v>
      </c>
      <c r="H263" s="13" t="str">
        <f aca="false">IFERROR(__xludf.dummyfunction("""COMPUTED_VALUE"""),"damaged stock")</f>
        <v>damaged stock</v>
      </c>
      <c r="I263" s="13" t="n">
        <f aca="false">IFERROR(__xludf.dummyfunction("""COMPUTED_VALUE"""),1)</f>
        <v>1</v>
      </c>
      <c r="J263" s="13" t="n">
        <f aca="false">IFERROR(__xludf.dummyfunction("""COMPUTED_VALUE"""),135)</f>
        <v>135</v>
      </c>
      <c r="K263" s="13" t="n">
        <f aca="false">IFERROR(__xludf.dummyfunction("""COMPUTED_VALUE"""),135)</f>
        <v>135</v>
      </c>
      <c r="L263" s="13" t="str">
        <f aca="false">IFERROR(__xludf.dummyfunction("""COMPUTED_VALUE"""),"[Code: ABDFKL] TA: found damaged during sorting")</f>
        <v>[Code: ABDFKL] TA: found damaged during sorting</v>
      </c>
      <c r="M263" s="13" t="str">
        <f aca="false">IFERROR(__xludf.dummyfunction("""COMPUTED_VALUE"""),"ABDFKL")</f>
        <v>ABDFKL</v>
      </c>
      <c r="N263" s="13"/>
      <c r="O263" s="13" t="str">
        <f aca="false">IFERROR(__xludf.dummyfunction("""COMPUTED_VALUE"""),"taufeeq.akhtar@tajir-app.com")</f>
        <v>taufeeq.akhtar@tajir-app.com</v>
      </c>
      <c r="P263" s="13" t="str">
        <f aca="false">IFERROR(__xludf.dummyfunction("""COMPUTED_VALUE"""),"Taufeeq Akhtar ")</f>
        <v>Taufeeq Akhtar </v>
      </c>
      <c r="Q263" s="13" t="str">
        <f aca="false">IFERROR(__xludf.dummyfunction("""COMPUTED_VALUE"""),"[Code: ABDFKL] TA: found damaged during sorting")</f>
        <v>[Code: ABDFKL] TA: found damaged during sorting</v>
      </c>
      <c r="R263" s="13" t="str">
        <v>Sun,23-July-2023 ,10:01 PM</v>
      </c>
      <c r="S263" s="13" t="str">
        <v>Damaged Stock</v>
      </c>
    </row>
    <row r="264" customFormat="false" ht="15.75" hidden="false" customHeight="false" outlineLevel="0" collapsed="false">
      <c r="A264" s="13" t="str">
        <f aca="false">IFERROR(__xludf.dummyfunction("""COMPUTED_VALUE"""),"Metro DC Faisalabad")</f>
        <v>Metro DC Faisalabad</v>
      </c>
      <c r="B264" s="13" t="str">
        <f aca="false">IFERROR(__xludf.dummyfunction("""COMPUTED_VALUE"""),"23294e84-86d3-4867-bf69-7035fbfaef59")</f>
        <v>23294e84-86d3-4867-bf69-7035fbfaef59</v>
      </c>
      <c r="C264" s="13" t="str">
        <f aca="false">IFERROR(__xludf.dummyfunction("""COMPUTED_VALUE"""),"Bisconni Nice Biscuit 16pcs Rs15")</f>
        <v>Bisconni Nice Biscuit 16pcs Rs15</v>
      </c>
      <c r="D264" s="13" t="str">
        <f aca="false">IFERROR(__xludf.dummyfunction("""COMPUTED_VALUE"""),"Bisconni")</f>
        <v>Bisconni</v>
      </c>
      <c r="E264" s="13" t="str">
        <f aca="false">IFERROR(__xludf.dummyfunction("""COMPUTED_VALUE"""),"Biscuits, Wafers")</f>
        <v>Biscuits, Wafers</v>
      </c>
      <c r="F264" s="11" t="n">
        <f aca="false">IFERROR(__xludf.dummyfunction("""COMPUTED_VALUE"""),45130)</f>
        <v>45130</v>
      </c>
      <c r="G264" s="12" t="n">
        <f aca="false">IFERROR(__xludf.dummyfunction("""COMPUTED_VALUE"""),0.933104444445873)</f>
        <v>0.9331044444</v>
      </c>
      <c r="H264" s="13" t="str">
        <f aca="false">IFERROR(__xludf.dummyfunction("""COMPUTED_VALUE"""),"damaged stock")</f>
        <v>damaged stock</v>
      </c>
      <c r="I264" s="13" t="n">
        <f aca="false">IFERROR(__xludf.dummyfunction("""COMPUTED_VALUE"""),1)</f>
        <v>1</v>
      </c>
      <c r="J264" s="13" t="n">
        <f aca="false">IFERROR(__xludf.dummyfunction("""COMPUTED_VALUE"""),211.5)</f>
        <v>211.5</v>
      </c>
      <c r="K264" s="13" t="n">
        <f aca="false">IFERROR(__xludf.dummyfunction("""COMPUTED_VALUE"""),211.5)</f>
        <v>211.5</v>
      </c>
      <c r="L264" s="13" t="str">
        <f aca="false">IFERROR(__xludf.dummyfunction("""COMPUTED_VALUE"""),"[Code: 335ACE] TA:found damaged on floor. ")</f>
        <v>[Code: 335ACE] TA:found damaged on floor. </v>
      </c>
      <c r="M264" s="13" t="str">
        <f aca="false">IFERROR(__xludf.dummyfunction("""COMPUTED_VALUE"""),"335ACE")</f>
        <v>335ACE</v>
      </c>
      <c r="N264" s="13"/>
      <c r="O264" s="13" t="str">
        <f aca="false">IFERROR(__xludf.dummyfunction("""COMPUTED_VALUE"""),"taufeeq.akhtar@tajir-app.com")</f>
        <v>taufeeq.akhtar@tajir-app.com</v>
      </c>
      <c r="P264" s="13" t="str">
        <f aca="false">IFERROR(__xludf.dummyfunction("""COMPUTED_VALUE"""),"Taufeeq Akhtar ")</f>
        <v>Taufeeq Akhtar </v>
      </c>
      <c r="Q264" s="13" t="str">
        <f aca="false">IFERROR(__xludf.dummyfunction("""COMPUTED_VALUE"""),"[Code: 335ACE] TA:found damaged on floor. ")</f>
        <v>[Code: 335ACE] TA:found damaged on floor. </v>
      </c>
      <c r="R264" s="13" t="str">
        <v>Sun,23-July-2023 ,10:23 PM</v>
      </c>
      <c r="S264" s="13" t="str">
        <v>Damaged Stock</v>
      </c>
    </row>
    <row r="265" customFormat="false" ht="15.75" hidden="false" customHeight="false" outlineLevel="0" collapsed="false">
      <c r="A265" s="13" t="str">
        <f aca="false">IFERROR(__xludf.dummyfunction("""COMPUTED_VALUE"""),"Metro DC Faisalabad")</f>
        <v>Metro DC Faisalabad</v>
      </c>
      <c r="B265" s="13" t="str">
        <f aca="false">IFERROR(__xludf.dummyfunction("""COMPUTED_VALUE"""),"b1d42907-2b09-4bde-b14c-0f346545bf6e")</f>
        <v>b1d42907-2b09-4bde-b14c-0f346545bf6e</v>
      </c>
      <c r="C265" s="13" t="str">
        <f aca="false">IFERROR(__xludf.dummyfunction("""COMPUTED_VALUE"""),"National Mixed Pickle 400g")</f>
        <v>National Mixed Pickle 400g</v>
      </c>
      <c r="D265" s="13" t="str">
        <f aca="false">IFERROR(__xludf.dummyfunction("""COMPUTED_VALUE"""),"National")</f>
        <v>National</v>
      </c>
      <c r="E265" s="13" t="str">
        <f aca="false">IFERROR(__xludf.dummyfunction("""COMPUTED_VALUE"""),"Sauces")</f>
        <v>Sauces</v>
      </c>
      <c r="F265" s="11" t="n">
        <f aca="false">IFERROR(__xludf.dummyfunction("""COMPUTED_VALUE"""),45131)</f>
        <v>45131</v>
      </c>
      <c r="G265" s="12" t="n">
        <f aca="false">IFERROR(__xludf.dummyfunction("""COMPUTED_VALUE"""),0.546454699075831)</f>
        <v>0.5464546991</v>
      </c>
      <c r="H265" s="13" t="str">
        <f aca="false">IFERROR(__xludf.dummyfunction("""COMPUTED_VALUE"""),"damaged stock")</f>
        <v>damaged stock</v>
      </c>
      <c r="I265" s="13" t="n">
        <f aca="false">IFERROR(__xludf.dummyfunction("""COMPUTED_VALUE"""),1)</f>
        <v>1</v>
      </c>
      <c r="J265" s="13" t="n">
        <f aca="false">IFERROR(__xludf.dummyfunction("""COMPUTED_VALUE"""),263.33)</f>
        <v>263.33</v>
      </c>
      <c r="K265" s="13" t="n">
        <f aca="false">IFERROR(__xludf.dummyfunction("""COMPUTED_VALUE"""),263.33)</f>
        <v>263.33</v>
      </c>
      <c r="L265" s="13" t="str">
        <f aca="false">IFERROR(__xludf.dummyfunction("""COMPUTED_VALUE"""),"[Code: 355668] 01 unit found damaged")</f>
        <v>[Code: 355668] 01 unit found damaged</v>
      </c>
      <c r="M265" s="13" t="str">
        <f aca="false">IFERROR(__xludf.dummyfunction("""COMPUTED_VALUE"""),"355668")</f>
        <v>355668</v>
      </c>
      <c r="N265" s="13"/>
      <c r="O265" s="13" t="str">
        <f aca="false">IFERROR(__xludf.dummyfunction("""COMPUTED_VALUE"""),"ali.raza@tajir-app.com")</f>
        <v>ali.raza@tajir-app.com</v>
      </c>
      <c r="P265" s="13" t="str">
        <f aca="false">IFERROR(__xludf.dummyfunction("""COMPUTED_VALUE"""),"Ali Raza ")</f>
        <v>Ali Raza </v>
      </c>
      <c r="Q265" s="13" t="str">
        <f aca="false">IFERROR(__xludf.dummyfunction("""COMPUTED_VALUE"""),"[Code: 355668] 01 unit found damaged")</f>
        <v>[Code: 355668] 01 unit found damaged</v>
      </c>
      <c r="R265" s="13" t="str">
        <v>Mon,24-July-2023 ,01:06 PM</v>
      </c>
      <c r="S265" s="13" t="str">
        <v>Damaged Stock</v>
      </c>
    </row>
    <row r="266" customFormat="false" ht="15.75" hidden="false" customHeight="false" outlineLevel="0" collapsed="false">
      <c r="A266" s="13" t="str">
        <f aca="false">IFERROR(__xludf.dummyfunction("""COMPUTED_VALUE"""),"Metro DC Faisalabad")</f>
        <v>Metro DC Faisalabad</v>
      </c>
      <c r="B266" s="13" t="str">
        <f aca="false">IFERROR(__xludf.dummyfunction("""COMPUTED_VALUE"""),"8af448e7-ff6d-4e39-a837-4e923e99504e")</f>
        <v>8af448e7-ff6d-4e39-a837-4e923e99504e</v>
      </c>
      <c r="C266" s="13" t="str">
        <f aca="false">IFERROR(__xludf.dummyfunction("""COMPUTED_VALUE"""),"Murree Brewery Bigg Apple Plastic x6 Crate 1L (One Liter)")</f>
        <v>Murree Brewery Bigg Apple Plastic x6 Crate 1L (One Liter)</v>
      </c>
      <c r="D266" s="13" t="str">
        <f aca="false">IFERROR(__xludf.dummyfunction("""COMPUTED_VALUE"""),"Murree Brewery")</f>
        <v>Murree Brewery</v>
      </c>
      <c r="E266" s="13" t="str">
        <f aca="false">IFERROR(__xludf.dummyfunction("""COMPUTED_VALUE"""),"Beverages")</f>
        <v>Beverages</v>
      </c>
      <c r="F266" s="11" t="n">
        <f aca="false">IFERROR(__xludf.dummyfunction("""COMPUTED_VALUE"""),45131)</f>
        <v>45131</v>
      </c>
      <c r="G266" s="12" t="n">
        <f aca="false">IFERROR(__xludf.dummyfunction("""COMPUTED_VALUE"""),0.864143067128401)</f>
        <v>0.8641430671</v>
      </c>
      <c r="H266" s="13" t="str">
        <f aca="false">IFERROR(__xludf.dummyfunction("""COMPUTED_VALUE"""),"damaged stock")</f>
        <v>damaged stock</v>
      </c>
      <c r="I266" s="13" t="n">
        <f aca="false">IFERROR(__xludf.dummyfunction("""COMPUTED_VALUE"""),1)</f>
        <v>1</v>
      </c>
      <c r="J266" s="13" t="n">
        <f aca="false">IFERROR(__xludf.dummyfunction("""COMPUTED_VALUE"""),456)</f>
        <v>456</v>
      </c>
      <c r="K266" s="13" t="n">
        <f aca="false">IFERROR(__xludf.dummyfunction("""COMPUTED_VALUE"""),456)</f>
        <v>456</v>
      </c>
      <c r="L266" s="13" t="str">
        <f aca="false">IFERROR(__xludf.dummyfunction("""COMPUTED_VALUE"""),"[Code: 3ACCCE] TA: found loose during sorting.")</f>
        <v>[Code: 3ACCCE] TA: found loose during sorting.</v>
      </c>
      <c r="M266" s="13" t="str">
        <f aca="false">IFERROR(__xludf.dummyfunction("""COMPUTED_VALUE"""),"3ACCCE")</f>
        <v>3ACCCE</v>
      </c>
      <c r="N266" s="13"/>
      <c r="O266" s="13" t="str">
        <f aca="false">IFERROR(__xludf.dummyfunction("""COMPUTED_VALUE"""),"taufeeq.akhtar@tajir-app.com")</f>
        <v>taufeeq.akhtar@tajir-app.com</v>
      </c>
      <c r="P266" s="13" t="str">
        <f aca="false">IFERROR(__xludf.dummyfunction("""COMPUTED_VALUE"""),"Taufeeq Akhtar ")</f>
        <v>Taufeeq Akhtar </v>
      </c>
      <c r="Q266" s="13" t="str">
        <f aca="false">IFERROR(__xludf.dummyfunction("""COMPUTED_VALUE"""),"[Code: 3ACCCE] TA: found loose during sorting.")</f>
        <v>[Code: 3ACCCE] TA: found loose during sorting.</v>
      </c>
      <c r="R266" s="13" t="str">
        <v>Mon,24-July-2023 ,08:44 PM</v>
      </c>
      <c r="S266" s="13" t="str">
        <v>Damaged Stock</v>
      </c>
    </row>
    <row r="267" customFormat="false" ht="15.75" hidden="false" customHeight="false" outlineLevel="0" collapsed="false">
      <c r="A267" s="13" t="str">
        <f aca="false">IFERROR(__xludf.dummyfunction("""COMPUTED_VALUE"""),"Metro DC Faisalabad")</f>
        <v>Metro DC Faisalabad</v>
      </c>
      <c r="B267" s="13" t="str">
        <f aca="false">IFERROR(__xludf.dummyfunction("""COMPUTED_VALUE"""),"8e8e98e4-a24b-4c87-acfe-8360eed46321")</f>
        <v>8e8e98e4-a24b-4c87-acfe-8360eed46321</v>
      </c>
      <c r="C267" s="13" t="str">
        <f aca="false">IFERROR(__xludf.dummyfunction("""COMPUTED_VALUE"""),"Ultra Pure Amla Shampoo Herbal 500ml Rs450")</f>
        <v>Ultra Pure Amla Shampoo Herbal 500ml Rs450</v>
      </c>
      <c r="D267" s="13" t="str">
        <f aca="false">IFERROR(__xludf.dummyfunction("""COMPUTED_VALUE"""),"Ultra Pure")</f>
        <v>Ultra Pure</v>
      </c>
      <c r="E267" s="13" t="str">
        <f aca="false">IFERROR(__xludf.dummyfunction("""COMPUTED_VALUE"""),"Shampoo")</f>
        <v>Shampoo</v>
      </c>
      <c r="F267" s="11" t="n">
        <f aca="false">IFERROR(__xludf.dummyfunction("""COMPUTED_VALUE"""),45133)</f>
        <v>45133</v>
      </c>
      <c r="G267" s="12" t="n">
        <f aca="false">IFERROR(__xludf.dummyfunction("""COMPUTED_VALUE"""),0.962524224536627)</f>
        <v>0.9625242245</v>
      </c>
      <c r="H267" s="13" t="str">
        <f aca="false">IFERROR(__xludf.dummyfunction("""COMPUTED_VALUE"""),"damaged stock")</f>
        <v>damaged stock</v>
      </c>
      <c r="I267" s="13" t="n">
        <f aca="false">IFERROR(__xludf.dummyfunction("""COMPUTED_VALUE"""),1)</f>
        <v>1</v>
      </c>
      <c r="J267" s="13" t="n">
        <f aca="false">IFERROR(__xludf.dummyfunction("""COMPUTED_VALUE"""),174)</f>
        <v>174</v>
      </c>
      <c r="K267" s="13" t="n">
        <f aca="false">IFERROR(__xludf.dummyfunction("""COMPUTED_VALUE"""),174)</f>
        <v>174</v>
      </c>
      <c r="L267" s="13" t="str">
        <f aca="false">IFERROR(__xludf.dummyfunction("""COMPUTED_VALUE"""),"[Code: 3577BD] TA:found damaged from box during display....")</f>
        <v>[Code: 3577BD] TA:found damaged from box during display....</v>
      </c>
      <c r="M267" s="13" t="str">
        <f aca="false">IFERROR(__xludf.dummyfunction("""COMPUTED_VALUE"""),"3577BD")</f>
        <v>3577BD</v>
      </c>
      <c r="N267" s="13"/>
      <c r="O267" s="13" t="str">
        <f aca="false">IFERROR(__xludf.dummyfunction("""COMPUTED_VALUE"""),"taufeeq.akhtar@tajir-app.com")</f>
        <v>taufeeq.akhtar@tajir-app.com</v>
      </c>
      <c r="P267" s="13" t="str">
        <f aca="false">IFERROR(__xludf.dummyfunction("""COMPUTED_VALUE"""),"Taufeeq Akhtar ")</f>
        <v>Taufeeq Akhtar </v>
      </c>
      <c r="Q267" s="13" t="str">
        <f aca="false">IFERROR(__xludf.dummyfunction("""COMPUTED_VALUE"""),"[Code: 3577BD] TA:found damaged from box during display....")</f>
        <v>[Code: 3577BD] TA:found damaged from box during display....</v>
      </c>
      <c r="R267" s="13" t="str">
        <v>Wed,26-July-2023 ,11:06 PM</v>
      </c>
      <c r="S267" s="13" t="str">
        <v>Damaged Stock</v>
      </c>
    </row>
    <row r="268" customFormat="false" ht="15.75" hidden="false" customHeight="false" outlineLevel="0" collapsed="false">
      <c r="A268" s="13" t="str">
        <f aca="false">IFERROR(__xludf.dummyfunction("""COMPUTED_VALUE"""),"Metro DC Faisalabad")</f>
        <v>Metro DC Faisalabad</v>
      </c>
      <c r="B268" s="13" t="str">
        <f aca="false">IFERROR(__xludf.dummyfunction("""COMPUTED_VALUE"""),"fad25572-0a15-41d0-8d58-dacc5ffc316c")</f>
        <v>fad25572-0a15-41d0-8d58-dacc5ffc316c</v>
      </c>
      <c r="C268" s="13" t="str">
        <f aca="false">IFERROR(__xludf.dummyfunction("""COMPUTED_VALUE"""),"National Mango Jam 200g")</f>
        <v>National Mango Jam 200g</v>
      </c>
      <c r="D268" s="13" t="str">
        <f aca="false">IFERROR(__xludf.dummyfunction("""COMPUTED_VALUE"""),"National")</f>
        <v>National</v>
      </c>
      <c r="E268" s="13" t="str">
        <f aca="false">IFERROR(__xludf.dummyfunction("""COMPUTED_VALUE"""),"Grocery")</f>
        <v>Grocery</v>
      </c>
      <c r="F268" s="11" t="n">
        <f aca="false">IFERROR(__xludf.dummyfunction("""COMPUTED_VALUE"""),45133)</f>
        <v>45133</v>
      </c>
      <c r="G268" s="12" t="n">
        <f aca="false">IFERROR(__xludf.dummyfunction("""COMPUTED_VALUE"""),0.979854606482252)</f>
        <v>0.9798546065</v>
      </c>
      <c r="H268" s="13" t="str">
        <f aca="false">IFERROR(__xludf.dummyfunction("""COMPUTED_VALUE"""),"damaged stock")</f>
        <v>damaged stock</v>
      </c>
      <c r="I268" s="13" t="n">
        <f aca="false">IFERROR(__xludf.dummyfunction("""COMPUTED_VALUE"""),1)</f>
        <v>1</v>
      </c>
      <c r="J268" s="13" t="n">
        <f aca="false">IFERROR(__xludf.dummyfunction("""COMPUTED_VALUE"""),145.83)</f>
        <v>145.83</v>
      </c>
      <c r="K268" s="13" t="n">
        <f aca="false">IFERROR(__xludf.dummyfunction("""COMPUTED_VALUE"""),145.83)</f>
        <v>145.83</v>
      </c>
      <c r="L268" s="13" t="str">
        <f aca="false">IFERROR(__xludf.dummyfunction("""COMPUTED_VALUE"""),"[Code: 246FJK] TA: found damaged from box during display.")</f>
        <v>[Code: 246FJK] TA: found damaged from box during display.</v>
      </c>
      <c r="M268" s="13" t="str">
        <f aca="false">IFERROR(__xludf.dummyfunction("""COMPUTED_VALUE"""),"246FJK")</f>
        <v>246FJK</v>
      </c>
      <c r="N268" s="13"/>
      <c r="O268" s="13" t="str">
        <f aca="false">IFERROR(__xludf.dummyfunction("""COMPUTED_VALUE"""),"taufeeq.akhtar@tajir-app.com")</f>
        <v>taufeeq.akhtar@tajir-app.com</v>
      </c>
      <c r="P268" s="13" t="str">
        <f aca="false">IFERROR(__xludf.dummyfunction("""COMPUTED_VALUE"""),"Taufeeq Akhtar ")</f>
        <v>Taufeeq Akhtar </v>
      </c>
      <c r="Q268" s="13" t="str">
        <f aca="false">IFERROR(__xludf.dummyfunction("""COMPUTED_VALUE"""),"[Code: 246FJK] TA: found damaged from box during display.")</f>
        <v>[Code: 246FJK] TA: found damaged from box during display.</v>
      </c>
      <c r="R268" s="13" t="str">
        <v>Wed,26-July-2023 ,11:30 PM</v>
      </c>
      <c r="S268" s="13" t="str">
        <v>Damaged Stock</v>
      </c>
    </row>
    <row r="269" customFormat="false" ht="15.75" hidden="false" customHeight="false" outlineLevel="0" collapsed="false">
      <c r="A269" s="13" t="str">
        <f aca="false">IFERROR(__xludf.dummyfunction("""COMPUTED_VALUE"""),"Metro DC Faisalabad")</f>
        <v>Metro DC Faisalabad</v>
      </c>
      <c r="B269" s="13" t="str">
        <f aca="false">IFERROR(__xludf.dummyfunction("""COMPUTED_VALUE"""),"67c33ff3-e486-487d-844a-b17c396936ee")</f>
        <v>67c33ff3-e486-487d-844a-b17c396936ee</v>
      </c>
      <c r="C269" s="13" t="str">
        <f aca="false">IFERROR(__xludf.dummyfunction("""COMPUTED_VALUE"""),"Coca Cola plastic 1L")</f>
        <v>Coca Cola plastic 1L</v>
      </c>
      <c r="D269" s="13" t="str">
        <f aca="false">IFERROR(__xludf.dummyfunction("""COMPUTED_VALUE"""),"Coca Cola")</f>
        <v>Coca Cola</v>
      </c>
      <c r="E269" s="13" t="str">
        <f aca="false">IFERROR(__xludf.dummyfunction("""COMPUTED_VALUE"""),"Beverages")</f>
        <v>Beverages</v>
      </c>
      <c r="F269" s="11" t="n">
        <f aca="false">IFERROR(__xludf.dummyfunction("""COMPUTED_VALUE"""),45137)</f>
        <v>45137</v>
      </c>
      <c r="G269" s="12" t="n">
        <f aca="false">IFERROR(__xludf.dummyfunction("""COMPUTED_VALUE"""),0.95076618055659)</f>
        <v>0.9507661806</v>
      </c>
      <c r="H269" s="13" t="str">
        <f aca="false">IFERROR(__xludf.dummyfunction("""COMPUTED_VALUE"""),"damaged stock")</f>
        <v>damaged stock</v>
      </c>
      <c r="I269" s="13" t="n">
        <f aca="false">IFERROR(__xludf.dummyfunction("""COMPUTED_VALUE"""),1)</f>
        <v>1</v>
      </c>
      <c r="J269" s="13" t="n">
        <f aca="false">IFERROR(__xludf.dummyfunction("""COMPUTED_VALUE"""),708)</f>
        <v>708</v>
      </c>
      <c r="K269" s="13" t="n">
        <f aca="false">IFERROR(__xludf.dummyfunction("""COMPUTED_VALUE"""),708)</f>
        <v>708</v>
      </c>
      <c r="L269" s="13" t="str">
        <f aca="false">IFERROR(__xludf.dummyfunction("""COMPUTED_VALUE"""),"[Code: 6ABDEG] TA: Found in loose condition during sorting.")</f>
        <v>[Code: 6ABDEG] TA: Found in loose condition during sorting.</v>
      </c>
      <c r="M269" s="13" t="str">
        <f aca="false">IFERROR(__xludf.dummyfunction("""COMPUTED_VALUE"""),"6ABDEG")</f>
        <v>6ABDEG</v>
      </c>
      <c r="N269" s="13"/>
      <c r="O269" s="13" t="str">
        <f aca="false">IFERROR(__xludf.dummyfunction("""COMPUTED_VALUE"""),"taufeeq.akhtar@tajir-app.com")</f>
        <v>taufeeq.akhtar@tajir-app.com</v>
      </c>
      <c r="P269" s="13" t="str">
        <f aca="false">IFERROR(__xludf.dummyfunction("""COMPUTED_VALUE"""),"Taufeeq Akhtar ")</f>
        <v>Taufeeq Akhtar </v>
      </c>
      <c r="Q269" s="13" t="str">
        <f aca="false">IFERROR(__xludf.dummyfunction("""COMPUTED_VALUE"""),"[Code: 6ABDEG] TA: Found in loose condition during sorting.")</f>
        <v>[Code: 6ABDEG] TA: Found in loose condition during sorting.</v>
      </c>
      <c r="R269" s="13" t="str">
        <v>Sun,30-July-2023 ,10:49 PM</v>
      </c>
      <c r="S269" s="13" t="str">
        <v>Damaged Stock</v>
      </c>
    </row>
    <row r="270" customFormat="false" ht="15.75" hidden="false" customHeight="false" outlineLevel="0" collapsed="false">
      <c r="A270" s="13" t="str">
        <f aca="false">IFERROR(__xludf.dummyfunction("""COMPUTED_VALUE"""),"Metro DC Faisalabad")</f>
        <v>Metro DC Faisalabad</v>
      </c>
      <c r="B270" s="13" t="str">
        <f aca="false">IFERROR(__xludf.dummyfunction("""COMPUTED_VALUE"""),"8e69544a-1546-48c7-8f7e-4a74280deb6d")</f>
        <v>8e69544a-1546-48c7-8f7e-4a74280deb6d</v>
      </c>
      <c r="C270" s="13" t="str">
        <f aca="false">IFERROR(__xludf.dummyfunction("""COMPUTED_VALUE"""),"Guard Awami Basmati Rice 5kg Rs1490")</f>
        <v>Guard Awami Basmati Rice 5kg Rs1490</v>
      </c>
      <c r="D270" s="13" t="str">
        <f aca="false">IFERROR(__xludf.dummyfunction("""COMPUTED_VALUE"""),"Guard Agri")</f>
        <v>Guard Agri</v>
      </c>
      <c r="E270" s="13" t="str">
        <f aca="false">IFERROR(__xludf.dummyfunction("""COMPUTED_VALUE"""),"Rice")</f>
        <v>Rice</v>
      </c>
      <c r="F270" s="11" t="n">
        <f aca="false">IFERROR(__xludf.dummyfunction("""COMPUTED_VALUE"""),45138)</f>
        <v>45138</v>
      </c>
      <c r="G270" s="12" t="n">
        <f aca="false">IFERROR(__xludf.dummyfunction("""COMPUTED_VALUE"""),0.387911087963798)</f>
        <v>0.387911088</v>
      </c>
      <c r="H270" s="13" t="str">
        <f aca="false">IFERROR(__xludf.dummyfunction("""COMPUTED_VALUE"""),"damaged stock")</f>
        <v>damaged stock</v>
      </c>
      <c r="I270" s="13" t="n">
        <f aca="false">IFERROR(__xludf.dummyfunction("""COMPUTED_VALUE"""),2)</f>
        <v>2</v>
      </c>
      <c r="J270" s="13" t="n">
        <f aca="false">IFERROR(__xludf.dummyfunction("""COMPUTED_VALUE"""),1272.75)</f>
        <v>1272.75</v>
      </c>
      <c r="K270" s="13" t="n">
        <f aca="false">IFERROR(__xludf.dummyfunction("""COMPUTED_VALUE"""),2545.5)</f>
        <v>2545.5</v>
      </c>
      <c r="L270" s="13" t="str">
        <f aca="false">IFERROR(__xludf.dummyfunction("""COMPUTED_VALUE"""),"[Code: 35789C] 2 units found damaged due to susri")</f>
        <v>[Code: 35789C] 2 units found damaged due to susri</v>
      </c>
      <c r="M270" s="13" t="str">
        <f aca="false">IFERROR(__xludf.dummyfunction("""COMPUTED_VALUE"""),"35789C")</f>
        <v>35789C</v>
      </c>
      <c r="N270" s="13"/>
      <c r="O270" s="13" t="str">
        <f aca="false">IFERROR(__xludf.dummyfunction("""COMPUTED_VALUE"""),"ali.raza@tajir-app.com")</f>
        <v>ali.raza@tajir-app.com</v>
      </c>
      <c r="P270" s="13" t="str">
        <f aca="false">IFERROR(__xludf.dummyfunction("""COMPUTED_VALUE"""),"Ali Raza ")</f>
        <v>Ali Raza </v>
      </c>
      <c r="Q270" s="13" t="str">
        <f aca="false">IFERROR(__xludf.dummyfunction("""COMPUTED_VALUE"""),"[Code: 35789C] 2 units found damaged due to susri")</f>
        <v>[Code: 35789C] 2 units found damaged due to susri</v>
      </c>
      <c r="R270" s="13" t="str">
        <v>Mon,31-July-2023 ,09:18 AM</v>
      </c>
      <c r="S270" s="13" t="str">
        <v>Damaged Stock</v>
      </c>
    </row>
    <row r="271" customFormat="false" ht="15.75" hidden="false" customHeight="false" outlineLevel="0" collapsed="false">
      <c r="A271" s="13" t="str">
        <f aca="false">IFERROR(__xludf.dummyfunction("""COMPUTED_VALUE"""),"Metro DC Faisalabad")</f>
        <v>Metro DC Faisalabad</v>
      </c>
      <c r="B271" s="13" t="str">
        <f aca="false">IFERROR(__xludf.dummyfunction("""COMPUTED_VALUE"""),"8be8f800-b90e-46d0-a0d0-62a2d626bda3")</f>
        <v>8be8f800-b90e-46d0-a0d0-62a2d626bda3</v>
      </c>
      <c r="C271" s="13" t="str">
        <f aca="false">IFERROR(__xludf.dummyfunction("""COMPUTED_VALUE"""),"Arsh Aromatic Basmati Rice 5kg Rs2050")</f>
        <v>Arsh Aromatic Basmati Rice 5kg Rs2050</v>
      </c>
      <c r="D271" s="13" t="str">
        <f aca="false">IFERROR(__xludf.dummyfunction("""COMPUTED_VALUE"""),"Arsh")</f>
        <v>Arsh</v>
      </c>
      <c r="E271" s="13" t="str">
        <f aca="false">IFERROR(__xludf.dummyfunction("""COMPUTED_VALUE"""),"Rice")</f>
        <v>Rice</v>
      </c>
      <c r="F271" s="11" t="n">
        <f aca="false">IFERROR(__xludf.dummyfunction("""COMPUTED_VALUE"""),45138)</f>
        <v>45138</v>
      </c>
      <c r="G271" s="12" t="n">
        <f aca="false">IFERROR(__xludf.dummyfunction("""COMPUTED_VALUE"""),0.388949317130222)</f>
        <v>0.3889493171</v>
      </c>
      <c r="H271" s="13" t="str">
        <f aca="false">IFERROR(__xludf.dummyfunction("""COMPUTED_VALUE"""),"damaged stock")</f>
        <v>damaged stock</v>
      </c>
      <c r="I271" s="13" t="n">
        <f aca="false">IFERROR(__xludf.dummyfunction("""COMPUTED_VALUE"""),5)</f>
        <v>5</v>
      </c>
      <c r="J271" s="13" t="n">
        <f aca="false">IFERROR(__xludf.dummyfunction("""COMPUTED_VALUE"""),1781.25)</f>
        <v>1781.25</v>
      </c>
      <c r="K271" s="13" t="n">
        <f aca="false">IFERROR(__xludf.dummyfunction("""COMPUTED_VALUE"""),8906.25)</f>
        <v>8906.25</v>
      </c>
      <c r="L271" s="13" t="str">
        <f aca="false">IFERROR(__xludf.dummyfunction("""COMPUTED_VALUE"""),"[Code: 3478AA] 5 units found damaged due to susri")</f>
        <v>[Code: 3478AA] 5 units found damaged due to susri</v>
      </c>
      <c r="M271" s="13" t="str">
        <f aca="false">IFERROR(__xludf.dummyfunction("""COMPUTED_VALUE"""),"3478AA")</f>
        <v>3478AA</v>
      </c>
      <c r="N271" s="13"/>
      <c r="O271" s="13" t="str">
        <f aca="false">IFERROR(__xludf.dummyfunction("""COMPUTED_VALUE"""),"ali.raza@tajir-app.com")</f>
        <v>ali.raza@tajir-app.com</v>
      </c>
      <c r="P271" s="13" t="str">
        <f aca="false">IFERROR(__xludf.dummyfunction("""COMPUTED_VALUE"""),"Ali Raza ")</f>
        <v>Ali Raza </v>
      </c>
      <c r="Q271" s="13" t="str">
        <f aca="false">IFERROR(__xludf.dummyfunction("""COMPUTED_VALUE"""),"[Code: 3478AA] 5 units found damaged due to susri")</f>
        <v>[Code: 3478AA] 5 units found damaged due to susri</v>
      </c>
      <c r="R271" s="13" t="str">
        <v>Mon,31-July-2023 ,09:20 AM</v>
      </c>
      <c r="S271" s="13" t="str">
        <v>Damaged Stock</v>
      </c>
    </row>
    <row r="272" customFormat="false" ht="15.75" hidden="false" customHeight="false" outlineLevel="0" collapsed="false">
      <c r="A272" s="13" t="str">
        <f aca="false">IFERROR(__xludf.dummyfunction("""COMPUTED_VALUE"""),"Metro DC Faisalabad")</f>
        <v>Metro DC Faisalabad</v>
      </c>
      <c r="B272" s="13" t="str">
        <f aca="false">IFERROR(__xludf.dummyfunction("""COMPUTED_VALUE"""),"fa16ff05-7be7-427a-9ef8-07f7e7540a1c")</f>
        <v>fa16ff05-7be7-427a-9ef8-07f7e7540a1c</v>
      </c>
      <c r="C272" s="13" t="str">
        <f aca="false">IFERROR(__xludf.dummyfunction("""COMPUTED_VALUE"""),"Guard Super Kernel Rice 5kg Rs2245")</f>
        <v>Guard Super Kernel Rice 5kg Rs2245</v>
      </c>
      <c r="D272" s="13" t="str">
        <f aca="false">IFERROR(__xludf.dummyfunction("""COMPUTED_VALUE"""),"Guard Agri")</f>
        <v>Guard Agri</v>
      </c>
      <c r="E272" s="13" t="str">
        <f aca="false">IFERROR(__xludf.dummyfunction("""COMPUTED_VALUE"""),"Rice")</f>
        <v>Rice</v>
      </c>
      <c r="F272" s="11" t="n">
        <f aca="false">IFERROR(__xludf.dummyfunction("""COMPUTED_VALUE"""),45138)</f>
        <v>45138</v>
      </c>
      <c r="G272" s="12" t="n">
        <f aca="false">IFERROR(__xludf.dummyfunction("""COMPUTED_VALUE"""),0.395963541666111)</f>
        <v>0.3959635417</v>
      </c>
      <c r="H272" s="13" t="str">
        <f aca="false">IFERROR(__xludf.dummyfunction("""COMPUTED_VALUE"""),"damaged stock")</f>
        <v>damaged stock</v>
      </c>
      <c r="I272" s="13" t="n">
        <f aca="false">IFERROR(__xludf.dummyfunction("""COMPUTED_VALUE"""),8)</f>
        <v>8</v>
      </c>
      <c r="J272" s="13" t="n">
        <f aca="false">IFERROR(__xludf.dummyfunction("""COMPUTED_VALUE"""),1903.5)</f>
        <v>1903.5</v>
      </c>
      <c r="K272" s="13" t="n">
        <f aca="false">IFERROR(__xludf.dummyfunction("""COMPUTED_VALUE"""),15228)</f>
        <v>15228</v>
      </c>
      <c r="L272" s="13" t="str">
        <f aca="false">IFERROR(__xludf.dummyfunction("""COMPUTED_VALUE"""),"[Code: 2459AB] 8 units found damaged due to susri")</f>
        <v>[Code: 2459AB] 8 units found damaged due to susri</v>
      </c>
      <c r="M272" s="13" t="str">
        <f aca="false">IFERROR(__xludf.dummyfunction("""COMPUTED_VALUE"""),"2459AB")</f>
        <v>2459AB</v>
      </c>
      <c r="N272" s="13"/>
      <c r="O272" s="13" t="str">
        <f aca="false">IFERROR(__xludf.dummyfunction("""COMPUTED_VALUE"""),"ali.raza@tajir-app.com")</f>
        <v>ali.raza@tajir-app.com</v>
      </c>
      <c r="P272" s="13" t="str">
        <f aca="false">IFERROR(__xludf.dummyfunction("""COMPUTED_VALUE"""),"Ali Raza ")</f>
        <v>Ali Raza </v>
      </c>
      <c r="Q272" s="13" t="str">
        <f aca="false">IFERROR(__xludf.dummyfunction("""COMPUTED_VALUE"""),"[Code: 2459AB] 8 units found damaged due to susri")</f>
        <v>[Code: 2459AB] 8 units found damaged due to susri</v>
      </c>
      <c r="R272" s="13" t="str">
        <v>Mon,31-July-2023 ,09:30 AM</v>
      </c>
      <c r="S272" s="13" t="str">
        <v>Damaged Stock</v>
      </c>
    </row>
    <row r="273" customFormat="false" ht="15.75" hidden="false" customHeight="false" outlineLevel="0" collapsed="false">
      <c r="A273" s="13" t="str">
        <f aca="false">IFERROR(__xludf.dummyfunction("""COMPUTED_VALUE"""),"Metro DC Faisalabad")</f>
        <v>Metro DC Faisalabad</v>
      </c>
      <c r="B273" s="13" t="str">
        <f aca="false">IFERROR(__xludf.dummyfunction("""COMPUTED_VALUE"""),"7a49cdfe-e3d6-492c-a939-6352fb823dea")</f>
        <v>7a49cdfe-e3d6-492c-a939-6352fb823dea</v>
      </c>
      <c r="C273" s="13" t="str">
        <f aca="false">IFERROR(__xludf.dummyfunction("""COMPUTED_VALUE"""),"Guard Tukra Basmati Rice 1kg Rs290")</f>
        <v>Guard Tukra Basmati Rice 1kg Rs290</v>
      </c>
      <c r="D273" s="13" t="str">
        <f aca="false">IFERROR(__xludf.dummyfunction("""COMPUTED_VALUE"""),"Guard Agri")</f>
        <v>Guard Agri</v>
      </c>
      <c r="E273" s="13" t="str">
        <f aca="false">IFERROR(__xludf.dummyfunction("""COMPUTED_VALUE"""),"Rice")</f>
        <v>Rice</v>
      </c>
      <c r="F273" s="11" t="n">
        <f aca="false">IFERROR(__xludf.dummyfunction("""COMPUTED_VALUE"""),45138)</f>
        <v>45138</v>
      </c>
      <c r="G273" s="12" t="n">
        <f aca="false">IFERROR(__xludf.dummyfunction("""COMPUTED_VALUE"""),0.396387430554176)</f>
        <v>0.3963874306</v>
      </c>
      <c r="H273" s="13" t="str">
        <f aca="false">IFERROR(__xludf.dummyfunction("""COMPUTED_VALUE"""),"damaged stock")</f>
        <v>damaged stock</v>
      </c>
      <c r="I273" s="13" t="n">
        <f aca="false">IFERROR(__xludf.dummyfunction("""COMPUTED_VALUE"""),20)</f>
        <v>20</v>
      </c>
      <c r="J273" s="13" t="n">
        <f aca="false">IFERROR(__xludf.dummyfunction("""COMPUTED_VALUE"""),247.74)</f>
        <v>247.74</v>
      </c>
      <c r="K273" s="13" t="n">
        <f aca="false">IFERROR(__xludf.dummyfunction("""COMPUTED_VALUE"""),4954.8)</f>
        <v>4954.8</v>
      </c>
      <c r="L273" s="13" t="str">
        <f aca="false">IFERROR(__xludf.dummyfunction("""COMPUTED_VALUE"""),"[Code: 223556] 20 units found damaged due to susri")</f>
        <v>[Code: 223556] 20 units found damaged due to susri</v>
      </c>
      <c r="M273" s="13" t="str">
        <f aca="false">IFERROR(__xludf.dummyfunction("""COMPUTED_VALUE"""),"223556")</f>
        <v>223556</v>
      </c>
      <c r="N273" s="13"/>
      <c r="O273" s="13" t="str">
        <f aca="false">IFERROR(__xludf.dummyfunction("""COMPUTED_VALUE"""),"ali.raza@tajir-app.com")</f>
        <v>ali.raza@tajir-app.com</v>
      </c>
      <c r="P273" s="13" t="str">
        <f aca="false">IFERROR(__xludf.dummyfunction("""COMPUTED_VALUE"""),"Ali Raza ")</f>
        <v>Ali Raza </v>
      </c>
      <c r="Q273" s="13" t="str">
        <f aca="false">IFERROR(__xludf.dummyfunction("""COMPUTED_VALUE"""),"[Code: 223556] 20 units found damaged due to susri")</f>
        <v>[Code: 223556] 20 units found damaged due to susri</v>
      </c>
      <c r="R273" s="13" t="str">
        <v>Mon,31-July-2023 ,09:30 AM</v>
      </c>
      <c r="S273" s="13" t="str">
        <v>Damaged Stock</v>
      </c>
    </row>
    <row r="274" customFormat="false" ht="15.75" hidden="false" customHeight="false" outlineLevel="0" collapsed="false">
      <c r="A274" s="13" t="str">
        <f aca="false">IFERROR(__xludf.dummyfunction("""COMPUTED_VALUE"""),"Metro DC Faisalabad")</f>
        <v>Metro DC Faisalabad</v>
      </c>
      <c r="B274" s="13" t="str">
        <f aca="false">IFERROR(__xludf.dummyfunction("""COMPUTED_VALUE"""),"a46be111-2a99-4b29-8a75-aa691efd5217")</f>
        <v>a46be111-2a99-4b29-8a75-aa691efd5217</v>
      </c>
      <c r="C274" s="13" t="str">
        <f aca="false">IFERROR(__xludf.dummyfunction("""COMPUTED_VALUE"""),"Sting Berry Blast plastic 500ml (Half Liter)")</f>
        <v>Sting Berry Blast plastic 500ml (Half Liter)</v>
      </c>
      <c r="D274" s="13" t="str">
        <f aca="false">IFERROR(__xludf.dummyfunction("""COMPUTED_VALUE"""),"Sting")</f>
        <v>Sting</v>
      </c>
      <c r="E274" s="13" t="str">
        <f aca="false">IFERROR(__xludf.dummyfunction("""COMPUTED_VALUE"""),"Beverages")</f>
        <v>Beverages</v>
      </c>
      <c r="F274" s="11" t="n">
        <f aca="false">IFERROR(__xludf.dummyfunction("""COMPUTED_VALUE"""),45138)</f>
        <v>45138</v>
      </c>
      <c r="G274" s="12" t="n">
        <f aca="false">IFERROR(__xludf.dummyfunction("""COMPUTED_VALUE"""),0.928351307869389)</f>
        <v>0.9283513079</v>
      </c>
      <c r="H274" s="13" t="str">
        <f aca="false">IFERROR(__xludf.dummyfunction("""COMPUTED_VALUE"""),"damaged stock")</f>
        <v>damaged stock</v>
      </c>
      <c r="I274" s="13" t="n">
        <f aca="false">IFERROR(__xludf.dummyfunction("""COMPUTED_VALUE"""),1)</f>
        <v>1</v>
      </c>
      <c r="J274" s="13" t="n">
        <f aca="false">IFERROR(__xludf.dummyfunction("""COMPUTED_VALUE"""),920)</f>
        <v>920</v>
      </c>
      <c r="K274" s="13" t="n">
        <f aca="false">IFERROR(__xludf.dummyfunction("""COMPUTED_VALUE"""),920)</f>
        <v>920</v>
      </c>
      <c r="L274" s="13" t="str">
        <f aca="false">IFERROR(__xludf.dummyfunction("""COMPUTED_VALUE"""),"[Code: 3BDEGJ] TA:found in loose condition during sorting.")</f>
        <v>[Code: 3BDEGJ] TA:found in loose condition during sorting.</v>
      </c>
      <c r="M274" s="13" t="str">
        <f aca="false">IFERROR(__xludf.dummyfunction("""COMPUTED_VALUE"""),"3BDEGJ")</f>
        <v>3BDEGJ</v>
      </c>
      <c r="N274" s="13"/>
      <c r="O274" s="13" t="str">
        <f aca="false">IFERROR(__xludf.dummyfunction("""COMPUTED_VALUE"""),"taufeeq.akhtar@tajir-app.com")</f>
        <v>taufeeq.akhtar@tajir-app.com</v>
      </c>
      <c r="P274" s="13" t="str">
        <f aca="false">IFERROR(__xludf.dummyfunction("""COMPUTED_VALUE"""),"Taufeeq Akhtar ")</f>
        <v>Taufeeq Akhtar </v>
      </c>
      <c r="Q274" s="13" t="str">
        <f aca="false">IFERROR(__xludf.dummyfunction("""COMPUTED_VALUE"""),"[Code: 3BDEGJ] TA:found in loose condition during sorting.")</f>
        <v>[Code: 3BDEGJ] TA:found in loose condition during sorting.</v>
      </c>
      <c r="R274" s="13" t="str">
        <v>Mon,31-July-2023 ,10:16 PM</v>
      </c>
      <c r="S274" s="13" t="str">
        <v>Damaged Stock</v>
      </c>
    </row>
    <row r="275" customFormat="false" ht="15.75" hidden="false" customHeight="false" outlineLevel="0" collapsed="false">
      <c r="A275" s="13" t="str">
        <f aca="false">IFERROR(__xludf.dummyfunction("""COMPUTED_VALUE"""),"Metro DC Faisalabad")</f>
        <v>Metro DC Faisalabad</v>
      </c>
      <c r="B275" s="13" t="str">
        <f aca="false">IFERROR(__xludf.dummyfunction("""COMPUTED_VALUE"""),"6afa406d-5fa6-42ea-a697-9b99ff3ba267")</f>
        <v>6afa406d-5fa6-42ea-a697-9b99ff3ba267</v>
      </c>
      <c r="C275" s="13" t="str">
        <f aca="false">IFERROR(__xludf.dummyfunction("""COMPUTED_VALUE"""),"Sprite plastic 1L")</f>
        <v>Sprite plastic 1L</v>
      </c>
      <c r="D275" s="13" t="str">
        <f aca="false">IFERROR(__xludf.dummyfunction("""COMPUTED_VALUE"""),"Sprite")</f>
        <v>Sprite</v>
      </c>
      <c r="E275" s="13" t="str">
        <f aca="false">IFERROR(__xludf.dummyfunction("""COMPUTED_VALUE"""),"Beverages")</f>
        <v>Beverages</v>
      </c>
      <c r="F275" s="11" t="n">
        <f aca="false">IFERROR(__xludf.dummyfunction("""COMPUTED_VALUE"""),45138)</f>
        <v>45138</v>
      </c>
      <c r="G275" s="12" t="n">
        <f aca="false">IFERROR(__xludf.dummyfunction("""COMPUTED_VALUE"""),0.929586805556671)</f>
        <v>0.9295868056</v>
      </c>
      <c r="H275" s="13" t="str">
        <f aca="false">IFERROR(__xludf.dummyfunction("""COMPUTED_VALUE"""),"damaged stock")</f>
        <v>damaged stock</v>
      </c>
      <c r="I275" s="13" t="n">
        <f aca="false">IFERROR(__xludf.dummyfunction("""COMPUTED_VALUE"""),1)</f>
        <v>1</v>
      </c>
      <c r="J275" s="13" t="n">
        <f aca="false">IFERROR(__xludf.dummyfunction("""COMPUTED_VALUE"""),708)</f>
        <v>708</v>
      </c>
      <c r="K275" s="13" t="n">
        <f aca="false">IFERROR(__xludf.dummyfunction("""COMPUTED_VALUE"""),708)</f>
        <v>708</v>
      </c>
      <c r="L275" s="13" t="str">
        <f aca="false">IFERROR(__xludf.dummyfunction("""COMPUTED_VALUE"""),"[Code: 22558A] TA: found in loose condition during sorting.")</f>
        <v>[Code: 22558A] TA: found in loose condition during sorting.</v>
      </c>
      <c r="M275" s="13" t="str">
        <f aca="false">IFERROR(__xludf.dummyfunction("""COMPUTED_VALUE"""),"22558A")</f>
        <v>22558A</v>
      </c>
      <c r="N275" s="13"/>
      <c r="O275" s="13" t="str">
        <f aca="false">IFERROR(__xludf.dummyfunction("""COMPUTED_VALUE"""),"taufeeq.akhtar@tajir-app.com")</f>
        <v>taufeeq.akhtar@tajir-app.com</v>
      </c>
      <c r="P275" s="13" t="str">
        <f aca="false">IFERROR(__xludf.dummyfunction("""COMPUTED_VALUE"""),"Taufeeq Akhtar ")</f>
        <v>Taufeeq Akhtar </v>
      </c>
      <c r="Q275" s="13" t="str">
        <f aca="false">IFERROR(__xludf.dummyfunction("""COMPUTED_VALUE"""),"[Code: 22558A] TA: found in loose condition during sorting.")</f>
        <v>[Code: 22558A] TA: found in loose condition during sorting.</v>
      </c>
      <c r="R275" s="13" t="str">
        <v>Mon,31-July-2023 ,10:18 PM</v>
      </c>
      <c r="S275" s="13" t="str">
        <v>Damaged Stock</v>
      </c>
    </row>
    <row r="276" customFormat="false" ht="15.75" hidden="false" customHeight="false" outlineLevel="0" collapsed="false">
      <c r="A276" s="13" t="str">
        <f aca="false">IFERROR(__xludf.dummyfunction("""COMPUTED_VALUE"""),"Metro DC Faisalabad")</f>
        <v>Metro DC Faisalabad</v>
      </c>
      <c r="B276" s="13" t="str">
        <f aca="false">IFERROR(__xludf.dummyfunction("""COMPUTED_VALUE"""),"79e6d840-1b66-4011-9fc4-d33bc5d08f50")</f>
        <v>79e6d840-1b66-4011-9fc4-d33bc5d08f50</v>
      </c>
      <c r="C276" s="13" t="str">
        <f aca="false">IFERROR(__xludf.dummyfunction("""COMPUTED_VALUE"""),"Pepsi plastic 1L (Other city stock)")</f>
        <v>Pepsi plastic 1L (Other city stock)</v>
      </c>
      <c r="D276" s="13" t="str">
        <f aca="false">IFERROR(__xludf.dummyfunction("""COMPUTED_VALUE"""),"Pepsi")</f>
        <v>Pepsi</v>
      </c>
      <c r="E276" s="13" t="str">
        <f aca="false">IFERROR(__xludf.dummyfunction("""COMPUTED_VALUE"""),"Beverages")</f>
        <v>Beverages</v>
      </c>
      <c r="F276" s="11" t="n">
        <f aca="false">IFERROR(__xludf.dummyfunction("""COMPUTED_VALUE"""),45139)</f>
        <v>45139</v>
      </c>
      <c r="G276" s="12" t="n">
        <f aca="false">IFERROR(__xludf.dummyfunction("""COMPUTED_VALUE"""),0.963238379630551)</f>
        <v>0.9632383796</v>
      </c>
      <c r="H276" s="13" t="str">
        <f aca="false">IFERROR(__xludf.dummyfunction("""COMPUTED_VALUE"""),"damaged stock")</f>
        <v>damaged stock</v>
      </c>
      <c r="I276" s="13" t="n">
        <f aca="false">IFERROR(__xludf.dummyfunction("""COMPUTED_VALUE"""),3)</f>
        <v>3</v>
      </c>
      <c r="J276" s="13" t="n">
        <f aca="false">IFERROR(__xludf.dummyfunction("""COMPUTED_VALUE"""),576)</f>
        <v>576</v>
      </c>
      <c r="K276" s="13" t="n">
        <f aca="false">IFERROR(__xludf.dummyfunction("""COMPUTED_VALUE"""),1728)</f>
        <v>1728</v>
      </c>
      <c r="L276" s="13" t="str">
        <f aca="false">IFERROR(__xludf.dummyfunction("""COMPUTED_VALUE"""),"[Code: 6789AD] TA: found in loose condition and some empty bottel.")</f>
        <v>[Code: 6789AD] TA: found in loose condition and some empty bottel.</v>
      </c>
      <c r="M276" s="13" t="str">
        <f aca="false">IFERROR(__xludf.dummyfunction("""COMPUTED_VALUE"""),"6789AD")</f>
        <v>6789AD</v>
      </c>
      <c r="N276" s="13"/>
      <c r="O276" s="13" t="str">
        <f aca="false">IFERROR(__xludf.dummyfunction("""COMPUTED_VALUE"""),"taufeeq.akhtar@tajir-app.com")</f>
        <v>taufeeq.akhtar@tajir-app.com</v>
      </c>
      <c r="P276" s="13" t="str">
        <f aca="false">IFERROR(__xludf.dummyfunction("""COMPUTED_VALUE"""),"Taufeeq Akhtar ")</f>
        <v>Taufeeq Akhtar </v>
      </c>
      <c r="Q276" s="13" t="str">
        <f aca="false">IFERROR(__xludf.dummyfunction("""COMPUTED_VALUE"""),"[Code: 6789AD] TA: found in loose condition and some empty bottel.")</f>
        <v>[Code: 6789AD] TA: found in loose condition and some empty bottel.</v>
      </c>
      <c r="R276" s="13" t="str">
        <v>Tue,01-August-2023 ,11:07 PM</v>
      </c>
      <c r="S276" s="13" t="str">
        <v>Damaged Stock</v>
      </c>
    </row>
    <row r="277" customFormat="false" ht="15.75" hidden="false" customHeight="false" outlineLevel="0" collapsed="false">
      <c r="A277" s="13" t="str">
        <f aca="false">IFERROR(__xludf.dummyfunction("""COMPUTED_VALUE"""),"Metro DC Faisalabad")</f>
        <v>Metro DC Faisalabad</v>
      </c>
      <c r="B277" s="13" t="str">
        <f aca="false">IFERROR(__xludf.dummyfunction("""COMPUTED_VALUE"""),"0feb230b-0301-42b3-9770-9b79ac4135fc")</f>
        <v>0feb230b-0301-42b3-9770-9b79ac4135fc</v>
      </c>
      <c r="C277" s="13" t="str">
        <f aca="false">IFERROR(__xludf.dummyfunction("""COMPUTED_VALUE"""),"Pepsi plastic 1.5L (Other city stock)")</f>
        <v>Pepsi plastic 1.5L (Other city stock)</v>
      </c>
      <c r="D277" s="13" t="str">
        <f aca="false">IFERROR(__xludf.dummyfunction("""COMPUTED_VALUE"""),"Pepsi")</f>
        <v>Pepsi</v>
      </c>
      <c r="E277" s="13" t="str">
        <f aca="false">IFERROR(__xludf.dummyfunction("""COMPUTED_VALUE"""),"Beverages")</f>
        <v>Beverages</v>
      </c>
      <c r="F277" s="11" t="n">
        <f aca="false">IFERROR(__xludf.dummyfunction("""COMPUTED_VALUE"""),45139)</f>
        <v>45139</v>
      </c>
      <c r="G277" s="12" t="n">
        <f aca="false">IFERROR(__xludf.dummyfunction("""COMPUTED_VALUE"""),0.968335486111936)</f>
        <v>0.9683354861</v>
      </c>
      <c r="H277" s="13" t="str">
        <f aca="false">IFERROR(__xludf.dummyfunction("""COMPUTED_VALUE"""),"damaged stock")</f>
        <v>damaged stock</v>
      </c>
      <c r="I277" s="13" t="n">
        <f aca="false">IFERROR(__xludf.dummyfunction("""COMPUTED_VALUE"""),1)</f>
        <v>1</v>
      </c>
      <c r="J277" s="13" t="n">
        <f aca="false">IFERROR(__xludf.dummyfunction("""COMPUTED_VALUE"""),726)</f>
        <v>726</v>
      </c>
      <c r="K277" s="13" t="n">
        <f aca="false">IFERROR(__xludf.dummyfunction("""COMPUTED_VALUE"""),726)</f>
        <v>726</v>
      </c>
      <c r="L277" s="13" t="str">
        <f aca="false">IFERROR(__xludf.dummyfunction("""COMPUTED_VALUE"""),"[Code: 79BEHH] TA: Found in loose condition during sorting.")</f>
        <v>[Code: 79BEHH] TA: Found in loose condition during sorting.</v>
      </c>
      <c r="M277" s="13" t="str">
        <f aca="false">IFERROR(__xludf.dummyfunction("""COMPUTED_VALUE"""),"79BEHH")</f>
        <v>79BEHH</v>
      </c>
      <c r="N277" s="13"/>
      <c r="O277" s="13" t="str">
        <f aca="false">IFERROR(__xludf.dummyfunction("""COMPUTED_VALUE"""),"taufeeq.akhtar@tajir-app.com")</f>
        <v>taufeeq.akhtar@tajir-app.com</v>
      </c>
      <c r="P277" s="13" t="str">
        <f aca="false">IFERROR(__xludf.dummyfunction("""COMPUTED_VALUE"""),"Taufeeq Akhtar ")</f>
        <v>Taufeeq Akhtar </v>
      </c>
      <c r="Q277" s="13" t="str">
        <f aca="false">IFERROR(__xludf.dummyfunction("""COMPUTED_VALUE"""),"[Code: 79BEHH] TA: Found in loose condition during sorting.")</f>
        <v>[Code: 79BEHH] TA: Found in loose condition during sorting.</v>
      </c>
      <c r="R277" s="13" t="str">
        <v>Tue,01-August-2023 ,11:14 PM</v>
      </c>
      <c r="S277" s="13" t="str">
        <v>Damaged Stock</v>
      </c>
    </row>
    <row r="278" customFormat="false" ht="15.75" hidden="false" customHeight="false" outlineLevel="0" collapsed="false">
      <c r="A278" s="13" t="str">
        <f aca="false">IFERROR(__xludf.dummyfunction("""COMPUTED_VALUE"""),"Metro DC Faisalabad")</f>
        <v>Metro DC Faisalabad</v>
      </c>
      <c r="B278" s="13" t="str">
        <f aca="false">IFERROR(__xludf.dummyfunction("""COMPUTED_VALUE"""),"3d8ceafe-422d-42ad-8d8f-f606dafa6270")</f>
        <v>3d8ceafe-422d-42ad-8d8f-f606dafa6270</v>
      </c>
      <c r="C278" s="13" t="str">
        <f aca="false">IFERROR(__xludf.dummyfunction("""COMPUTED_VALUE"""),"Hilal Eclairs Candy 50pcs Rs2.5")</f>
        <v>Hilal Eclairs Candy 50pcs Rs2.5</v>
      </c>
      <c r="D278" s="13" t="str">
        <f aca="false">IFERROR(__xludf.dummyfunction("""COMPUTED_VALUE"""),"Hilal")</f>
        <v>Hilal</v>
      </c>
      <c r="E278" s="13" t="str">
        <f aca="false">IFERROR(__xludf.dummyfunction("""COMPUTED_VALUE"""),"Confectionary")</f>
        <v>Confectionary</v>
      </c>
      <c r="F278" s="11" t="n">
        <f aca="false">IFERROR(__xludf.dummyfunction("""COMPUTED_VALUE"""),45142)</f>
        <v>45142</v>
      </c>
      <c r="G278" s="12" t="n">
        <f aca="false">IFERROR(__xludf.dummyfunction("""COMPUTED_VALUE"""),0.656198900463987)</f>
        <v>0.6561989005</v>
      </c>
      <c r="H278" s="13" t="str">
        <f aca="false">IFERROR(__xludf.dummyfunction("""COMPUTED_VALUE"""),"damaged stock")</f>
        <v>damaged stock</v>
      </c>
      <c r="I278" s="13" t="n">
        <f aca="false">IFERROR(__xludf.dummyfunction("""COMPUTED_VALUE"""),120)</f>
        <v>120</v>
      </c>
      <c r="J278" s="13" t="n">
        <f aca="false">IFERROR(__xludf.dummyfunction("""COMPUTED_VALUE"""),199.69)</f>
        <v>199.69</v>
      </c>
      <c r="K278" s="13" t="n">
        <f aca="false">IFERROR(__xludf.dummyfunction("""COMPUTED_VALUE"""),23962.8)</f>
        <v>23962.8</v>
      </c>
      <c r="L278" s="13" t="str">
        <f aca="false">IFERROR(__xludf.dummyfunction("""COMPUTED_VALUE"""),"AR: temp remove")</f>
        <v>AR: temp remove</v>
      </c>
      <c r="M278" s="13"/>
      <c r="N278" s="13"/>
      <c r="O278" s="13" t="str">
        <f aca="false">IFERROR(__xludf.dummyfunction("""COMPUTED_VALUE"""),"aimen.rafique@tajir-app.com")</f>
        <v>aimen.rafique@tajir-app.com</v>
      </c>
      <c r="P278" s="13" t="str">
        <f aca="false">IFERROR(__xludf.dummyfunction("""COMPUTED_VALUE"""),"Aimen Rafique")</f>
        <v>Aimen Rafique</v>
      </c>
      <c r="Q278" s="13" t="str">
        <f aca="false">IFERROR(__xludf.dummyfunction("""COMPUTED_VALUE"""),"AR: temp remove")</f>
        <v>AR: temp remove</v>
      </c>
      <c r="R278" s="13" t="str">
        <v>Fri,04-August-2023 ,03:44 PM</v>
      </c>
      <c r="S278" s="13" t="str">
        <v>Damaged Stock</v>
      </c>
    </row>
    <row r="279" customFormat="false" ht="15.75" hidden="false" customHeight="false" outlineLevel="0" collapsed="false">
      <c r="A279" s="13" t="str">
        <f aca="false">IFERROR(__xludf.dummyfunction("""COMPUTED_VALUE"""),"Metro DC Faisalabad")</f>
        <v>Metro DC Faisalabad</v>
      </c>
      <c r="B279" s="13" t="str">
        <f aca="false">IFERROR(__xludf.dummyfunction("""COMPUTED_VALUE"""),"bb395c3c-56d7-4e32-b2ae-c52852d22a73")</f>
        <v>bb395c3c-56d7-4e32-b2ae-c52852d22a73</v>
      </c>
      <c r="C279" s="13" t="str">
        <f aca="false">IFERROR(__xludf.dummyfunction("""COMPUTED_VALUE"""),"Seasly Water 1.5L")</f>
        <v>Seasly Water 1.5L</v>
      </c>
      <c r="D279" s="13" t="str">
        <f aca="false">IFERROR(__xludf.dummyfunction("""COMPUTED_VALUE"""),"Seasly Water")</f>
        <v>Seasly Water</v>
      </c>
      <c r="E279" s="13" t="str">
        <f aca="false">IFERROR(__xludf.dummyfunction("""COMPUTED_VALUE"""),"Beverages")</f>
        <v>Beverages</v>
      </c>
      <c r="F279" s="11" t="n">
        <f aca="false">IFERROR(__xludf.dummyfunction("""COMPUTED_VALUE"""),45143)</f>
        <v>45143</v>
      </c>
      <c r="G279" s="12" t="n">
        <f aca="false">IFERROR(__xludf.dummyfunction("""COMPUTED_VALUE"""),0.863720972221818)</f>
        <v>0.8637209722</v>
      </c>
      <c r="H279" s="13" t="str">
        <f aca="false">IFERROR(__xludf.dummyfunction("""COMPUTED_VALUE"""),"damaged stock")</f>
        <v>damaged stock</v>
      </c>
      <c r="I279" s="13" t="n">
        <f aca="false">IFERROR(__xludf.dummyfunction("""COMPUTED_VALUE"""),1)</f>
        <v>1</v>
      </c>
      <c r="J279" s="13" t="n">
        <f aca="false">IFERROR(__xludf.dummyfunction("""COMPUTED_VALUE"""),175)</f>
        <v>175</v>
      </c>
      <c r="K279" s="13" t="n">
        <f aca="false">IFERROR(__xludf.dummyfunction("""COMPUTED_VALUE"""),175)</f>
        <v>175</v>
      </c>
      <c r="L279" s="13" t="str">
        <f aca="false">IFERROR(__xludf.dummyfunction("""COMPUTED_VALUE"""),"[Code: 49BBHJ] TA: loose bottels found during sorting.")</f>
        <v>[Code: 49BBHJ] TA: loose bottels found during sorting.</v>
      </c>
      <c r="M279" s="13" t="str">
        <f aca="false">IFERROR(__xludf.dummyfunction("""COMPUTED_VALUE"""),"49BBHJ")</f>
        <v>49BBHJ</v>
      </c>
      <c r="N279" s="13"/>
      <c r="O279" s="13" t="str">
        <f aca="false">IFERROR(__xludf.dummyfunction("""COMPUTED_VALUE"""),"taufeeq.akhtar@tajir-app.com")</f>
        <v>taufeeq.akhtar@tajir-app.com</v>
      </c>
      <c r="P279" s="13" t="str">
        <f aca="false">IFERROR(__xludf.dummyfunction("""COMPUTED_VALUE"""),"Taufeeq Akhtar ")</f>
        <v>Taufeeq Akhtar </v>
      </c>
      <c r="Q279" s="13" t="str">
        <f aca="false">IFERROR(__xludf.dummyfunction("""COMPUTED_VALUE"""),"[Code: 49BBHJ] TA: loose bottels found during sorting.")</f>
        <v>[Code: 49BBHJ] TA: loose bottels found during sorting.</v>
      </c>
      <c r="R279" s="13" t="str">
        <v>Sat,05-August-2023 ,08:43 PM</v>
      </c>
      <c r="S279" s="13" t="str">
        <v>Damaged Stock</v>
      </c>
    </row>
    <row r="280" customFormat="false" ht="15.75" hidden="false" customHeight="false" outlineLevel="0" collapsed="false">
      <c r="A280" s="13" t="str">
        <f aca="false">IFERROR(__xludf.dummyfunction("""COMPUTED_VALUE"""),"Metro DC Faisalabad")</f>
        <v>Metro DC Faisalabad</v>
      </c>
      <c r="B280" s="13" t="str">
        <f aca="false">IFERROR(__xludf.dummyfunction("""COMPUTED_VALUE"""),"80b07a0a-8f60-4407-ab45-58e972cfd1dd")</f>
        <v>80b07a0a-8f60-4407-ab45-58e972cfd1dd</v>
      </c>
      <c r="C280" s="13" t="str">
        <f aca="false">IFERROR(__xludf.dummyfunction("""COMPUTED_VALUE"""),"Giggly Opus Square Caramel Chocolate 30pcs Box Rs5")</f>
        <v>Giggly Opus Square Caramel Chocolate 30pcs Box Rs5</v>
      </c>
      <c r="D280" s="13" t="str">
        <f aca="false">IFERROR(__xludf.dummyfunction("""COMPUTED_VALUE"""),"Giggly")</f>
        <v>Giggly</v>
      </c>
      <c r="E280" s="13" t="str">
        <f aca="false">IFERROR(__xludf.dummyfunction("""COMPUTED_VALUE"""),"Confectionary")</f>
        <v>Confectionary</v>
      </c>
      <c r="F280" s="11" t="n">
        <f aca="false">IFERROR(__xludf.dummyfunction("""COMPUTED_VALUE"""),45144)</f>
        <v>45144</v>
      </c>
      <c r="G280" s="12" t="n">
        <f aca="false">IFERROR(__xludf.dummyfunction("""COMPUTED_VALUE"""),0.823554780093455)</f>
        <v>0.8235547801</v>
      </c>
      <c r="H280" s="13" t="str">
        <f aca="false">IFERROR(__xludf.dummyfunction("""COMPUTED_VALUE"""),"damaged stock")</f>
        <v>damaged stock</v>
      </c>
      <c r="I280" s="13" t="n">
        <f aca="false">IFERROR(__xludf.dummyfunction("""COMPUTED_VALUE"""),1)</f>
        <v>1</v>
      </c>
      <c r="J280" s="13" t="n">
        <f aca="false">IFERROR(__xludf.dummyfunction("""COMPUTED_VALUE"""),122.67)</f>
        <v>122.67</v>
      </c>
      <c r="K280" s="13" t="n">
        <f aca="false">IFERROR(__xludf.dummyfunction("""COMPUTED_VALUE"""),122.67)</f>
        <v>122.67</v>
      </c>
      <c r="L280" s="13" t="str">
        <f aca="false">IFERROR(__xludf.dummyfunction("""COMPUTED_VALUE"""),"[Code: 446789] TA: found damaged from corton during display and few pieces are missing from the box.")</f>
        <v>[Code: 446789] TA: found damaged from corton during display and few pieces are missing from the box.</v>
      </c>
      <c r="M280" s="13" t="str">
        <f aca="false">IFERROR(__xludf.dummyfunction("""COMPUTED_VALUE"""),"446789")</f>
        <v>446789</v>
      </c>
      <c r="N280" s="13"/>
      <c r="O280" s="13" t="str">
        <f aca="false">IFERROR(__xludf.dummyfunction("""COMPUTED_VALUE"""),"taufeeq.akhtar@tajir-app.com")</f>
        <v>taufeeq.akhtar@tajir-app.com</v>
      </c>
      <c r="P280" s="13" t="str">
        <f aca="false">IFERROR(__xludf.dummyfunction("""COMPUTED_VALUE"""),"Taufeeq Akhtar ")</f>
        <v>Taufeeq Akhtar </v>
      </c>
      <c r="Q280" s="13" t="str">
        <f aca="false">IFERROR(__xludf.dummyfunction("""COMPUTED_VALUE"""),"[Code: 446789] TA: found damaged from corton during display and few pieces are missing from the box.")</f>
        <v>[Code: 446789] TA: found damaged from corton during display and few pieces are missing from the box.</v>
      </c>
      <c r="R280" s="13" t="str">
        <v>Sun,06-August-2023 ,07:45 PM</v>
      </c>
      <c r="S280" s="13" t="str">
        <v>Damaged Stock</v>
      </c>
    </row>
    <row r="281" customFormat="false" ht="15.75" hidden="false" customHeight="false" outlineLevel="0" collapsed="false">
      <c r="A281" s="13" t="str">
        <f aca="false">IFERROR(__xludf.dummyfunction("""COMPUTED_VALUE"""),"Metro DC Faisalabad")</f>
        <v>Metro DC Faisalabad</v>
      </c>
      <c r="B281" s="13" t="str">
        <f aca="false">IFERROR(__xludf.dummyfunction("""COMPUTED_VALUE"""),"09ff2b51-de1a-43dc-8e0b-d66ec9177555")</f>
        <v>09ff2b51-de1a-43dc-8e0b-d66ec9177555</v>
      </c>
      <c r="C281" s="13" t="str">
        <f aca="false">IFERROR(__xludf.dummyfunction("""COMPUTED_VALUE"""),"Aquafina Mineral Water 1.5L ")</f>
        <v>Aquafina Mineral Water 1.5L </v>
      </c>
      <c r="D281" s="13" t="str">
        <f aca="false">IFERROR(__xludf.dummyfunction("""COMPUTED_VALUE"""),"Aquafina")</f>
        <v>Aquafina</v>
      </c>
      <c r="E281" s="13" t="str">
        <f aca="false">IFERROR(__xludf.dummyfunction("""COMPUTED_VALUE"""),"Beverages")</f>
        <v>Beverages</v>
      </c>
      <c r="F281" s="11" t="n">
        <f aca="false">IFERROR(__xludf.dummyfunction("""COMPUTED_VALUE"""),45144)</f>
        <v>45144</v>
      </c>
      <c r="G281" s="12" t="n">
        <f aca="false">IFERROR(__xludf.dummyfunction("""COMPUTED_VALUE"""),0.938166064816238)</f>
        <v>0.9381660648</v>
      </c>
      <c r="H281" s="13" t="str">
        <f aca="false">IFERROR(__xludf.dummyfunction("""COMPUTED_VALUE"""),"damaged stock")</f>
        <v>damaged stock</v>
      </c>
      <c r="I281" s="13" t="n">
        <f aca="false">IFERROR(__xludf.dummyfunction("""COMPUTED_VALUE"""),1)</f>
        <v>1</v>
      </c>
      <c r="J281" s="13" t="n">
        <f aca="false">IFERROR(__xludf.dummyfunction("""COMPUTED_VALUE"""),425)</f>
        <v>425</v>
      </c>
      <c r="K281" s="13" t="n">
        <f aca="false">IFERROR(__xludf.dummyfunction("""COMPUTED_VALUE"""),425)</f>
        <v>425</v>
      </c>
      <c r="L281" s="13" t="str">
        <f aca="false">IFERROR(__xludf.dummyfunction("""COMPUTED_VALUE"""),"[Code: 33679A] TA: loose bottels found during sorting.")</f>
        <v>[Code: 33679A] TA: loose bottels found during sorting.</v>
      </c>
      <c r="M281" s="13" t="str">
        <f aca="false">IFERROR(__xludf.dummyfunction("""COMPUTED_VALUE"""),"33679A")</f>
        <v>33679A</v>
      </c>
      <c r="N281" s="13"/>
      <c r="O281" s="13" t="str">
        <f aca="false">IFERROR(__xludf.dummyfunction("""COMPUTED_VALUE"""),"taufeeq.akhtar@tajir-app.com")</f>
        <v>taufeeq.akhtar@tajir-app.com</v>
      </c>
      <c r="P281" s="13" t="str">
        <f aca="false">IFERROR(__xludf.dummyfunction("""COMPUTED_VALUE"""),"Taufeeq Akhtar ")</f>
        <v>Taufeeq Akhtar </v>
      </c>
      <c r="Q281" s="13" t="str">
        <f aca="false">IFERROR(__xludf.dummyfunction("""COMPUTED_VALUE"""),"[Code: 33679A] TA: loose bottels found during sorting.")</f>
        <v>[Code: 33679A] TA: loose bottels found during sorting.</v>
      </c>
      <c r="R281" s="13" t="str">
        <v>Sun,06-August-2023 ,10:30 PM</v>
      </c>
      <c r="S281" s="13" t="str">
        <v>Damaged Stock</v>
      </c>
    </row>
    <row r="282" customFormat="false" ht="15.75" hidden="false" customHeight="false" outlineLevel="0" collapsed="false">
      <c r="A282" s="13" t="str">
        <f aca="false">IFERROR(__xludf.dummyfunction("""COMPUTED_VALUE"""),"Metro DC Faisalabad")</f>
        <v>Metro DC Faisalabad</v>
      </c>
      <c r="B282" s="13" t="str">
        <f aca="false">IFERROR(__xludf.dummyfunction("""COMPUTED_VALUE"""),"d864c0cd-914b-4a54-96d5-8e894ba5f3b6")</f>
        <v>d864c0cd-914b-4a54-96d5-8e894ba5f3b6</v>
      </c>
      <c r="C282" s="13" t="str">
        <f aca="false">IFERROR(__xludf.dummyfunction("""COMPUTED_VALUE"""),"Surf Excel x6 bundle 20g Rs 10")</f>
        <v>Surf Excel x6 bundle 20g Rs 10</v>
      </c>
      <c r="D282" s="13" t="str">
        <f aca="false">IFERROR(__xludf.dummyfunction("""COMPUTED_VALUE"""),"Surf Excel")</f>
        <v>Surf Excel</v>
      </c>
      <c r="E282" s="13" t="str">
        <f aca="false">IFERROR(__xludf.dummyfunction("""COMPUTED_VALUE"""),"Surf, Bleach")</f>
        <v>Surf, Bleach</v>
      </c>
      <c r="F282" s="11" t="n">
        <f aca="false">IFERROR(__xludf.dummyfunction("""COMPUTED_VALUE"""),45145)</f>
        <v>45145</v>
      </c>
      <c r="G282" s="12" t="n">
        <f aca="false">IFERROR(__xludf.dummyfunction("""COMPUTED_VALUE"""),0.90798822916505)</f>
        <v>0.9079882292</v>
      </c>
      <c r="H282" s="13" t="str">
        <f aca="false">IFERROR(__xludf.dummyfunction("""COMPUTED_VALUE"""),"damaged stock")</f>
        <v>damaged stock</v>
      </c>
      <c r="I282" s="13" t="n">
        <f aca="false">IFERROR(__xludf.dummyfunction("""COMPUTED_VALUE"""),2)</f>
        <v>2</v>
      </c>
      <c r="J282" s="13" t="n">
        <f aca="false">IFERROR(__xludf.dummyfunction("""COMPUTED_VALUE"""),55.21)</f>
        <v>55.21</v>
      </c>
      <c r="K282" s="13" t="n">
        <f aca="false">IFERROR(__xludf.dummyfunction("""COMPUTED_VALUE"""),110.42)</f>
        <v>110.42</v>
      </c>
      <c r="L282" s="13" t="str">
        <f aca="false">IFERROR(__xludf.dummyfunction("""COMPUTED_VALUE"""),"[Code: 366BBC] TA; Display k doran damaged hogye hain.")</f>
        <v>[Code: 366BBC] TA; Display k doran damaged hogye hain.</v>
      </c>
      <c r="M282" s="13" t="str">
        <f aca="false">IFERROR(__xludf.dummyfunction("""COMPUTED_VALUE"""),"366BBC")</f>
        <v>366BBC</v>
      </c>
      <c r="N282" s="13"/>
      <c r="O282" s="13" t="str">
        <f aca="false">IFERROR(__xludf.dummyfunction("""COMPUTED_VALUE"""),"taufeeq.akhtar@tajir-app.com")</f>
        <v>taufeeq.akhtar@tajir-app.com</v>
      </c>
      <c r="P282" s="13" t="str">
        <f aca="false">IFERROR(__xludf.dummyfunction("""COMPUTED_VALUE"""),"Taufeeq Akhtar ")</f>
        <v>Taufeeq Akhtar </v>
      </c>
      <c r="Q282" s="13" t="str">
        <f aca="false">IFERROR(__xludf.dummyfunction("""COMPUTED_VALUE"""),"[Code: 366BBC] TA; Display k doran damaged hogye hain.")</f>
        <v>[Code: 366BBC] TA; Display k doran damaged hogye hain.</v>
      </c>
      <c r="R282" s="13" t="str">
        <v>Mon,07-August-2023 ,09:47 PM</v>
      </c>
      <c r="S282" s="13" t="str">
        <v>Damaged Stock</v>
      </c>
    </row>
    <row r="283" customFormat="false" ht="15.75" hidden="false" customHeight="false" outlineLevel="0" collapsed="false">
      <c r="A283" s="13" t="str">
        <f aca="false">IFERROR(__xludf.dummyfunction("""COMPUTED_VALUE"""),"Metro DC Faisalabad")</f>
        <v>Metro DC Faisalabad</v>
      </c>
      <c r="B283" s="13" t="str">
        <f aca="false">IFERROR(__xludf.dummyfunction("""COMPUTED_VALUE"""),"bce89ad4-9a48-440a-9e92-b6c4600eb026")</f>
        <v>bce89ad4-9a48-440a-9e92-b6c4600eb026</v>
      </c>
      <c r="C283" s="13" t="str">
        <f aca="false">IFERROR(__xludf.dummyfunction("""COMPUTED_VALUE"""),"Sunlight Green Clean and Fresh 330g Rs99")</f>
        <v>Sunlight Green Clean and Fresh 330g Rs99</v>
      </c>
      <c r="D283" s="13" t="str">
        <f aca="false">IFERROR(__xludf.dummyfunction("""COMPUTED_VALUE"""),"Sunlight")</f>
        <v>Sunlight</v>
      </c>
      <c r="E283" s="13" t="str">
        <f aca="false">IFERROR(__xludf.dummyfunction("""COMPUTED_VALUE"""),"Surf, Bleach")</f>
        <v>Surf, Bleach</v>
      </c>
      <c r="F283" s="11" t="n">
        <f aca="false">IFERROR(__xludf.dummyfunction("""COMPUTED_VALUE"""),45145)</f>
        <v>45145</v>
      </c>
      <c r="G283" s="12" t="n">
        <f aca="false">IFERROR(__xludf.dummyfunction("""COMPUTED_VALUE"""),0.909060127314729)</f>
        <v>0.9090601273</v>
      </c>
      <c r="H283" s="13" t="str">
        <f aca="false">IFERROR(__xludf.dummyfunction("""COMPUTED_VALUE"""),"damaged stock")</f>
        <v>damaged stock</v>
      </c>
      <c r="I283" s="13" t="n">
        <f aca="false">IFERROR(__xludf.dummyfunction("""COMPUTED_VALUE"""),1)</f>
        <v>1</v>
      </c>
      <c r="J283" s="13" t="n">
        <f aca="false">IFERROR(__xludf.dummyfunction("""COMPUTED_VALUE"""),91.5)</f>
        <v>91.5</v>
      </c>
      <c r="K283" s="13" t="n">
        <f aca="false">IFERROR(__xludf.dummyfunction("""COMPUTED_VALUE"""),91.5)</f>
        <v>91.5</v>
      </c>
      <c r="L283" s="13" t="str">
        <f aca="false">IFERROR(__xludf.dummyfunction("""COMPUTED_VALUE"""),"[Code: 23677A] TA: bag may say damaged mila display kay doran.")</f>
        <v>[Code: 23677A] TA: bag may say damaged mila display kay doran.</v>
      </c>
      <c r="M283" s="13" t="str">
        <f aca="false">IFERROR(__xludf.dummyfunction("""COMPUTED_VALUE"""),"23677A")</f>
        <v>23677A</v>
      </c>
      <c r="N283" s="13"/>
      <c r="O283" s="13" t="str">
        <f aca="false">IFERROR(__xludf.dummyfunction("""COMPUTED_VALUE"""),"taufeeq.akhtar@tajir-app.com")</f>
        <v>taufeeq.akhtar@tajir-app.com</v>
      </c>
      <c r="P283" s="13" t="str">
        <f aca="false">IFERROR(__xludf.dummyfunction("""COMPUTED_VALUE"""),"Taufeeq Akhtar ")</f>
        <v>Taufeeq Akhtar </v>
      </c>
      <c r="Q283" s="13" t="str">
        <f aca="false">IFERROR(__xludf.dummyfunction("""COMPUTED_VALUE"""),"[Code: 23677A] TA: bag may say damaged mila display kay doran.")</f>
        <v>[Code: 23677A] TA: bag may say damaged mila display kay doran.</v>
      </c>
      <c r="R283" s="13" t="str">
        <v>Mon,07-August-2023 ,09:49 PM</v>
      </c>
      <c r="S283" s="13" t="str">
        <v>Damaged Stock</v>
      </c>
    </row>
    <row r="284" customFormat="false" ht="15.75" hidden="false" customHeight="false" outlineLevel="0" collapsed="false">
      <c r="A284" s="13" t="str">
        <f aca="false">IFERROR(__xludf.dummyfunction("""COMPUTED_VALUE"""),"Metro DC Faisalabad")</f>
        <v>Metro DC Faisalabad</v>
      </c>
      <c r="B284" s="13" t="str">
        <f aca="false">IFERROR(__xludf.dummyfunction("""COMPUTED_VALUE"""),"01c5ef82-cc7c-4e03-9b33-0f3c7b4215cf")</f>
        <v>01c5ef82-cc7c-4e03-9b33-0f3c7b4215cf</v>
      </c>
      <c r="C284" s="13" t="str">
        <f aca="false">IFERROR(__xludf.dummyfunction("""COMPUTED_VALUE"""),"Shangrila Chilli Garlic Sauce x6 Bundle 225g")</f>
        <v>Shangrila Chilli Garlic Sauce x6 Bundle 225g</v>
      </c>
      <c r="D284" s="13" t="str">
        <f aca="false">IFERROR(__xludf.dummyfunction("""COMPUTED_VALUE"""),"Shangrila")</f>
        <v>Shangrila</v>
      </c>
      <c r="E284" s="13" t="str">
        <f aca="false">IFERROR(__xludf.dummyfunction("""COMPUTED_VALUE"""),"Sauces")</f>
        <v>Sauces</v>
      </c>
      <c r="F284" s="11" t="n">
        <f aca="false">IFERROR(__xludf.dummyfunction("""COMPUTED_VALUE"""),45145)</f>
        <v>45145</v>
      </c>
      <c r="G284" s="12" t="n">
        <f aca="false">IFERROR(__xludf.dummyfunction("""COMPUTED_VALUE"""),0.910086655093196)</f>
        <v>0.9100866551</v>
      </c>
      <c r="H284" s="13" t="str">
        <f aca="false">IFERROR(__xludf.dummyfunction("""COMPUTED_VALUE"""),"damaged stock")</f>
        <v>damaged stock</v>
      </c>
      <c r="I284" s="13" t="n">
        <f aca="false">IFERROR(__xludf.dummyfunction("""COMPUTED_VALUE"""),1)</f>
        <v>1</v>
      </c>
      <c r="J284" s="13" t="n">
        <f aca="false">IFERROR(__xludf.dummyfunction("""COMPUTED_VALUE"""),614.12)</f>
        <v>614.12</v>
      </c>
      <c r="K284" s="13" t="n">
        <f aca="false">IFERROR(__xludf.dummyfunction("""COMPUTED_VALUE"""),614.12)</f>
        <v>614.12</v>
      </c>
      <c r="L284" s="13" t="str">
        <f aca="false">IFERROR(__xludf.dummyfunction("""COMPUTED_VALUE"""),"[Code: 99CFGK] TA: box may say aik piece damaged mila display kay doran.")</f>
        <v>[Code: 99CFGK] TA: box may say aik piece damaged mila display kay doran.</v>
      </c>
      <c r="M284" s="13" t="str">
        <f aca="false">IFERROR(__xludf.dummyfunction("""COMPUTED_VALUE"""),"99CFGK")</f>
        <v>99CFGK</v>
      </c>
      <c r="N284" s="13"/>
      <c r="O284" s="13" t="str">
        <f aca="false">IFERROR(__xludf.dummyfunction("""COMPUTED_VALUE"""),"taufeeq.akhtar@tajir-app.com")</f>
        <v>taufeeq.akhtar@tajir-app.com</v>
      </c>
      <c r="P284" s="13" t="str">
        <f aca="false">IFERROR(__xludf.dummyfunction("""COMPUTED_VALUE"""),"Taufeeq Akhtar ")</f>
        <v>Taufeeq Akhtar </v>
      </c>
      <c r="Q284" s="13" t="str">
        <f aca="false">IFERROR(__xludf.dummyfunction("""COMPUTED_VALUE"""),"[Code: 99CFGK] TA: box may say aik piece damaged mila display kay doran.")</f>
        <v>[Code: 99CFGK] TA: box may say aik piece damaged mila display kay doran.</v>
      </c>
      <c r="R284" s="13" t="str">
        <v>Mon,07-August-2023 ,09:50 PM</v>
      </c>
      <c r="S284" s="13" t="str">
        <v>Damaged Stock</v>
      </c>
    </row>
    <row r="285" customFormat="false" ht="15.75" hidden="false" customHeight="false" outlineLevel="0" collapsed="false">
      <c r="A285" s="13" t="str">
        <f aca="false">IFERROR(__xludf.dummyfunction("""COMPUTED_VALUE"""),"Metro DC Faisalabad")</f>
        <v>Metro DC Faisalabad</v>
      </c>
      <c r="B285" s="13" t="str">
        <f aca="false">IFERROR(__xludf.dummyfunction("""COMPUTED_VALUE"""),"6bf8e4d8-b1ee-4416-8677-04c83525e4ce")</f>
        <v>6bf8e4d8-b1ee-4416-8677-04c83525e4ce</v>
      </c>
      <c r="C285" s="13" t="str">
        <f aca="false">IFERROR(__xludf.dummyfunction("""COMPUTED_VALUE"""),"Dummer Super Fine Atta 15kg")</f>
        <v>Dummer Super Fine Atta 15kg</v>
      </c>
      <c r="D285" s="13" t="str">
        <f aca="false">IFERROR(__xludf.dummyfunction("""COMPUTED_VALUE"""),"Dummer Atta")</f>
        <v>Dummer Atta</v>
      </c>
      <c r="E285" s="13" t="str">
        <f aca="false">IFERROR(__xludf.dummyfunction("""COMPUTED_VALUE"""),"Flour")</f>
        <v>Flour</v>
      </c>
      <c r="F285" s="11" t="n">
        <f aca="false">IFERROR(__xludf.dummyfunction("""COMPUTED_VALUE"""),45147)</f>
        <v>45147</v>
      </c>
      <c r="G285" s="12" t="n">
        <f aca="false">IFERROR(__xludf.dummyfunction("""COMPUTED_VALUE"""),0.947092187499224)</f>
        <v>0.9470921875</v>
      </c>
      <c r="H285" s="13" t="str">
        <f aca="false">IFERROR(__xludf.dummyfunction("""COMPUTED_VALUE"""),"damaged stock")</f>
        <v>damaged stock</v>
      </c>
      <c r="I285" s="13" t="n">
        <f aca="false">IFERROR(__xludf.dummyfunction("""COMPUTED_VALUE"""),1)</f>
        <v>1</v>
      </c>
      <c r="J285" s="13" t="n">
        <f aca="false">IFERROR(__xludf.dummyfunction("""COMPUTED_VALUE"""),2100)</f>
        <v>2100</v>
      </c>
      <c r="K285" s="13" t="n">
        <f aca="false">IFERROR(__xludf.dummyfunction("""COMPUTED_VALUE"""),2100)</f>
        <v>2100</v>
      </c>
      <c r="L285" s="13" t="str">
        <f aca="false">IFERROR(__xludf.dummyfunction("""COMPUTED_VALUE"""),"[Code: 27799A] TA: Quality sahi nahi hay (fangus lagi hay) ")</f>
        <v>[Code: 27799A] TA: Quality sahi nahi hay (fangus lagi hay) </v>
      </c>
      <c r="M285" s="13" t="str">
        <f aca="false">IFERROR(__xludf.dummyfunction("""COMPUTED_VALUE"""),"27799A")</f>
        <v>27799A</v>
      </c>
      <c r="N285" s="13"/>
      <c r="O285" s="13" t="str">
        <f aca="false">IFERROR(__xludf.dummyfunction("""COMPUTED_VALUE"""),"taufeeq.akhtar@tajir-app.com")</f>
        <v>taufeeq.akhtar@tajir-app.com</v>
      </c>
      <c r="P285" s="13" t="str">
        <f aca="false">IFERROR(__xludf.dummyfunction("""COMPUTED_VALUE"""),"Taufeeq Akhtar ")</f>
        <v>Taufeeq Akhtar </v>
      </c>
      <c r="Q285" s="13" t="str">
        <f aca="false">IFERROR(__xludf.dummyfunction("""COMPUTED_VALUE"""),"[Code: 27799A] TA: Quality sahi nahi hay (fangus lagi hay) ")</f>
        <v>[Code: 27799A] TA: Quality sahi nahi hay (fangus lagi hay) </v>
      </c>
      <c r="R285" s="13" t="str">
        <v>Wed,09-August-2023 ,10:43 PM</v>
      </c>
      <c r="S285" s="13" t="str">
        <v>Damaged Stock</v>
      </c>
    </row>
    <row r="286" customFormat="false" ht="15.75" hidden="false" customHeight="false" outlineLevel="0" collapsed="false">
      <c r="A286" s="13" t="str">
        <f aca="false">IFERROR(__xludf.dummyfunction("""COMPUTED_VALUE"""),"Metro DC Faisalabad")</f>
        <v>Metro DC Faisalabad</v>
      </c>
      <c r="B286" s="13" t="str">
        <f aca="false">IFERROR(__xludf.dummyfunction("""COMPUTED_VALUE"""),"b4cfbd12-ad18-40f4-8008-44f022246aae")</f>
        <v>b4cfbd12-ad18-40f4-8008-44f022246aae</v>
      </c>
      <c r="C286" s="13" t="str">
        <f aca="false">IFERROR(__xludf.dummyfunction("""COMPUTED_VALUE"""),"Al-Munawar Besan 20kg")</f>
        <v>Al-Munawar Besan 20kg</v>
      </c>
      <c r="D286" s="13" t="str">
        <f aca="false">IFERROR(__xludf.dummyfunction("""COMPUTED_VALUE"""),"Al-Munawar")</f>
        <v>Al-Munawar</v>
      </c>
      <c r="E286" s="13" t="str">
        <f aca="false">IFERROR(__xludf.dummyfunction("""COMPUTED_VALUE"""),"Pulses")</f>
        <v>Pulses</v>
      </c>
      <c r="F286" s="11" t="n">
        <f aca="false">IFERROR(__xludf.dummyfunction("""COMPUTED_VALUE"""),45148)</f>
        <v>45148</v>
      </c>
      <c r="G286" s="12" t="n">
        <f aca="false">IFERROR(__xludf.dummyfunction("""COMPUTED_VALUE"""),0.481909328703149)</f>
        <v>0.4819093287</v>
      </c>
      <c r="H286" s="13" t="str">
        <f aca="false">IFERROR(__xludf.dummyfunction("""COMPUTED_VALUE"""),"damaged stock")</f>
        <v>damaged stock</v>
      </c>
      <c r="I286" s="13" t="n">
        <f aca="false">IFERROR(__xludf.dummyfunction("""COMPUTED_VALUE"""),3)</f>
        <v>3</v>
      </c>
      <c r="J286" s="13" t="n">
        <f aca="false">IFERROR(__xludf.dummyfunction("""COMPUTED_VALUE"""),4470)</f>
        <v>4470</v>
      </c>
      <c r="K286" s="13" t="n">
        <f aca="false">IFERROR(__xludf.dummyfunction("""COMPUTED_VALUE"""),13410)</f>
        <v>13410</v>
      </c>
      <c r="L286" s="13" t="str">
        <f aca="false">IFERROR(__xludf.dummyfunction("""COMPUTED_VALUE"""),"[Code: 233678] 03 units having quality issue.")</f>
        <v>[Code: 233678] 03 units having quality issue.</v>
      </c>
      <c r="M286" s="13" t="str">
        <f aca="false">IFERROR(__xludf.dummyfunction("""COMPUTED_VALUE"""),"233678")</f>
        <v>233678</v>
      </c>
      <c r="N286" s="13"/>
      <c r="O286" s="13" t="str">
        <f aca="false">IFERROR(__xludf.dummyfunction("""COMPUTED_VALUE"""),"ali.raza@tajir-app.com")</f>
        <v>ali.raza@tajir-app.com</v>
      </c>
      <c r="P286" s="13" t="str">
        <f aca="false">IFERROR(__xludf.dummyfunction("""COMPUTED_VALUE"""),"Ali Raza ")</f>
        <v>Ali Raza </v>
      </c>
      <c r="Q286" s="13" t="str">
        <f aca="false">IFERROR(__xludf.dummyfunction("""COMPUTED_VALUE"""),"[Code: 233678] 03 units having quality issue.")</f>
        <v>[Code: 233678] 03 units having quality issue.</v>
      </c>
      <c r="R286" s="13" t="str">
        <v>Thu,10-August-2023 ,11:33 AM</v>
      </c>
      <c r="S286" s="13" t="str">
        <v>Damaged Stock</v>
      </c>
    </row>
    <row r="287" customFormat="false" ht="15.75" hidden="false" customHeight="false" outlineLevel="0" collapsed="false">
      <c r="A287" s="13" t="str">
        <f aca="false">IFERROR(__xludf.dummyfunction("""COMPUTED_VALUE"""),"Metro DC Faisalabad")</f>
        <v>Metro DC Faisalabad</v>
      </c>
      <c r="B287" s="13" t="str">
        <f aca="false">IFERROR(__xludf.dummyfunction("""COMPUTED_VALUE"""),"c0d23360-824d-4c04-acdb-4f5111e410d0")</f>
        <v>c0d23360-824d-4c04-acdb-4f5111e410d0</v>
      </c>
      <c r="C287" s="13" t="str">
        <f aca="false">IFERROR(__xludf.dummyfunction("""COMPUTED_VALUE"""),"Pepsi plastic 1.5L")</f>
        <v>Pepsi plastic 1.5L</v>
      </c>
      <c r="D287" s="13" t="str">
        <f aca="false">IFERROR(__xludf.dummyfunction("""COMPUTED_VALUE"""),"Pepsi")</f>
        <v>Pepsi</v>
      </c>
      <c r="E287" s="13" t="str">
        <f aca="false">IFERROR(__xludf.dummyfunction("""COMPUTED_VALUE"""),"Beverages")</f>
        <v>Beverages</v>
      </c>
      <c r="F287" s="11" t="n">
        <f aca="false">IFERROR(__xludf.dummyfunction("""COMPUTED_VALUE"""),45149)</f>
        <v>45149</v>
      </c>
      <c r="G287" s="12" t="n">
        <f aca="false">IFERROR(__xludf.dummyfunction("""COMPUTED_VALUE"""),0.658931400462219)</f>
        <v>0.6589314005</v>
      </c>
      <c r="H287" s="13" t="str">
        <f aca="false">IFERROR(__xludf.dummyfunction("""COMPUTED_VALUE"""),"damaged stock")</f>
        <v>damaged stock</v>
      </c>
      <c r="I287" s="13" t="n">
        <f aca="false">IFERROR(__xludf.dummyfunction("""COMPUTED_VALUE"""),1)</f>
        <v>1</v>
      </c>
      <c r="J287" s="13" t="n">
        <f aca="false">IFERROR(__xludf.dummyfunction("""COMPUTED_VALUE"""),730)</f>
        <v>730</v>
      </c>
      <c r="K287" s="13" t="n">
        <f aca="false">IFERROR(__xludf.dummyfunction("""COMPUTED_VALUE"""),730)</f>
        <v>730</v>
      </c>
      <c r="L287" s="13" t="str">
        <f aca="false">IFERROR(__xludf.dummyfunction("""COMPUTED_VALUE"""),"[Code: 25669A] TA: found in loose condition during sorting.")</f>
        <v>[Code: 25669A] TA: found in loose condition during sorting.</v>
      </c>
      <c r="M287" s="13" t="str">
        <f aca="false">IFERROR(__xludf.dummyfunction("""COMPUTED_VALUE"""),"25669A")</f>
        <v>25669A</v>
      </c>
      <c r="N287" s="13"/>
      <c r="O287" s="13" t="str">
        <f aca="false">IFERROR(__xludf.dummyfunction("""COMPUTED_VALUE"""),"taufeeq.akhtar@tajir-app.com")</f>
        <v>taufeeq.akhtar@tajir-app.com</v>
      </c>
      <c r="P287" s="13" t="str">
        <f aca="false">IFERROR(__xludf.dummyfunction("""COMPUTED_VALUE"""),"Taufeeq Akhtar ")</f>
        <v>Taufeeq Akhtar </v>
      </c>
      <c r="Q287" s="13" t="str">
        <f aca="false">IFERROR(__xludf.dummyfunction("""COMPUTED_VALUE"""),"[Code: 25669A] TA: found in loose condition during sorting.")</f>
        <v>[Code: 25669A] TA: found in loose condition during sorting.</v>
      </c>
      <c r="R287" s="13" t="str">
        <v>Fri,11-August-2023 ,03:48 PM</v>
      </c>
      <c r="S287" s="13" t="str">
        <v>Damaged Stock</v>
      </c>
    </row>
    <row r="288" customFormat="false" ht="15.75" hidden="false" customHeight="false" outlineLevel="0" collapsed="false">
      <c r="A288" s="13" t="str">
        <f aca="false">IFERROR(__xludf.dummyfunction("""COMPUTED_VALUE"""),"Metro DC Faisalabad")</f>
        <v>Metro DC Faisalabad</v>
      </c>
      <c r="B288" s="13" t="str">
        <f aca="false">IFERROR(__xludf.dummyfunction("""COMPUTED_VALUE"""),"b4cfbd12-ad18-40f4-8008-44f022246aae")</f>
        <v>b4cfbd12-ad18-40f4-8008-44f022246aae</v>
      </c>
      <c r="C288" s="13" t="str">
        <f aca="false">IFERROR(__xludf.dummyfunction("""COMPUTED_VALUE"""),"Al-Munawar Besan 20kg")</f>
        <v>Al-Munawar Besan 20kg</v>
      </c>
      <c r="D288" s="13" t="str">
        <f aca="false">IFERROR(__xludf.dummyfunction("""COMPUTED_VALUE"""),"Al-Munawar")</f>
        <v>Al-Munawar</v>
      </c>
      <c r="E288" s="13" t="str">
        <f aca="false">IFERROR(__xludf.dummyfunction("""COMPUTED_VALUE"""),"Pulses")</f>
        <v>Pulses</v>
      </c>
      <c r="F288" s="11" t="n">
        <f aca="false">IFERROR(__xludf.dummyfunction("""COMPUTED_VALUE"""),45150)</f>
        <v>45150</v>
      </c>
      <c r="G288" s="12" t="n">
        <f aca="false">IFERROR(__xludf.dummyfunction("""COMPUTED_VALUE"""),0.375026423612884)</f>
        <v>0.3750264236</v>
      </c>
      <c r="H288" s="13" t="str">
        <f aca="false">IFERROR(__xludf.dummyfunction("""COMPUTED_VALUE"""),"damaged stock")</f>
        <v>damaged stock</v>
      </c>
      <c r="I288" s="13" t="n">
        <f aca="false">IFERROR(__xludf.dummyfunction("""COMPUTED_VALUE"""),4)</f>
        <v>4</v>
      </c>
      <c r="J288" s="13" t="n">
        <f aca="false">IFERROR(__xludf.dummyfunction("""COMPUTED_VALUE"""),4470)</f>
        <v>4470</v>
      </c>
      <c r="K288" s="13" t="n">
        <f aca="false">IFERROR(__xludf.dummyfunction("""COMPUTED_VALUE"""),17880)</f>
        <v>17880</v>
      </c>
      <c r="L288" s="13" t="str">
        <f aca="false">IFERROR(__xludf.dummyfunction("""COMPUTED_VALUE"""),"[Code: 9AADFF] 4 units found damaged due to quality issue")</f>
        <v>[Code: 9AADFF] 4 units found damaged due to quality issue</v>
      </c>
      <c r="M288" s="13" t="str">
        <f aca="false">IFERROR(__xludf.dummyfunction("""COMPUTED_VALUE"""),"9AADFF")</f>
        <v>9AADFF</v>
      </c>
      <c r="N288" s="13"/>
      <c r="O288" s="13" t="str">
        <f aca="false">IFERROR(__xludf.dummyfunction("""COMPUTED_VALUE"""),"ali.raza@tajir-app.com")</f>
        <v>ali.raza@tajir-app.com</v>
      </c>
      <c r="P288" s="13" t="str">
        <f aca="false">IFERROR(__xludf.dummyfunction("""COMPUTED_VALUE"""),"Ali Raza ")</f>
        <v>Ali Raza </v>
      </c>
      <c r="Q288" s="13" t="str">
        <f aca="false">IFERROR(__xludf.dummyfunction("""COMPUTED_VALUE"""),"[Code: 9AADFF] 4 units found damaged due to quality issue")</f>
        <v>[Code: 9AADFF] 4 units found damaged due to quality issue</v>
      </c>
      <c r="R288" s="13" t="str">
        <v>Sat,12-August-2023 ,09:00 AM</v>
      </c>
      <c r="S288" s="13" t="str">
        <v>Damaged Stock</v>
      </c>
    </row>
    <row r="289" customFormat="false" ht="15.75" hidden="false" customHeight="false" outlineLevel="0" collapsed="false">
      <c r="A289" s="13" t="str">
        <f aca="false">IFERROR(__xludf.dummyfunction("""COMPUTED_VALUE"""),"Metro DC Faisalabad")</f>
        <v>Metro DC Faisalabad</v>
      </c>
      <c r="B289" s="13" t="str">
        <f aca="false">IFERROR(__xludf.dummyfunction("""COMPUTED_VALUE"""),"6bf8e4d8-b1ee-4416-8677-04c83525e4ce")</f>
        <v>6bf8e4d8-b1ee-4416-8677-04c83525e4ce</v>
      </c>
      <c r="C289" s="13" t="str">
        <f aca="false">IFERROR(__xludf.dummyfunction("""COMPUTED_VALUE"""),"Dummer Super Fine Atta 15kg")</f>
        <v>Dummer Super Fine Atta 15kg</v>
      </c>
      <c r="D289" s="13" t="str">
        <f aca="false">IFERROR(__xludf.dummyfunction("""COMPUTED_VALUE"""),"Dummer Atta")</f>
        <v>Dummer Atta</v>
      </c>
      <c r="E289" s="13" t="str">
        <f aca="false">IFERROR(__xludf.dummyfunction("""COMPUTED_VALUE"""),"Flour")</f>
        <v>Flour</v>
      </c>
      <c r="F289" s="11" t="n">
        <f aca="false">IFERROR(__xludf.dummyfunction("""COMPUTED_VALUE"""),45150)</f>
        <v>45150</v>
      </c>
      <c r="G289" s="12" t="n">
        <f aca="false">IFERROR(__xludf.dummyfunction("""COMPUTED_VALUE"""),0.639446134259777)</f>
        <v>0.6394461343</v>
      </c>
      <c r="H289" s="13" t="str">
        <f aca="false">IFERROR(__xludf.dummyfunction("""COMPUTED_VALUE"""),"damaged stock")</f>
        <v>damaged stock</v>
      </c>
      <c r="I289" s="13" t="n">
        <f aca="false">IFERROR(__xludf.dummyfunction("""COMPUTED_VALUE"""),59)</f>
        <v>59</v>
      </c>
      <c r="J289" s="13" t="n">
        <f aca="false">IFERROR(__xludf.dummyfunction("""COMPUTED_VALUE"""),2100)</f>
        <v>2100</v>
      </c>
      <c r="K289" s="13" t="n">
        <f aca="false">IFERROR(__xludf.dummyfunction("""COMPUTED_VALUE"""),123900)</f>
        <v>123900</v>
      </c>
      <c r="L289" s="13" t="str">
        <f aca="false">IFERROR(__xludf.dummyfunction("""COMPUTED_VALUE"""),"[Code: 2346AE] Content Spoiled (Quality Issue)")</f>
        <v>[Code: 2346AE] Content Spoiled (Quality Issue)</v>
      </c>
      <c r="M289" s="13" t="str">
        <f aca="false">IFERROR(__xludf.dummyfunction("""COMPUTED_VALUE"""),"2346AE")</f>
        <v>2346AE</v>
      </c>
      <c r="N289" s="13"/>
      <c r="O289" s="13" t="str">
        <f aca="false">IFERROR(__xludf.dummyfunction("""COMPUTED_VALUE"""),"ali.raza@tajir-app.com")</f>
        <v>ali.raza@tajir-app.com</v>
      </c>
      <c r="P289" s="13" t="str">
        <f aca="false">IFERROR(__xludf.dummyfunction("""COMPUTED_VALUE"""),"Ali Raza ")</f>
        <v>Ali Raza </v>
      </c>
      <c r="Q289" s="13" t="str">
        <f aca="false">IFERROR(__xludf.dummyfunction("""COMPUTED_VALUE"""),"[Code: 2346AE] Content Spoiled (Quality Issue)")</f>
        <v>[Code: 2346AE] Content Spoiled (Quality Issue)</v>
      </c>
      <c r="R289" s="13" t="str">
        <v>Sat,12-August-2023 ,03:20 PM</v>
      </c>
      <c r="S289" s="13" t="str">
        <v>Damaged Stock</v>
      </c>
    </row>
    <row r="290" customFormat="false" ht="15.75" hidden="false" customHeight="false" outlineLevel="0" collapsed="false">
      <c r="A290" s="13" t="str">
        <f aca="false">IFERROR(__xludf.dummyfunction("""COMPUTED_VALUE"""),"Metro DC Faisalabad")</f>
        <v>Metro DC Faisalabad</v>
      </c>
      <c r="B290" s="13" t="str">
        <f aca="false">IFERROR(__xludf.dummyfunction("""COMPUTED_VALUE"""),"088cc1d0-50fe-4f10-a74d-f47f601ed3bc")</f>
        <v>088cc1d0-50fe-4f10-a74d-f47f601ed3bc</v>
      </c>
      <c r="C290" s="13" t="str">
        <f aca="false">IFERROR(__xludf.dummyfunction("""COMPUTED_VALUE"""),"Shahi Savory Mix Rs100")</f>
        <v>Shahi Savory Mix Rs100</v>
      </c>
      <c r="D290" s="13" t="str">
        <f aca="false">IFERROR(__xludf.dummyfunction("""COMPUTED_VALUE"""),"Shahi")</f>
        <v>Shahi</v>
      </c>
      <c r="E290" s="13" t="str">
        <f aca="false">IFERROR(__xludf.dummyfunction("""COMPUTED_VALUE"""),"Snacks")</f>
        <v>Snacks</v>
      </c>
      <c r="F290" s="11" t="n">
        <f aca="false">IFERROR(__xludf.dummyfunction("""COMPUTED_VALUE"""),45150)</f>
        <v>45150</v>
      </c>
      <c r="G290" s="12" t="n">
        <f aca="false">IFERROR(__xludf.dummyfunction("""COMPUTED_VALUE"""),0.960154120371928)</f>
        <v>0.9601541204</v>
      </c>
      <c r="H290" s="13" t="str">
        <f aca="false">IFERROR(__xludf.dummyfunction("""COMPUTED_VALUE"""),"damaged stock")</f>
        <v>damaged stock</v>
      </c>
      <c r="I290" s="13" t="n">
        <f aca="false">IFERROR(__xludf.dummyfunction("""COMPUTED_VALUE"""),1)</f>
        <v>1</v>
      </c>
      <c r="J290" s="13" t="n">
        <f aca="false">IFERROR(__xludf.dummyfunction("""COMPUTED_VALUE"""),70.91)</f>
        <v>70.91</v>
      </c>
      <c r="K290" s="13" t="n">
        <f aca="false">IFERROR(__xludf.dummyfunction("""COMPUTED_VALUE"""),70.91)</f>
        <v>70.91</v>
      </c>
      <c r="L290" s="13" t="str">
        <f aca="false">IFERROR(__xludf.dummyfunction("""COMPUTED_VALUE"""),"[Code: 335BBB] TA: Found damaged from box during display.")</f>
        <v>[Code: 335BBB] TA: Found damaged from box during display.</v>
      </c>
      <c r="M290" s="13" t="str">
        <f aca="false">IFERROR(__xludf.dummyfunction("""COMPUTED_VALUE"""),"335BBB")</f>
        <v>335BBB</v>
      </c>
      <c r="N290" s="13"/>
      <c r="O290" s="13" t="str">
        <f aca="false">IFERROR(__xludf.dummyfunction("""COMPUTED_VALUE"""),"taufeeq.akhtar@tajir-app.com")</f>
        <v>taufeeq.akhtar@tajir-app.com</v>
      </c>
      <c r="P290" s="13" t="str">
        <f aca="false">IFERROR(__xludf.dummyfunction("""COMPUTED_VALUE"""),"Taufeeq Akhtar ")</f>
        <v>Taufeeq Akhtar </v>
      </c>
      <c r="Q290" s="13" t="str">
        <f aca="false">IFERROR(__xludf.dummyfunction("""COMPUTED_VALUE"""),"[Code: 335BBB] TA: Found damaged from box during display.")</f>
        <v>[Code: 335BBB] TA: Found damaged from box during display.</v>
      </c>
      <c r="R290" s="13" t="str">
        <v>Sat,12-August-2023 ,11:02 PM</v>
      </c>
      <c r="S290" s="13" t="str">
        <v>Damaged Stock</v>
      </c>
    </row>
    <row r="291" customFormat="false" ht="15.75" hidden="false" customHeight="false" outlineLevel="0" collapsed="false">
      <c r="A291" s="13" t="str">
        <f aca="false">IFERROR(__xludf.dummyfunction("""COMPUTED_VALUE"""),"Metro DC Faisalabad")</f>
        <v>Metro DC Faisalabad</v>
      </c>
      <c r="B291" s="13" t="str">
        <f aca="false">IFERROR(__xludf.dummyfunction("""COMPUTED_VALUE"""),"e704339c-42c0-48de-92ab-39348129ef53")</f>
        <v>e704339c-42c0-48de-92ab-39348129ef53</v>
      </c>
      <c r="C291" s="13" t="str">
        <f aca="false">IFERROR(__xludf.dummyfunction("""COMPUTED_VALUE"""),"7up plastic 1L")</f>
        <v>7up plastic 1L</v>
      </c>
      <c r="D291" s="13" t="str">
        <f aca="false">IFERROR(__xludf.dummyfunction("""COMPUTED_VALUE"""),"7up")</f>
        <v>7up</v>
      </c>
      <c r="E291" s="13" t="str">
        <f aca="false">IFERROR(__xludf.dummyfunction("""COMPUTED_VALUE"""),"Beverages")</f>
        <v>Beverages</v>
      </c>
      <c r="F291" s="11" t="n">
        <f aca="false">IFERROR(__xludf.dummyfunction("""COMPUTED_VALUE"""),45150)</f>
        <v>45150</v>
      </c>
      <c r="G291" s="12" t="n">
        <f aca="false">IFERROR(__xludf.dummyfunction("""COMPUTED_VALUE"""),0.961012465279459)</f>
        <v>0.9610124653</v>
      </c>
      <c r="H291" s="13" t="str">
        <f aca="false">IFERROR(__xludf.dummyfunction("""COMPUTED_VALUE"""),"damaged stock")</f>
        <v>damaged stock</v>
      </c>
      <c r="I291" s="13" t="n">
        <f aca="false">IFERROR(__xludf.dummyfunction("""COMPUTED_VALUE"""),1)</f>
        <v>1</v>
      </c>
      <c r="J291" s="13" t="n">
        <f aca="false">IFERROR(__xludf.dummyfunction("""COMPUTED_VALUE"""),595)</f>
        <v>595</v>
      </c>
      <c r="K291" s="13" t="n">
        <f aca="false">IFERROR(__xludf.dummyfunction("""COMPUTED_VALUE"""),595)</f>
        <v>595</v>
      </c>
      <c r="L291" s="13" t="str">
        <f aca="false">IFERROR(__xludf.dummyfunction("""COMPUTED_VALUE"""),"[Code: 269GHK] TA: Found in loose conditon during sorting.")</f>
        <v>[Code: 269GHK] TA: Found in loose conditon during sorting.</v>
      </c>
      <c r="M291" s="13" t="str">
        <f aca="false">IFERROR(__xludf.dummyfunction("""COMPUTED_VALUE"""),"269GHK")</f>
        <v>269GHK</v>
      </c>
      <c r="N291" s="13"/>
      <c r="O291" s="13" t="str">
        <f aca="false">IFERROR(__xludf.dummyfunction("""COMPUTED_VALUE"""),"taufeeq.akhtar@tajir-app.com")</f>
        <v>taufeeq.akhtar@tajir-app.com</v>
      </c>
      <c r="P291" s="13" t="str">
        <f aca="false">IFERROR(__xludf.dummyfunction("""COMPUTED_VALUE"""),"Taufeeq Akhtar ")</f>
        <v>Taufeeq Akhtar </v>
      </c>
      <c r="Q291" s="13" t="str">
        <f aca="false">IFERROR(__xludf.dummyfunction("""COMPUTED_VALUE"""),"[Code: 269GHK] TA: Found in loose conditon during sorting.")</f>
        <v>[Code: 269GHK] TA: Found in loose conditon during sorting.</v>
      </c>
      <c r="R291" s="13" t="str">
        <v>Sat,12-August-2023 ,11:03 PM</v>
      </c>
      <c r="S291" s="13" t="str">
        <v>Damaged Stock</v>
      </c>
    </row>
    <row r="292" customFormat="false" ht="15.75" hidden="false" customHeight="false" outlineLevel="0" collapsed="false">
      <c r="A292" s="13" t="str">
        <f aca="false">IFERROR(__xludf.dummyfunction("""COMPUTED_VALUE"""),"Metro DC Faisalabad")</f>
        <v>Metro DC Faisalabad</v>
      </c>
      <c r="B292" s="13" t="str">
        <f aca="false">IFERROR(__xludf.dummyfunction("""COMPUTED_VALUE"""),"73450c2c-e78c-4c7c-ada4-17c7817fcb4c")</f>
        <v>73450c2c-e78c-4c7c-ada4-17c7817fcb4c</v>
      </c>
      <c r="C292" s="13" t="str">
        <f aca="false">IFERROR(__xludf.dummyfunction("""COMPUTED_VALUE"""),"Plastic Special Phool Jharoo")</f>
        <v>Plastic Special Phool Jharoo</v>
      </c>
      <c r="D292" s="13" t="str">
        <f aca="false">IFERROR(__xludf.dummyfunction("""COMPUTED_VALUE"""),"Jharoo")</f>
        <v>Jharoo</v>
      </c>
      <c r="E292" s="13" t="str">
        <f aca="false">IFERROR(__xludf.dummyfunction("""COMPUTED_VALUE"""),"Home Care")</f>
        <v>Home Care</v>
      </c>
      <c r="F292" s="11" t="n">
        <f aca="false">IFERROR(__xludf.dummyfunction("""COMPUTED_VALUE"""),45150)</f>
        <v>45150</v>
      </c>
      <c r="G292" s="12" t="n">
        <f aca="false">IFERROR(__xludf.dummyfunction("""COMPUTED_VALUE"""),0.980018148146779)</f>
        <v>0.9800181481</v>
      </c>
      <c r="H292" s="13" t="str">
        <f aca="false">IFERROR(__xludf.dummyfunction("""COMPUTED_VALUE"""),"damaged stock")</f>
        <v>damaged stock</v>
      </c>
      <c r="I292" s="13" t="n">
        <f aca="false">IFERROR(__xludf.dummyfunction("""COMPUTED_VALUE"""),1)</f>
        <v>1</v>
      </c>
      <c r="J292" s="13" t="n">
        <f aca="false">IFERROR(__xludf.dummyfunction("""COMPUTED_VALUE"""),135)</f>
        <v>135</v>
      </c>
      <c r="K292" s="13" t="n">
        <f aca="false">IFERROR(__xludf.dummyfunction("""COMPUTED_VALUE"""),135)</f>
        <v>135</v>
      </c>
      <c r="L292" s="13" t="str">
        <f aca="false">IFERROR(__xludf.dummyfunction("""COMPUTED_VALUE"""),"[Code: 4789AA] TA: Found damaged on floor during sorting.")</f>
        <v>[Code: 4789AA] TA: Found damaged on floor during sorting.</v>
      </c>
      <c r="M292" s="13" t="str">
        <f aca="false">IFERROR(__xludf.dummyfunction("""COMPUTED_VALUE"""),"4789AA")</f>
        <v>4789AA</v>
      </c>
      <c r="N292" s="13"/>
      <c r="O292" s="13" t="str">
        <f aca="false">IFERROR(__xludf.dummyfunction("""COMPUTED_VALUE"""),"taufeeq.akhtar@tajir-app.com")</f>
        <v>taufeeq.akhtar@tajir-app.com</v>
      </c>
      <c r="P292" s="13" t="str">
        <f aca="false">IFERROR(__xludf.dummyfunction("""COMPUTED_VALUE"""),"Taufeeq Akhtar ")</f>
        <v>Taufeeq Akhtar </v>
      </c>
      <c r="Q292" s="13" t="str">
        <f aca="false">IFERROR(__xludf.dummyfunction("""COMPUTED_VALUE"""),"[Code: 4789AA] TA: Found damaged on floor during sorting.")</f>
        <v>[Code: 4789AA] TA: Found damaged on floor during sorting.</v>
      </c>
      <c r="R292" s="13" t="str">
        <v>Sat,12-August-2023 ,11:31 PM</v>
      </c>
      <c r="S292" s="13" t="str">
        <v>Damaged Stock</v>
      </c>
    </row>
    <row r="293" customFormat="false" ht="15.75" hidden="false" customHeight="false" outlineLevel="0" collapsed="false">
      <c r="A293" s="13" t="str">
        <f aca="false">IFERROR(__xludf.dummyfunction("""COMPUTED_VALUE"""),"Metro DC Faisalabad")</f>
        <v>Metro DC Faisalabad</v>
      </c>
      <c r="B293" s="13" t="str">
        <f aca="false">IFERROR(__xludf.dummyfunction("""COMPUTED_VALUE"""),"8518785f-79c2-459a-b06d-007dea8cd492")</f>
        <v>8518785f-79c2-459a-b06d-007dea8cd492</v>
      </c>
      <c r="C293" s="13" t="str">
        <f aca="false">IFERROR(__xludf.dummyfunction("""COMPUTED_VALUE"""),"Mirinda plastic 1L")</f>
        <v>Mirinda plastic 1L</v>
      </c>
      <c r="D293" s="13" t="str">
        <f aca="false">IFERROR(__xludf.dummyfunction("""COMPUTED_VALUE"""),"Mirinda")</f>
        <v>Mirinda</v>
      </c>
      <c r="E293" s="13" t="str">
        <f aca="false">IFERROR(__xludf.dummyfunction("""COMPUTED_VALUE"""),"Beverages")</f>
        <v>Beverages</v>
      </c>
      <c r="F293" s="11" t="n">
        <f aca="false">IFERROR(__xludf.dummyfunction("""COMPUTED_VALUE"""),45152)</f>
        <v>45152</v>
      </c>
      <c r="G293" s="12" t="n">
        <f aca="false">IFERROR(__xludf.dummyfunction("""COMPUTED_VALUE"""),0.970821666668046)</f>
        <v>0.9708216667</v>
      </c>
      <c r="H293" s="13" t="str">
        <f aca="false">IFERROR(__xludf.dummyfunction("""COMPUTED_VALUE"""),"damaged stock")</f>
        <v>damaged stock</v>
      </c>
      <c r="I293" s="13" t="n">
        <f aca="false">IFERROR(__xludf.dummyfunction("""COMPUTED_VALUE"""),1)</f>
        <v>1</v>
      </c>
      <c r="J293" s="13" t="n">
        <f aca="false">IFERROR(__xludf.dummyfunction("""COMPUTED_VALUE"""),595)</f>
        <v>595</v>
      </c>
      <c r="K293" s="13" t="n">
        <f aca="false">IFERROR(__xludf.dummyfunction("""COMPUTED_VALUE"""),595)</f>
        <v>595</v>
      </c>
      <c r="L293" s="13" t="str">
        <f aca="false">IFERROR(__xludf.dummyfunction("""COMPUTED_VALUE"""),"[Code: 223556] TA: Found loose bottels during sorting (Company end issue)")</f>
        <v>[Code: 223556] TA: Found loose bottels during sorting (Company end issue)</v>
      </c>
      <c r="M293" s="13" t="str">
        <f aca="false">IFERROR(__xludf.dummyfunction("""COMPUTED_VALUE"""),"223556")</f>
        <v>223556</v>
      </c>
      <c r="N293" s="13"/>
      <c r="O293" s="13" t="str">
        <f aca="false">IFERROR(__xludf.dummyfunction("""COMPUTED_VALUE"""),"taufeeq.akhtar@tajir-app.com")</f>
        <v>taufeeq.akhtar@tajir-app.com</v>
      </c>
      <c r="P293" s="13" t="str">
        <f aca="false">IFERROR(__xludf.dummyfunction("""COMPUTED_VALUE"""),"Taufeeq Akhtar ")</f>
        <v>Taufeeq Akhtar </v>
      </c>
      <c r="Q293" s="13" t="str">
        <f aca="false">IFERROR(__xludf.dummyfunction("""COMPUTED_VALUE"""),"[Code: 223556] TA: Found loose bottels during sorting (Company end issue)")</f>
        <v>[Code: 223556] TA: Found loose bottels during sorting (Company end issue)</v>
      </c>
      <c r="R293" s="13" t="str">
        <v>Mon,14-August-2023 ,11:17 PM</v>
      </c>
      <c r="S293" s="13" t="str">
        <v>Damaged Stock</v>
      </c>
    </row>
    <row r="294" customFormat="false" ht="15.75" hidden="false" customHeight="false" outlineLevel="0" collapsed="false">
      <c r="A294" s="13" t="str">
        <f aca="false">IFERROR(__xludf.dummyfunction("""COMPUTED_VALUE"""),"Metro DC Faisalabad")</f>
        <v>Metro DC Faisalabad</v>
      </c>
      <c r="B294" s="13" t="str">
        <f aca="false">IFERROR(__xludf.dummyfunction("""COMPUTED_VALUE"""),"a5b76747-fa5b-49a3-ac19-3d6294d61b30")</f>
        <v>a5b76747-fa5b-49a3-ac19-3d6294d61b30</v>
      </c>
      <c r="C294" s="13" t="str">
        <f aca="false">IFERROR(__xludf.dummyfunction("""COMPUTED_VALUE"""),"Murree Brewery Bigg Apple Plastic x6 Crate 1.5L")</f>
        <v>Murree Brewery Bigg Apple Plastic x6 Crate 1.5L</v>
      </c>
      <c r="D294" s="13" t="str">
        <f aca="false">IFERROR(__xludf.dummyfunction("""COMPUTED_VALUE"""),"Murree Brewery")</f>
        <v>Murree Brewery</v>
      </c>
      <c r="E294" s="13" t="str">
        <f aca="false">IFERROR(__xludf.dummyfunction("""COMPUTED_VALUE"""),"Beverages")</f>
        <v>Beverages</v>
      </c>
      <c r="F294" s="11" t="n">
        <f aca="false">IFERROR(__xludf.dummyfunction("""COMPUTED_VALUE"""),45153)</f>
        <v>45153</v>
      </c>
      <c r="G294" s="12" t="n">
        <f aca="false">IFERROR(__xludf.dummyfunction("""COMPUTED_VALUE"""),0.866527997683762)</f>
        <v>0.8665279977</v>
      </c>
      <c r="H294" s="13" t="str">
        <f aca="false">IFERROR(__xludf.dummyfunction("""COMPUTED_VALUE"""),"damaged stock")</f>
        <v>damaged stock</v>
      </c>
      <c r="I294" s="13" t="n">
        <f aca="false">IFERROR(__xludf.dummyfunction("""COMPUTED_VALUE"""),1)</f>
        <v>1</v>
      </c>
      <c r="J294" s="13" t="n">
        <f aca="false">IFERROR(__xludf.dummyfunction("""COMPUTED_VALUE"""),726.75)</f>
        <v>726.75</v>
      </c>
      <c r="K294" s="13" t="n">
        <f aca="false">IFERROR(__xludf.dummyfunction("""COMPUTED_VALUE"""),726.75)</f>
        <v>726.75</v>
      </c>
      <c r="L294" s="13" t="str">
        <f aca="false">IFERROR(__xludf.dummyfunction("""COMPUTED_VALUE"""),"[Code: 4BEFFH] TA: found loose during sorting.(Company end issue)")</f>
        <v>[Code: 4BEFFH] TA: found loose during sorting.(Company end issue)</v>
      </c>
      <c r="M294" s="13" t="str">
        <f aca="false">IFERROR(__xludf.dummyfunction("""COMPUTED_VALUE"""),"4BEFFH")</f>
        <v>4BEFFH</v>
      </c>
      <c r="N294" s="13"/>
      <c r="O294" s="13" t="str">
        <f aca="false">IFERROR(__xludf.dummyfunction("""COMPUTED_VALUE"""),"taufeeq.akhtar@tajir-app.com")</f>
        <v>taufeeq.akhtar@tajir-app.com</v>
      </c>
      <c r="P294" s="13" t="str">
        <f aca="false">IFERROR(__xludf.dummyfunction("""COMPUTED_VALUE"""),"Taufeeq Akhtar ")</f>
        <v>Taufeeq Akhtar </v>
      </c>
      <c r="Q294" s="13" t="str">
        <f aca="false">IFERROR(__xludf.dummyfunction("""COMPUTED_VALUE"""),"[Code: 4BEFFH] TA: found loose during sorting.(Company end issue)")</f>
        <v>[Code: 4BEFFH] TA: found loose during sorting.(Company end issue)</v>
      </c>
      <c r="R294" s="13" t="str">
        <v>Tue,15-August-2023 ,08:47 PM</v>
      </c>
      <c r="S294" s="13" t="str">
        <v>Damaged Stock</v>
      </c>
    </row>
    <row r="295" customFormat="false" ht="15.75" hidden="false" customHeight="false" outlineLevel="0" collapsed="false">
      <c r="A295" s="13" t="str">
        <f aca="false">IFERROR(__xludf.dummyfunction("""COMPUTED_VALUE"""),"Metro DC Faisalabad")</f>
        <v>Metro DC Faisalabad</v>
      </c>
      <c r="B295" s="13" t="str">
        <f aca="false">IFERROR(__xludf.dummyfunction("""COMPUTED_VALUE"""),"38f91ed7-8c25-4061-b1cb-85ac528c02dc")</f>
        <v>38f91ed7-8c25-4061-b1cb-85ac528c02dc</v>
      </c>
      <c r="C295" s="13" t="str">
        <f aca="false">IFERROR(__xludf.dummyfunction("""COMPUTED_VALUE"""),"Shangrila Tomato Ketchup x6 Bundle 70g")</f>
        <v>Shangrila Tomato Ketchup x6 Bundle 70g</v>
      </c>
      <c r="D295" s="13" t="str">
        <f aca="false">IFERROR(__xludf.dummyfunction("""COMPUTED_VALUE"""),"Shangrila")</f>
        <v>Shangrila</v>
      </c>
      <c r="E295" s="13" t="str">
        <f aca="false">IFERROR(__xludf.dummyfunction("""COMPUTED_VALUE"""),"Sauces")</f>
        <v>Sauces</v>
      </c>
      <c r="F295" s="11" t="n">
        <f aca="false">IFERROR(__xludf.dummyfunction("""COMPUTED_VALUE"""),45153)</f>
        <v>45153</v>
      </c>
      <c r="G295" s="12" t="n">
        <f aca="false">IFERROR(__xludf.dummyfunction("""COMPUTED_VALUE"""),0.868468796295596)</f>
        <v>0.8684687963</v>
      </c>
      <c r="H295" s="13" t="str">
        <f aca="false">IFERROR(__xludf.dummyfunction("""COMPUTED_VALUE"""),"damaged stock")</f>
        <v>damaged stock</v>
      </c>
      <c r="I295" s="13" t="n">
        <f aca="false">IFERROR(__xludf.dummyfunction("""COMPUTED_VALUE"""),1)</f>
        <v>1</v>
      </c>
      <c r="J295" s="13" t="n">
        <f aca="false">IFERROR(__xludf.dummyfunction("""COMPUTED_VALUE"""),188.49)</f>
        <v>188.49</v>
      </c>
      <c r="K295" s="13" t="n">
        <f aca="false">IFERROR(__xludf.dummyfunction("""COMPUTED_VALUE"""),188.49)</f>
        <v>188.49</v>
      </c>
      <c r="L295" s="13" t="str">
        <f aca="false">IFERROR(__xludf.dummyfunction("""COMPUTED_VALUE"""),"[Code: 99EJKM] TA: found damaged from box during display(Company end issue )...")</f>
        <v>[Code: 99EJKM] TA: found damaged from box during display(Company end issue )...</v>
      </c>
      <c r="M295" s="13" t="str">
        <f aca="false">IFERROR(__xludf.dummyfunction("""COMPUTED_VALUE"""),"99EJKM")</f>
        <v>99EJKM</v>
      </c>
      <c r="N295" s="13"/>
      <c r="O295" s="13" t="str">
        <f aca="false">IFERROR(__xludf.dummyfunction("""COMPUTED_VALUE"""),"taufeeq.akhtar@tajir-app.com")</f>
        <v>taufeeq.akhtar@tajir-app.com</v>
      </c>
      <c r="P295" s="13" t="str">
        <f aca="false">IFERROR(__xludf.dummyfunction("""COMPUTED_VALUE"""),"Taufeeq Akhtar ")</f>
        <v>Taufeeq Akhtar </v>
      </c>
      <c r="Q295" s="13" t="str">
        <f aca="false">IFERROR(__xludf.dummyfunction("""COMPUTED_VALUE"""),"[Code: 99EJKM] TA: found damaged from box during display(Company end issue )...")</f>
        <v>[Code: 99EJKM] TA: found damaged from box during display(Company end issue )...</v>
      </c>
      <c r="R295" s="13" t="str">
        <v>Tue,15-August-2023 ,08:50 PM</v>
      </c>
      <c r="S295" s="13" t="str">
        <v>Damaged Stock</v>
      </c>
    </row>
    <row r="296" customFormat="false" ht="15.75" hidden="false" customHeight="false" outlineLevel="0" collapsed="false">
      <c r="A296" s="13" t="str">
        <f aca="false">IFERROR(__xludf.dummyfunction("""COMPUTED_VALUE"""),"Metro DC Faisalabad")</f>
        <v>Metro DC Faisalabad</v>
      </c>
      <c r="B296" s="13" t="str">
        <f aca="false">IFERROR(__xludf.dummyfunction("""COMPUTED_VALUE"""),"d833817f-cf3e-4c58-89b9-79905c414df1")</f>
        <v>d833817f-cf3e-4c58-89b9-79905c414df1</v>
      </c>
      <c r="C296" s="13" t="str">
        <f aca="false">IFERROR(__xludf.dummyfunction("""COMPUTED_VALUE"""),"Booster NR 250ml")</f>
        <v>Booster NR 250ml</v>
      </c>
      <c r="D296" s="13" t="str">
        <f aca="false">IFERROR(__xludf.dummyfunction("""COMPUTED_VALUE"""),"Booster")</f>
        <v>Booster</v>
      </c>
      <c r="E296" s="13" t="str">
        <f aca="false">IFERROR(__xludf.dummyfunction("""COMPUTED_VALUE"""),"Beverages")</f>
        <v>Beverages</v>
      </c>
      <c r="F296" s="11" t="n">
        <f aca="false">IFERROR(__xludf.dummyfunction("""COMPUTED_VALUE"""),45153)</f>
        <v>45153</v>
      </c>
      <c r="G296" s="12" t="n">
        <f aca="false">IFERROR(__xludf.dummyfunction("""COMPUTED_VALUE"""),0.870129282407046)</f>
        <v>0.8701292824</v>
      </c>
      <c r="H296" s="13" t="str">
        <f aca="false">IFERROR(__xludf.dummyfunction("""COMPUTED_VALUE"""),"damaged stock")</f>
        <v>damaged stock</v>
      </c>
      <c r="I296" s="13" t="n">
        <f aca="false">IFERROR(__xludf.dummyfunction("""COMPUTED_VALUE"""),1)</f>
        <v>1</v>
      </c>
      <c r="J296" s="13" t="n">
        <f aca="false">IFERROR(__xludf.dummyfunction("""COMPUTED_VALUE"""),669.6)</f>
        <v>669.6</v>
      </c>
      <c r="K296" s="13" t="n">
        <f aca="false">IFERROR(__xludf.dummyfunction("""COMPUTED_VALUE"""),669.6)</f>
        <v>669.6</v>
      </c>
      <c r="L296" s="13" t="str">
        <f aca="false">IFERROR(__xludf.dummyfunction("""COMPUTED_VALUE"""),"[Code: 256DEH] TA: found damaged during sorting....")</f>
        <v>[Code: 256DEH] TA: found damaged during sorting....</v>
      </c>
      <c r="M296" s="13" t="str">
        <f aca="false">IFERROR(__xludf.dummyfunction("""COMPUTED_VALUE"""),"256DEH")</f>
        <v>256DEH</v>
      </c>
      <c r="N296" s="13"/>
      <c r="O296" s="13" t="str">
        <f aca="false">IFERROR(__xludf.dummyfunction("""COMPUTED_VALUE"""),"taufeeq.akhtar@tajir-app.com")</f>
        <v>taufeeq.akhtar@tajir-app.com</v>
      </c>
      <c r="P296" s="13" t="str">
        <f aca="false">IFERROR(__xludf.dummyfunction("""COMPUTED_VALUE"""),"Taufeeq Akhtar ")</f>
        <v>Taufeeq Akhtar </v>
      </c>
      <c r="Q296" s="13" t="str">
        <f aca="false">IFERROR(__xludf.dummyfunction("""COMPUTED_VALUE"""),"[Code: 256DEH] TA: found damaged during sorting....")</f>
        <v>[Code: 256DEH] TA: found damaged during sorting....</v>
      </c>
      <c r="R296" s="13" t="str">
        <v>Tue,15-August-2023 ,08:52 PM</v>
      </c>
      <c r="S296" s="13" t="str">
        <v>Damaged Stock</v>
      </c>
    </row>
    <row r="297" customFormat="false" ht="15.75" hidden="false" customHeight="false" outlineLevel="0" collapsed="false">
      <c r="A297" s="13" t="str">
        <f aca="false">IFERROR(__xludf.dummyfunction("""COMPUTED_VALUE"""),"Metro DC Faisalabad")</f>
        <v>Metro DC Faisalabad</v>
      </c>
      <c r="B297" s="13" t="str">
        <f aca="false">IFERROR(__xludf.dummyfunction("""COMPUTED_VALUE"""),"bcd0395a-3af4-483a-860d-51d4eeee9e96")</f>
        <v>bcd0395a-3af4-483a-860d-51d4eeee9e96</v>
      </c>
      <c r="C297" s="13" t="str">
        <f aca="false">IFERROR(__xludf.dummyfunction("""COMPUTED_VALUE"""),"Ultra Pure Drain Opener 300ml Rs60")</f>
        <v>Ultra Pure Drain Opener 300ml Rs60</v>
      </c>
      <c r="D297" s="13" t="str">
        <f aca="false">IFERROR(__xludf.dummyfunction("""COMPUTED_VALUE"""),"Ultra Pure")</f>
        <v>Ultra Pure</v>
      </c>
      <c r="E297" s="13" t="str">
        <f aca="false">IFERROR(__xludf.dummyfunction("""COMPUTED_VALUE"""),"Home Care")</f>
        <v>Home Care</v>
      </c>
      <c r="F297" s="11" t="n">
        <f aca="false">IFERROR(__xludf.dummyfunction("""COMPUTED_VALUE"""),45154)</f>
        <v>45154</v>
      </c>
      <c r="G297" s="12" t="n">
        <f aca="false">IFERROR(__xludf.dummyfunction("""COMPUTED_VALUE"""),0.883958645831975)</f>
        <v>0.8839586458</v>
      </c>
      <c r="H297" s="13" t="str">
        <f aca="false">IFERROR(__xludf.dummyfunction("""COMPUTED_VALUE"""),"damaged stock")</f>
        <v>damaged stock</v>
      </c>
      <c r="I297" s="13" t="n">
        <f aca="false">IFERROR(__xludf.dummyfunction("""COMPUTED_VALUE"""),4)</f>
        <v>4</v>
      </c>
      <c r="J297" s="13" t="n">
        <f aca="false">IFERROR(__xludf.dummyfunction("""COMPUTED_VALUE"""),31)</f>
        <v>31</v>
      </c>
      <c r="K297" s="13" t="n">
        <f aca="false">IFERROR(__xludf.dummyfunction("""COMPUTED_VALUE"""),124)</f>
        <v>124</v>
      </c>
      <c r="L297" s="13" t="str">
        <f aca="false">IFERROR(__xludf.dummyfunction("""COMPUTED_VALUE"""),"[Code: 246AEF] T A ; 4 unit Damage found during Display  (coton sy damge mily hain )")</f>
        <v>[Code: 246AEF] T A ; 4 unit Damage found during Display  (coton sy damge mily hain )</v>
      </c>
      <c r="M297" s="13" t="str">
        <f aca="false">IFERROR(__xludf.dummyfunction("""COMPUTED_VALUE"""),"246AEF")</f>
        <v>246AEF</v>
      </c>
      <c r="N297" s="13"/>
      <c r="O297" s="13" t="str">
        <f aca="false">IFERROR(__xludf.dummyfunction("""COMPUTED_VALUE"""),"taufeeq.akhtar@tajir-app.com")</f>
        <v>taufeeq.akhtar@tajir-app.com</v>
      </c>
      <c r="P297" s="13" t="str">
        <f aca="false">IFERROR(__xludf.dummyfunction("""COMPUTED_VALUE"""),"Taufeeq Akhtar ")</f>
        <v>Taufeeq Akhtar </v>
      </c>
      <c r="Q297" s="13" t="str">
        <f aca="false">IFERROR(__xludf.dummyfunction("""COMPUTED_VALUE"""),"[Code: 246AEF] T A ; 4 unit Damage found during Display  (coton sy damge mily hain )")</f>
        <v>[Code: 246AEF] T A ; 4 unit Damage found during Display  (coton sy damge mily hain )</v>
      </c>
      <c r="R297" s="13" t="str">
        <v>Wed,16-August-2023 ,09:12 PM</v>
      </c>
      <c r="S297" s="13" t="str">
        <v>Damaged Stock</v>
      </c>
    </row>
    <row r="298" customFormat="false" ht="15.75" hidden="false" customHeight="false" outlineLevel="0" collapsed="false">
      <c r="A298" s="13" t="str">
        <f aca="false">IFERROR(__xludf.dummyfunction("""COMPUTED_VALUE"""),"Metro DC Faisalabad")</f>
        <v>Metro DC Faisalabad</v>
      </c>
      <c r="B298" s="13" t="str">
        <f aca="false">IFERROR(__xludf.dummyfunction("""COMPUTED_VALUE"""),"ad261b39-8236-46b3-b4b8-18de2ebb3efd")</f>
        <v>ad261b39-8236-46b3-b4b8-18de2ebb3efd</v>
      </c>
      <c r="C298" s="13" t="str">
        <f aca="false">IFERROR(__xludf.dummyfunction("""COMPUTED_VALUE"""),"Lipton yellow label tea 85g Rs270")</f>
        <v>Lipton yellow label tea 85g Rs270</v>
      </c>
      <c r="D298" s="13" t="str">
        <f aca="false">IFERROR(__xludf.dummyfunction("""COMPUTED_VALUE"""),"Lipton")</f>
        <v>Lipton</v>
      </c>
      <c r="E298" s="13" t="str">
        <f aca="false">IFERROR(__xludf.dummyfunction("""COMPUTED_VALUE"""),"Tea, Coffee")</f>
        <v>Tea, Coffee</v>
      </c>
      <c r="F298" s="11" t="n">
        <f aca="false">IFERROR(__xludf.dummyfunction("""COMPUTED_VALUE"""),45156)</f>
        <v>45156</v>
      </c>
      <c r="G298" s="12" t="n">
        <f aca="false">IFERROR(__xludf.dummyfunction("""COMPUTED_VALUE"""),0.701689895832536)</f>
        <v>0.7016898958</v>
      </c>
      <c r="H298" s="13" t="str">
        <f aca="false">IFERROR(__xludf.dummyfunction("""COMPUTED_VALUE"""),"damaged stock")</f>
        <v>damaged stock</v>
      </c>
      <c r="I298" s="13" t="n">
        <f aca="false">IFERROR(__xludf.dummyfunction("""COMPUTED_VALUE"""),1)</f>
        <v>1</v>
      </c>
      <c r="J298" s="13" t="n">
        <f aca="false">IFERROR(__xludf.dummyfunction("""COMPUTED_VALUE"""),247.42)</f>
        <v>247.42</v>
      </c>
      <c r="K298" s="13" t="n">
        <f aca="false">IFERROR(__xludf.dummyfunction("""COMPUTED_VALUE"""),247.42)</f>
        <v>247.42</v>
      </c>
      <c r="L298" s="13" t="str">
        <f aca="false">IFERROR(__xludf.dummyfunction("""COMPUTED_VALUE"""),"[Code: 68888C] TA: Found daamged from box.")</f>
        <v>[Code: 68888C] TA: Found daamged from box.</v>
      </c>
      <c r="M298" s="13" t="str">
        <f aca="false">IFERROR(__xludf.dummyfunction("""COMPUTED_VALUE"""),"68888C")</f>
        <v>68888C</v>
      </c>
      <c r="N298" s="13"/>
      <c r="O298" s="13" t="str">
        <f aca="false">IFERROR(__xludf.dummyfunction("""COMPUTED_VALUE"""),"taufeeq.akhtar@tajir-app.com")</f>
        <v>taufeeq.akhtar@tajir-app.com</v>
      </c>
      <c r="P298" s="13" t="str">
        <f aca="false">IFERROR(__xludf.dummyfunction("""COMPUTED_VALUE"""),"Taufeeq Akhtar ")</f>
        <v>Taufeeq Akhtar </v>
      </c>
      <c r="Q298" s="13" t="str">
        <f aca="false">IFERROR(__xludf.dummyfunction("""COMPUTED_VALUE"""),"[Code: 68888C] TA: Found daamged from box.")</f>
        <v>[Code: 68888C] TA: Found daamged from box.</v>
      </c>
      <c r="R298" s="13" t="str">
        <v>Fri,18-August-2023 ,04:50 PM</v>
      </c>
      <c r="S298" s="13" t="str">
        <v>Damaged Stock</v>
      </c>
    </row>
    <row r="299" customFormat="false" ht="15.75" hidden="false" customHeight="false" outlineLevel="0" collapsed="false">
      <c r="A299" s="13" t="str">
        <f aca="false">IFERROR(__xludf.dummyfunction("""COMPUTED_VALUE"""),"Metro DC Faisalabad")</f>
        <v>Metro DC Faisalabad</v>
      </c>
      <c r="B299" s="13" t="str">
        <f aca="false">IFERROR(__xludf.dummyfunction("""COMPUTED_VALUE"""),"cd68a607-af95-45cb-b9f4-2721224c85f8")</f>
        <v>cd68a607-af95-45cb-b9f4-2721224c85f8</v>
      </c>
      <c r="C299" s="13" t="str">
        <f aca="false">IFERROR(__xludf.dummyfunction("""COMPUTED_VALUE"""),"Coca Cola plastic 1.5L")</f>
        <v>Coca Cola plastic 1.5L</v>
      </c>
      <c r="D299" s="13" t="str">
        <f aca="false">IFERROR(__xludf.dummyfunction("""COMPUTED_VALUE"""),"Coca Cola")</f>
        <v>Coca Cola</v>
      </c>
      <c r="E299" s="13" t="str">
        <f aca="false">IFERROR(__xludf.dummyfunction("""COMPUTED_VALUE"""),"Beverages")</f>
        <v>Beverages</v>
      </c>
      <c r="F299" s="11" t="n">
        <f aca="false">IFERROR(__xludf.dummyfunction("""COMPUTED_VALUE"""),45156)</f>
        <v>45156</v>
      </c>
      <c r="G299" s="12" t="n">
        <f aca="false">IFERROR(__xludf.dummyfunction("""COMPUTED_VALUE"""),0.714865011574494)</f>
        <v>0.7148650116</v>
      </c>
      <c r="H299" s="13" t="str">
        <f aca="false">IFERROR(__xludf.dummyfunction("""COMPUTED_VALUE"""),"damaged stock")</f>
        <v>damaged stock</v>
      </c>
      <c r="I299" s="13" t="n">
        <f aca="false">IFERROR(__xludf.dummyfunction("""COMPUTED_VALUE"""),1)</f>
        <v>1</v>
      </c>
      <c r="J299" s="13" t="n">
        <f aca="false">IFERROR(__xludf.dummyfunction("""COMPUTED_VALUE"""),859.79)</f>
        <v>859.79</v>
      </c>
      <c r="K299" s="13" t="n">
        <f aca="false">IFERROR(__xludf.dummyfunction("""COMPUTED_VALUE"""),859.79)</f>
        <v>859.79</v>
      </c>
      <c r="L299" s="13" t="str">
        <f aca="false">IFERROR(__xludf.dummyfunction("""COMPUTED_VALUE"""),"[Code: 45779C] TA: found loose during sorting.")</f>
        <v>[Code: 45779C] TA: found loose during sorting.</v>
      </c>
      <c r="M299" s="13" t="str">
        <f aca="false">IFERROR(__xludf.dummyfunction("""COMPUTED_VALUE"""),"45779C")</f>
        <v>45779C</v>
      </c>
      <c r="N299" s="13"/>
      <c r="O299" s="13" t="str">
        <f aca="false">IFERROR(__xludf.dummyfunction("""COMPUTED_VALUE"""),"taufeeq.akhtar@tajir-app.com")</f>
        <v>taufeeq.akhtar@tajir-app.com</v>
      </c>
      <c r="P299" s="13" t="str">
        <f aca="false">IFERROR(__xludf.dummyfunction("""COMPUTED_VALUE"""),"Taufeeq Akhtar ")</f>
        <v>Taufeeq Akhtar </v>
      </c>
      <c r="Q299" s="13" t="str">
        <f aca="false">IFERROR(__xludf.dummyfunction("""COMPUTED_VALUE"""),"[Code: 45779C] TA: found loose during sorting.")</f>
        <v>[Code: 45779C] TA: found loose during sorting.</v>
      </c>
      <c r="R299" s="13" t="str">
        <v>Fri,18-August-2023 ,05:09 PM</v>
      </c>
      <c r="S299" s="13" t="str">
        <v>Damaged Stock</v>
      </c>
    </row>
    <row r="300" customFormat="false" ht="15.75" hidden="false" customHeight="false" outlineLevel="0" collapsed="false">
      <c r="A300" s="13" t="str">
        <f aca="false">IFERROR(__xludf.dummyfunction("""COMPUTED_VALUE"""),"Metro DC Faisalabad")</f>
        <v>Metro DC Faisalabad</v>
      </c>
      <c r="B300" s="13" t="str">
        <f aca="false">IFERROR(__xludf.dummyfunction("""COMPUTED_VALUE"""),"8af448e7-ff6d-4e39-a837-4e923e99504e")</f>
        <v>8af448e7-ff6d-4e39-a837-4e923e99504e</v>
      </c>
      <c r="C300" s="13" t="str">
        <f aca="false">IFERROR(__xludf.dummyfunction("""COMPUTED_VALUE"""),"Murree Brewery Bigg Apple Plastic x6 Crate 1L (One Liter)")</f>
        <v>Murree Brewery Bigg Apple Plastic x6 Crate 1L (One Liter)</v>
      </c>
      <c r="D300" s="13" t="str">
        <f aca="false">IFERROR(__xludf.dummyfunction("""COMPUTED_VALUE"""),"Murree Brewery")</f>
        <v>Murree Brewery</v>
      </c>
      <c r="E300" s="13" t="str">
        <f aca="false">IFERROR(__xludf.dummyfunction("""COMPUTED_VALUE"""),"Beverages")</f>
        <v>Beverages</v>
      </c>
      <c r="F300" s="11" t="n">
        <f aca="false">IFERROR(__xludf.dummyfunction("""COMPUTED_VALUE"""),45157)</f>
        <v>45157</v>
      </c>
      <c r="G300" s="12" t="n">
        <f aca="false">IFERROR(__xludf.dummyfunction("""COMPUTED_VALUE"""),0.983145520834875)</f>
        <v>0.9831455208</v>
      </c>
      <c r="H300" s="13" t="str">
        <f aca="false">IFERROR(__xludf.dummyfunction("""COMPUTED_VALUE"""),"damaged stock")</f>
        <v>damaged stock</v>
      </c>
      <c r="I300" s="13" t="n">
        <f aca="false">IFERROR(__xludf.dummyfunction("""COMPUTED_VALUE"""),1)</f>
        <v>1</v>
      </c>
      <c r="J300" s="13" t="n">
        <f aca="false">IFERROR(__xludf.dummyfunction("""COMPUTED_VALUE"""),456)</f>
        <v>456</v>
      </c>
      <c r="K300" s="13" t="n">
        <f aca="false">IFERROR(__xludf.dummyfunction("""COMPUTED_VALUE"""),456)</f>
        <v>456</v>
      </c>
      <c r="L300" s="13" t="str">
        <f aca="false">IFERROR(__xludf.dummyfunction("""COMPUTED_VALUE"""),"[Code: 33778E] TA: found loose bottels during sorting.")</f>
        <v>[Code: 33778E] TA: found loose bottels during sorting.</v>
      </c>
      <c r="M300" s="13" t="str">
        <f aca="false">IFERROR(__xludf.dummyfunction("""COMPUTED_VALUE"""),"33778E")</f>
        <v>33778E</v>
      </c>
      <c r="N300" s="13"/>
      <c r="O300" s="13" t="str">
        <f aca="false">IFERROR(__xludf.dummyfunction("""COMPUTED_VALUE"""),"taufeeq.akhtar@tajir-app.com")</f>
        <v>taufeeq.akhtar@tajir-app.com</v>
      </c>
      <c r="P300" s="13" t="str">
        <f aca="false">IFERROR(__xludf.dummyfunction("""COMPUTED_VALUE"""),"Taufeeq Akhtar ")</f>
        <v>Taufeeq Akhtar </v>
      </c>
      <c r="Q300" s="13" t="str">
        <f aca="false">IFERROR(__xludf.dummyfunction("""COMPUTED_VALUE"""),"[Code: 33778E] TA: found loose bottels during sorting.")</f>
        <v>[Code: 33778E] TA: found loose bottels during sorting.</v>
      </c>
      <c r="R300" s="13" t="str">
        <v>Sat,19-August-2023 ,11:35 PM</v>
      </c>
      <c r="S300" s="13" t="str">
        <v>Damaged Stock</v>
      </c>
    </row>
    <row r="301" customFormat="false" ht="15.75" hidden="false" customHeight="false" outlineLevel="0" collapsed="false">
      <c r="A301" s="13" t="str">
        <f aca="false">IFERROR(__xludf.dummyfunction("""COMPUTED_VALUE"""),"Metro DC Faisalabad")</f>
        <v>Metro DC Faisalabad</v>
      </c>
      <c r="B301" s="13" t="str">
        <f aca="false">IFERROR(__xludf.dummyfunction("""COMPUTED_VALUE"""),"6bf8e4d8-b1ee-4416-8677-04c83525e4ce")</f>
        <v>6bf8e4d8-b1ee-4416-8677-04c83525e4ce</v>
      </c>
      <c r="C301" s="13" t="str">
        <f aca="false">IFERROR(__xludf.dummyfunction("""COMPUTED_VALUE"""),"Dummer Super Fine Atta 15kg")</f>
        <v>Dummer Super Fine Atta 15kg</v>
      </c>
      <c r="D301" s="13" t="str">
        <f aca="false">IFERROR(__xludf.dummyfunction("""COMPUTED_VALUE"""),"Dummer Atta")</f>
        <v>Dummer Atta</v>
      </c>
      <c r="E301" s="13" t="str">
        <f aca="false">IFERROR(__xludf.dummyfunction("""COMPUTED_VALUE"""),"Flour")</f>
        <v>Flour</v>
      </c>
      <c r="F301" s="11" t="n">
        <f aca="false">IFERROR(__xludf.dummyfunction("""COMPUTED_VALUE"""),45157)</f>
        <v>45157</v>
      </c>
      <c r="G301" s="12" t="n">
        <f aca="false">IFERROR(__xludf.dummyfunction("""COMPUTED_VALUE"""),0.985899247686732)</f>
        <v>0.9858992477</v>
      </c>
      <c r="H301" s="13" t="str">
        <f aca="false">IFERROR(__xludf.dummyfunction("""COMPUTED_VALUE"""),"damaged stock")</f>
        <v>damaged stock</v>
      </c>
      <c r="I301" s="13" t="n">
        <f aca="false">IFERROR(__xludf.dummyfunction("""COMPUTED_VALUE"""),6)</f>
        <v>6</v>
      </c>
      <c r="J301" s="13" t="n">
        <f aca="false">IFERROR(__xludf.dummyfunction("""COMPUTED_VALUE"""),2050)</f>
        <v>2050</v>
      </c>
      <c r="K301" s="13" t="n">
        <f aca="false">IFERROR(__xludf.dummyfunction("""COMPUTED_VALUE"""),12300)</f>
        <v>12300</v>
      </c>
      <c r="L301" s="13" t="str">
        <f aca="false">IFERROR(__xludf.dummyfunction("""COMPUTED_VALUE"""),"[Code: 2358AD] TA: fungus(ulli) lagi hay atay may.")</f>
        <v>[Code: 2358AD] TA: fungus(ulli) lagi hay atay may.</v>
      </c>
      <c r="M301" s="13" t="str">
        <f aca="false">IFERROR(__xludf.dummyfunction("""COMPUTED_VALUE"""),"2358AD")</f>
        <v>2358AD</v>
      </c>
      <c r="N301" s="13"/>
      <c r="O301" s="13" t="str">
        <f aca="false">IFERROR(__xludf.dummyfunction("""COMPUTED_VALUE"""),"taufeeq.akhtar@tajir-app.com")</f>
        <v>taufeeq.akhtar@tajir-app.com</v>
      </c>
      <c r="P301" s="13" t="str">
        <f aca="false">IFERROR(__xludf.dummyfunction("""COMPUTED_VALUE"""),"Taufeeq Akhtar ")</f>
        <v>Taufeeq Akhtar </v>
      </c>
      <c r="Q301" s="13" t="str">
        <f aca="false">IFERROR(__xludf.dummyfunction("""COMPUTED_VALUE"""),"[Code: 2358AD] TA: fungus(ulli) lagi hay atay may.")</f>
        <v>[Code: 2358AD] TA: fungus(ulli) lagi hay atay may.</v>
      </c>
      <c r="R301" s="13" t="str">
        <v>Sat,19-August-2023 ,11:39 PM</v>
      </c>
      <c r="S301" s="13" t="str">
        <v>Damaged Stock</v>
      </c>
    </row>
    <row r="302" customFormat="false" ht="15.75" hidden="false" customHeight="false" outlineLevel="0" collapsed="false">
      <c r="A302" s="13" t="str">
        <f aca="false">IFERROR(__xludf.dummyfunction("""COMPUTED_VALUE"""),"Metro DC Faisalabad")</f>
        <v>Metro DC Faisalabad</v>
      </c>
      <c r="B302" s="13" t="str">
        <f aca="false">IFERROR(__xludf.dummyfunction("""COMPUTED_VALUE"""),"2f4582c6-2964-4844-8b03-c3a586c876c9")</f>
        <v>2f4582c6-2964-4844-8b03-c3a586c876c9</v>
      </c>
      <c r="C302" s="13" t="str">
        <f aca="false">IFERROR(__xludf.dummyfunction("""COMPUTED_VALUE"""),"Hairx Herbal Shampoo 360ml Rs450")</f>
        <v>Hairx Herbal Shampoo 360ml Rs450</v>
      </c>
      <c r="D302" s="13" t="str">
        <f aca="false">IFERROR(__xludf.dummyfunction("""COMPUTED_VALUE"""),"Ultra Pure")</f>
        <v>Ultra Pure</v>
      </c>
      <c r="E302" s="13" t="str">
        <f aca="false">IFERROR(__xludf.dummyfunction("""COMPUTED_VALUE"""),"Shampoo")</f>
        <v>Shampoo</v>
      </c>
      <c r="F302" s="11" t="n">
        <f aca="false">IFERROR(__xludf.dummyfunction("""COMPUTED_VALUE"""),45157)</f>
        <v>45157</v>
      </c>
      <c r="G302" s="12" t="n">
        <f aca="false">IFERROR(__xludf.dummyfunction("""COMPUTED_VALUE"""),0.994865995369627)</f>
        <v>0.9948659954</v>
      </c>
      <c r="H302" s="13" t="str">
        <f aca="false">IFERROR(__xludf.dummyfunction("""COMPUTED_VALUE"""),"damaged stock")</f>
        <v>damaged stock</v>
      </c>
      <c r="I302" s="13" t="n">
        <f aca="false">IFERROR(__xludf.dummyfunction("""COMPUTED_VALUE"""),1)</f>
        <v>1</v>
      </c>
      <c r="J302" s="13" t="n">
        <f aca="false">IFERROR(__xludf.dummyfunction("""COMPUTED_VALUE"""),180)</f>
        <v>180</v>
      </c>
      <c r="K302" s="13" t="n">
        <f aca="false">IFERROR(__xludf.dummyfunction("""COMPUTED_VALUE"""),180)</f>
        <v>180</v>
      </c>
      <c r="L302" s="13" t="str">
        <f aca="false">IFERROR(__xludf.dummyfunction("""COMPUTED_VALUE"""),"[Code: 3577DE] TA: Found damaged from durring display .")</f>
        <v>[Code: 3577DE] TA: Found damaged from durring display .</v>
      </c>
      <c r="M302" s="13" t="str">
        <f aca="false">IFERROR(__xludf.dummyfunction("""COMPUTED_VALUE"""),"3577DE")</f>
        <v>3577DE</v>
      </c>
      <c r="N302" s="13"/>
      <c r="O302" s="13" t="str">
        <f aca="false">IFERROR(__xludf.dummyfunction("""COMPUTED_VALUE"""),"taufeeq.akhtar@tajir-app.com")</f>
        <v>taufeeq.akhtar@tajir-app.com</v>
      </c>
      <c r="P302" s="13" t="str">
        <f aca="false">IFERROR(__xludf.dummyfunction("""COMPUTED_VALUE"""),"Taufeeq Akhtar ")</f>
        <v>Taufeeq Akhtar </v>
      </c>
      <c r="Q302" s="13" t="str">
        <f aca="false">IFERROR(__xludf.dummyfunction("""COMPUTED_VALUE"""),"[Code: 3577DE] TA: Found damaged from durring display .")</f>
        <v>[Code: 3577DE] TA: Found damaged from durring display .</v>
      </c>
      <c r="R302" s="13" t="str">
        <v>Sat,19-August-2023 ,11:52 PM</v>
      </c>
      <c r="S302" s="13" t="str">
        <v>Damaged Stock</v>
      </c>
    </row>
    <row r="303" customFormat="false" ht="15.75" hidden="false" customHeight="false" outlineLevel="0" collapsed="false">
      <c r="A303" s="13" t="str">
        <f aca="false">IFERROR(__xludf.dummyfunction("""COMPUTED_VALUE"""),"Metro DC Faisalabad")</f>
        <v>Metro DC Faisalabad</v>
      </c>
      <c r="B303" s="13" t="str">
        <f aca="false">IFERROR(__xludf.dummyfunction("""COMPUTED_VALUE"""),"d864c0cd-914b-4a54-96d5-8e894ba5f3b6")</f>
        <v>d864c0cd-914b-4a54-96d5-8e894ba5f3b6</v>
      </c>
      <c r="C303" s="13" t="str">
        <f aca="false">IFERROR(__xludf.dummyfunction("""COMPUTED_VALUE"""),"Surf Excel x6 bundle 20g Rs 10")</f>
        <v>Surf Excel x6 bundle 20g Rs 10</v>
      </c>
      <c r="D303" s="13" t="str">
        <f aca="false">IFERROR(__xludf.dummyfunction("""COMPUTED_VALUE"""),"Surf Excel")</f>
        <v>Surf Excel</v>
      </c>
      <c r="E303" s="13" t="str">
        <f aca="false">IFERROR(__xludf.dummyfunction("""COMPUTED_VALUE"""),"Surf, Bleach")</f>
        <v>Surf, Bleach</v>
      </c>
      <c r="F303" s="11" t="n">
        <f aca="false">IFERROR(__xludf.dummyfunction("""COMPUTED_VALUE"""),45158)</f>
        <v>45158</v>
      </c>
      <c r="G303" s="12" t="n">
        <f aca="false">IFERROR(__xludf.dummyfunction("""COMPUTED_VALUE"""),0.904656099538379)</f>
        <v>0.9046560995</v>
      </c>
      <c r="H303" s="13" t="str">
        <f aca="false">IFERROR(__xludf.dummyfunction("""COMPUTED_VALUE"""),"damaged stock")</f>
        <v>damaged stock</v>
      </c>
      <c r="I303" s="13" t="n">
        <f aca="false">IFERROR(__xludf.dummyfunction("""COMPUTED_VALUE"""),1)</f>
        <v>1</v>
      </c>
      <c r="J303" s="13" t="n">
        <f aca="false">IFERROR(__xludf.dummyfunction("""COMPUTED_VALUE"""),55.21)</f>
        <v>55.21</v>
      </c>
      <c r="K303" s="13" t="n">
        <f aca="false">IFERROR(__xludf.dummyfunction("""COMPUTED_VALUE"""),55.21)</f>
        <v>55.21</v>
      </c>
      <c r="L303" s="13" t="str">
        <f aca="false">IFERROR(__xludf.dummyfunction("""COMPUTED_VALUE"""),"[Code: 356689]   TA: Found damage from bag ")</f>
        <v>[Code: 356689]   TA: Found damage from bag </v>
      </c>
      <c r="M303" s="13" t="str">
        <f aca="false">IFERROR(__xludf.dummyfunction("""COMPUTED_VALUE"""),"356689")</f>
        <v>356689</v>
      </c>
      <c r="N303" s="13"/>
      <c r="O303" s="13" t="str">
        <f aca="false">IFERROR(__xludf.dummyfunction("""COMPUTED_VALUE"""),"taufeeq.akhtar@tajir-app.com")</f>
        <v>taufeeq.akhtar@tajir-app.com</v>
      </c>
      <c r="P303" s="13" t="str">
        <f aca="false">IFERROR(__xludf.dummyfunction("""COMPUTED_VALUE"""),"Taufeeq Akhtar ")</f>
        <v>Taufeeq Akhtar </v>
      </c>
      <c r="Q303" s="13" t="str">
        <f aca="false">IFERROR(__xludf.dummyfunction("""COMPUTED_VALUE"""),"[Code: 356689]   TA: Found damage from bag ")</f>
        <v>[Code: 356689]   TA: Found damage from bag </v>
      </c>
      <c r="R303" s="13" t="str">
        <v>Sun,20-August-2023 ,09:42 PM</v>
      </c>
      <c r="S303" s="13" t="str">
        <v>Damaged Stock</v>
      </c>
    </row>
    <row r="304" customFormat="false" ht="15.75" hidden="false" customHeight="false" outlineLevel="0" collapsed="false">
      <c r="A304" s="13" t="str">
        <f aca="false">IFERROR(__xludf.dummyfunction("""COMPUTED_VALUE"""),"Metro DC Faisalabad")</f>
        <v>Metro DC Faisalabad</v>
      </c>
      <c r="B304" s="13" t="str">
        <f aca="false">IFERROR(__xludf.dummyfunction("""COMPUTED_VALUE"""),"f5d0fa7a-c3e6-4b73-a02d-50506e9dd23b")</f>
        <v>f5d0fa7a-c3e6-4b73-a02d-50506e9dd23b</v>
      </c>
      <c r="C304" s="13" t="str">
        <f aca="false">IFERROR(__xludf.dummyfunction("""COMPUTED_VALUE"""),"Ultra Pure Surf 1kg Rs350")</f>
        <v>Ultra Pure Surf 1kg Rs350</v>
      </c>
      <c r="D304" s="13" t="str">
        <f aca="false">IFERROR(__xludf.dummyfunction("""COMPUTED_VALUE"""),"Ultra Pure")</f>
        <v>Ultra Pure</v>
      </c>
      <c r="E304" s="13" t="str">
        <f aca="false">IFERROR(__xludf.dummyfunction("""COMPUTED_VALUE"""),"Surf, Bleach")</f>
        <v>Surf, Bleach</v>
      </c>
      <c r="F304" s="11" t="n">
        <f aca="false">IFERROR(__xludf.dummyfunction("""COMPUTED_VALUE"""),45158)</f>
        <v>45158</v>
      </c>
      <c r="G304" s="12" t="n">
        <f aca="false">IFERROR(__xludf.dummyfunction("""COMPUTED_VALUE"""),0.90817731481647)</f>
        <v>0.9081773148</v>
      </c>
      <c r="H304" s="13" t="str">
        <f aca="false">IFERROR(__xludf.dummyfunction("""COMPUTED_VALUE"""),"damaged stock")</f>
        <v>damaged stock</v>
      </c>
      <c r="I304" s="13" t="n">
        <f aca="false">IFERROR(__xludf.dummyfunction("""COMPUTED_VALUE"""),1)</f>
        <v>1</v>
      </c>
      <c r="J304" s="13" t="n">
        <f aca="false">IFERROR(__xludf.dummyfunction("""COMPUTED_VALUE"""),172)</f>
        <v>172</v>
      </c>
      <c r="K304" s="13" t="n">
        <f aca="false">IFERROR(__xludf.dummyfunction("""COMPUTED_VALUE"""),172)</f>
        <v>172</v>
      </c>
      <c r="L304" s="13" t="str">
        <f aca="false">IFERROR(__xludf.dummyfunction("""COMPUTED_VALUE"""),"[Code: BBDJKL]  TA: Found damaged from bag  during display .")</f>
        <v>[Code: BBDJKL]  TA: Found damaged from bag  during display .</v>
      </c>
      <c r="M304" s="13" t="str">
        <f aca="false">IFERROR(__xludf.dummyfunction("""COMPUTED_VALUE"""),"BBDJKL")</f>
        <v>BBDJKL</v>
      </c>
      <c r="N304" s="13"/>
      <c r="O304" s="13" t="str">
        <f aca="false">IFERROR(__xludf.dummyfunction("""COMPUTED_VALUE"""),"taufeeq.akhtar@tajir-app.com")</f>
        <v>taufeeq.akhtar@tajir-app.com</v>
      </c>
      <c r="P304" s="13" t="str">
        <f aca="false">IFERROR(__xludf.dummyfunction("""COMPUTED_VALUE"""),"Taufeeq Akhtar ")</f>
        <v>Taufeeq Akhtar </v>
      </c>
      <c r="Q304" s="13" t="str">
        <f aca="false">IFERROR(__xludf.dummyfunction("""COMPUTED_VALUE"""),"[Code: BBDJKL]  TA: Found damaged from bag  during display .")</f>
        <v>[Code: BBDJKL]  TA: Found damaged from bag  during display .</v>
      </c>
      <c r="R304" s="13" t="str">
        <v>Sun,20-August-2023 ,09:47 PM</v>
      </c>
      <c r="S304" s="13" t="str">
        <v>Damaged Stock</v>
      </c>
    </row>
    <row r="305" customFormat="false" ht="15.75" hidden="false" customHeight="false" outlineLevel="0" collapsed="false">
      <c r="A305" s="13" t="str">
        <f aca="false">IFERROR(__xludf.dummyfunction("""COMPUTED_VALUE"""),"Metro DC Faisalabad")</f>
        <v>Metro DC Faisalabad</v>
      </c>
      <c r="B305" s="13" t="str">
        <f aca="false">IFERROR(__xludf.dummyfunction("""COMPUTED_VALUE"""),"6bf8e4d8-b1ee-4416-8677-04c83525e4ce")</f>
        <v>6bf8e4d8-b1ee-4416-8677-04c83525e4ce</v>
      </c>
      <c r="C305" s="13" t="str">
        <f aca="false">IFERROR(__xludf.dummyfunction("""COMPUTED_VALUE"""),"Dummer Super Fine Atta 15kg")</f>
        <v>Dummer Super Fine Atta 15kg</v>
      </c>
      <c r="D305" s="13" t="str">
        <f aca="false">IFERROR(__xludf.dummyfunction("""COMPUTED_VALUE"""),"Dummer Atta")</f>
        <v>Dummer Atta</v>
      </c>
      <c r="E305" s="13" t="str">
        <f aca="false">IFERROR(__xludf.dummyfunction("""COMPUTED_VALUE"""),"Flour")</f>
        <v>Flour</v>
      </c>
      <c r="F305" s="11" t="n">
        <f aca="false">IFERROR(__xludf.dummyfunction("""COMPUTED_VALUE"""),45158)</f>
        <v>45158</v>
      </c>
      <c r="G305" s="12" t="n">
        <f aca="false">IFERROR(__xludf.dummyfunction("""COMPUTED_VALUE"""),0.961747500001148)</f>
        <v>0.9617475</v>
      </c>
      <c r="H305" s="13" t="str">
        <f aca="false">IFERROR(__xludf.dummyfunction("""COMPUTED_VALUE"""),"damaged stock")</f>
        <v>damaged stock</v>
      </c>
      <c r="I305" s="13" t="n">
        <f aca="false">IFERROR(__xludf.dummyfunction("""COMPUTED_VALUE"""),1)</f>
        <v>1</v>
      </c>
      <c r="J305" s="13" t="n">
        <f aca="false">IFERROR(__xludf.dummyfunction("""COMPUTED_VALUE"""),2050)</f>
        <v>2050</v>
      </c>
      <c r="K305" s="13" t="n">
        <f aca="false">IFERROR(__xludf.dummyfunction("""COMPUTED_VALUE"""),2050)</f>
        <v>2050</v>
      </c>
      <c r="L305" s="13" t="str">
        <f aca="false">IFERROR(__xludf.dummyfunction("""COMPUTED_VALUE"""),"[Code: 2346CC]  TA: fungus(ulli) lagi hay atay may.")</f>
        <v>[Code: 2346CC]  TA: fungus(ulli) lagi hay atay may.</v>
      </c>
      <c r="M305" s="13" t="str">
        <f aca="false">IFERROR(__xludf.dummyfunction("""COMPUTED_VALUE"""),"2346CC")</f>
        <v>2346CC</v>
      </c>
      <c r="N305" s="13"/>
      <c r="O305" s="13" t="str">
        <f aca="false">IFERROR(__xludf.dummyfunction("""COMPUTED_VALUE"""),"taufeeq.akhtar@tajir-app.com")</f>
        <v>taufeeq.akhtar@tajir-app.com</v>
      </c>
      <c r="P305" s="13" t="str">
        <f aca="false">IFERROR(__xludf.dummyfunction("""COMPUTED_VALUE"""),"Taufeeq Akhtar ")</f>
        <v>Taufeeq Akhtar </v>
      </c>
      <c r="Q305" s="13" t="str">
        <f aca="false">IFERROR(__xludf.dummyfunction("""COMPUTED_VALUE"""),"[Code: 2346CC]  TA: fungus(ulli) lagi hay atay may.")</f>
        <v>[Code: 2346CC]  TA: fungus(ulli) lagi hay atay may.</v>
      </c>
      <c r="R305" s="13" t="str">
        <v>Sun,20-August-2023 ,11:04 PM</v>
      </c>
      <c r="S305" s="13" t="str">
        <v>Damaged Stock</v>
      </c>
    </row>
    <row r="306" customFormat="false" ht="15.75" hidden="false" customHeight="false" outlineLevel="0" collapsed="false">
      <c r="A306" s="13" t="str">
        <f aca="false">IFERROR(__xludf.dummyfunction("""COMPUTED_VALUE"""),"Metro DC Faisalabad")</f>
        <v>Metro DC Faisalabad</v>
      </c>
      <c r="B306" s="13" t="str">
        <f aca="false">IFERROR(__xludf.dummyfunction("""COMPUTED_VALUE"""),"717c11ae-c3bc-4378-a184-2154badcf63d")</f>
        <v>717c11ae-c3bc-4378-a184-2154badcf63d</v>
      </c>
      <c r="C306" s="13" t="str">
        <f aca="false">IFERROR(__xludf.dummyfunction("""COMPUTED_VALUE"""),"Quality Grains Daal Mash Wash 500g")</f>
        <v>Quality Grains Daal Mash Wash 500g</v>
      </c>
      <c r="D306" s="13" t="str">
        <f aca="false">IFERROR(__xludf.dummyfunction("""COMPUTED_VALUE"""),"Quality Grains")</f>
        <v>Quality Grains</v>
      </c>
      <c r="E306" s="13" t="str">
        <f aca="false">IFERROR(__xludf.dummyfunction("""COMPUTED_VALUE"""),"Pulses")</f>
        <v>Pulses</v>
      </c>
      <c r="F306" s="11" t="n">
        <f aca="false">IFERROR(__xludf.dummyfunction("""COMPUTED_VALUE"""),45160)</f>
        <v>45160</v>
      </c>
      <c r="G306" s="12" t="n">
        <f aca="false">IFERROR(__xludf.dummyfunction("""COMPUTED_VALUE"""),0.502580231481853)</f>
        <v>0.5025802315</v>
      </c>
      <c r="H306" s="13" t="str">
        <f aca="false">IFERROR(__xludf.dummyfunction("""COMPUTED_VALUE"""),"damaged stock")</f>
        <v>damaged stock</v>
      </c>
      <c r="I306" s="13" t="n">
        <f aca="false">IFERROR(__xludf.dummyfunction("""COMPUTED_VALUE"""),1)</f>
        <v>1</v>
      </c>
      <c r="J306" s="13" t="n">
        <f aca="false">IFERROR(__xludf.dummyfunction("""COMPUTED_VALUE"""),272)</f>
        <v>272</v>
      </c>
      <c r="K306" s="13" t="n">
        <f aca="false">IFERROR(__xludf.dummyfunction("""COMPUTED_VALUE"""),272)</f>
        <v>272</v>
      </c>
      <c r="L306" s="13" t="str">
        <f aca="false">IFERROR(__xludf.dummyfunction("""COMPUTED_VALUE"""),"[Code: 22366A] one unit found damaged due to fungus")</f>
        <v>[Code: 22366A] one unit found damaged due to fungus</v>
      </c>
      <c r="M306" s="13" t="str">
        <f aca="false">IFERROR(__xludf.dummyfunction("""COMPUTED_VALUE"""),"22366A")</f>
        <v>22366A</v>
      </c>
      <c r="N306" s="13"/>
      <c r="O306" s="13" t="str">
        <f aca="false">IFERROR(__xludf.dummyfunction("""COMPUTED_VALUE"""),"ali.raza@tajir-app.com")</f>
        <v>ali.raza@tajir-app.com</v>
      </c>
      <c r="P306" s="13" t="str">
        <f aca="false">IFERROR(__xludf.dummyfunction("""COMPUTED_VALUE"""),"Ali Raza ")</f>
        <v>Ali Raza </v>
      </c>
      <c r="Q306" s="13" t="str">
        <f aca="false">IFERROR(__xludf.dummyfunction("""COMPUTED_VALUE"""),"[Code: 22366A] one unit found damaged due to fungus")</f>
        <v>[Code: 22366A] one unit found damaged due to fungus</v>
      </c>
      <c r="R306" s="13" t="str">
        <v>Tue,22-August-2023 ,12:03 PM</v>
      </c>
      <c r="S306" s="13" t="str">
        <v>Damaged Stock</v>
      </c>
    </row>
    <row r="307" customFormat="false" ht="15.75" hidden="false" customHeight="false" outlineLevel="0" collapsed="false">
      <c r="A307" s="13" t="str">
        <f aca="false">IFERROR(__xludf.dummyfunction("""COMPUTED_VALUE"""),"Metro DC Faisalabad")</f>
        <v>Metro DC Faisalabad</v>
      </c>
      <c r="B307" s="13" t="str">
        <f aca="false">IFERROR(__xludf.dummyfunction("""COMPUTED_VALUE"""),"13e1aca6-1334-4628-8642-373185a2eeb7")</f>
        <v>13e1aca6-1334-4628-8642-373185a2eeb7</v>
      </c>
      <c r="C307" s="13" t="str">
        <f aca="false">IFERROR(__xludf.dummyfunction("""COMPUTED_VALUE"""),"Shangrila Tomato Ketchup x6 Bundle 225g")</f>
        <v>Shangrila Tomato Ketchup x6 Bundle 225g</v>
      </c>
      <c r="D307" s="13" t="str">
        <f aca="false">IFERROR(__xludf.dummyfunction("""COMPUTED_VALUE"""),"Shangrila")</f>
        <v>Shangrila</v>
      </c>
      <c r="E307" s="13" t="str">
        <f aca="false">IFERROR(__xludf.dummyfunction("""COMPUTED_VALUE"""),"Sauces")</f>
        <v>Sauces</v>
      </c>
      <c r="F307" s="11" t="n">
        <f aca="false">IFERROR(__xludf.dummyfunction("""COMPUTED_VALUE"""),45160)</f>
        <v>45160</v>
      </c>
      <c r="G307" s="12" t="n">
        <f aca="false">IFERROR(__xludf.dummyfunction("""COMPUTED_VALUE"""),0.930877499999482)</f>
        <v>0.9308775</v>
      </c>
      <c r="H307" s="13" t="str">
        <f aca="false">IFERROR(__xludf.dummyfunction("""COMPUTED_VALUE"""),"damaged stock")</f>
        <v>damaged stock</v>
      </c>
      <c r="I307" s="13" t="n">
        <f aca="false">IFERROR(__xludf.dummyfunction("""COMPUTED_VALUE"""),1)</f>
        <v>1</v>
      </c>
      <c r="J307" s="13" t="n">
        <f aca="false">IFERROR(__xludf.dummyfunction("""COMPUTED_VALUE"""),614.12)</f>
        <v>614.12</v>
      </c>
      <c r="K307" s="13" t="n">
        <f aca="false">IFERROR(__xludf.dummyfunction("""COMPUTED_VALUE"""),614.12)</f>
        <v>614.12</v>
      </c>
      <c r="L307" s="13" t="str">
        <f aca="false">IFERROR(__xludf.dummyfunction("""COMPUTED_VALUE"""),"[Code: 344566] TA: Found damaged from box during display.")</f>
        <v>[Code: 344566] TA: Found damaged from box during display.</v>
      </c>
      <c r="M307" s="13" t="str">
        <f aca="false">IFERROR(__xludf.dummyfunction("""COMPUTED_VALUE"""),"344566")</f>
        <v>344566</v>
      </c>
      <c r="N307" s="13"/>
      <c r="O307" s="13" t="str">
        <f aca="false">IFERROR(__xludf.dummyfunction("""COMPUTED_VALUE"""),"taufeeq.akhtar@tajir-app.com")</f>
        <v>taufeeq.akhtar@tajir-app.com</v>
      </c>
      <c r="P307" s="13" t="str">
        <f aca="false">IFERROR(__xludf.dummyfunction("""COMPUTED_VALUE"""),"Taufeeq Akhtar ")</f>
        <v>Taufeeq Akhtar </v>
      </c>
      <c r="Q307" s="13" t="str">
        <f aca="false">IFERROR(__xludf.dummyfunction("""COMPUTED_VALUE"""),"[Code: 344566] TA: Found damaged from box during display.")</f>
        <v>[Code: 344566] TA: Found damaged from box during display.</v>
      </c>
      <c r="R307" s="13" t="str">
        <v>Tue,22-August-2023 ,10:20 PM</v>
      </c>
      <c r="S307" s="13" t="str">
        <v>Damaged Stock</v>
      </c>
    </row>
    <row r="308" customFormat="false" ht="15.75" hidden="false" customHeight="false" outlineLevel="0" collapsed="false">
      <c r="A308" s="13" t="str">
        <f aca="false">IFERROR(__xludf.dummyfunction("""COMPUTED_VALUE"""),"Metro DC Faisalabad")</f>
        <v>Metro DC Faisalabad</v>
      </c>
      <c r="B308" s="13" t="str">
        <f aca="false">IFERROR(__xludf.dummyfunction("""COMPUTED_VALUE"""),"ef5292a1-b576-440d-a0a7-7557c23acc14")</f>
        <v>ef5292a1-b576-440d-a0a7-7557c23acc14</v>
      </c>
      <c r="C308" s="13" t="str">
        <f aca="false">IFERROR(__xludf.dummyfunction("""COMPUTED_VALUE"""),"Sherdil Masar Desi 5kg")</f>
        <v>Sherdil Masar Desi 5kg</v>
      </c>
      <c r="D308" s="13" t="str">
        <f aca="false">IFERROR(__xludf.dummyfunction("""COMPUTED_VALUE"""),"Sherdil")</f>
        <v>Sherdil</v>
      </c>
      <c r="E308" s="13" t="str">
        <f aca="false">IFERROR(__xludf.dummyfunction("""COMPUTED_VALUE"""),"Pulses")</f>
        <v>Pulses</v>
      </c>
      <c r="F308" s="11" t="n">
        <f aca="false">IFERROR(__xludf.dummyfunction("""COMPUTED_VALUE"""),45161)</f>
        <v>45161</v>
      </c>
      <c r="G308" s="12" t="n">
        <f aca="false">IFERROR(__xludf.dummyfunction("""COMPUTED_VALUE"""),0.699659097221818)</f>
        <v>0.6996590972</v>
      </c>
      <c r="H308" s="13" t="str">
        <f aca="false">IFERROR(__xludf.dummyfunction("""COMPUTED_VALUE"""),"damaged stock")</f>
        <v>damaged stock</v>
      </c>
      <c r="I308" s="13" t="n">
        <f aca="false">IFERROR(__xludf.dummyfunction("""COMPUTED_VALUE"""),11)</f>
        <v>11</v>
      </c>
      <c r="J308" s="13" t="n">
        <f aca="false">IFERROR(__xludf.dummyfunction("""COMPUTED_VALUE"""),2737)</f>
        <v>2737</v>
      </c>
      <c r="K308" s="13" t="n">
        <f aca="false">IFERROR(__xludf.dummyfunction("""COMPUTED_VALUE"""),30107)</f>
        <v>30107</v>
      </c>
      <c r="L308" s="13" t="str">
        <f aca="false">IFERROR(__xludf.dummyfunction("""COMPUTED_VALUE"""),"[Code: 25677C] 11 units have quality issue ")</f>
        <v>[Code: 25677C] 11 units have quality issue </v>
      </c>
      <c r="M308" s="13" t="str">
        <f aca="false">IFERROR(__xludf.dummyfunction("""COMPUTED_VALUE"""),"25677C")</f>
        <v>25677C</v>
      </c>
      <c r="N308" s="13"/>
      <c r="O308" s="13" t="str">
        <f aca="false">IFERROR(__xludf.dummyfunction("""COMPUTED_VALUE"""),"ali.raza@tajir-app.com")</f>
        <v>ali.raza@tajir-app.com</v>
      </c>
      <c r="P308" s="13" t="str">
        <f aca="false">IFERROR(__xludf.dummyfunction("""COMPUTED_VALUE"""),"Ali Raza ")</f>
        <v>Ali Raza </v>
      </c>
      <c r="Q308" s="13" t="str">
        <f aca="false">IFERROR(__xludf.dummyfunction("""COMPUTED_VALUE"""),"[Code: 25677C] 11 units have quality issue ")</f>
        <v>[Code: 25677C] 11 units have quality issue </v>
      </c>
      <c r="R308" s="13" t="str">
        <v>Wed,23-August-2023 ,04:47 PM</v>
      </c>
      <c r="S308" s="13" t="str">
        <v>Damaged Stock</v>
      </c>
    </row>
    <row r="309" customFormat="false" ht="15.75" hidden="false" customHeight="false" outlineLevel="0" collapsed="false">
      <c r="A309" s="13" t="str">
        <f aca="false">IFERROR(__xludf.dummyfunction("""COMPUTED_VALUE"""),"Metro DC Faisalabad")</f>
        <v>Metro DC Faisalabad</v>
      </c>
      <c r="B309" s="13" t="str">
        <f aca="false">IFERROR(__xludf.dummyfunction("""COMPUTED_VALUE"""),"da91f26e-758a-4787-8d66-43e126813b36")</f>
        <v>da91f26e-758a-4787-8d66-43e126813b36</v>
      </c>
      <c r="C309" s="13" t="str">
        <f aca="false">IFERROR(__xludf.dummyfunction("""COMPUTED_VALUE"""),"Sherdil Masar Desi 500g")</f>
        <v>Sherdil Masar Desi 500g</v>
      </c>
      <c r="D309" s="13" t="str">
        <f aca="false">IFERROR(__xludf.dummyfunction("""COMPUTED_VALUE"""),"Sherdil")</f>
        <v>Sherdil</v>
      </c>
      <c r="E309" s="13" t="str">
        <f aca="false">IFERROR(__xludf.dummyfunction("""COMPUTED_VALUE"""),"Pulses")</f>
        <v>Pulses</v>
      </c>
      <c r="F309" s="11" t="n">
        <f aca="false">IFERROR(__xludf.dummyfunction("""COMPUTED_VALUE"""),45161)</f>
        <v>45161</v>
      </c>
      <c r="G309" s="12" t="n">
        <f aca="false">IFERROR(__xludf.dummyfunction("""COMPUTED_VALUE"""),0.7069285995368)</f>
        <v>0.7069285995</v>
      </c>
      <c r="H309" s="13" t="str">
        <f aca="false">IFERROR(__xludf.dummyfunction("""COMPUTED_VALUE"""),"damaged stock")</f>
        <v>damaged stock</v>
      </c>
      <c r="I309" s="13" t="n">
        <f aca="false">IFERROR(__xludf.dummyfunction("""COMPUTED_VALUE"""),289)</f>
        <v>289</v>
      </c>
      <c r="J309" s="13" t="n">
        <f aca="false">IFERROR(__xludf.dummyfunction("""COMPUTED_VALUE"""),293)</f>
        <v>293</v>
      </c>
      <c r="K309" s="13" t="n">
        <f aca="false">IFERROR(__xludf.dummyfunction("""COMPUTED_VALUE"""),84677)</f>
        <v>84677</v>
      </c>
      <c r="L309" s="13" t="str">
        <f aca="false">IFERROR(__xludf.dummyfunction("""COMPUTED_VALUE"""),"[Code: 46AGHH] 289 units return to vendor due to low sale")</f>
        <v>[Code: 46AGHH] 289 units return to vendor due to low sale</v>
      </c>
      <c r="M309" s="13" t="str">
        <f aca="false">IFERROR(__xludf.dummyfunction("""COMPUTED_VALUE"""),"46AGHH")</f>
        <v>46AGHH</v>
      </c>
      <c r="N309" s="13"/>
      <c r="O309" s="13" t="str">
        <f aca="false">IFERROR(__xludf.dummyfunction("""COMPUTED_VALUE"""),"ali.raza@tajir-app.com")</f>
        <v>ali.raza@tajir-app.com</v>
      </c>
      <c r="P309" s="13" t="str">
        <f aca="false">IFERROR(__xludf.dummyfunction("""COMPUTED_VALUE"""),"Ali Raza ")</f>
        <v>Ali Raza </v>
      </c>
      <c r="Q309" s="13" t="str">
        <f aca="false">IFERROR(__xludf.dummyfunction("""COMPUTED_VALUE"""),"[Code: 46AGHH] 289 units return to vendor due to low sale")</f>
        <v>[Code: 46AGHH] 289 units return to vendor due to low sale</v>
      </c>
      <c r="R309" s="13" t="str">
        <v>Wed,23-August-2023 ,04:57 PM</v>
      </c>
      <c r="S309" s="13" t="str">
        <v>Damaged Stock</v>
      </c>
    </row>
    <row r="310" customFormat="false" ht="15.75" hidden="false" customHeight="false" outlineLevel="0" collapsed="false">
      <c r="A310" s="13" t="str">
        <f aca="false">IFERROR(__xludf.dummyfunction("""COMPUTED_VALUE"""),"Metro DC Faisalabad")</f>
        <v>Metro DC Faisalabad</v>
      </c>
      <c r="B310" s="13" t="str">
        <f aca="false">IFERROR(__xludf.dummyfunction("""COMPUTED_VALUE"""),"eb5c71cb-609c-4f22-a442-ffab083be8ac")</f>
        <v>eb5c71cb-609c-4f22-a442-ffab083be8ac</v>
      </c>
      <c r="C310" s="13" t="str">
        <f aca="false">IFERROR(__xludf.dummyfunction("""COMPUTED_VALUE"""),"Sherdil Masar Desi 1kg")</f>
        <v>Sherdil Masar Desi 1kg</v>
      </c>
      <c r="D310" s="13" t="str">
        <f aca="false">IFERROR(__xludf.dummyfunction("""COMPUTED_VALUE"""),"Sherdil")</f>
        <v>Sherdil</v>
      </c>
      <c r="E310" s="13" t="str">
        <f aca="false">IFERROR(__xludf.dummyfunction("""COMPUTED_VALUE"""),"Pulses")</f>
        <v>Pulses</v>
      </c>
      <c r="F310" s="11" t="n">
        <f aca="false">IFERROR(__xludf.dummyfunction("""COMPUTED_VALUE"""),45161)</f>
        <v>45161</v>
      </c>
      <c r="G310" s="12" t="n">
        <f aca="false">IFERROR(__xludf.dummyfunction("""COMPUTED_VALUE"""),0.708107372684431)</f>
        <v>0.7081073727</v>
      </c>
      <c r="H310" s="13" t="str">
        <f aca="false">IFERROR(__xludf.dummyfunction("""COMPUTED_VALUE"""),"damaged stock")</f>
        <v>damaged stock</v>
      </c>
      <c r="I310" s="13" t="n">
        <f aca="false">IFERROR(__xludf.dummyfunction("""COMPUTED_VALUE"""),98)</f>
        <v>98</v>
      </c>
      <c r="J310" s="13" t="n">
        <f aca="false">IFERROR(__xludf.dummyfunction("""COMPUTED_VALUE"""),569)</f>
        <v>569</v>
      </c>
      <c r="K310" s="13" t="n">
        <f aca="false">IFERROR(__xludf.dummyfunction("""COMPUTED_VALUE"""),55762)</f>
        <v>55762</v>
      </c>
      <c r="L310" s="13" t="str">
        <f aca="false">IFERROR(__xludf.dummyfunction("""COMPUTED_VALUE"""),"[Code: 3AAEFL] 98 units return to vendor due to sale ")</f>
        <v>[Code: 3AAEFL] 98 units return to vendor due to sale </v>
      </c>
      <c r="M310" s="13" t="str">
        <f aca="false">IFERROR(__xludf.dummyfunction("""COMPUTED_VALUE"""),"3AAEFL")</f>
        <v>3AAEFL</v>
      </c>
      <c r="N310" s="13"/>
      <c r="O310" s="13" t="str">
        <f aca="false">IFERROR(__xludf.dummyfunction("""COMPUTED_VALUE"""),"ali.raza@tajir-app.com")</f>
        <v>ali.raza@tajir-app.com</v>
      </c>
      <c r="P310" s="13" t="str">
        <f aca="false">IFERROR(__xludf.dummyfunction("""COMPUTED_VALUE"""),"Ali Raza ")</f>
        <v>Ali Raza </v>
      </c>
      <c r="Q310" s="13" t="str">
        <f aca="false">IFERROR(__xludf.dummyfunction("""COMPUTED_VALUE"""),"[Code: 3AAEFL] 98 units return to vendor due to sale ")</f>
        <v>[Code: 3AAEFL] 98 units return to vendor due to sale </v>
      </c>
      <c r="R310" s="13" t="str">
        <v>Wed,23-August-2023 ,04:59 PM</v>
      </c>
      <c r="S310" s="13" t="str">
        <v>Damaged Stock</v>
      </c>
    </row>
    <row r="311" customFormat="false" ht="15.75" hidden="false" customHeight="false" outlineLevel="0" collapsed="false">
      <c r="A311" s="13" t="str">
        <f aca="false">IFERROR(__xludf.dummyfunction("""COMPUTED_VALUE"""),"Metro DC Faisalabad")</f>
        <v>Metro DC Faisalabad</v>
      </c>
      <c r="B311" s="13" t="str">
        <f aca="false">IFERROR(__xludf.dummyfunction("""COMPUTED_VALUE"""),"a256ce9f-7f44-44e9-ae86-f3752981f2ee")</f>
        <v>a256ce9f-7f44-44e9-ae86-f3752981f2ee</v>
      </c>
      <c r="C311" s="13" t="str">
        <f aca="false">IFERROR(__xludf.dummyfunction("""COMPUTED_VALUE"""),"Juice Time Red Grape x24 200ml")</f>
        <v>Juice Time Red Grape x24 200ml</v>
      </c>
      <c r="D311" s="13" t="str">
        <f aca="false">IFERROR(__xludf.dummyfunction("""COMPUTED_VALUE"""),"Juice Time")</f>
        <v>Juice Time</v>
      </c>
      <c r="E311" s="13" t="str">
        <f aca="false">IFERROR(__xludf.dummyfunction("""COMPUTED_VALUE"""),"Juice, Syrup, Squash")</f>
        <v>Juice, Syrup, Squash</v>
      </c>
      <c r="F311" s="11" t="n">
        <f aca="false">IFERROR(__xludf.dummyfunction("""COMPUTED_VALUE"""),45163)</f>
        <v>45163</v>
      </c>
      <c r="G311" s="12" t="n">
        <f aca="false">IFERROR(__xludf.dummyfunction("""COMPUTED_VALUE"""),0.751580266204226)</f>
        <v>0.7515802662</v>
      </c>
      <c r="H311" s="13" t="str">
        <f aca="false">IFERROR(__xludf.dummyfunction("""COMPUTED_VALUE"""),"damaged stock")</f>
        <v>damaged stock</v>
      </c>
      <c r="I311" s="13" t="n">
        <f aca="false">IFERROR(__xludf.dummyfunction("""COMPUTED_VALUE"""),1)</f>
        <v>1</v>
      </c>
      <c r="J311" s="13" t="n">
        <f aca="false">IFERROR(__xludf.dummyfunction("""COMPUTED_VALUE"""),555)</f>
        <v>555</v>
      </c>
      <c r="K311" s="13" t="n">
        <f aca="false">IFERROR(__xludf.dummyfunction("""COMPUTED_VALUE"""),555)</f>
        <v>555</v>
      </c>
      <c r="L311" s="13" t="str">
        <f aca="false">IFERROR(__xludf.dummyfunction("""COMPUTED_VALUE"""),"[Code: 89EFFJ]   TA: Found damaged during display.")</f>
        <v>[Code: 89EFFJ]   TA: Found damaged during display.</v>
      </c>
      <c r="M311" s="13" t="str">
        <f aca="false">IFERROR(__xludf.dummyfunction("""COMPUTED_VALUE"""),"89EFFJ")</f>
        <v>89EFFJ</v>
      </c>
      <c r="N311" s="13"/>
      <c r="O311" s="13" t="str">
        <f aca="false">IFERROR(__xludf.dummyfunction("""COMPUTED_VALUE"""),"taufeeq.akhtar@tajir-app.com")</f>
        <v>taufeeq.akhtar@tajir-app.com</v>
      </c>
      <c r="P311" s="13" t="str">
        <f aca="false">IFERROR(__xludf.dummyfunction("""COMPUTED_VALUE"""),"Taufeeq Akhtar ")</f>
        <v>Taufeeq Akhtar </v>
      </c>
      <c r="Q311" s="13" t="str">
        <f aca="false">IFERROR(__xludf.dummyfunction("""COMPUTED_VALUE"""),"[Code: 89EFFJ]   TA: Found damaged during display.")</f>
        <v>[Code: 89EFFJ]   TA: Found damaged during display.</v>
      </c>
      <c r="R311" s="13" t="str">
        <v>Fri,25-August-2023 ,06:02 PM</v>
      </c>
      <c r="S311" s="13" t="str">
        <v>Damaged Stock</v>
      </c>
    </row>
    <row r="312" customFormat="false" ht="15.75" hidden="false" customHeight="false" outlineLevel="0" collapsed="false">
      <c r="A312" s="13" t="str">
        <f aca="false">IFERROR(__xludf.dummyfunction("""COMPUTED_VALUE"""),"Metro DC Faisalabad")</f>
        <v>Metro DC Faisalabad</v>
      </c>
      <c r="B312" s="13" t="str">
        <f aca="false">IFERROR(__xludf.dummyfunction("""COMPUTED_VALUE"""),"09ff2b51-de1a-43dc-8e0b-d66ec9177555")</f>
        <v>09ff2b51-de1a-43dc-8e0b-d66ec9177555</v>
      </c>
      <c r="C312" s="13" t="str">
        <f aca="false">IFERROR(__xludf.dummyfunction("""COMPUTED_VALUE"""),"Aquafina Mineral Water 1.5L ")</f>
        <v>Aquafina Mineral Water 1.5L </v>
      </c>
      <c r="D312" s="13" t="str">
        <f aca="false">IFERROR(__xludf.dummyfunction("""COMPUTED_VALUE"""),"Aquafina")</f>
        <v>Aquafina</v>
      </c>
      <c r="E312" s="13" t="str">
        <f aca="false">IFERROR(__xludf.dummyfunction("""COMPUTED_VALUE"""),"Beverages")</f>
        <v>Beverages</v>
      </c>
      <c r="F312" s="11" t="n">
        <f aca="false">IFERROR(__xludf.dummyfunction("""COMPUTED_VALUE"""),45163)</f>
        <v>45163</v>
      </c>
      <c r="G312" s="12" t="n">
        <f aca="false">IFERROR(__xludf.dummyfunction("""COMPUTED_VALUE"""),0.752893402778441)</f>
        <v>0.7528934028</v>
      </c>
      <c r="H312" s="13" t="str">
        <f aca="false">IFERROR(__xludf.dummyfunction("""COMPUTED_VALUE"""),"damaged stock")</f>
        <v>damaged stock</v>
      </c>
      <c r="I312" s="13" t="n">
        <f aca="false">IFERROR(__xludf.dummyfunction("""COMPUTED_VALUE"""),1)</f>
        <v>1</v>
      </c>
      <c r="J312" s="13" t="n">
        <f aca="false">IFERROR(__xludf.dummyfunction("""COMPUTED_VALUE"""),425)</f>
        <v>425</v>
      </c>
      <c r="K312" s="13" t="n">
        <f aca="false">IFERROR(__xludf.dummyfunction("""COMPUTED_VALUE"""),425)</f>
        <v>425</v>
      </c>
      <c r="L312" s="13" t="str">
        <f aca="false">IFERROR(__xludf.dummyfunction("""COMPUTED_VALUE"""),"[Code: 57899E]  TA: Found damaged  during sorting.")</f>
        <v>[Code: 57899E]  TA: Found damaged  during sorting.</v>
      </c>
      <c r="M312" s="13" t="str">
        <f aca="false">IFERROR(__xludf.dummyfunction("""COMPUTED_VALUE"""),"57899E")</f>
        <v>57899E</v>
      </c>
      <c r="N312" s="13"/>
      <c r="O312" s="13" t="str">
        <f aca="false">IFERROR(__xludf.dummyfunction("""COMPUTED_VALUE"""),"taufeeq.akhtar@tajir-app.com")</f>
        <v>taufeeq.akhtar@tajir-app.com</v>
      </c>
      <c r="P312" s="13" t="str">
        <f aca="false">IFERROR(__xludf.dummyfunction("""COMPUTED_VALUE"""),"Taufeeq Akhtar ")</f>
        <v>Taufeeq Akhtar </v>
      </c>
      <c r="Q312" s="13" t="str">
        <f aca="false">IFERROR(__xludf.dummyfunction("""COMPUTED_VALUE"""),"[Code: 57899E]  TA: Found damaged  during sorting.")</f>
        <v>[Code: 57899E]  TA: Found damaged  during sorting.</v>
      </c>
      <c r="R312" s="13" t="str">
        <v>Fri,25-August-2023 ,06:04 PM</v>
      </c>
      <c r="S312" s="13" t="str">
        <v>Damaged Stock</v>
      </c>
    </row>
    <row r="313" customFormat="false" ht="15.75" hidden="false" customHeight="false" outlineLevel="0" collapsed="false">
      <c r="A313" s="13" t="str">
        <f aca="false">IFERROR(__xludf.dummyfunction("""COMPUTED_VALUE"""),"Metro DC Faisalabad")</f>
        <v>Metro DC Faisalabad</v>
      </c>
      <c r="B313" s="13" t="str">
        <f aca="false">IFERROR(__xludf.dummyfunction("""COMPUTED_VALUE"""),"d35314e0-f3f4-47fe-90aa-af65dab10e9d")</f>
        <v>d35314e0-f3f4-47fe-90aa-af65dab10e9d</v>
      </c>
      <c r="C313" s="13" t="str">
        <f aca="false">IFERROR(__xludf.dummyfunction("""COMPUTED_VALUE"""),"Bonus tristar detergent x6 bundle 48g Rs10")</f>
        <v>Bonus tristar detergent x6 bundle 48g Rs10</v>
      </c>
      <c r="D313" s="13" t="str">
        <f aca="false">IFERROR(__xludf.dummyfunction("""COMPUTED_VALUE"""),"Bonus Surf")</f>
        <v>Bonus Surf</v>
      </c>
      <c r="E313" s="13" t="str">
        <f aca="false">IFERROR(__xludf.dummyfunction("""COMPUTED_VALUE"""),"Surf, Bleach")</f>
        <v>Surf, Bleach</v>
      </c>
      <c r="F313" s="11" t="n">
        <f aca="false">IFERROR(__xludf.dummyfunction("""COMPUTED_VALUE"""),45164)</f>
        <v>45164</v>
      </c>
      <c r="G313" s="12" t="n">
        <f aca="false">IFERROR(__xludf.dummyfunction("""COMPUTED_VALUE"""),0.976948449072409)</f>
        <v>0.9769484491</v>
      </c>
      <c r="H313" s="13" t="str">
        <f aca="false">IFERROR(__xludf.dummyfunction("""COMPUTED_VALUE"""),"damaged stock")</f>
        <v>damaged stock</v>
      </c>
      <c r="I313" s="13" t="n">
        <f aca="false">IFERROR(__xludf.dummyfunction("""COMPUTED_VALUE"""),1)</f>
        <v>1</v>
      </c>
      <c r="J313" s="13" t="n">
        <f aca="false">IFERROR(__xludf.dummyfunction("""COMPUTED_VALUE"""),55.25)</f>
        <v>55.25</v>
      </c>
      <c r="K313" s="13" t="n">
        <f aca="false">IFERROR(__xludf.dummyfunction("""COMPUTED_VALUE"""),55.25)</f>
        <v>55.25</v>
      </c>
      <c r="L313" s="13" t="str">
        <f aca="false">IFERROR(__xludf.dummyfunction("""COMPUTED_VALUE"""),"[Code: 2346AB]  TA: Damage Found during displa ")</f>
        <v>[Code: 2346AB]  TA: Damage Found during displa </v>
      </c>
      <c r="M313" s="13" t="str">
        <f aca="false">IFERROR(__xludf.dummyfunction("""COMPUTED_VALUE"""),"2346AB")</f>
        <v>2346AB</v>
      </c>
      <c r="N313" s="13"/>
      <c r="O313" s="13" t="str">
        <f aca="false">IFERROR(__xludf.dummyfunction("""COMPUTED_VALUE"""),"taufeeq.akhtar@tajir-app.com")</f>
        <v>taufeeq.akhtar@tajir-app.com</v>
      </c>
      <c r="P313" s="13" t="str">
        <f aca="false">IFERROR(__xludf.dummyfunction("""COMPUTED_VALUE"""),"Taufeeq Akhtar ")</f>
        <v>Taufeeq Akhtar </v>
      </c>
      <c r="Q313" s="13" t="str">
        <f aca="false">IFERROR(__xludf.dummyfunction("""COMPUTED_VALUE"""),"[Code: 2346AB]  TA: Damage Found during displa ")</f>
        <v>[Code: 2346AB]  TA: Damage Found during displa </v>
      </c>
      <c r="R313" s="13" t="str">
        <v>Sat,26-August-2023 ,11:26 PM</v>
      </c>
      <c r="S313" s="13" t="str">
        <v>Damaged Stock</v>
      </c>
    </row>
    <row r="314" customFormat="false" ht="15.75" hidden="false" customHeight="false" outlineLevel="0" collapsed="false">
      <c r="A314" s="13" t="str">
        <f aca="false">IFERROR(__xludf.dummyfunction("""COMPUTED_VALUE"""),"Metro DC Faisalabad")</f>
        <v>Metro DC Faisalabad</v>
      </c>
      <c r="B314" s="13" t="str">
        <f aca="false">IFERROR(__xludf.dummyfunction("""COMPUTED_VALUE"""),"d864c0cd-914b-4a54-96d5-8e894ba5f3b6")</f>
        <v>d864c0cd-914b-4a54-96d5-8e894ba5f3b6</v>
      </c>
      <c r="C314" s="13" t="str">
        <f aca="false">IFERROR(__xludf.dummyfunction("""COMPUTED_VALUE"""),"Surf Excel x6 bundle 20g Rs 10")</f>
        <v>Surf Excel x6 bundle 20g Rs 10</v>
      </c>
      <c r="D314" s="13" t="str">
        <f aca="false">IFERROR(__xludf.dummyfunction("""COMPUTED_VALUE"""),"Surf Excel")</f>
        <v>Surf Excel</v>
      </c>
      <c r="E314" s="13" t="str">
        <f aca="false">IFERROR(__xludf.dummyfunction("""COMPUTED_VALUE"""),"Surf, Bleach")</f>
        <v>Surf, Bleach</v>
      </c>
      <c r="F314" s="11" t="n">
        <f aca="false">IFERROR(__xludf.dummyfunction("""COMPUTED_VALUE"""),45164)</f>
        <v>45164</v>
      </c>
      <c r="G314" s="12" t="n">
        <f aca="false">IFERROR(__xludf.dummyfunction("""COMPUTED_VALUE"""),0.980023252316151)</f>
        <v>0.9800232523</v>
      </c>
      <c r="H314" s="13" t="str">
        <f aca="false">IFERROR(__xludf.dummyfunction("""COMPUTED_VALUE"""),"damaged stock")</f>
        <v>damaged stock</v>
      </c>
      <c r="I314" s="13" t="n">
        <f aca="false">IFERROR(__xludf.dummyfunction("""COMPUTED_VALUE"""),2)</f>
        <v>2</v>
      </c>
      <c r="J314" s="13" t="n">
        <f aca="false">IFERROR(__xludf.dummyfunction("""COMPUTED_VALUE"""),55.21)</f>
        <v>55.21</v>
      </c>
      <c r="K314" s="13" t="n">
        <f aca="false">IFERROR(__xludf.dummyfunction("""COMPUTED_VALUE"""),110.42)</f>
        <v>110.42</v>
      </c>
      <c r="L314" s="13" t="str">
        <f aca="false">IFERROR(__xludf.dummyfunction("""COMPUTED_VALUE"""),"[Code: 69CDEF]  TA:Display krty time Bags sy damage mily hain")</f>
        <v>[Code: 69CDEF]  TA:Display krty time Bags sy damage mily hain</v>
      </c>
      <c r="M314" s="13" t="str">
        <f aca="false">IFERROR(__xludf.dummyfunction("""COMPUTED_VALUE"""),"69CDEF")</f>
        <v>69CDEF</v>
      </c>
      <c r="N314" s="13"/>
      <c r="O314" s="13" t="str">
        <f aca="false">IFERROR(__xludf.dummyfunction("""COMPUTED_VALUE"""),"taufeeq.akhtar@tajir-app.com")</f>
        <v>taufeeq.akhtar@tajir-app.com</v>
      </c>
      <c r="P314" s="13" t="str">
        <f aca="false">IFERROR(__xludf.dummyfunction("""COMPUTED_VALUE"""),"Taufeeq Akhtar ")</f>
        <v>Taufeeq Akhtar </v>
      </c>
      <c r="Q314" s="13" t="str">
        <f aca="false">IFERROR(__xludf.dummyfunction("""COMPUTED_VALUE"""),"[Code: 69CDEF]  TA:Display krty time Bags sy damage mily hain")</f>
        <v>[Code: 69CDEF]  TA:Display krty time Bags sy damage mily hain</v>
      </c>
      <c r="R314" s="13" t="str">
        <v>Sat,26-August-2023 ,11:31 PM</v>
      </c>
      <c r="S314" s="13" t="str">
        <v>Damaged Stock</v>
      </c>
    </row>
    <row r="315" customFormat="false" ht="15.75" hidden="false" customHeight="false" outlineLevel="0" collapsed="false">
      <c r="A315" s="13" t="str">
        <f aca="false">IFERROR(__xludf.dummyfunction("""COMPUTED_VALUE"""),"Metro DC Faisalabad")</f>
        <v>Metro DC Faisalabad</v>
      </c>
      <c r="B315" s="13" t="str">
        <f aca="false">IFERROR(__xludf.dummyfunction("""COMPUTED_VALUE"""),"0ec2fbab-4de7-42eb-baaa-9d579f1547ab")</f>
        <v>0ec2fbab-4de7-42eb-baaa-9d579f1547ab</v>
      </c>
      <c r="C315" s="13" t="str">
        <f aca="false">IFERROR(__xludf.dummyfunction("""COMPUTED_VALUE"""),"Swadi Dharra Mirch 2kg")</f>
        <v>Swadi Dharra Mirch 2kg</v>
      </c>
      <c r="D315" s="13" t="str">
        <f aca="false">IFERROR(__xludf.dummyfunction("""COMPUTED_VALUE"""),"Swadi")</f>
        <v>Swadi</v>
      </c>
      <c r="E315" s="13" t="str">
        <f aca="false">IFERROR(__xludf.dummyfunction("""COMPUTED_VALUE"""),"Spices")</f>
        <v>Spices</v>
      </c>
      <c r="F315" s="11" t="n">
        <f aca="false">IFERROR(__xludf.dummyfunction("""COMPUTED_VALUE"""),45166)</f>
        <v>45166</v>
      </c>
      <c r="G315" s="12" t="n">
        <f aca="false">IFERROR(__xludf.dummyfunction("""COMPUTED_VALUE"""),0.47778817129662)</f>
        <v>0.4777881713</v>
      </c>
      <c r="H315" s="13" t="str">
        <f aca="false">IFERROR(__xludf.dummyfunction("""COMPUTED_VALUE"""),"damaged stock")</f>
        <v>damaged stock</v>
      </c>
      <c r="I315" s="13" t="n">
        <f aca="false">IFERROR(__xludf.dummyfunction("""COMPUTED_VALUE"""),9)</f>
        <v>9</v>
      </c>
      <c r="J315" s="13" t="n">
        <f aca="false">IFERROR(__xludf.dummyfunction("""COMPUTED_VALUE"""),1200)</f>
        <v>1200</v>
      </c>
      <c r="K315" s="13" t="n">
        <f aca="false">IFERROR(__xludf.dummyfunction("""COMPUTED_VALUE"""),10800)</f>
        <v>10800</v>
      </c>
      <c r="L315" s="13" t="str">
        <f aca="false">IFERROR(__xludf.dummyfunction("""COMPUTED_VALUE"""),"[Code: 245577] 09 units return to vendor due to quality issue in stock on 20-07-23 but not removed from the system")</f>
        <v>[Code: 245577] 09 units return to vendor due to quality issue in stock on 20-07-23 but not removed from the system</v>
      </c>
      <c r="M315" s="13" t="str">
        <f aca="false">IFERROR(__xludf.dummyfunction("""COMPUTED_VALUE"""),"245577")</f>
        <v>245577</v>
      </c>
      <c r="N315" s="13"/>
      <c r="O315" s="13" t="str">
        <f aca="false">IFERROR(__xludf.dummyfunction("""COMPUTED_VALUE"""),"ali.raza@tajir-app.com")</f>
        <v>ali.raza@tajir-app.com</v>
      </c>
      <c r="P315" s="13" t="str">
        <f aca="false">IFERROR(__xludf.dummyfunction("""COMPUTED_VALUE"""),"Ali Raza ")</f>
        <v>Ali Raza </v>
      </c>
      <c r="Q315" s="13" t="str">
        <f aca="false">IFERROR(__xludf.dummyfunction("""COMPUTED_VALUE"""),"[Code: 245577] 09 units return to vendor due to quality issue in stock on 20-07-23 but not removed from the system")</f>
        <v>[Code: 245577] 09 units return to vendor due to quality issue in stock on 20-07-23 but not removed from the system</v>
      </c>
      <c r="R315" s="13" t="str">
        <v>Mon,28-August-2023 ,11:28 AM</v>
      </c>
      <c r="S315" s="13" t="str">
        <v>Damaged Stock</v>
      </c>
    </row>
    <row r="316" customFormat="false" ht="15.75" hidden="false" customHeight="false" outlineLevel="0" collapsed="false">
      <c r="A316" s="13" t="str">
        <f aca="false">IFERROR(__xludf.dummyfunction("""COMPUTED_VALUE"""),"Metro DC Faisalabad")</f>
        <v>Metro DC Faisalabad</v>
      </c>
      <c r="B316" s="13" t="str">
        <f aca="false">IFERROR(__xludf.dummyfunction("""COMPUTED_VALUE"""),"6bf8e4d8-b1ee-4416-8677-04c83525e4ce")</f>
        <v>6bf8e4d8-b1ee-4416-8677-04c83525e4ce</v>
      </c>
      <c r="C316" s="13" t="str">
        <f aca="false">IFERROR(__xludf.dummyfunction("""COMPUTED_VALUE"""),"Dummer Super Fine Atta 15kg")</f>
        <v>Dummer Super Fine Atta 15kg</v>
      </c>
      <c r="D316" s="13" t="str">
        <f aca="false">IFERROR(__xludf.dummyfunction("""COMPUTED_VALUE"""),"Dummer Atta")</f>
        <v>Dummer Atta</v>
      </c>
      <c r="E316" s="13" t="str">
        <f aca="false">IFERROR(__xludf.dummyfunction("""COMPUTED_VALUE"""),"Flour")</f>
        <v>Flour</v>
      </c>
      <c r="F316" s="11" t="n">
        <f aca="false">IFERROR(__xludf.dummyfunction("""COMPUTED_VALUE"""),45166)</f>
        <v>45166</v>
      </c>
      <c r="G316" s="12" t="n">
        <f aca="false">IFERROR(__xludf.dummyfunction("""COMPUTED_VALUE"""),0.546367627315823)</f>
        <v>0.5463676273</v>
      </c>
      <c r="H316" s="13" t="str">
        <f aca="false">IFERROR(__xludf.dummyfunction("""COMPUTED_VALUE"""),"damaged stock")</f>
        <v>damaged stock</v>
      </c>
      <c r="I316" s="13" t="n">
        <f aca="false">IFERROR(__xludf.dummyfunction("""COMPUTED_VALUE"""),2)</f>
        <v>2</v>
      </c>
      <c r="J316" s="13" t="n">
        <f aca="false">IFERROR(__xludf.dummyfunction("""COMPUTED_VALUE"""),2050)</f>
        <v>2050</v>
      </c>
      <c r="K316" s="13" t="n">
        <f aca="false">IFERROR(__xludf.dummyfunction("""COMPUTED_VALUE"""),4100)</f>
        <v>4100</v>
      </c>
      <c r="L316" s="13" t="str">
        <f aca="false">IFERROR(__xludf.dummyfunction("""COMPUTED_VALUE"""),"[Code: 334AAF] 02 units found damaged")</f>
        <v>[Code: 334AAF] 02 units found damaged</v>
      </c>
      <c r="M316" s="13" t="str">
        <f aca="false">IFERROR(__xludf.dummyfunction("""COMPUTED_VALUE"""),"334AAF")</f>
        <v>334AAF</v>
      </c>
      <c r="N316" s="13"/>
      <c r="O316" s="13" t="str">
        <f aca="false">IFERROR(__xludf.dummyfunction("""COMPUTED_VALUE"""),"ali.raza@tajir-app.com")</f>
        <v>ali.raza@tajir-app.com</v>
      </c>
      <c r="P316" s="13" t="str">
        <f aca="false">IFERROR(__xludf.dummyfunction("""COMPUTED_VALUE"""),"Ali Raza ")</f>
        <v>Ali Raza </v>
      </c>
      <c r="Q316" s="13" t="str">
        <f aca="false">IFERROR(__xludf.dummyfunction("""COMPUTED_VALUE"""),"[Code: 334AAF] 02 units found damaged")</f>
        <v>[Code: 334AAF] 02 units found damaged</v>
      </c>
      <c r="R316" s="13" t="str">
        <v>Mon,28-August-2023 ,01:06 PM</v>
      </c>
      <c r="S316" s="13" t="str">
        <v>Damaged Stock</v>
      </c>
    </row>
    <row r="317" customFormat="false" ht="15.75" hidden="false" customHeight="false" outlineLevel="0" collapsed="false">
      <c r="A317" s="13" t="str">
        <f aca="false">IFERROR(__xludf.dummyfunction("""COMPUTED_VALUE"""),"Metro DC Faisalabad")</f>
        <v>Metro DC Faisalabad</v>
      </c>
      <c r="B317" s="13" t="str">
        <f aca="false">IFERROR(__xludf.dummyfunction("""COMPUTED_VALUE"""),"67c33ff3-e486-487d-844a-b17c396936ee")</f>
        <v>67c33ff3-e486-487d-844a-b17c396936ee</v>
      </c>
      <c r="C317" s="13" t="str">
        <f aca="false">IFERROR(__xludf.dummyfunction("""COMPUTED_VALUE"""),"Coca Cola plastic 1L")</f>
        <v>Coca Cola plastic 1L</v>
      </c>
      <c r="D317" s="13" t="str">
        <f aca="false">IFERROR(__xludf.dummyfunction("""COMPUTED_VALUE"""),"Coca Cola")</f>
        <v>Coca Cola</v>
      </c>
      <c r="E317" s="13" t="str">
        <f aca="false">IFERROR(__xludf.dummyfunction("""COMPUTED_VALUE"""),"Beverages")</f>
        <v>Beverages</v>
      </c>
      <c r="F317" s="11" t="n">
        <f aca="false">IFERROR(__xludf.dummyfunction("""COMPUTED_VALUE"""),45166)</f>
        <v>45166</v>
      </c>
      <c r="G317" s="12" t="n">
        <f aca="false">IFERROR(__xludf.dummyfunction("""COMPUTED_VALUE"""),0.909560659721128)</f>
        <v>0.9095606597</v>
      </c>
      <c r="H317" s="13" t="str">
        <f aca="false">IFERROR(__xludf.dummyfunction("""COMPUTED_VALUE"""),"damaged stock")</f>
        <v>damaged stock</v>
      </c>
      <c r="I317" s="13" t="n">
        <f aca="false">IFERROR(__xludf.dummyfunction("""COMPUTED_VALUE"""),1)</f>
        <v>1</v>
      </c>
      <c r="J317" s="13" t="n">
        <f aca="false">IFERROR(__xludf.dummyfunction("""COMPUTED_VALUE"""),724)</f>
        <v>724</v>
      </c>
      <c r="K317" s="13" t="n">
        <f aca="false">IFERROR(__xludf.dummyfunction("""COMPUTED_VALUE"""),724)</f>
        <v>724</v>
      </c>
      <c r="L317" s="13" t="str">
        <f aca="false">IFERROR(__xludf.dummyfunction("""COMPUTED_VALUE"""),"[Code: 349BEE] TA:Found loose during sorting.")</f>
        <v>[Code: 349BEE] TA:Found loose during sorting.</v>
      </c>
      <c r="M317" s="13" t="str">
        <f aca="false">IFERROR(__xludf.dummyfunction("""COMPUTED_VALUE"""),"349BEE")</f>
        <v>349BEE</v>
      </c>
      <c r="N317" s="13"/>
      <c r="O317" s="13" t="str">
        <f aca="false">IFERROR(__xludf.dummyfunction("""COMPUTED_VALUE"""),"taufeeq.akhtar@tajir-app.com")</f>
        <v>taufeeq.akhtar@tajir-app.com</v>
      </c>
      <c r="P317" s="13" t="str">
        <f aca="false">IFERROR(__xludf.dummyfunction("""COMPUTED_VALUE"""),"Taufeeq Akhtar ")</f>
        <v>Taufeeq Akhtar </v>
      </c>
      <c r="Q317" s="13" t="str">
        <f aca="false">IFERROR(__xludf.dummyfunction("""COMPUTED_VALUE"""),"[Code: 349BEE] TA:Found loose during sorting.")</f>
        <v>[Code: 349BEE] TA:Found loose during sorting.</v>
      </c>
      <c r="R317" s="13" t="str">
        <v>Mon,28-August-2023 ,09:49 PM</v>
      </c>
      <c r="S317" s="13" t="str">
        <v>Damaged Stock</v>
      </c>
    </row>
    <row r="318" customFormat="false" ht="15.75" hidden="false" customHeight="false" outlineLevel="0" collapsed="false">
      <c r="A318" s="13" t="str">
        <f aca="false">IFERROR(__xludf.dummyfunction("""COMPUTED_VALUE"""),"Metro DC Faisalabad")</f>
        <v>Metro DC Faisalabad</v>
      </c>
      <c r="B318" s="13" t="str">
        <f aca="false">IFERROR(__xludf.dummyfunction("""COMPUTED_VALUE"""),"5ba96b61-5a63-43cc-8b69-0fccc3cea590")</f>
        <v>5ba96b61-5a63-43cc-8b69-0fccc3cea590</v>
      </c>
      <c r="C318" s="13" t="str">
        <f aca="false">IFERROR(__xludf.dummyfunction("""COMPUTED_VALUE"""),"Express power 1kg Rs480")</f>
        <v>Express power 1kg Rs480</v>
      </c>
      <c r="D318" s="13" t="str">
        <f aca="false">IFERROR(__xludf.dummyfunction("""COMPUTED_VALUE"""),"Express Surf")</f>
        <v>Express Surf</v>
      </c>
      <c r="E318" s="13" t="str">
        <f aca="false">IFERROR(__xludf.dummyfunction("""COMPUTED_VALUE"""),"Surf, Bleach")</f>
        <v>Surf, Bleach</v>
      </c>
      <c r="F318" s="11" t="n">
        <f aca="false">IFERROR(__xludf.dummyfunction("""COMPUTED_VALUE"""),45167)</f>
        <v>45167</v>
      </c>
      <c r="G318" s="12" t="n">
        <f aca="false">IFERROR(__xludf.dummyfunction("""COMPUTED_VALUE"""),0.952495219907758)</f>
        <v>0.9524952199</v>
      </c>
      <c r="H318" s="13" t="str">
        <f aca="false">IFERROR(__xludf.dummyfunction("""COMPUTED_VALUE"""),"damaged stock")</f>
        <v>damaged stock</v>
      </c>
      <c r="I318" s="13" t="n">
        <f aca="false">IFERROR(__xludf.dummyfunction("""COMPUTED_VALUE"""),1)</f>
        <v>1</v>
      </c>
      <c r="J318" s="13" t="n">
        <f aca="false">IFERROR(__xludf.dummyfunction("""COMPUTED_VALUE"""),435.69)</f>
        <v>435.69</v>
      </c>
      <c r="K318" s="13" t="n">
        <f aca="false">IFERROR(__xludf.dummyfunction("""COMPUTED_VALUE"""),435.69)</f>
        <v>435.69</v>
      </c>
      <c r="L318" s="13" t="str">
        <f aca="false">IFERROR(__xludf.dummyfunction("""COMPUTED_VALUE"""),"[Code: 2367AACE] TA:found damaged during stock display...")</f>
        <v>[Code: 2367AACE] TA:found damaged during stock display...</v>
      </c>
      <c r="M318" s="13" t="str">
        <f aca="false">IFERROR(__xludf.dummyfunction("""COMPUTED_VALUE"""),"2367AACE")</f>
        <v>2367AACE</v>
      </c>
      <c r="N318" s="13"/>
      <c r="O318" s="13" t="str">
        <f aca="false">IFERROR(__xludf.dummyfunction("""COMPUTED_VALUE"""),"taufeeq.akhtar@tajir-app.com")</f>
        <v>taufeeq.akhtar@tajir-app.com</v>
      </c>
      <c r="P318" s="13" t="str">
        <f aca="false">IFERROR(__xludf.dummyfunction("""COMPUTED_VALUE"""),"Taufeeq Akhtar ")</f>
        <v>Taufeeq Akhtar </v>
      </c>
      <c r="Q318" s="13" t="str">
        <f aca="false">IFERROR(__xludf.dummyfunction("""COMPUTED_VALUE"""),"[Code: 2367AACE] TA:found damaged during stock display...")</f>
        <v>[Code: 2367AACE] TA:found damaged during stock display...</v>
      </c>
      <c r="R318" s="13" t="str">
        <v>Tue,29-August-2023 ,10:51 PM</v>
      </c>
      <c r="S318" s="13" t="str">
        <v>Damaged Stock</v>
      </c>
    </row>
    <row r="319" customFormat="false" ht="15.75" hidden="false" customHeight="false" outlineLevel="0" collapsed="false">
      <c r="A319" s="13" t="str">
        <f aca="false">IFERROR(__xludf.dummyfunction("""COMPUTED_VALUE"""),"Metro DC Faisalabad")</f>
        <v>Metro DC Faisalabad</v>
      </c>
      <c r="B319" s="13" t="str">
        <f aca="false">IFERROR(__xludf.dummyfunction("""COMPUTED_VALUE"""),"a0341272-f530-40e9-97dd-e3c77f4a8a1c")</f>
        <v>a0341272-f530-40e9-97dd-e3c77f4a8a1c</v>
      </c>
      <c r="C319" s="13" t="str">
        <f aca="false">IFERROR(__xludf.dummyfunction("""COMPUTED_VALUE"""),"Murree Brewery Bigg Lychee Plastic x12 Crate 300ml")</f>
        <v>Murree Brewery Bigg Lychee Plastic x12 Crate 300ml</v>
      </c>
      <c r="D319" s="13" t="str">
        <f aca="false">IFERROR(__xludf.dummyfunction("""COMPUTED_VALUE"""),"Murree Brewery")</f>
        <v>Murree Brewery</v>
      </c>
      <c r="E319" s="13" t="str">
        <f aca="false">IFERROR(__xludf.dummyfunction("""COMPUTED_VALUE"""),"Beverages")</f>
        <v>Beverages</v>
      </c>
      <c r="F319" s="11" t="n">
        <f aca="false">IFERROR(__xludf.dummyfunction("""COMPUTED_VALUE"""),45168)</f>
        <v>45168</v>
      </c>
      <c r="G319" s="12" t="n">
        <f aca="false">IFERROR(__xludf.dummyfunction("""COMPUTED_VALUE"""),0.850621331018578)</f>
        <v>0.850621331</v>
      </c>
      <c r="H319" s="13" t="str">
        <f aca="false">IFERROR(__xludf.dummyfunction("""COMPUTED_VALUE"""),"damaged stock")</f>
        <v>damaged stock</v>
      </c>
      <c r="I319" s="13" t="n">
        <f aca="false">IFERROR(__xludf.dummyfunction("""COMPUTED_VALUE"""),1)</f>
        <v>1</v>
      </c>
      <c r="J319" s="13" t="n">
        <f aca="false">IFERROR(__xludf.dummyfunction("""COMPUTED_VALUE"""),394.25)</f>
        <v>394.25</v>
      </c>
      <c r="K319" s="13" t="n">
        <f aca="false">IFERROR(__xludf.dummyfunction("""COMPUTED_VALUE"""),394.25)</f>
        <v>394.25</v>
      </c>
      <c r="L319" s="13" t="str">
        <f aca="false">IFERROR(__xludf.dummyfunction("""COMPUTED_VALUE"""),"[Code: 2389AFGJ] TA:Found two bottels  loose and one bottel damaged during sorting ...")</f>
        <v>[Code: 2389AFGJ] TA:Found two bottels  loose and one bottel damaged during sorting ...</v>
      </c>
      <c r="M319" s="13" t="str">
        <f aca="false">IFERROR(__xludf.dummyfunction("""COMPUTED_VALUE"""),"2389AFGJ")</f>
        <v>2389AFGJ</v>
      </c>
      <c r="N319" s="13"/>
      <c r="O319" s="13" t="str">
        <f aca="false">IFERROR(__xludf.dummyfunction("""COMPUTED_VALUE"""),"daniyal.ahmad@tajir-app.com")</f>
        <v>daniyal.ahmad@tajir-app.com</v>
      </c>
      <c r="P319" s="13" t="str">
        <f aca="false">IFERROR(__xludf.dummyfunction("""COMPUTED_VALUE"""),"Daniyal Ahmad")</f>
        <v>Daniyal Ahmad</v>
      </c>
      <c r="Q319" s="13" t="str">
        <f aca="false">IFERROR(__xludf.dummyfunction("""COMPUTED_VALUE"""),"[Code: 2389AFGJ] TA:Found two bottels  loose and one bottel damaged during sorting ...")</f>
        <v>[Code: 2389AFGJ] TA:Found two bottels  loose and one bottel damaged during sorting ...</v>
      </c>
      <c r="R319" s="13" t="str">
        <v>Wed,30-August-2023 ,08:24 PM</v>
      </c>
      <c r="S319" s="13" t="str">
        <v>Damaged Stock</v>
      </c>
    </row>
    <row r="320" customFormat="false" ht="15.75" hidden="false" customHeight="false" outlineLevel="0" collapsed="false">
      <c r="A320" s="13" t="str">
        <f aca="false">IFERROR(__xludf.dummyfunction("""COMPUTED_VALUE"""),"Metro DC Faisalabad")</f>
        <v>Metro DC Faisalabad</v>
      </c>
      <c r="B320" s="13" t="str">
        <f aca="false">IFERROR(__xludf.dummyfunction("""COMPUTED_VALUE"""),"68e18f16-9746-430b-a32a-2b6c62dba9c3")</f>
        <v>68e18f16-9746-430b-a32a-2b6c62dba9c3</v>
      </c>
      <c r="C320" s="13" t="str">
        <f aca="false">IFERROR(__xludf.dummyfunction("""COMPUTED_VALUE"""),"Sherdil Daal Mash Chilka 5kg")</f>
        <v>Sherdil Daal Mash Chilka 5kg</v>
      </c>
      <c r="D320" s="13" t="str">
        <f aca="false">IFERROR(__xludf.dummyfunction("""COMPUTED_VALUE"""),"Sherdil")</f>
        <v>Sherdil</v>
      </c>
      <c r="E320" s="13" t="str">
        <f aca="false">IFERROR(__xludf.dummyfunction("""COMPUTED_VALUE"""),"Pulses")</f>
        <v>Pulses</v>
      </c>
      <c r="F320" s="11" t="n">
        <f aca="false">IFERROR(__xludf.dummyfunction("""COMPUTED_VALUE"""),45169)</f>
        <v>45169</v>
      </c>
      <c r="G320" s="12" t="n">
        <f aca="false">IFERROR(__xludf.dummyfunction("""COMPUTED_VALUE"""),0.489868969905645)</f>
        <v>0.4898689699</v>
      </c>
      <c r="H320" s="13" t="str">
        <f aca="false">IFERROR(__xludf.dummyfunction("""COMPUTED_VALUE"""),"damaged stock")</f>
        <v>damaged stock</v>
      </c>
      <c r="I320" s="13" t="n">
        <f aca="false">IFERROR(__xludf.dummyfunction("""COMPUTED_VALUE"""),2)</f>
        <v>2</v>
      </c>
      <c r="J320" s="13" t="n">
        <f aca="false">IFERROR(__xludf.dummyfunction("""COMPUTED_VALUE"""),2495)</f>
        <v>2495</v>
      </c>
      <c r="K320" s="13" t="n">
        <f aca="false">IFERROR(__xludf.dummyfunction("""COMPUTED_VALUE"""),4990)</f>
        <v>4990</v>
      </c>
      <c r="L320" s="13" t="str">
        <f aca="false">IFERROR(__xludf.dummyfunction("""COMPUTED_VALUE"""),"[Code: 499DEJJJ] 02 units was damaged and return to vendor.")</f>
        <v>[Code: 499DEJJJ] 02 units was damaged and return to vendor.</v>
      </c>
      <c r="M320" s="13" t="str">
        <f aca="false">IFERROR(__xludf.dummyfunction("""COMPUTED_VALUE"""),"499DEJJJ")</f>
        <v>499DEJJJ</v>
      </c>
      <c r="N320" s="13"/>
      <c r="O320" s="13" t="str">
        <f aca="false">IFERROR(__xludf.dummyfunction("""COMPUTED_VALUE"""),"ali.raza@tajir-app.com")</f>
        <v>ali.raza@tajir-app.com</v>
      </c>
      <c r="P320" s="13" t="str">
        <f aca="false">IFERROR(__xludf.dummyfunction("""COMPUTED_VALUE"""),"Ali Raza ")</f>
        <v>Ali Raza </v>
      </c>
      <c r="Q320" s="13" t="str">
        <f aca="false">IFERROR(__xludf.dummyfunction("""COMPUTED_VALUE"""),"[Code: 499DEJJJ] 02 units was damaged and return to vendor.")</f>
        <v>[Code: 499DEJJJ] 02 units was damaged and return to vendor.</v>
      </c>
      <c r="R320" s="13" t="str">
        <v>Thu,31-August-2023 ,11:45 AM</v>
      </c>
      <c r="S320" s="13" t="str">
        <v>Damaged Stock</v>
      </c>
    </row>
    <row r="321" customFormat="false" ht="15.75" hidden="false" customHeight="false" outlineLevel="0" collapsed="false">
      <c r="A321" s="13" t="str">
        <f aca="false">IFERROR(__xludf.dummyfunction("""COMPUTED_VALUE"""),"Metro DC Faisalabad")</f>
        <v>Metro DC Faisalabad</v>
      </c>
      <c r="B321" s="13" t="str">
        <f aca="false">IFERROR(__xludf.dummyfunction("""COMPUTED_VALUE"""),"978a88b5-e0d1-4d9d-b7a1-90921ab8d4f0")</f>
        <v>978a88b5-e0d1-4d9d-b7a1-90921ab8d4f0</v>
      </c>
      <c r="C321" s="13" t="str">
        <f aca="false">IFERROR(__xludf.dummyfunction("""COMPUTED_VALUE"""),"Sherdil Daal Mash Wash 5kg")</f>
        <v>Sherdil Daal Mash Wash 5kg</v>
      </c>
      <c r="D321" s="13" t="str">
        <f aca="false">IFERROR(__xludf.dummyfunction("""COMPUTED_VALUE"""),"Sherdil")</f>
        <v>Sherdil</v>
      </c>
      <c r="E321" s="13" t="str">
        <f aca="false">IFERROR(__xludf.dummyfunction("""COMPUTED_VALUE"""),"Pulses")</f>
        <v>Pulses</v>
      </c>
      <c r="F321" s="11" t="n">
        <f aca="false">IFERROR(__xludf.dummyfunction("""COMPUTED_VALUE"""),45169)</f>
        <v>45169</v>
      </c>
      <c r="G321" s="12" t="n">
        <f aca="false">IFERROR(__xludf.dummyfunction("""COMPUTED_VALUE"""),0.490835092592544)</f>
        <v>0.4908350926</v>
      </c>
      <c r="H321" s="13" t="str">
        <f aca="false">IFERROR(__xludf.dummyfunction("""COMPUTED_VALUE"""),"damaged stock")</f>
        <v>damaged stock</v>
      </c>
      <c r="I321" s="13" t="n">
        <f aca="false">IFERROR(__xludf.dummyfunction("""COMPUTED_VALUE"""),4)</f>
        <v>4</v>
      </c>
      <c r="J321" s="13" t="n">
        <f aca="false">IFERROR(__xludf.dummyfunction("""COMPUTED_VALUE"""),2822)</f>
        <v>2822</v>
      </c>
      <c r="K321" s="13" t="n">
        <f aca="false">IFERROR(__xludf.dummyfunction("""COMPUTED_VALUE"""),11288)</f>
        <v>11288</v>
      </c>
      <c r="L321" s="13" t="str">
        <f aca="false">IFERROR(__xludf.dummyfunction("""COMPUTED_VALUE"""),"[Code: 25BBFGGH] 4 units found damaged due to fungus.")</f>
        <v>[Code: 25BBFGGH] 4 units found damaged due to fungus.</v>
      </c>
      <c r="M321" s="13" t="str">
        <f aca="false">IFERROR(__xludf.dummyfunction("""COMPUTED_VALUE"""),"25BBFGGH")</f>
        <v>25BBFGGH</v>
      </c>
      <c r="N321" s="13"/>
      <c r="O321" s="13" t="str">
        <f aca="false">IFERROR(__xludf.dummyfunction("""COMPUTED_VALUE"""),"ali.raza@tajir-app.com")</f>
        <v>ali.raza@tajir-app.com</v>
      </c>
      <c r="P321" s="13" t="str">
        <f aca="false">IFERROR(__xludf.dummyfunction("""COMPUTED_VALUE"""),"Ali Raza ")</f>
        <v>Ali Raza </v>
      </c>
      <c r="Q321" s="13" t="str">
        <f aca="false">IFERROR(__xludf.dummyfunction("""COMPUTED_VALUE"""),"[Code: 25BBFGGH] 4 units found damaged due to fungus.")</f>
        <v>[Code: 25BBFGGH] 4 units found damaged due to fungus.</v>
      </c>
      <c r="R321" s="13" t="str">
        <v>Thu,31-August-2023 ,11:46 AM</v>
      </c>
      <c r="S321" s="13" t="str">
        <v>Damaged Stock</v>
      </c>
    </row>
    <row r="322" customFormat="false" ht="15.75" hidden="false" customHeight="false" outlineLevel="0" collapsed="false">
      <c r="A322" s="13" t="str">
        <f aca="false">IFERROR(__xludf.dummyfunction("""COMPUTED_VALUE"""),"Metro DC Faisalabad")</f>
        <v>Metro DC Faisalabad</v>
      </c>
      <c r="B322" s="13" t="str">
        <f aca="false">IFERROR(__xludf.dummyfunction("""COMPUTED_VALUE"""),"c227111f-6b7d-4366-aa4b-32e58cf5a1f6")</f>
        <v>c227111f-6b7d-4366-aa4b-32e58cf5a1f6</v>
      </c>
      <c r="C322" s="13" t="str">
        <f aca="false">IFERROR(__xludf.dummyfunction("""COMPUTED_VALUE"""),"Sherdil White Chana Mota 500g")</f>
        <v>Sherdil White Chana Mota 500g</v>
      </c>
      <c r="D322" s="13" t="str">
        <f aca="false">IFERROR(__xludf.dummyfunction("""COMPUTED_VALUE"""),"Sherdil")</f>
        <v>Sherdil</v>
      </c>
      <c r="E322" s="13" t="str">
        <f aca="false">IFERROR(__xludf.dummyfunction("""COMPUTED_VALUE"""),"Pulses")</f>
        <v>Pulses</v>
      </c>
      <c r="F322" s="11" t="n">
        <f aca="false">IFERROR(__xludf.dummyfunction("""COMPUTED_VALUE"""),45169)</f>
        <v>45169</v>
      </c>
      <c r="G322" s="12" t="n">
        <f aca="false">IFERROR(__xludf.dummyfunction("""COMPUTED_VALUE"""),0.493712476853399)</f>
        <v>0.4937124769</v>
      </c>
      <c r="H322" s="13" t="str">
        <f aca="false">IFERROR(__xludf.dummyfunction("""COMPUTED_VALUE"""),"damaged stock")</f>
        <v>damaged stock</v>
      </c>
      <c r="I322" s="13" t="n">
        <f aca="false">IFERROR(__xludf.dummyfunction("""COMPUTED_VALUE"""),1)</f>
        <v>1</v>
      </c>
      <c r="J322" s="13" t="n">
        <f aca="false">IFERROR(__xludf.dummyfunction("""COMPUTED_VALUE"""),240)</f>
        <v>240</v>
      </c>
      <c r="K322" s="13" t="n">
        <f aca="false">IFERROR(__xludf.dummyfunction("""COMPUTED_VALUE"""),240)</f>
        <v>240</v>
      </c>
      <c r="L322" s="13" t="str">
        <f aca="false">IFERROR(__xludf.dummyfunction("""COMPUTED_VALUE"""),"[Code: 557ABCCJ] 1 unit found damaged having quality issue.")</f>
        <v>[Code: 557ABCCJ] 1 unit found damaged having quality issue.</v>
      </c>
      <c r="M322" s="13" t="str">
        <f aca="false">IFERROR(__xludf.dummyfunction("""COMPUTED_VALUE"""),"557ABCCJ")</f>
        <v>557ABCCJ</v>
      </c>
      <c r="N322" s="13"/>
      <c r="O322" s="13" t="str">
        <f aca="false">IFERROR(__xludf.dummyfunction("""COMPUTED_VALUE"""),"ali.raza@tajir-app.com")</f>
        <v>ali.raza@tajir-app.com</v>
      </c>
      <c r="P322" s="13" t="str">
        <f aca="false">IFERROR(__xludf.dummyfunction("""COMPUTED_VALUE"""),"Ali Raza ")</f>
        <v>Ali Raza </v>
      </c>
      <c r="Q322" s="13" t="str">
        <f aca="false">IFERROR(__xludf.dummyfunction("""COMPUTED_VALUE"""),"[Code: 557ABCCJ] 1 unit found damaged having quality issue.")</f>
        <v>[Code: 557ABCCJ] 1 unit found damaged having quality issue.</v>
      </c>
      <c r="R322" s="13" t="str">
        <v>Thu,31-August-2023 ,11:50 AM</v>
      </c>
      <c r="S322" s="13" t="str">
        <v>Damaged Stock</v>
      </c>
    </row>
    <row r="323" customFormat="false" ht="15.75" hidden="false" customHeight="false" outlineLevel="0" collapsed="false">
      <c r="A323" s="13" t="str">
        <f aca="false">IFERROR(__xludf.dummyfunction("""COMPUTED_VALUE"""),"Metro DC Faisalabad")</f>
        <v>Metro DC Faisalabad</v>
      </c>
      <c r="B323" s="13" t="str">
        <f aca="false">IFERROR(__xludf.dummyfunction("""COMPUTED_VALUE"""),"7f12f4f8-6be0-4afc-98a9-afca65a480b4")</f>
        <v>7f12f4f8-6be0-4afc-98a9-afca65a480b4</v>
      </c>
      <c r="C323" s="13" t="str">
        <f aca="false">IFERROR(__xludf.dummyfunction("""COMPUTED_VALUE"""),"Sherdil Daal Moong Wash 5kg")</f>
        <v>Sherdil Daal Moong Wash 5kg</v>
      </c>
      <c r="D323" s="13" t="str">
        <f aca="false">IFERROR(__xludf.dummyfunction("""COMPUTED_VALUE"""),"Sherdil")</f>
        <v>Sherdil</v>
      </c>
      <c r="E323" s="13" t="str">
        <f aca="false">IFERROR(__xludf.dummyfunction("""COMPUTED_VALUE"""),"Pulses")</f>
        <v>Pulses</v>
      </c>
      <c r="F323" s="11" t="n">
        <f aca="false">IFERROR(__xludf.dummyfunction("""COMPUTED_VALUE"""),45169)</f>
        <v>45169</v>
      </c>
      <c r="G323" s="12" t="n">
        <f aca="false">IFERROR(__xludf.dummyfunction("""COMPUTED_VALUE"""),0.506259085646693)</f>
        <v>0.5062590856</v>
      </c>
      <c r="H323" s="13" t="str">
        <f aca="false">IFERROR(__xludf.dummyfunction("""COMPUTED_VALUE"""),"damaged stock")</f>
        <v>damaged stock</v>
      </c>
      <c r="I323" s="13" t="n">
        <f aca="false">IFERROR(__xludf.dummyfunction("""COMPUTED_VALUE"""),1)</f>
        <v>1</v>
      </c>
      <c r="J323" s="13" t="n">
        <f aca="false">IFERROR(__xludf.dummyfunction("""COMPUTED_VALUE"""),1303)</f>
        <v>1303</v>
      </c>
      <c r="K323" s="13" t="n">
        <f aca="false">IFERROR(__xludf.dummyfunction("""COMPUTED_VALUE"""),1303)</f>
        <v>1303</v>
      </c>
      <c r="L323" s="13" t="str">
        <f aca="false">IFERROR(__xludf.dummyfunction("""COMPUTED_VALUE"""),"[Code: 2345588A] 1 unit found damaged due to quality issue.")</f>
        <v>[Code: 2345588A] 1 unit found damaged due to quality issue.</v>
      </c>
      <c r="M323" s="13" t="str">
        <f aca="false">IFERROR(__xludf.dummyfunction("""COMPUTED_VALUE"""),"2345588A")</f>
        <v>2345588A</v>
      </c>
      <c r="N323" s="13"/>
      <c r="O323" s="13" t="str">
        <f aca="false">IFERROR(__xludf.dummyfunction("""COMPUTED_VALUE"""),"ali.raza@tajir-app.com")</f>
        <v>ali.raza@tajir-app.com</v>
      </c>
      <c r="P323" s="13" t="str">
        <f aca="false">IFERROR(__xludf.dummyfunction("""COMPUTED_VALUE"""),"Ali Raza ")</f>
        <v>Ali Raza </v>
      </c>
      <c r="Q323" s="13" t="str">
        <f aca="false">IFERROR(__xludf.dummyfunction("""COMPUTED_VALUE"""),"[Code: 2345588A] 1 unit found damaged due to quality issue.")</f>
        <v>[Code: 2345588A] 1 unit found damaged due to quality issue.</v>
      </c>
      <c r="R323" s="13" t="str">
        <v>Thu,31-August-2023 ,12:09 PM</v>
      </c>
      <c r="S323" s="13" t="str">
        <v>Damaged Stock</v>
      </c>
    </row>
    <row r="324" customFormat="false" ht="15.75" hidden="false" customHeight="false" outlineLevel="0" collapsed="false">
      <c r="A324" s="13" t="str">
        <f aca="false">IFERROR(__xludf.dummyfunction("""COMPUTED_VALUE"""),"Metro DC Faisalabad")</f>
        <v>Metro DC Faisalabad</v>
      </c>
      <c r="B324" s="13" t="str">
        <f aca="false">IFERROR(__xludf.dummyfunction("""COMPUTED_VALUE"""),"717c11ae-c3bc-4378-a184-2154badcf63d")</f>
        <v>717c11ae-c3bc-4378-a184-2154badcf63d</v>
      </c>
      <c r="C324" s="13" t="str">
        <f aca="false">IFERROR(__xludf.dummyfunction("""COMPUTED_VALUE"""),"Quality Grains Daal Mash Wash 500g")</f>
        <v>Quality Grains Daal Mash Wash 500g</v>
      </c>
      <c r="D324" s="13" t="str">
        <f aca="false">IFERROR(__xludf.dummyfunction("""COMPUTED_VALUE"""),"Quality Grains")</f>
        <v>Quality Grains</v>
      </c>
      <c r="E324" s="13" t="str">
        <f aca="false">IFERROR(__xludf.dummyfunction("""COMPUTED_VALUE"""),"Pulses")</f>
        <v>Pulses</v>
      </c>
      <c r="F324" s="11" t="n">
        <f aca="false">IFERROR(__xludf.dummyfunction("""COMPUTED_VALUE"""),45169)</f>
        <v>45169</v>
      </c>
      <c r="G324" s="12" t="n">
        <f aca="false">IFERROR(__xludf.dummyfunction("""COMPUTED_VALUE"""),0.510526504629727)</f>
        <v>0.5105265046</v>
      </c>
      <c r="H324" s="13" t="str">
        <f aca="false">IFERROR(__xludf.dummyfunction("""COMPUTED_VALUE"""),"damaged stock")</f>
        <v>damaged stock</v>
      </c>
      <c r="I324" s="13" t="n">
        <f aca="false">IFERROR(__xludf.dummyfunction("""COMPUTED_VALUE"""),1)</f>
        <v>1</v>
      </c>
      <c r="J324" s="13" t="n">
        <f aca="false">IFERROR(__xludf.dummyfunction("""COMPUTED_VALUE"""),272)</f>
        <v>272</v>
      </c>
      <c r="K324" s="13" t="n">
        <f aca="false">IFERROR(__xludf.dummyfunction("""COMPUTED_VALUE"""),272)</f>
        <v>272</v>
      </c>
      <c r="L324" s="13" t="str">
        <f aca="false">IFERROR(__xludf.dummyfunction("""COMPUTED_VALUE"""),"[Code: 2458CDEH] 1 unit found damaged due to fungus")</f>
        <v>[Code: 2458CDEH] 1 unit found damaged due to fungus</v>
      </c>
      <c r="M324" s="13" t="str">
        <f aca="false">IFERROR(__xludf.dummyfunction("""COMPUTED_VALUE"""),"2458CDEH")</f>
        <v>2458CDEH</v>
      </c>
      <c r="N324" s="13"/>
      <c r="O324" s="13" t="str">
        <f aca="false">IFERROR(__xludf.dummyfunction("""COMPUTED_VALUE"""),"ali.raza@tajir-app.com")</f>
        <v>ali.raza@tajir-app.com</v>
      </c>
      <c r="P324" s="13" t="str">
        <f aca="false">IFERROR(__xludf.dummyfunction("""COMPUTED_VALUE"""),"Ali Raza ")</f>
        <v>Ali Raza </v>
      </c>
      <c r="Q324" s="13" t="str">
        <f aca="false">IFERROR(__xludf.dummyfunction("""COMPUTED_VALUE"""),"[Code: 2458CDEH] 1 unit found damaged due to fungus")</f>
        <v>[Code: 2458CDEH] 1 unit found damaged due to fungus</v>
      </c>
      <c r="R324" s="13" t="str">
        <v>Thu,31-August-2023 ,12:15 PM</v>
      </c>
      <c r="S324" s="13" t="str">
        <v>Damaged Stock</v>
      </c>
    </row>
    <row r="325" customFormat="false" ht="15.75" hidden="false" customHeight="false" outlineLevel="0" collapsed="false">
      <c r="A325" s="13" t="str">
        <f aca="false">IFERROR(__xludf.dummyfunction("""COMPUTED_VALUE"""),"Metro DC Faisalabad")</f>
        <v>Metro DC Faisalabad</v>
      </c>
      <c r="B325" s="13" t="str">
        <f aca="false">IFERROR(__xludf.dummyfunction("""COMPUTED_VALUE"""),"671572b4-dd58-442e-8057-59bc8f59fb09")</f>
        <v>671572b4-dd58-442e-8057-59bc8f59fb09</v>
      </c>
      <c r="C325" s="13" t="str">
        <f aca="false">IFERROR(__xludf.dummyfunction("""COMPUTED_VALUE"""),"Quality Grains Daal Mash Wash 1kg")</f>
        <v>Quality Grains Daal Mash Wash 1kg</v>
      </c>
      <c r="D325" s="13" t="str">
        <f aca="false">IFERROR(__xludf.dummyfunction("""COMPUTED_VALUE"""),"Quality Grains")</f>
        <v>Quality Grains</v>
      </c>
      <c r="E325" s="13" t="str">
        <f aca="false">IFERROR(__xludf.dummyfunction("""COMPUTED_VALUE"""),"Pulses")</f>
        <v>Pulses</v>
      </c>
      <c r="F325" s="11" t="n">
        <f aca="false">IFERROR(__xludf.dummyfunction("""COMPUTED_VALUE"""),45169)</f>
        <v>45169</v>
      </c>
      <c r="G325" s="12" t="n">
        <f aca="false">IFERROR(__xludf.dummyfunction("""COMPUTED_VALUE"""),0.544576539351863)</f>
        <v>0.5445765394</v>
      </c>
      <c r="H325" s="13" t="str">
        <f aca="false">IFERROR(__xludf.dummyfunction("""COMPUTED_VALUE"""),"damaged stock")</f>
        <v>damaged stock</v>
      </c>
      <c r="I325" s="13" t="n">
        <f aca="false">IFERROR(__xludf.dummyfunction("""COMPUTED_VALUE"""),6)</f>
        <v>6</v>
      </c>
      <c r="J325" s="13" t="n">
        <f aca="false">IFERROR(__xludf.dummyfunction("""COMPUTED_VALUE"""),540)</f>
        <v>540</v>
      </c>
      <c r="K325" s="13" t="n">
        <f aca="false">IFERROR(__xludf.dummyfunction("""COMPUTED_VALUE"""),3240)</f>
        <v>3240</v>
      </c>
      <c r="L325" s="13" t="str">
        <f aca="false">IFERROR(__xludf.dummyfunction("""COMPUTED_VALUE"""),"[Code: 3355779B] 6 units found damaged due to fungus")</f>
        <v>[Code: 3355779B] 6 units found damaged due to fungus</v>
      </c>
      <c r="M325" s="13" t="str">
        <f aca="false">IFERROR(__xludf.dummyfunction("""COMPUTED_VALUE"""),"3355779B")</f>
        <v>3355779B</v>
      </c>
      <c r="N325" s="13"/>
      <c r="O325" s="13" t="str">
        <f aca="false">IFERROR(__xludf.dummyfunction("""COMPUTED_VALUE"""),"ali.raza@tajir-app.com")</f>
        <v>ali.raza@tajir-app.com</v>
      </c>
      <c r="P325" s="13" t="str">
        <f aca="false">IFERROR(__xludf.dummyfunction("""COMPUTED_VALUE"""),"Ali Raza ")</f>
        <v>Ali Raza </v>
      </c>
      <c r="Q325" s="13" t="str">
        <f aca="false">IFERROR(__xludf.dummyfunction("""COMPUTED_VALUE"""),"[Code: 3355779B] 6 units found damaged due to fungus")</f>
        <v>[Code: 3355779B] 6 units found damaged due to fungus</v>
      </c>
      <c r="R325" s="13" t="str">
        <v>Thu,31-August-2023 ,01:04 PM</v>
      </c>
      <c r="S325" s="13" t="str">
        <v>Damaged Stock</v>
      </c>
    </row>
    <row r="326" customFormat="false" ht="15.75" hidden="false" customHeight="false" outlineLevel="0" collapsed="false">
      <c r="A326" s="13" t="str">
        <f aca="false">IFERROR(__xludf.dummyfunction("""COMPUTED_VALUE"""),"Metro DC Faisalabad")</f>
        <v>Metro DC Faisalabad</v>
      </c>
      <c r="B326" s="13" t="str">
        <f aca="false">IFERROR(__xludf.dummyfunction("""COMPUTED_VALUE"""),"c227111f-6b7d-4366-aa4b-32e58cf5a1f6")</f>
        <v>c227111f-6b7d-4366-aa4b-32e58cf5a1f6</v>
      </c>
      <c r="C326" s="13" t="str">
        <f aca="false">IFERROR(__xludf.dummyfunction("""COMPUTED_VALUE"""),"Sherdil White Chana Mota 500g")</f>
        <v>Sherdil White Chana Mota 500g</v>
      </c>
      <c r="D326" s="13" t="str">
        <f aca="false">IFERROR(__xludf.dummyfunction("""COMPUTED_VALUE"""),"Sherdil")</f>
        <v>Sherdil</v>
      </c>
      <c r="E326" s="13" t="str">
        <f aca="false">IFERROR(__xludf.dummyfunction("""COMPUTED_VALUE"""),"Pulses")</f>
        <v>Pulses</v>
      </c>
      <c r="F326" s="11" t="n">
        <f aca="false">IFERROR(__xludf.dummyfunction("""COMPUTED_VALUE"""),45171)</f>
        <v>45171</v>
      </c>
      <c r="G326" s="12" t="n">
        <f aca="false">IFERROR(__xludf.dummyfunction("""COMPUTED_VALUE"""),0.608912291667583)</f>
        <v>0.6089122917</v>
      </c>
      <c r="H326" s="13" t="str">
        <f aca="false">IFERROR(__xludf.dummyfunction("""COMPUTED_VALUE"""),"damaged stock")</f>
        <v>damaged stock</v>
      </c>
      <c r="I326" s="13" t="n">
        <f aca="false">IFERROR(__xludf.dummyfunction("""COMPUTED_VALUE"""),3)</f>
        <v>3</v>
      </c>
      <c r="J326" s="13" t="n">
        <f aca="false">IFERROR(__xludf.dummyfunction("""COMPUTED_VALUE"""),240)</f>
        <v>240</v>
      </c>
      <c r="K326" s="13" t="n">
        <f aca="false">IFERROR(__xludf.dummyfunction("""COMPUTED_VALUE"""),720)</f>
        <v>720</v>
      </c>
      <c r="L326" s="13" t="str">
        <f aca="false">IFERROR(__xludf.dummyfunction("""COMPUTED_VALUE"""),"[Code: 46ADDEHJ] 03 units found damaged due to quality issue")</f>
        <v>[Code: 46ADDEHJ] 03 units found damaged due to quality issue</v>
      </c>
      <c r="M326" s="13" t="str">
        <f aca="false">IFERROR(__xludf.dummyfunction("""COMPUTED_VALUE"""),"46ADDEHJ")</f>
        <v>46ADDEHJ</v>
      </c>
      <c r="N326" s="13"/>
      <c r="O326" s="13" t="str">
        <f aca="false">IFERROR(__xludf.dummyfunction("""COMPUTED_VALUE"""),"ali.raza@tajir-app.com")</f>
        <v>ali.raza@tajir-app.com</v>
      </c>
      <c r="P326" s="13" t="str">
        <f aca="false">IFERROR(__xludf.dummyfunction("""COMPUTED_VALUE"""),"Ali Raza ")</f>
        <v>Ali Raza </v>
      </c>
      <c r="Q326" s="13" t="str">
        <f aca="false">IFERROR(__xludf.dummyfunction("""COMPUTED_VALUE"""),"[Code: 46ADDEHJ] 03 units found damaged due to quality issue")</f>
        <v>[Code: 46ADDEHJ] 03 units found damaged due to quality issue</v>
      </c>
      <c r="R326" s="13" t="str">
        <v>Sat,02-September-2023 ,02:36 PM</v>
      </c>
      <c r="S326" s="13" t="str">
        <v>Damaged Stock</v>
      </c>
    </row>
    <row r="327" customFormat="false" ht="15.75" hidden="false" customHeight="false" outlineLevel="0" collapsed="false">
      <c r="A327" s="13" t="str">
        <f aca="false">IFERROR(__xludf.dummyfunction("""COMPUTED_VALUE"""),"Metro DC Faisalabad")</f>
        <v>Metro DC Faisalabad</v>
      </c>
      <c r="B327" s="13" t="str">
        <f aca="false">IFERROR(__xludf.dummyfunction("""COMPUTED_VALUE"""),"e704339c-42c0-48de-92ab-39348129ef53")</f>
        <v>e704339c-42c0-48de-92ab-39348129ef53</v>
      </c>
      <c r="C327" s="13" t="str">
        <f aca="false">IFERROR(__xludf.dummyfunction("""COMPUTED_VALUE"""),"7up plastic 1L")</f>
        <v>7up plastic 1L</v>
      </c>
      <c r="D327" s="13" t="str">
        <f aca="false">IFERROR(__xludf.dummyfunction("""COMPUTED_VALUE"""),"7up")</f>
        <v>7up</v>
      </c>
      <c r="E327" s="13" t="str">
        <f aca="false">IFERROR(__xludf.dummyfunction("""COMPUTED_VALUE"""),"Beverages")</f>
        <v>Beverages</v>
      </c>
      <c r="F327" s="11" t="n">
        <f aca="false">IFERROR(__xludf.dummyfunction("""COMPUTED_VALUE"""),45171)</f>
        <v>45171</v>
      </c>
      <c r="G327" s="12" t="n">
        <f aca="false">IFERROR(__xludf.dummyfunction("""COMPUTED_VALUE"""),0.916828946758332)</f>
        <v>0.9168289468</v>
      </c>
      <c r="H327" s="13" t="str">
        <f aca="false">IFERROR(__xludf.dummyfunction("""COMPUTED_VALUE"""),"damaged stock")</f>
        <v>damaged stock</v>
      </c>
      <c r="I327" s="13" t="n">
        <f aca="false">IFERROR(__xludf.dummyfunction("""COMPUTED_VALUE"""),1)</f>
        <v>1</v>
      </c>
      <c r="J327" s="13" t="n">
        <f aca="false">IFERROR(__xludf.dummyfunction("""COMPUTED_VALUE"""),595)</f>
        <v>595</v>
      </c>
      <c r="K327" s="13" t="n">
        <f aca="false">IFERROR(__xludf.dummyfunction("""COMPUTED_VALUE"""),595)</f>
        <v>595</v>
      </c>
      <c r="L327" s="13" t="str">
        <f aca="false">IFERROR(__xludf.dummyfunction("""COMPUTED_VALUE"""),"[Code: 3445FKMM] TA: Found two empty bottels during sorting.")</f>
        <v>[Code: 3445FKMM] TA: Found two empty bottels during sorting.</v>
      </c>
      <c r="M327" s="13" t="str">
        <f aca="false">IFERROR(__xludf.dummyfunction("""COMPUTED_VALUE"""),"3445FKMM")</f>
        <v>3445FKMM</v>
      </c>
      <c r="N327" s="13"/>
      <c r="O327" s="13" t="str">
        <f aca="false">IFERROR(__xludf.dummyfunction("""COMPUTED_VALUE"""),"taufeeq.akhtar@tajir-app.com")</f>
        <v>taufeeq.akhtar@tajir-app.com</v>
      </c>
      <c r="P327" s="13" t="str">
        <f aca="false">IFERROR(__xludf.dummyfunction("""COMPUTED_VALUE"""),"Taufeeq Akhtar ")</f>
        <v>Taufeeq Akhtar </v>
      </c>
      <c r="Q327" s="13" t="str">
        <f aca="false">IFERROR(__xludf.dummyfunction("""COMPUTED_VALUE"""),"[Code: 3445FKMM] TA: Found two empty bottels during sorting.")</f>
        <v>[Code: 3445FKMM] TA: Found two empty bottels during sorting.</v>
      </c>
      <c r="R327" s="13" t="str">
        <v>Sat,02-September-2023 ,10:00 PM</v>
      </c>
      <c r="S327" s="13" t="str">
        <v>Damaged Stock</v>
      </c>
    </row>
    <row r="328" customFormat="false" ht="15.75" hidden="false" customHeight="false" outlineLevel="0" collapsed="false">
      <c r="A328" s="13" t="str">
        <f aca="false">IFERROR(__xludf.dummyfunction("""COMPUTED_VALUE"""),"Metro DC Faisalabad")</f>
        <v>Metro DC Faisalabad</v>
      </c>
      <c r="B328" s="13" t="str">
        <f aca="false">IFERROR(__xludf.dummyfunction("""COMPUTED_VALUE"""),"cd68a607-af95-45cb-b9f4-2721224c85f8")</f>
        <v>cd68a607-af95-45cb-b9f4-2721224c85f8</v>
      </c>
      <c r="C328" s="13" t="str">
        <f aca="false">IFERROR(__xludf.dummyfunction("""COMPUTED_VALUE"""),"Coca Cola plastic 1.5L")</f>
        <v>Coca Cola plastic 1.5L</v>
      </c>
      <c r="D328" s="13" t="str">
        <f aca="false">IFERROR(__xludf.dummyfunction("""COMPUTED_VALUE"""),"Coca Cola")</f>
        <v>Coca Cola</v>
      </c>
      <c r="E328" s="13" t="str">
        <f aca="false">IFERROR(__xludf.dummyfunction("""COMPUTED_VALUE"""),"Beverages")</f>
        <v>Beverages</v>
      </c>
      <c r="F328" s="11" t="n">
        <f aca="false">IFERROR(__xludf.dummyfunction("""COMPUTED_VALUE"""),45171)</f>
        <v>45171</v>
      </c>
      <c r="G328" s="12" t="n">
        <f aca="false">IFERROR(__xludf.dummyfunction("""COMPUTED_VALUE"""),0.918378275461718)</f>
        <v>0.9183782755</v>
      </c>
      <c r="H328" s="13" t="str">
        <f aca="false">IFERROR(__xludf.dummyfunction("""COMPUTED_VALUE"""),"damaged stock")</f>
        <v>damaged stock</v>
      </c>
      <c r="I328" s="13" t="n">
        <f aca="false">IFERROR(__xludf.dummyfunction("""COMPUTED_VALUE"""),1)</f>
        <v>1</v>
      </c>
      <c r="J328" s="13" t="n">
        <f aca="false">IFERROR(__xludf.dummyfunction("""COMPUTED_VALUE"""),870)</f>
        <v>870</v>
      </c>
      <c r="K328" s="13" t="n">
        <f aca="false">IFERROR(__xludf.dummyfunction("""COMPUTED_VALUE"""),870)</f>
        <v>870</v>
      </c>
      <c r="L328" s="13" t="str">
        <f aca="false">IFERROR(__xludf.dummyfunction("""COMPUTED_VALUE"""),"[Code: 455666AA] TA: found two bottels empty and one bottel loose.")</f>
        <v>[Code: 455666AA] TA: found two bottels empty and one bottel loose.</v>
      </c>
      <c r="M328" s="13" t="str">
        <f aca="false">IFERROR(__xludf.dummyfunction("""COMPUTED_VALUE"""),"455666AA")</f>
        <v>455666AA</v>
      </c>
      <c r="N328" s="13"/>
      <c r="O328" s="13" t="str">
        <f aca="false">IFERROR(__xludf.dummyfunction("""COMPUTED_VALUE"""),"taufeeq.akhtar@tajir-app.com")</f>
        <v>taufeeq.akhtar@tajir-app.com</v>
      </c>
      <c r="P328" s="13" t="str">
        <f aca="false">IFERROR(__xludf.dummyfunction("""COMPUTED_VALUE"""),"Taufeeq Akhtar ")</f>
        <v>Taufeeq Akhtar </v>
      </c>
      <c r="Q328" s="13" t="str">
        <f aca="false">IFERROR(__xludf.dummyfunction("""COMPUTED_VALUE"""),"[Code: 455666AA] TA: found two bottels empty and one bottel loose.")</f>
        <v>[Code: 455666AA] TA: found two bottels empty and one bottel loose.</v>
      </c>
      <c r="R328" s="13" t="str">
        <v>Sat,02-September-2023 ,10:02 PM</v>
      </c>
      <c r="S328" s="13" t="str">
        <v>Damaged Stock</v>
      </c>
    </row>
    <row r="329" customFormat="false" ht="15.75" hidden="false" customHeight="false" outlineLevel="0" collapsed="false">
      <c r="A329" s="13" t="str">
        <f aca="false">IFERROR(__xludf.dummyfunction("""COMPUTED_VALUE"""),"Metro DC Faisalabad")</f>
        <v>Metro DC Faisalabad</v>
      </c>
      <c r="B329" s="13" t="str">
        <f aca="false">IFERROR(__xludf.dummyfunction("""COMPUTED_VALUE"""),"2f3a3c21-6a6d-491d-991e-e2a3e112a571")</f>
        <v>2f3a3c21-6a6d-491d-991e-e2a3e112a571</v>
      </c>
      <c r="C329" s="13" t="str">
        <f aca="false">IFERROR(__xludf.dummyfunction("""COMPUTED_VALUE"""),"Dettol Original Hand Wash Refill Pouch 150ml Rs225")</f>
        <v>Dettol Original Hand Wash Refill Pouch 150ml Rs225</v>
      </c>
      <c r="D329" s="13" t="str">
        <f aca="false">IFERROR(__xludf.dummyfunction("""COMPUTED_VALUE"""),"Dettol")</f>
        <v>Dettol</v>
      </c>
      <c r="E329" s="13" t="str">
        <f aca="false">IFERROR(__xludf.dummyfunction("""COMPUTED_VALUE"""),"Soap")</f>
        <v>Soap</v>
      </c>
      <c r="F329" s="11" t="n">
        <f aca="false">IFERROR(__xludf.dummyfunction("""COMPUTED_VALUE"""),45171)</f>
        <v>45171</v>
      </c>
      <c r="G329" s="12" t="n">
        <f aca="false">IFERROR(__xludf.dummyfunction("""COMPUTED_VALUE"""),0.927016944445188)</f>
        <v>0.9270169444</v>
      </c>
      <c r="H329" s="13" t="str">
        <f aca="false">IFERROR(__xludf.dummyfunction("""COMPUTED_VALUE"""),"damaged stock")</f>
        <v>damaged stock</v>
      </c>
      <c r="I329" s="13" t="n">
        <f aca="false">IFERROR(__xludf.dummyfunction("""COMPUTED_VALUE"""),1)</f>
        <v>1</v>
      </c>
      <c r="J329" s="13" t="n">
        <f aca="false">IFERROR(__xludf.dummyfunction("""COMPUTED_VALUE"""),180.67)</f>
        <v>180.67</v>
      </c>
      <c r="K329" s="13" t="n">
        <f aca="false">IFERROR(__xludf.dummyfunction("""COMPUTED_VALUE"""),180.67)</f>
        <v>180.67</v>
      </c>
      <c r="L329" s="13" t="str">
        <f aca="false">IFERROR(__xludf.dummyfunction("""COMPUTED_VALUE"""),"[Code: 78BCDDJM] TA: Found damaged from box during display.")</f>
        <v>[Code: 78BCDDJM] TA: Found damaged from box during display.</v>
      </c>
      <c r="M329" s="13" t="str">
        <f aca="false">IFERROR(__xludf.dummyfunction("""COMPUTED_VALUE"""),"78BCDDJM")</f>
        <v>78BCDDJM</v>
      </c>
      <c r="N329" s="13"/>
      <c r="O329" s="13" t="str">
        <f aca="false">IFERROR(__xludf.dummyfunction("""COMPUTED_VALUE"""),"taufeeq.akhtar@tajir-app.com")</f>
        <v>taufeeq.akhtar@tajir-app.com</v>
      </c>
      <c r="P329" s="13" t="str">
        <f aca="false">IFERROR(__xludf.dummyfunction("""COMPUTED_VALUE"""),"Taufeeq Akhtar ")</f>
        <v>Taufeeq Akhtar </v>
      </c>
      <c r="Q329" s="13" t="str">
        <f aca="false">IFERROR(__xludf.dummyfunction("""COMPUTED_VALUE"""),"[Code: 78BCDDJM] TA: Found damaged from box during display.")</f>
        <v>[Code: 78BCDDJM] TA: Found damaged from box during display.</v>
      </c>
      <c r="R329" s="13" t="str">
        <v>Sat,02-September-2023 ,10:14 PM</v>
      </c>
      <c r="S329" s="13" t="str">
        <v>Damaged Stock</v>
      </c>
    </row>
    <row r="330" customFormat="false" ht="15.75" hidden="false" customHeight="false" outlineLevel="0" collapsed="false">
      <c r="A330" s="13" t="str">
        <f aca="false">IFERROR(__xludf.dummyfunction("""COMPUTED_VALUE"""),"Metro DC Faisalabad")</f>
        <v>Metro DC Faisalabad</v>
      </c>
      <c r="B330" s="13" t="str">
        <f aca="false">IFERROR(__xludf.dummyfunction("""COMPUTED_VALUE"""),"6bf8e4d8-b1ee-4416-8677-04c83525e4ce")</f>
        <v>6bf8e4d8-b1ee-4416-8677-04c83525e4ce</v>
      </c>
      <c r="C330" s="13" t="str">
        <f aca="false">IFERROR(__xludf.dummyfunction("""COMPUTED_VALUE"""),"Dummer Super Fine Atta 15kg")</f>
        <v>Dummer Super Fine Atta 15kg</v>
      </c>
      <c r="D330" s="13" t="str">
        <f aca="false">IFERROR(__xludf.dummyfunction("""COMPUTED_VALUE"""),"Dummer Atta")</f>
        <v>Dummer Atta</v>
      </c>
      <c r="E330" s="13" t="str">
        <f aca="false">IFERROR(__xludf.dummyfunction("""COMPUTED_VALUE"""),"Flour")</f>
        <v>Flour</v>
      </c>
      <c r="F330" s="11" t="n">
        <f aca="false">IFERROR(__xludf.dummyfunction("""COMPUTED_VALUE"""),45171)</f>
        <v>45171</v>
      </c>
      <c r="G330" s="12" t="n">
        <f aca="false">IFERROR(__xludf.dummyfunction("""COMPUTED_VALUE"""),0.980513101850407)</f>
        <v>0.9805131019</v>
      </c>
      <c r="H330" s="13" t="str">
        <f aca="false">IFERROR(__xludf.dummyfunction("""COMPUTED_VALUE"""),"damaged stock")</f>
        <v>damaged stock</v>
      </c>
      <c r="I330" s="13" t="n">
        <f aca="false">IFERROR(__xludf.dummyfunction("""COMPUTED_VALUE"""),1)</f>
        <v>1</v>
      </c>
      <c r="J330" s="13" t="n">
        <f aca="false">IFERROR(__xludf.dummyfunction("""COMPUTED_VALUE"""),2050)</f>
        <v>2050</v>
      </c>
      <c r="K330" s="13" t="n">
        <f aca="false">IFERROR(__xludf.dummyfunction("""COMPUTED_VALUE"""),2050)</f>
        <v>2050</v>
      </c>
      <c r="L330" s="13" t="str">
        <f aca="false">IFERROR(__xludf.dummyfunction("""COMPUTED_VALUE"""),"[Code: 23579CJP] TA: found damaged because of rabbit bite.")</f>
        <v>[Code: 23579CJP] TA: found damaged because of rabbit bite.</v>
      </c>
      <c r="M330" s="13" t="str">
        <f aca="false">IFERROR(__xludf.dummyfunction("""COMPUTED_VALUE"""),"23579CJP")</f>
        <v>23579CJP</v>
      </c>
      <c r="N330" s="13"/>
      <c r="O330" s="13" t="str">
        <f aca="false">IFERROR(__xludf.dummyfunction("""COMPUTED_VALUE"""),"taufeeq.akhtar@tajir-app.com")</f>
        <v>taufeeq.akhtar@tajir-app.com</v>
      </c>
      <c r="P330" s="13" t="str">
        <f aca="false">IFERROR(__xludf.dummyfunction("""COMPUTED_VALUE"""),"Taufeeq Akhtar ")</f>
        <v>Taufeeq Akhtar </v>
      </c>
      <c r="Q330" s="13" t="str">
        <f aca="false">IFERROR(__xludf.dummyfunction("""COMPUTED_VALUE"""),"[Code: 23579CJP] TA: found damaged because of rabbit bite.")</f>
        <v>[Code: 23579CJP] TA: found damaged because of rabbit bite.</v>
      </c>
      <c r="R330" s="13" t="str">
        <v>Sat,02-September-2023 ,11:31 PM</v>
      </c>
      <c r="S330" s="13" t="str">
        <v>Damaged Stock</v>
      </c>
    </row>
    <row r="331" customFormat="false" ht="15.75" hidden="false" customHeight="false" outlineLevel="0" collapsed="false">
      <c r="A331" s="13" t="str">
        <f aca="false">IFERROR(__xludf.dummyfunction("""COMPUTED_VALUE"""),"Metro DC Faisalabad")</f>
        <v>Metro DC Faisalabad</v>
      </c>
      <c r="B331" s="13" t="str">
        <f aca="false">IFERROR(__xludf.dummyfunction("""COMPUTED_VALUE"""),"f2256bf0-42f2-4a1a-bf53-a26aa9aeaad3")</f>
        <v>f2256bf0-42f2-4a1a-bf53-a26aa9aeaad3</v>
      </c>
      <c r="C331" s="13" t="str">
        <f aca="false">IFERROR(__xludf.dummyfunction("""COMPUTED_VALUE"""),"Kolson Pasta Spaghetti 450g (Hard Box)")</f>
        <v>Kolson Pasta Spaghetti 450g (Hard Box)</v>
      </c>
      <c r="D331" s="13" t="str">
        <f aca="false">IFERROR(__xludf.dummyfunction("""COMPUTED_VALUE"""),"Kolson")</f>
        <v>Kolson</v>
      </c>
      <c r="E331" s="13" t="str">
        <f aca="false">IFERROR(__xludf.dummyfunction("""COMPUTED_VALUE"""),"Grocery")</f>
        <v>Grocery</v>
      </c>
      <c r="F331" s="11" t="n">
        <f aca="false">IFERROR(__xludf.dummyfunction("""COMPUTED_VALUE"""),45171)</f>
        <v>45171</v>
      </c>
      <c r="G331" s="12" t="n">
        <f aca="false">IFERROR(__xludf.dummyfunction("""COMPUTED_VALUE"""),0.983034456017538)</f>
        <v>0.983034456</v>
      </c>
      <c r="H331" s="13" t="str">
        <f aca="false">IFERROR(__xludf.dummyfunction("""COMPUTED_VALUE"""),"damaged stock")</f>
        <v>damaged stock</v>
      </c>
      <c r="I331" s="13" t="n">
        <f aca="false">IFERROR(__xludf.dummyfunction("""COMPUTED_VALUE"""),1)</f>
        <v>1</v>
      </c>
      <c r="J331" s="13" t="n">
        <f aca="false">IFERROR(__xludf.dummyfunction("""COMPUTED_VALUE"""),151.69)</f>
        <v>151.69</v>
      </c>
      <c r="K331" s="13" t="n">
        <f aca="false">IFERROR(__xludf.dummyfunction("""COMPUTED_VALUE"""),151.69)</f>
        <v>151.69</v>
      </c>
      <c r="L331" s="13" t="str">
        <f aca="false">IFERROR(__xludf.dummyfunction("""COMPUTED_VALUE"""),"[Code: 689DFFFG] TA: Found kolson pasta spaghetti 250 grams from box During display(Company end brand exchange)")</f>
        <v>[Code: 689DFFFG] TA: Found kolson pasta spaghetti 250 grams from box During display(Company end brand exchange)</v>
      </c>
      <c r="M331" s="13" t="str">
        <f aca="false">IFERROR(__xludf.dummyfunction("""COMPUTED_VALUE"""),"689DFFFG")</f>
        <v>689DFFFG</v>
      </c>
      <c r="N331" s="13"/>
      <c r="O331" s="13" t="str">
        <f aca="false">IFERROR(__xludf.dummyfunction("""COMPUTED_VALUE"""),"taufeeq.akhtar@tajir-app.com")</f>
        <v>taufeeq.akhtar@tajir-app.com</v>
      </c>
      <c r="P331" s="13" t="str">
        <f aca="false">IFERROR(__xludf.dummyfunction("""COMPUTED_VALUE"""),"Taufeeq Akhtar ")</f>
        <v>Taufeeq Akhtar </v>
      </c>
      <c r="Q331" s="13" t="str">
        <f aca="false">IFERROR(__xludf.dummyfunction("""COMPUTED_VALUE"""),"[Code: 689DFFFG] TA: Found kolson pasta spaghetti 250 grams from box During display(Company end brand exchange)")</f>
        <v>[Code: 689DFFFG] TA: Found kolson pasta spaghetti 250 grams from box During display(Company end brand exchange)</v>
      </c>
      <c r="R331" s="13" t="str">
        <v>Sat,02-September-2023 ,11:35 PM</v>
      </c>
      <c r="S331" s="13" t="str">
        <v>Damaged Stock</v>
      </c>
    </row>
    <row r="332" customFormat="false" ht="15.75" hidden="false" customHeight="false" outlineLevel="0" collapsed="false">
      <c r="A332" s="13" t="str">
        <f aca="false">IFERROR(__xludf.dummyfunction("""COMPUTED_VALUE"""),"Metro DC Faisalabad")</f>
        <v>Metro DC Faisalabad</v>
      </c>
      <c r="B332" s="13" t="str">
        <f aca="false">IFERROR(__xludf.dummyfunction("""COMPUTED_VALUE"""),"67c33ff3-e486-487d-844a-b17c396936ee")</f>
        <v>67c33ff3-e486-487d-844a-b17c396936ee</v>
      </c>
      <c r="C332" s="13" t="str">
        <f aca="false">IFERROR(__xludf.dummyfunction("""COMPUTED_VALUE"""),"Coca Cola plastic 1L")</f>
        <v>Coca Cola plastic 1L</v>
      </c>
      <c r="D332" s="13" t="str">
        <f aca="false">IFERROR(__xludf.dummyfunction("""COMPUTED_VALUE"""),"Coca Cola")</f>
        <v>Coca Cola</v>
      </c>
      <c r="E332" s="13" t="str">
        <f aca="false">IFERROR(__xludf.dummyfunction("""COMPUTED_VALUE"""),"Beverages")</f>
        <v>Beverages</v>
      </c>
      <c r="F332" s="11" t="n">
        <f aca="false">IFERROR(__xludf.dummyfunction("""COMPUTED_VALUE"""),45172)</f>
        <v>45172</v>
      </c>
      <c r="G332" s="12" t="n">
        <f aca="false">IFERROR(__xludf.dummyfunction("""COMPUTED_VALUE"""),0.892515821760073)</f>
        <v>0.8925158218</v>
      </c>
      <c r="H332" s="13" t="str">
        <f aca="false">IFERROR(__xludf.dummyfunction("""COMPUTED_VALUE"""),"damaged stock")</f>
        <v>damaged stock</v>
      </c>
      <c r="I332" s="13" t="n">
        <f aca="false">IFERROR(__xludf.dummyfunction("""COMPUTED_VALUE"""),1)</f>
        <v>1</v>
      </c>
      <c r="J332" s="13" t="n">
        <f aca="false">IFERROR(__xludf.dummyfunction("""COMPUTED_VALUE"""),724)</f>
        <v>724</v>
      </c>
      <c r="K332" s="13" t="n">
        <f aca="false">IFERROR(__xludf.dummyfunction("""COMPUTED_VALUE"""),724)</f>
        <v>724</v>
      </c>
      <c r="L332" s="13" t="str">
        <f aca="false">IFERROR(__xludf.dummyfunction("""COMPUTED_VALUE"""),"[Code: 57ABCCFH] TA: Found three bottel loose and three empty bottels during sorting.")</f>
        <v>[Code: 57ABCCFH] TA: Found three bottel loose and three empty bottels during sorting.</v>
      </c>
      <c r="M332" s="13" t="str">
        <f aca="false">IFERROR(__xludf.dummyfunction("""COMPUTED_VALUE"""),"57ABCCFH")</f>
        <v>57ABCCFH</v>
      </c>
      <c r="N332" s="13"/>
      <c r="O332" s="13" t="str">
        <f aca="false">IFERROR(__xludf.dummyfunction("""COMPUTED_VALUE"""),"taufeeq.akhtar@tajir-app.com")</f>
        <v>taufeeq.akhtar@tajir-app.com</v>
      </c>
      <c r="P332" s="13" t="str">
        <f aca="false">IFERROR(__xludf.dummyfunction("""COMPUTED_VALUE"""),"Taufeeq Akhtar ")</f>
        <v>Taufeeq Akhtar </v>
      </c>
      <c r="Q332" s="13" t="str">
        <f aca="false">IFERROR(__xludf.dummyfunction("""COMPUTED_VALUE"""),"[Code: 57ABCCFH] TA: Found three bottel loose and three empty bottels during sorting.")</f>
        <v>[Code: 57ABCCFH] TA: Found three bottel loose and three empty bottels during sorting.</v>
      </c>
      <c r="R332" s="13" t="str">
        <v>Sun,03-September-2023 ,09:25 PM</v>
      </c>
      <c r="S332" s="13" t="str">
        <v>Damaged Stock</v>
      </c>
    </row>
    <row r="333" customFormat="false" ht="15.75" hidden="false" customHeight="false" outlineLevel="0" collapsed="false">
      <c r="A333" s="13" t="str">
        <f aca="false">IFERROR(__xludf.dummyfunction("""COMPUTED_VALUE"""),"Metro DC Faisalabad")</f>
        <v>Metro DC Faisalabad</v>
      </c>
      <c r="B333" s="13" t="str">
        <f aca="false">IFERROR(__xludf.dummyfunction("""COMPUTED_VALUE"""),"09ff2b51-de1a-43dc-8e0b-d66ec9177555")</f>
        <v>09ff2b51-de1a-43dc-8e0b-d66ec9177555</v>
      </c>
      <c r="C333" s="13" t="str">
        <f aca="false">IFERROR(__xludf.dummyfunction("""COMPUTED_VALUE"""),"Aquafina Mineral Water 1.5L ")</f>
        <v>Aquafina Mineral Water 1.5L </v>
      </c>
      <c r="D333" s="13" t="str">
        <f aca="false">IFERROR(__xludf.dummyfunction("""COMPUTED_VALUE"""),"Aquafina")</f>
        <v>Aquafina</v>
      </c>
      <c r="E333" s="13" t="str">
        <f aca="false">IFERROR(__xludf.dummyfunction("""COMPUTED_VALUE"""),"Beverages")</f>
        <v>Beverages</v>
      </c>
      <c r="F333" s="11" t="n">
        <f aca="false">IFERROR(__xludf.dummyfunction("""COMPUTED_VALUE"""),45172)</f>
        <v>45172</v>
      </c>
      <c r="G333" s="12" t="n">
        <f aca="false">IFERROR(__xludf.dummyfunction("""COMPUTED_VALUE"""),0.894938124998755)</f>
        <v>0.894938125</v>
      </c>
      <c r="H333" s="13" t="str">
        <f aca="false">IFERROR(__xludf.dummyfunction("""COMPUTED_VALUE"""),"damaged stock")</f>
        <v>damaged stock</v>
      </c>
      <c r="I333" s="13" t="n">
        <f aca="false">IFERROR(__xludf.dummyfunction("""COMPUTED_VALUE"""),1)</f>
        <v>1</v>
      </c>
      <c r="J333" s="13" t="n">
        <f aca="false">IFERROR(__xludf.dummyfunction("""COMPUTED_VALUE"""),425)</f>
        <v>425</v>
      </c>
      <c r="K333" s="13" t="n">
        <f aca="false">IFERROR(__xludf.dummyfunction("""COMPUTED_VALUE"""),425)</f>
        <v>425</v>
      </c>
      <c r="L333" s="13" t="str">
        <f aca="false">IFERROR(__xludf.dummyfunction("""COMPUTED_VALUE"""),"[Code: 2356899B] TA:Found three empty bottels during sorting.")</f>
        <v>[Code: 2356899B] TA:Found three empty bottels during sorting.</v>
      </c>
      <c r="M333" s="13" t="str">
        <f aca="false">IFERROR(__xludf.dummyfunction("""COMPUTED_VALUE"""),"2356899B")</f>
        <v>2356899B</v>
      </c>
      <c r="N333" s="13"/>
      <c r="O333" s="13" t="str">
        <f aca="false">IFERROR(__xludf.dummyfunction("""COMPUTED_VALUE"""),"taufeeq.akhtar@tajir-app.com")</f>
        <v>taufeeq.akhtar@tajir-app.com</v>
      </c>
      <c r="P333" s="13" t="str">
        <f aca="false">IFERROR(__xludf.dummyfunction("""COMPUTED_VALUE"""),"Taufeeq Akhtar ")</f>
        <v>Taufeeq Akhtar </v>
      </c>
      <c r="Q333" s="13" t="str">
        <f aca="false">IFERROR(__xludf.dummyfunction("""COMPUTED_VALUE"""),"[Code: 2356899B] TA:Found three empty bottels during sorting.")</f>
        <v>[Code: 2356899B] TA:Found three empty bottels during sorting.</v>
      </c>
      <c r="R333" s="13" t="str">
        <v>Sun,03-September-2023 ,09:28 PM</v>
      </c>
      <c r="S333" s="13" t="str">
        <v>Damaged Stock</v>
      </c>
    </row>
    <row r="334" customFormat="false" ht="15.75" hidden="false" customHeight="false" outlineLevel="0" collapsed="false">
      <c r="A334" s="13" t="str">
        <f aca="false">IFERROR(__xludf.dummyfunction("""COMPUTED_VALUE"""),"Metro DC Faisalabad")</f>
        <v>Metro DC Faisalabad</v>
      </c>
      <c r="B334" s="13" t="str">
        <f aca="false">IFERROR(__xludf.dummyfunction("""COMPUTED_VALUE"""),"67c33ff3-e486-487d-844a-b17c396936ee")</f>
        <v>67c33ff3-e486-487d-844a-b17c396936ee</v>
      </c>
      <c r="C334" s="13" t="str">
        <f aca="false">IFERROR(__xludf.dummyfunction("""COMPUTED_VALUE"""),"Coca Cola plastic 1L")</f>
        <v>Coca Cola plastic 1L</v>
      </c>
      <c r="D334" s="13" t="str">
        <f aca="false">IFERROR(__xludf.dummyfunction("""COMPUTED_VALUE"""),"Coca Cola")</f>
        <v>Coca Cola</v>
      </c>
      <c r="E334" s="13" t="str">
        <f aca="false">IFERROR(__xludf.dummyfunction("""COMPUTED_VALUE"""),"Beverages")</f>
        <v>Beverages</v>
      </c>
      <c r="F334" s="11" t="n">
        <f aca="false">IFERROR(__xludf.dummyfunction("""COMPUTED_VALUE"""),45173)</f>
        <v>45173</v>
      </c>
      <c r="G334" s="12" t="n">
        <f aca="false">IFERROR(__xludf.dummyfunction("""COMPUTED_VALUE"""),0.932382789350176)</f>
        <v>0.9323827894</v>
      </c>
      <c r="H334" s="13" t="str">
        <f aca="false">IFERROR(__xludf.dummyfunction("""COMPUTED_VALUE"""),"damaged stock")</f>
        <v>damaged stock</v>
      </c>
      <c r="I334" s="13" t="n">
        <f aca="false">IFERROR(__xludf.dummyfunction("""COMPUTED_VALUE"""),1)</f>
        <v>1</v>
      </c>
      <c r="J334" s="13" t="n">
        <f aca="false">IFERROR(__xludf.dummyfunction("""COMPUTED_VALUE"""),724)</f>
        <v>724</v>
      </c>
      <c r="K334" s="13" t="n">
        <f aca="false">IFERROR(__xludf.dummyfunction("""COMPUTED_VALUE"""),724)</f>
        <v>724</v>
      </c>
      <c r="L334" s="13" t="str">
        <f aca="false">IFERROR(__xludf.dummyfunction("""COMPUTED_VALUE"""),"[Code: BCCCDGJJ] TA: Found foure bottels in loose conditon.(company end issue)")</f>
        <v>[Code: BCCCDGJJ] TA: Found foure bottels in loose conditon.(company end issue)</v>
      </c>
      <c r="M334" s="13" t="str">
        <f aca="false">IFERROR(__xludf.dummyfunction("""COMPUTED_VALUE"""),"BCCCDGJJ")</f>
        <v>BCCCDGJJ</v>
      </c>
      <c r="N334" s="13"/>
      <c r="O334" s="13" t="str">
        <f aca="false">IFERROR(__xludf.dummyfunction("""COMPUTED_VALUE"""),"taufeeq.akhtar@tajir-app.com")</f>
        <v>taufeeq.akhtar@tajir-app.com</v>
      </c>
      <c r="P334" s="13" t="str">
        <f aca="false">IFERROR(__xludf.dummyfunction("""COMPUTED_VALUE"""),"Taufeeq Akhtar ")</f>
        <v>Taufeeq Akhtar </v>
      </c>
      <c r="Q334" s="13" t="str">
        <f aca="false">IFERROR(__xludf.dummyfunction("""COMPUTED_VALUE"""),"[Code: BCCCDGJJ] TA: Found foure bottels in loose conditon.(company end issue)")</f>
        <v>[Code: BCCCDGJJ] TA: Found foure bottels in loose conditon.(company end issue)</v>
      </c>
      <c r="R334" s="13" t="str">
        <v>Mon,04-September-2023 ,10:22 PM</v>
      </c>
      <c r="S334" s="13" t="str">
        <v>Damaged Stock</v>
      </c>
    </row>
    <row r="335" customFormat="false" ht="15.75" hidden="false" customHeight="false" outlineLevel="0" collapsed="false">
      <c r="A335" s="13" t="str">
        <f aca="false">IFERROR(__xludf.dummyfunction("""COMPUTED_VALUE"""),"Metro DC Faisalabad")</f>
        <v>Metro DC Faisalabad</v>
      </c>
      <c r="B335" s="13" t="str">
        <f aca="false">IFERROR(__xludf.dummyfunction("""COMPUTED_VALUE"""),"38f91ed7-8c25-4061-b1cb-85ac528c02dc")</f>
        <v>38f91ed7-8c25-4061-b1cb-85ac528c02dc</v>
      </c>
      <c r="C335" s="13" t="str">
        <f aca="false">IFERROR(__xludf.dummyfunction("""COMPUTED_VALUE"""),"Shangrila Tomato Ketchup x6 Bundle 70g")</f>
        <v>Shangrila Tomato Ketchup x6 Bundle 70g</v>
      </c>
      <c r="D335" s="13" t="str">
        <f aca="false">IFERROR(__xludf.dummyfunction("""COMPUTED_VALUE"""),"Shangrila")</f>
        <v>Shangrila</v>
      </c>
      <c r="E335" s="13" t="str">
        <f aca="false">IFERROR(__xludf.dummyfunction("""COMPUTED_VALUE"""),"Sauces")</f>
        <v>Sauces</v>
      </c>
      <c r="F335" s="11" t="n">
        <f aca="false">IFERROR(__xludf.dummyfunction("""COMPUTED_VALUE"""),45174)</f>
        <v>45174</v>
      </c>
      <c r="G335" s="12" t="n">
        <f aca="false">IFERROR(__xludf.dummyfunction("""COMPUTED_VALUE"""),0.926688645832013)</f>
        <v>0.9266886458</v>
      </c>
      <c r="H335" s="13" t="str">
        <f aca="false">IFERROR(__xludf.dummyfunction("""COMPUTED_VALUE"""),"damaged stock")</f>
        <v>damaged stock</v>
      </c>
      <c r="I335" s="13" t="n">
        <f aca="false">IFERROR(__xludf.dummyfunction("""COMPUTED_VALUE"""),1)</f>
        <v>1</v>
      </c>
      <c r="J335" s="13" t="n">
        <f aca="false">IFERROR(__xludf.dummyfunction("""COMPUTED_VALUE"""),188.49)</f>
        <v>188.49</v>
      </c>
      <c r="K335" s="13" t="n">
        <f aca="false">IFERROR(__xludf.dummyfunction("""COMPUTED_VALUE"""),188.49)</f>
        <v>188.49</v>
      </c>
      <c r="L335" s="13" t="str">
        <f aca="false">IFERROR(__xludf.dummyfunction("""COMPUTED_VALUE"""),"[Code: 489ACDDH] TA:1unit (damage found durring display)")</f>
        <v>[Code: 489ACDDH] TA:1unit (damage found durring display)</v>
      </c>
      <c r="M335" s="13" t="str">
        <f aca="false">IFERROR(__xludf.dummyfunction("""COMPUTED_VALUE"""),"489ACDDH")</f>
        <v>489ACDDH</v>
      </c>
      <c r="N335" s="13"/>
      <c r="O335" s="13" t="str">
        <f aca="false">IFERROR(__xludf.dummyfunction("""COMPUTED_VALUE"""),"taufeeq.akhtar@tajir-app.com")</f>
        <v>taufeeq.akhtar@tajir-app.com</v>
      </c>
      <c r="P335" s="13" t="str">
        <f aca="false">IFERROR(__xludf.dummyfunction("""COMPUTED_VALUE"""),"Taufeeq Akhtar ")</f>
        <v>Taufeeq Akhtar </v>
      </c>
      <c r="Q335" s="13" t="str">
        <f aca="false">IFERROR(__xludf.dummyfunction("""COMPUTED_VALUE"""),"[Code: 489ACDDH] TA:1unit (damage found durring display)")</f>
        <v>[Code: 489ACDDH] TA:1unit (damage found durring display)</v>
      </c>
      <c r="R335" s="13" t="str">
        <v>Tue,05-September-2023 ,10:14 PM</v>
      </c>
      <c r="S335" s="13" t="str">
        <v>Damaged Stock</v>
      </c>
    </row>
    <row r="336" customFormat="false" ht="15.75" hidden="false" customHeight="false" outlineLevel="0" collapsed="false">
      <c r="A336" s="13" t="str">
        <f aca="false">IFERROR(__xludf.dummyfunction("""COMPUTED_VALUE"""),"Metro DC Faisalabad")</f>
        <v>Metro DC Faisalabad</v>
      </c>
      <c r="B336" s="13" t="str">
        <f aca="false">IFERROR(__xludf.dummyfunction("""COMPUTED_VALUE"""),"61b64cf5-8ce8-47c7-8293-6e04fbebd722")</f>
        <v>61b64cf5-8ce8-47c7-8293-6e04fbebd722</v>
      </c>
      <c r="C336" s="13" t="str">
        <f aca="false">IFERROR(__xludf.dummyfunction("""COMPUTED_VALUE"""),"Lemon Max Liquid Regular Bottle 475ml Rs260")</f>
        <v>Lemon Max Liquid Regular Bottle 475ml Rs260</v>
      </c>
      <c r="D336" s="13" t="str">
        <f aca="false">IFERROR(__xludf.dummyfunction("""COMPUTED_VALUE"""),"Lemon Max")</f>
        <v>Lemon Max</v>
      </c>
      <c r="E336" s="13" t="str">
        <f aca="false">IFERROR(__xludf.dummyfunction("""COMPUTED_VALUE"""),"Home Care")</f>
        <v>Home Care</v>
      </c>
      <c r="F336" s="11" t="n">
        <f aca="false">IFERROR(__xludf.dummyfunction("""COMPUTED_VALUE"""),45174)</f>
        <v>45174</v>
      </c>
      <c r="G336" s="12" t="n">
        <f aca="false">IFERROR(__xludf.dummyfunction("""COMPUTED_VALUE"""),0.92895069444591)</f>
        <v>0.9289506944</v>
      </c>
      <c r="H336" s="13" t="str">
        <f aca="false">IFERROR(__xludf.dummyfunction("""COMPUTED_VALUE"""),"damaged stock")</f>
        <v>damaged stock</v>
      </c>
      <c r="I336" s="13" t="n">
        <f aca="false">IFERROR(__xludf.dummyfunction("""COMPUTED_VALUE"""),1)</f>
        <v>1</v>
      </c>
      <c r="J336" s="13" t="n">
        <f aca="false">IFERROR(__xludf.dummyfunction("""COMPUTED_VALUE"""),239.66)</f>
        <v>239.66</v>
      </c>
      <c r="K336" s="13" t="n">
        <f aca="false">IFERROR(__xludf.dummyfunction("""COMPUTED_VALUE"""),239.66)</f>
        <v>239.66</v>
      </c>
      <c r="L336" s="13" t="str">
        <f aca="false">IFERROR(__xludf.dummyfunction("""COMPUTED_VALUE"""),"[Code: 2368CEKM] TA: 1unit damage found  (coton sy damage mila hy)")</f>
        <v>[Code: 2368CEKM] TA: 1unit damage found  (coton sy damage mila hy)</v>
      </c>
      <c r="M336" s="13" t="str">
        <f aca="false">IFERROR(__xludf.dummyfunction("""COMPUTED_VALUE"""),"2368CEKM")</f>
        <v>2368CEKM</v>
      </c>
      <c r="N336" s="13"/>
      <c r="O336" s="13" t="str">
        <f aca="false">IFERROR(__xludf.dummyfunction("""COMPUTED_VALUE"""),"taufeeq.akhtar@tajir-app.com")</f>
        <v>taufeeq.akhtar@tajir-app.com</v>
      </c>
      <c r="P336" s="13" t="str">
        <f aca="false">IFERROR(__xludf.dummyfunction("""COMPUTED_VALUE"""),"Taufeeq Akhtar ")</f>
        <v>Taufeeq Akhtar </v>
      </c>
      <c r="Q336" s="13" t="str">
        <f aca="false">IFERROR(__xludf.dummyfunction("""COMPUTED_VALUE"""),"[Code: 2368CEKM] TA: 1unit damage found  (coton sy damage mila hy)")</f>
        <v>[Code: 2368CEKM] TA: 1unit damage found  (coton sy damage mila hy)</v>
      </c>
      <c r="R336" s="13" t="str">
        <v>Tue,05-September-2023 ,10:17 PM</v>
      </c>
      <c r="S336" s="13" t="str">
        <v>Damaged Stock</v>
      </c>
    </row>
    <row r="337" customFormat="false" ht="15.75" hidden="false" customHeight="false" outlineLevel="0" collapsed="false">
      <c r="A337" s="13" t="str">
        <f aca="false">IFERROR(__xludf.dummyfunction("""COMPUTED_VALUE"""),"Metro DC Faisalabad")</f>
        <v>Metro DC Faisalabad</v>
      </c>
      <c r="B337" s="13" t="str">
        <f aca="false">IFERROR(__xludf.dummyfunction("""COMPUTED_VALUE"""),"c0c43530-de56-4449-abff-170fdb3fc048")</f>
        <v>c0c43530-de56-4449-abff-170fdb3fc048</v>
      </c>
      <c r="C337" s="13" t="str">
        <f aca="false">IFERROR(__xludf.dummyfunction("""COMPUTED_VALUE"""),"Lemon Max Dishwash Liquid 275ml Rs170 (Yellow)")</f>
        <v>Lemon Max Dishwash Liquid 275ml Rs170 (Yellow)</v>
      </c>
      <c r="D337" s="13" t="str">
        <f aca="false">IFERROR(__xludf.dummyfunction("""COMPUTED_VALUE"""),"Lemon Max")</f>
        <v>Lemon Max</v>
      </c>
      <c r="E337" s="13" t="str">
        <f aca="false">IFERROR(__xludf.dummyfunction("""COMPUTED_VALUE"""),"Home Care")</f>
        <v>Home Care</v>
      </c>
      <c r="F337" s="11" t="n">
        <f aca="false">IFERROR(__xludf.dummyfunction("""COMPUTED_VALUE"""),45174)</f>
        <v>45174</v>
      </c>
      <c r="G337" s="12" t="n">
        <f aca="false">IFERROR(__xludf.dummyfunction("""COMPUTED_VALUE"""),0.930618020835139)</f>
        <v>0.9306180208</v>
      </c>
      <c r="H337" s="13" t="str">
        <f aca="false">IFERROR(__xludf.dummyfunction("""COMPUTED_VALUE"""),"damaged stock")</f>
        <v>damaged stock</v>
      </c>
      <c r="I337" s="13" t="n">
        <f aca="false">IFERROR(__xludf.dummyfunction("""COMPUTED_VALUE"""),1)</f>
        <v>1</v>
      </c>
      <c r="J337" s="13" t="n">
        <f aca="false">IFERROR(__xludf.dummyfunction("""COMPUTED_VALUE"""),156.7)</f>
        <v>156.7</v>
      </c>
      <c r="K337" s="13" t="n">
        <f aca="false">IFERROR(__xludf.dummyfunction("""COMPUTED_VALUE"""),156.7)</f>
        <v>156.7</v>
      </c>
      <c r="L337" s="13" t="str">
        <f aca="false">IFERROR(__xludf.dummyfunction("""COMPUTED_VALUE"""),"[Code: 5588AABH] TA: 1unit damage found  (cotton sy damage mila hy)")</f>
        <v>[Code: 5588AABH] TA: 1unit damage found  (cotton sy damage mila hy)</v>
      </c>
      <c r="M337" s="13" t="str">
        <f aca="false">IFERROR(__xludf.dummyfunction("""COMPUTED_VALUE"""),"5588AABH")</f>
        <v>5588AABH</v>
      </c>
      <c r="N337" s="13"/>
      <c r="O337" s="13" t="str">
        <f aca="false">IFERROR(__xludf.dummyfunction("""COMPUTED_VALUE"""),"taufeeq.akhtar@tajir-app.com")</f>
        <v>taufeeq.akhtar@tajir-app.com</v>
      </c>
      <c r="P337" s="13" t="str">
        <f aca="false">IFERROR(__xludf.dummyfunction("""COMPUTED_VALUE"""),"Taufeeq Akhtar ")</f>
        <v>Taufeeq Akhtar </v>
      </c>
      <c r="Q337" s="13" t="str">
        <f aca="false">IFERROR(__xludf.dummyfunction("""COMPUTED_VALUE"""),"[Code: 5588AABH] TA: 1unit damage found  (cotton sy damage mila hy)")</f>
        <v>[Code: 5588AABH] TA: 1unit damage found  (cotton sy damage mila hy)</v>
      </c>
      <c r="R337" s="13" t="str">
        <v>Tue,05-September-2023 ,10:20 PM</v>
      </c>
      <c r="S337" s="13" t="str">
        <v>Damaged Stock</v>
      </c>
    </row>
    <row r="338" customFormat="false" ht="15.75" hidden="false" customHeight="false" outlineLevel="0" collapsed="false">
      <c r="A338" s="13" t="str">
        <f aca="false">IFERROR(__xludf.dummyfunction("""COMPUTED_VALUE"""),"Metro DC Faisalabad")</f>
        <v>Metro DC Faisalabad</v>
      </c>
      <c r="B338" s="13" t="str">
        <f aca="false">IFERROR(__xludf.dummyfunction("""COMPUTED_VALUE"""),"640b3d13-fe80-4e07-8c7f-6e8b80a71337")</f>
        <v>640b3d13-fe80-4e07-8c7f-6e8b80a71337</v>
      </c>
      <c r="C338" s="13" t="str">
        <f aca="false">IFERROR(__xludf.dummyfunction("""COMPUTED_VALUE"""),"Swadi Besan 5kg")</f>
        <v>Swadi Besan 5kg</v>
      </c>
      <c r="D338" s="13" t="str">
        <f aca="false">IFERROR(__xludf.dummyfunction("""COMPUTED_VALUE"""),"Swadi")</f>
        <v>Swadi</v>
      </c>
      <c r="E338" s="13" t="str">
        <f aca="false">IFERROR(__xludf.dummyfunction("""COMPUTED_VALUE"""),"Pulses")</f>
        <v>Pulses</v>
      </c>
      <c r="F338" s="11" t="n">
        <f aca="false">IFERROR(__xludf.dummyfunction("""COMPUTED_VALUE"""),45175)</f>
        <v>45175</v>
      </c>
      <c r="G338" s="12" t="n">
        <f aca="false">IFERROR(__xludf.dummyfunction("""COMPUTED_VALUE"""),0.55630405092729)</f>
        <v>0.5563040509</v>
      </c>
      <c r="H338" s="13" t="str">
        <f aca="false">IFERROR(__xludf.dummyfunction("""COMPUTED_VALUE"""),"damaged stock")</f>
        <v>damaged stock</v>
      </c>
      <c r="I338" s="13" t="n">
        <f aca="false">IFERROR(__xludf.dummyfunction("""COMPUTED_VALUE"""),12)</f>
        <v>12</v>
      </c>
      <c r="J338" s="13" t="n">
        <f aca="false">IFERROR(__xludf.dummyfunction("""COMPUTED_VALUE"""),1050)</f>
        <v>1050</v>
      </c>
      <c r="K338" s="13" t="n">
        <f aca="false">IFERROR(__xludf.dummyfunction("""COMPUTED_VALUE"""),12600)</f>
        <v>12600</v>
      </c>
      <c r="L338" s="13" t="str">
        <f aca="false">IFERROR(__xludf.dummyfunction("""COMPUTED_VALUE"""),"[Code: 899BBDFJ] 12 units found damaged due to susri ")</f>
        <v>[Code: 899BBDFJ] 12 units found damaged due to susri </v>
      </c>
      <c r="M338" s="13" t="str">
        <f aca="false">IFERROR(__xludf.dummyfunction("""COMPUTED_VALUE"""),"899BBDFJ")</f>
        <v>899BBDFJ</v>
      </c>
      <c r="N338" s="13"/>
      <c r="O338" s="13" t="str">
        <f aca="false">IFERROR(__xludf.dummyfunction("""COMPUTED_VALUE"""),"ali.raza@tajir-app.com")</f>
        <v>ali.raza@tajir-app.com</v>
      </c>
      <c r="P338" s="13" t="str">
        <f aca="false">IFERROR(__xludf.dummyfunction("""COMPUTED_VALUE"""),"Ali Raza ")</f>
        <v>Ali Raza </v>
      </c>
      <c r="Q338" s="13" t="str">
        <f aca="false">IFERROR(__xludf.dummyfunction("""COMPUTED_VALUE"""),"[Code: 899BBDFJ] 12 units found damaged due to susri ")</f>
        <v>[Code: 899BBDFJ] 12 units found damaged due to susri </v>
      </c>
      <c r="R338" s="13" t="str">
        <v>Wed,06-September-2023 ,01:21 PM</v>
      </c>
      <c r="S338" s="13" t="str">
        <v>Damaged Stock</v>
      </c>
    </row>
    <row r="339" customFormat="false" ht="15.75" hidden="false" customHeight="false" outlineLevel="0" collapsed="false">
      <c r="A339" s="13" t="str">
        <f aca="false">IFERROR(__xludf.dummyfunction("""COMPUTED_VALUE"""),"Metro DC Faisalabad")</f>
        <v>Metro DC Faisalabad</v>
      </c>
      <c r="B339" s="13" t="str">
        <f aca="false">IFERROR(__xludf.dummyfunction("""COMPUTED_VALUE"""),"708ebf9b-2966-4d18-920f-9dbfee0aea89")</f>
        <v>708ebf9b-2966-4d18-920f-9dbfee0aea89</v>
      </c>
      <c r="C339" s="13" t="str">
        <f aca="false">IFERROR(__xludf.dummyfunction("""COMPUTED_VALUE"""),"Sunlight Pink Clean and Jasmine Fresh 330g Rs99")</f>
        <v>Sunlight Pink Clean and Jasmine Fresh 330g Rs99</v>
      </c>
      <c r="D339" s="13" t="str">
        <f aca="false">IFERROR(__xludf.dummyfunction("""COMPUTED_VALUE"""),"Sunlight")</f>
        <v>Sunlight</v>
      </c>
      <c r="E339" s="13" t="str">
        <f aca="false">IFERROR(__xludf.dummyfunction("""COMPUTED_VALUE"""),"Surf, Bleach")</f>
        <v>Surf, Bleach</v>
      </c>
      <c r="F339" s="11" t="n">
        <f aca="false">IFERROR(__xludf.dummyfunction("""COMPUTED_VALUE"""),45179)</f>
        <v>45179</v>
      </c>
      <c r="G339" s="12" t="n">
        <f aca="false">IFERROR(__xludf.dummyfunction("""COMPUTED_VALUE"""),0.0199965162050727)</f>
        <v>0.01999651621</v>
      </c>
      <c r="H339" s="13" t="str">
        <f aca="false">IFERROR(__xludf.dummyfunction("""COMPUTED_VALUE"""),"damaged stock")</f>
        <v>damaged stock</v>
      </c>
      <c r="I339" s="13" t="n">
        <f aca="false">IFERROR(__xludf.dummyfunction("""COMPUTED_VALUE"""),2)</f>
        <v>2</v>
      </c>
      <c r="J339" s="13" t="n">
        <f aca="false">IFERROR(__xludf.dummyfunction("""COMPUTED_VALUE"""),87.5)</f>
        <v>87.5</v>
      </c>
      <c r="K339" s="13" t="n">
        <f aca="false">IFERROR(__xludf.dummyfunction("""COMPUTED_VALUE"""),175)</f>
        <v>175</v>
      </c>
      <c r="L339" s="13" t="str">
        <f aca="false">IFERROR(__xludf.dummyfunction("""COMPUTED_VALUE"""),"[Code: ACHHJMNQ] TA: 2 units damaged found (bag main sy damage mila hy)")</f>
        <v>[Code: ACHHJMNQ] TA: 2 units damaged found (bag main sy damage mila hy)</v>
      </c>
      <c r="M339" s="13" t="str">
        <f aca="false">IFERROR(__xludf.dummyfunction("""COMPUTED_VALUE"""),"ACHHJMNQ")</f>
        <v>ACHHJMNQ</v>
      </c>
      <c r="N339" s="13"/>
      <c r="O339" s="13" t="str">
        <f aca="false">IFERROR(__xludf.dummyfunction("""COMPUTED_VALUE"""),"taufeeq.akhtar@tajir-app.com")</f>
        <v>taufeeq.akhtar@tajir-app.com</v>
      </c>
      <c r="P339" s="13" t="str">
        <f aca="false">IFERROR(__xludf.dummyfunction("""COMPUTED_VALUE"""),"Taufeeq Akhtar ")</f>
        <v>Taufeeq Akhtar </v>
      </c>
      <c r="Q339" s="13" t="str">
        <f aca="false">IFERROR(__xludf.dummyfunction("""COMPUTED_VALUE"""),"[Code: ACHHJMNQ] TA: 2 units damaged found (bag main sy damage mila hy)")</f>
        <v>[Code: ACHHJMNQ] TA: 2 units damaged found (bag main sy damage mila hy)</v>
      </c>
      <c r="R339" s="13" t="str">
        <v>Sun,10-September-2023 ,12:28 AM</v>
      </c>
      <c r="S339" s="13" t="str">
        <v>Damaged Stock</v>
      </c>
    </row>
    <row r="340" customFormat="false" ht="15.75" hidden="false" customHeight="false" outlineLevel="0" collapsed="false">
      <c r="A340" s="13" t="str">
        <f aca="false">IFERROR(__xludf.dummyfunction("""COMPUTED_VALUE"""),"Metro DC Faisalabad")</f>
        <v>Metro DC Faisalabad</v>
      </c>
      <c r="B340" s="13" t="str">
        <f aca="false">IFERROR(__xludf.dummyfunction("""COMPUTED_VALUE"""),"68a117a6-3f98-4eb1-aef6-df85a7f8e4ba")</f>
        <v>68a117a6-3f98-4eb1-aef6-df85a7f8e4ba</v>
      </c>
      <c r="C340" s="13" t="str">
        <f aca="false">IFERROR(__xludf.dummyfunction("""COMPUTED_VALUE"""),"Aish Water 1500ml")</f>
        <v>Aish Water 1500ml</v>
      </c>
      <c r="D340" s="13" t="str">
        <f aca="false">IFERROR(__xludf.dummyfunction("""COMPUTED_VALUE"""),"Aish Water")</f>
        <v>Aish Water</v>
      </c>
      <c r="E340" s="13" t="str">
        <f aca="false">IFERROR(__xludf.dummyfunction("""COMPUTED_VALUE"""),"Beverages")</f>
        <v>Beverages</v>
      </c>
      <c r="F340" s="11" t="n">
        <f aca="false">IFERROR(__xludf.dummyfunction("""COMPUTED_VALUE"""),45179)</f>
        <v>45179</v>
      </c>
      <c r="G340" s="12" t="n">
        <f aca="false">IFERROR(__xludf.dummyfunction("""COMPUTED_VALUE"""),0.0229926504629468)</f>
        <v>0.02299265046</v>
      </c>
      <c r="H340" s="13" t="str">
        <f aca="false">IFERROR(__xludf.dummyfunction("""COMPUTED_VALUE"""),"damaged stock")</f>
        <v>damaged stock</v>
      </c>
      <c r="I340" s="13" t="n">
        <f aca="false">IFERROR(__xludf.dummyfunction("""COMPUTED_VALUE"""),1)</f>
        <v>1</v>
      </c>
      <c r="J340" s="13" t="n">
        <f aca="false">IFERROR(__xludf.dummyfunction("""COMPUTED_VALUE"""),190)</f>
        <v>190</v>
      </c>
      <c r="K340" s="13" t="n">
        <f aca="false">IFERROR(__xludf.dummyfunction("""COMPUTED_VALUE"""),190)</f>
        <v>190</v>
      </c>
      <c r="L340" s="13" t="str">
        <f aca="false">IFERROR(__xludf.dummyfunction("""COMPUTED_VALUE"""),"[Code: 237999BG] TA: Found two bottels loose and one empty bottel during sorting.")</f>
        <v>[Code: 237999BG] TA: Found two bottels loose and one empty bottel during sorting.</v>
      </c>
      <c r="M340" s="13" t="str">
        <f aca="false">IFERROR(__xludf.dummyfunction("""COMPUTED_VALUE"""),"237999BG")</f>
        <v>237999BG</v>
      </c>
      <c r="N340" s="13"/>
      <c r="O340" s="13" t="str">
        <f aca="false">IFERROR(__xludf.dummyfunction("""COMPUTED_VALUE"""),"taufeeq.akhtar@tajir-app.com")</f>
        <v>taufeeq.akhtar@tajir-app.com</v>
      </c>
      <c r="P340" s="13" t="str">
        <f aca="false">IFERROR(__xludf.dummyfunction("""COMPUTED_VALUE"""),"Taufeeq Akhtar ")</f>
        <v>Taufeeq Akhtar </v>
      </c>
      <c r="Q340" s="13" t="str">
        <f aca="false">IFERROR(__xludf.dummyfunction("""COMPUTED_VALUE"""),"[Code: 237999BG] TA: Found two bottels loose and one empty bottel during sorting.")</f>
        <v>[Code: 237999BG] TA: Found two bottels loose and one empty bottel during sorting.</v>
      </c>
      <c r="R340" s="13" t="str">
        <v>Sun,10-September-2023 ,12:33 AM</v>
      </c>
      <c r="S340" s="13" t="str">
        <v>Damaged Stock</v>
      </c>
    </row>
    <row r="341" customFormat="false" ht="15.75" hidden="false" customHeight="false" outlineLevel="0" collapsed="false">
      <c r="A341" s="13" t="str">
        <f aca="false">IFERROR(__xludf.dummyfunction("""COMPUTED_VALUE"""),"Metro DC Faisalabad")</f>
        <v>Metro DC Faisalabad</v>
      </c>
      <c r="B341" s="13" t="str">
        <f aca="false">IFERROR(__xludf.dummyfunction("""COMPUTED_VALUE"""),"cd68a607-af95-45cb-b9f4-2721224c85f8")</f>
        <v>cd68a607-af95-45cb-b9f4-2721224c85f8</v>
      </c>
      <c r="C341" s="13" t="str">
        <f aca="false">IFERROR(__xludf.dummyfunction("""COMPUTED_VALUE"""),"Coca Cola plastic 1.5L")</f>
        <v>Coca Cola plastic 1.5L</v>
      </c>
      <c r="D341" s="13" t="str">
        <f aca="false">IFERROR(__xludf.dummyfunction("""COMPUTED_VALUE"""),"Coca Cola")</f>
        <v>Coca Cola</v>
      </c>
      <c r="E341" s="13" t="str">
        <f aca="false">IFERROR(__xludf.dummyfunction("""COMPUTED_VALUE"""),"Beverages")</f>
        <v>Beverages</v>
      </c>
      <c r="F341" s="11" t="n">
        <f aca="false">IFERROR(__xludf.dummyfunction("""COMPUTED_VALUE"""),45179)</f>
        <v>45179</v>
      </c>
      <c r="G341" s="12" t="n">
        <f aca="false">IFERROR(__xludf.dummyfunction("""COMPUTED_VALUE"""),0.946898576388479)</f>
        <v>0.9468985764</v>
      </c>
      <c r="H341" s="13" t="str">
        <f aca="false">IFERROR(__xludf.dummyfunction("""COMPUTED_VALUE"""),"damaged stock")</f>
        <v>damaged stock</v>
      </c>
      <c r="I341" s="13" t="n">
        <f aca="false">IFERROR(__xludf.dummyfunction("""COMPUTED_VALUE"""),1)</f>
        <v>1</v>
      </c>
      <c r="J341" s="13" t="n">
        <f aca="false">IFERROR(__xludf.dummyfunction("""COMPUTED_VALUE"""),870)</f>
        <v>870</v>
      </c>
      <c r="K341" s="13" t="n">
        <f aca="false">IFERROR(__xludf.dummyfunction("""COMPUTED_VALUE"""),870)</f>
        <v>870</v>
      </c>
      <c r="L341" s="13" t="str">
        <f aca="false">IFERROR(__xludf.dummyfunction("""COMPUTED_VALUE"""),"[Code: 3458BEEJ] TA: 1unit damage found (2bottle lose hain)")</f>
        <v>[Code: 3458BEEJ] TA: 1unit damage found (2bottle lose hain)</v>
      </c>
      <c r="M341" s="13" t="str">
        <f aca="false">IFERROR(__xludf.dummyfunction("""COMPUTED_VALUE"""),"3458BEEJ")</f>
        <v>3458BEEJ</v>
      </c>
      <c r="N341" s="13"/>
      <c r="O341" s="13" t="str">
        <f aca="false">IFERROR(__xludf.dummyfunction("""COMPUTED_VALUE"""),"taufeeq.akhtar@tajir-app.com")</f>
        <v>taufeeq.akhtar@tajir-app.com</v>
      </c>
      <c r="P341" s="13" t="str">
        <f aca="false">IFERROR(__xludf.dummyfunction("""COMPUTED_VALUE"""),"Taufeeq Akhtar ")</f>
        <v>Taufeeq Akhtar </v>
      </c>
      <c r="Q341" s="13" t="str">
        <f aca="false">IFERROR(__xludf.dummyfunction("""COMPUTED_VALUE"""),"[Code: 3458BEEJ] TA: 1unit damage found (2bottle lose hain)")</f>
        <v>[Code: 3458BEEJ] TA: 1unit damage found (2bottle lose hain)</v>
      </c>
      <c r="R341" s="13" t="str">
        <v>Sun,10-September-2023 ,10:43 PM</v>
      </c>
      <c r="S341" s="13" t="str">
        <v>Damaged Stock</v>
      </c>
    </row>
    <row r="342" customFormat="false" ht="15.75" hidden="false" customHeight="false" outlineLevel="0" collapsed="false">
      <c r="A342" s="13" t="str">
        <f aca="false">IFERROR(__xludf.dummyfunction("""COMPUTED_VALUE"""),"Metro DC Faisalabad")</f>
        <v>Metro DC Faisalabad</v>
      </c>
      <c r="B342" s="13" t="str">
        <f aca="false">IFERROR(__xludf.dummyfunction("""COMPUTED_VALUE"""),"138f860f-6230-442e-9fbc-5d3c54065f1e")</f>
        <v>138f860f-6230-442e-9fbc-5d3c54065f1e</v>
      </c>
      <c r="C342" s="13" t="str">
        <f aca="false">IFERROR(__xludf.dummyfunction("""COMPUTED_VALUE"""),"Pepsi plastic 1L")</f>
        <v>Pepsi plastic 1L</v>
      </c>
      <c r="D342" s="13" t="str">
        <f aca="false">IFERROR(__xludf.dummyfunction("""COMPUTED_VALUE"""),"Pepsi")</f>
        <v>Pepsi</v>
      </c>
      <c r="E342" s="13" t="str">
        <f aca="false">IFERROR(__xludf.dummyfunction("""COMPUTED_VALUE"""),"Beverages")</f>
        <v>Beverages</v>
      </c>
      <c r="F342" s="11" t="n">
        <f aca="false">IFERROR(__xludf.dummyfunction("""COMPUTED_VALUE"""),45179)</f>
        <v>45179</v>
      </c>
      <c r="G342" s="12" t="n">
        <f aca="false">IFERROR(__xludf.dummyfunction("""COMPUTED_VALUE"""),0.948927662037166)</f>
        <v>0.948927662</v>
      </c>
      <c r="H342" s="13" t="str">
        <f aca="false">IFERROR(__xludf.dummyfunction("""COMPUTED_VALUE"""),"damaged stock")</f>
        <v>damaged stock</v>
      </c>
      <c r="I342" s="13" t="n">
        <f aca="false">IFERROR(__xludf.dummyfunction("""COMPUTED_VALUE"""),1)</f>
        <v>1</v>
      </c>
      <c r="J342" s="13" t="n">
        <f aca="false">IFERROR(__xludf.dummyfunction("""COMPUTED_VALUE"""),595)</f>
        <v>595</v>
      </c>
      <c r="K342" s="13" t="n">
        <f aca="false">IFERROR(__xludf.dummyfunction("""COMPUTED_VALUE"""),595)</f>
        <v>595</v>
      </c>
      <c r="L342" s="13" t="str">
        <f aca="false">IFERROR(__xludf.dummyfunction("""COMPUTED_VALUE"""),"[Code: 228BCCFG] TA: 1unit damage found (2bottle lose hain)")</f>
        <v>[Code: 228BCCFG] TA: 1unit damage found (2bottle lose hain)</v>
      </c>
      <c r="M342" s="13" t="str">
        <f aca="false">IFERROR(__xludf.dummyfunction("""COMPUTED_VALUE"""),"228BCCFG")</f>
        <v>228BCCFG</v>
      </c>
      <c r="N342" s="13"/>
      <c r="O342" s="13" t="str">
        <f aca="false">IFERROR(__xludf.dummyfunction("""COMPUTED_VALUE"""),"taufeeq.akhtar@tajir-app.com")</f>
        <v>taufeeq.akhtar@tajir-app.com</v>
      </c>
      <c r="P342" s="13" t="str">
        <f aca="false">IFERROR(__xludf.dummyfunction("""COMPUTED_VALUE"""),"Taufeeq Akhtar ")</f>
        <v>Taufeeq Akhtar </v>
      </c>
      <c r="Q342" s="13" t="str">
        <f aca="false">IFERROR(__xludf.dummyfunction("""COMPUTED_VALUE"""),"[Code: 228BCCFG] TA: 1unit damage found (2bottle lose hain)")</f>
        <v>[Code: 228BCCFG] TA: 1unit damage found (2bottle lose hain)</v>
      </c>
      <c r="R342" s="13" t="str">
        <v>Sun,10-September-2023 ,10:46 PM</v>
      </c>
      <c r="S342" s="13" t="str">
        <v>Damaged Stock</v>
      </c>
    </row>
    <row r="343" customFormat="false" ht="15.75" hidden="false" customHeight="false" outlineLevel="0" collapsed="false">
      <c r="A343" s="13" t="str">
        <f aca="false">IFERROR(__xludf.dummyfunction("""COMPUTED_VALUE"""),"Metro DC Faisalabad")</f>
        <v>Metro DC Faisalabad</v>
      </c>
      <c r="B343" s="13" t="str">
        <f aca="false">IFERROR(__xludf.dummyfunction("""COMPUTED_VALUE"""),"76cbd286-ec03-4842-a510-1302d929540b")</f>
        <v>76cbd286-ec03-4842-a510-1302d929540b</v>
      </c>
      <c r="C343" s="13" t="str">
        <f aca="false">IFERROR(__xludf.dummyfunction("""COMPUTED_VALUE"""),"A One Fine Atta 15kg")</f>
        <v>A One Fine Atta 15kg</v>
      </c>
      <c r="D343" s="13" t="str">
        <f aca="false">IFERROR(__xludf.dummyfunction("""COMPUTED_VALUE"""),"A One Atta")</f>
        <v>A One Atta</v>
      </c>
      <c r="E343" s="13" t="str">
        <f aca="false">IFERROR(__xludf.dummyfunction("""COMPUTED_VALUE"""),"Flour")</f>
        <v>Flour</v>
      </c>
      <c r="F343" s="11" t="n">
        <f aca="false">IFERROR(__xludf.dummyfunction("""COMPUTED_VALUE"""),45180)</f>
        <v>45180</v>
      </c>
      <c r="G343" s="12" t="n">
        <f aca="false">IFERROR(__xludf.dummyfunction("""COMPUTED_VALUE"""),0.966274791666111)</f>
        <v>0.9662747917</v>
      </c>
      <c r="H343" s="13" t="str">
        <f aca="false">IFERROR(__xludf.dummyfunction("""COMPUTED_VALUE"""),"damaged stock")</f>
        <v>damaged stock</v>
      </c>
      <c r="I343" s="13" t="n">
        <f aca="false">IFERROR(__xludf.dummyfunction("""COMPUTED_VALUE"""),3)</f>
        <v>3</v>
      </c>
      <c r="J343" s="13" t="n">
        <f aca="false">IFERROR(__xludf.dummyfunction("""COMPUTED_VALUE"""),2050)</f>
        <v>2050</v>
      </c>
      <c r="K343" s="13" t="n">
        <f aca="false">IFERROR(__xludf.dummyfunction("""COMPUTED_VALUE"""),6150)</f>
        <v>6150</v>
      </c>
      <c r="L343" s="13" t="str">
        <f aca="false">IFERROR(__xludf.dummyfunction("""COMPUTED_VALUE"""),"[Code: 288AEFFF] TA: quality sahi nahi hay(fungus lagi hui haiy.)")</f>
        <v>[Code: 288AEFFF] TA: quality sahi nahi hay(fungus lagi hui haiy.)</v>
      </c>
      <c r="M343" s="13" t="str">
        <f aca="false">IFERROR(__xludf.dummyfunction("""COMPUTED_VALUE"""),"288AEFFF")</f>
        <v>288AEFFF</v>
      </c>
      <c r="N343" s="13"/>
      <c r="O343" s="13" t="str">
        <f aca="false">IFERROR(__xludf.dummyfunction("""COMPUTED_VALUE"""),"taufeeq.akhtar@tajir-app.com")</f>
        <v>taufeeq.akhtar@tajir-app.com</v>
      </c>
      <c r="P343" s="13" t="str">
        <f aca="false">IFERROR(__xludf.dummyfunction("""COMPUTED_VALUE"""),"Taufeeq Akhtar ")</f>
        <v>Taufeeq Akhtar </v>
      </c>
      <c r="Q343" s="13" t="str">
        <f aca="false">IFERROR(__xludf.dummyfunction("""COMPUTED_VALUE"""),"[Code: 288AEFFF] TA: quality sahi nahi hay(fungus lagi hui haiy.)")</f>
        <v>[Code: 288AEFFF] TA: quality sahi nahi hay(fungus lagi hui haiy.)</v>
      </c>
      <c r="R343" s="13" t="str">
        <v>Mon,11-September-2023 ,11:11 PM</v>
      </c>
      <c r="S343" s="13" t="str">
        <v>Damaged Stock</v>
      </c>
    </row>
    <row r="344" customFormat="false" ht="15.75" hidden="false" customHeight="false" outlineLevel="0" collapsed="false">
      <c r="A344" s="13" t="str">
        <f aca="false">IFERROR(__xludf.dummyfunction("""COMPUTED_VALUE"""),"Metro DC Faisalabad")</f>
        <v>Metro DC Faisalabad</v>
      </c>
      <c r="B344" s="13" t="str">
        <f aca="false">IFERROR(__xludf.dummyfunction("""COMPUTED_VALUE"""),"52258fdc-8b0c-4343-9884-310c160a213d")</f>
        <v>52258fdc-8b0c-4343-9884-310c160a213d</v>
      </c>
      <c r="C344" s="13" t="str">
        <f aca="false">IFERROR(__xludf.dummyfunction("""COMPUTED_VALUE"""),"Sunridge Fortified Chakki Atta 5kg")</f>
        <v>Sunridge Fortified Chakki Atta 5kg</v>
      </c>
      <c r="D344" s="13" t="str">
        <f aca="false">IFERROR(__xludf.dummyfunction("""COMPUTED_VALUE"""),"Sunridge")</f>
        <v>Sunridge</v>
      </c>
      <c r="E344" s="13" t="str">
        <f aca="false">IFERROR(__xludf.dummyfunction("""COMPUTED_VALUE"""),"Flour")</f>
        <v>Flour</v>
      </c>
      <c r="F344" s="11" t="n">
        <f aca="false">IFERROR(__xludf.dummyfunction("""COMPUTED_VALUE"""),45180)</f>
        <v>45180</v>
      </c>
      <c r="G344" s="12" t="n">
        <f aca="false">IFERROR(__xludf.dummyfunction("""COMPUTED_VALUE"""),0.969106412038169)</f>
        <v>0.969106412</v>
      </c>
      <c r="H344" s="13" t="str">
        <f aca="false">IFERROR(__xludf.dummyfunction("""COMPUTED_VALUE"""),"damaged stock")</f>
        <v>damaged stock</v>
      </c>
      <c r="I344" s="13" t="n">
        <f aca="false">IFERROR(__xludf.dummyfunction("""COMPUTED_VALUE"""),1)</f>
        <v>1</v>
      </c>
      <c r="J344" s="13" t="n">
        <f aca="false">IFERROR(__xludf.dummyfunction("""COMPUTED_VALUE"""),864.9)</f>
        <v>864.9</v>
      </c>
      <c r="K344" s="13" t="n">
        <f aca="false">IFERROR(__xludf.dummyfunction("""COMPUTED_VALUE"""),864.9)</f>
        <v>864.9</v>
      </c>
      <c r="L344" s="13" t="str">
        <f aca="false">IFERROR(__xludf.dummyfunction("""COMPUTED_VALUE"""),"[Code: 2356789A] TA: Found damaged (bitten by mouse)")</f>
        <v>[Code: 2356789A] TA: Found damaged (bitten by mouse)</v>
      </c>
      <c r="M344" s="13" t="str">
        <f aca="false">IFERROR(__xludf.dummyfunction("""COMPUTED_VALUE"""),"2356789A")</f>
        <v>2356789A</v>
      </c>
      <c r="N344" s="13"/>
      <c r="O344" s="13" t="str">
        <f aca="false">IFERROR(__xludf.dummyfunction("""COMPUTED_VALUE"""),"taufeeq.akhtar@tajir-app.com")</f>
        <v>taufeeq.akhtar@tajir-app.com</v>
      </c>
      <c r="P344" s="13" t="str">
        <f aca="false">IFERROR(__xludf.dummyfunction("""COMPUTED_VALUE"""),"Taufeeq Akhtar ")</f>
        <v>Taufeeq Akhtar </v>
      </c>
      <c r="Q344" s="13" t="str">
        <f aca="false">IFERROR(__xludf.dummyfunction("""COMPUTED_VALUE"""),"[Code: 2356789A] TA: Found damaged (bitten by mouse)")</f>
        <v>[Code: 2356789A] TA: Found damaged (bitten by mouse)</v>
      </c>
      <c r="R344" s="13" t="str">
        <v>Mon,11-September-2023 ,11:15 PM</v>
      </c>
      <c r="S344" s="13" t="str">
        <v>Damaged Stock</v>
      </c>
    </row>
    <row r="345" customFormat="false" ht="15.75" hidden="false" customHeight="false" outlineLevel="0" collapsed="false">
      <c r="A345" s="13" t="str">
        <f aca="false">IFERROR(__xludf.dummyfunction("""COMPUTED_VALUE"""),"Metro DC Faisalabad")</f>
        <v>Metro DC Faisalabad</v>
      </c>
      <c r="B345" s="13" t="str">
        <f aca="false">IFERROR(__xludf.dummyfunction("""COMPUTED_VALUE"""),"71a58108-1e40-41a1-9cfc-dc09c29fdf09")</f>
        <v>71a58108-1e40-41a1-9cfc-dc09c29fdf09</v>
      </c>
      <c r="C345" s="13" t="str">
        <f aca="false">IFERROR(__xludf.dummyfunction("""COMPUTED_VALUE"""),"Sunridge Maida 1kg")</f>
        <v>Sunridge Maida 1kg</v>
      </c>
      <c r="D345" s="13" t="str">
        <f aca="false">IFERROR(__xludf.dummyfunction("""COMPUTED_VALUE"""),"Sunridge")</f>
        <v>Sunridge</v>
      </c>
      <c r="E345" s="13" t="str">
        <f aca="false">IFERROR(__xludf.dummyfunction("""COMPUTED_VALUE"""),"Flour")</f>
        <v>Flour</v>
      </c>
      <c r="F345" s="11" t="n">
        <f aca="false">IFERROR(__xludf.dummyfunction("""COMPUTED_VALUE"""),45180)</f>
        <v>45180</v>
      </c>
      <c r="G345" s="12" t="n">
        <f aca="false">IFERROR(__xludf.dummyfunction("""COMPUTED_VALUE"""),0.970802106480156)</f>
        <v>0.9708021065</v>
      </c>
      <c r="H345" s="13" t="str">
        <f aca="false">IFERROR(__xludf.dummyfunction("""COMPUTED_VALUE"""),"damaged stock")</f>
        <v>damaged stock</v>
      </c>
      <c r="I345" s="13" t="n">
        <f aca="false">IFERROR(__xludf.dummyfunction("""COMPUTED_VALUE"""),1)</f>
        <v>1</v>
      </c>
      <c r="J345" s="13" t="n">
        <f aca="false">IFERROR(__xludf.dummyfunction("""COMPUTED_VALUE"""),176.7)</f>
        <v>176.7</v>
      </c>
      <c r="K345" s="13" t="n">
        <f aca="false">IFERROR(__xludf.dummyfunction("""COMPUTED_VALUE"""),176.7)</f>
        <v>176.7</v>
      </c>
      <c r="L345" s="13" t="str">
        <f aca="false">IFERROR(__xludf.dummyfunction("""COMPUTED_VALUE"""),"[Code: 2247AABD] TA: Found damaged from box and the qality also bad(susri lagi hain.)")</f>
        <v>[Code: 2247AABD] TA: Found damaged from box and the qality also bad(susri lagi hain.)</v>
      </c>
      <c r="M345" s="13" t="str">
        <f aca="false">IFERROR(__xludf.dummyfunction("""COMPUTED_VALUE"""),"2247AABD")</f>
        <v>2247AABD</v>
      </c>
      <c r="N345" s="13"/>
      <c r="O345" s="13" t="str">
        <f aca="false">IFERROR(__xludf.dummyfunction("""COMPUTED_VALUE"""),"taufeeq.akhtar@tajir-app.com")</f>
        <v>taufeeq.akhtar@tajir-app.com</v>
      </c>
      <c r="P345" s="13" t="str">
        <f aca="false">IFERROR(__xludf.dummyfunction("""COMPUTED_VALUE"""),"Taufeeq Akhtar ")</f>
        <v>Taufeeq Akhtar </v>
      </c>
      <c r="Q345" s="13" t="str">
        <f aca="false">IFERROR(__xludf.dummyfunction("""COMPUTED_VALUE"""),"[Code: 2247AABD] TA: Found damaged from box and the qality also bad(susri lagi hain.)")</f>
        <v>[Code: 2247AABD] TA: Found damaged from box and the qality also bad(susri lagi hain.)</v>
      </c>
      <c r="R345" s="13" t="str">
        <v>Mon,11-September-2023 ,11:17 PM</v>
      </c>
      <c r="S345" s="13" t="str">
        <v>Damaged Stock</v>
      </c>
    </row>
    <row r="346" customFormat="false" ht="15.75" hidden="false" customHeight="false" outlineLevel="0" collapsed="false">
      <c r="A346" s="13" t="str">
        <f aca="false">IFERROR(__xludf.dummyfunction("""COMPUTED_VALUE"""),"Metro DC Faisalabad")</f>
        <v>Metro DC Faisalabad</v>
      </c>
      <c r="B346" s="13" t="str">
        <f aca="false">IFERROR(__xludf.dummyfunction("""COMPUTED_VALUE"""),"2078dcd4-3c88-45e1-bc7b-363dde84c6e8")</f>
        <v>2078dcd4-3c88-45e1-bc7b-363dde84c6e8</v>
      </c>
      <c r="C346" s="13" t="str">
        <f aca="false">IFERROR(__xludf.dummyfunction("""COMPUTED_VALUE"""),"Special Wooden Phool Jharoo")</f>
        <v>Special Wooden Phool Jharoo</v>
      </c>
      <c r="D346" s="13" t="str">
        <f aca="false">IFERROR(__xludf.dummyfunction("""COMPUTED_VALUE"""),"Jharoo")</f>
        <v>Jharoo</v>
      </c>
      <c r="E346" s="13" t="str">
        <f aca="false">IFERROR(__xludf.dummyfunction("""COMPUTED_VALUE"""),"Home Care")</f>
        <v>Home Care</v>
      </c>
      <c r="F346" s="11" t="n">
        <f aca="false">IFERROR(__xludf.dummyfunction("""COMPUTED_VALUE"""),45180)</f>
        <v>45180</v>
      </c>
      <c r="G346" s="12" t="n">
        <f aca="false">IFERROR(__xludf.dummyfunction("""COMPUTED_VALUE"""),0.972206423609742)</f>
        <v>0.9722064236</v>
      </c>
      <c r="H346" s="13" t="str">
        <f aca="false">IFERROR(__xludf.dummyfunction("""COMPUTED_VALUE"""),"damaged stock")</f>
        <v>damaged stock</v>
      </c>
      <c r="I346" s="13" t="n">
        <f aca="false">IFERROR(__xludf.dummyfunction("""COMPUTED_VALUE"""),1)</f>
        <v>1</v>
      </c>
      <c r="J346" s="13" t="n">
        <f aca="false">IFERROR(__xludf.dummyfunction("""COMPUTED_VALUE"""),135)</f>
        <v>135</v>
      </c>
      <c r="K346" s="13" t="n">
        <f aca="false">IFERROR(__xludf.dummyfunction("""COMPUTED_VALUE"""),135)</f>
        <v>135</v>
      </c>
      <c r="L346" s="13" t="str">
        <f aca="false">IFERROR(__xludf.dummyfunction("""COMPUTED_VALUE"""),"[Code: 36ABCFGM] TA: Found damaged during sorting .")</f>
        <v>[Code: 36ABCFGM] TA: Found damaged during sorting .</v>
      </c>
      <c r="M346" s="13" t="str">
        <f aca="false">IFERROR(__xludf.dummyfunction("""COMPUTED_VALUE"""),"36ABCFGM")</f>
        <v>36ABCFGM</v>
      </c>
      <c r="N346" s="13"/>
      <c r="O346" s="13" t="str">
        <f aca="false">IFERROR(__xludf.dummyfunction("""COMPUTED_VALUE"""),"taufeeq.akhtar@tajir-app.com")</f>
        <v>taufeeq.akhtar@tajir-app.com</v>
      </c>
      <c r="P346" s="13" t="str">
        <f aca="false">IFERROR(__xludf.dummyfunction("""COMPUTED_VALUE"""),"Taufeeq Akhtar ")</f>
        <v>Taufeeq Akhtar </v>
      </c>
      <c r="Q346" s="13" t="str">
        <f aca="false">IFERROR(__xludf.dummyfunction("""COMPUTED_VALUE"""),"[Code: 36ABCFGM] TA: Found damaged during sorting .")</f>
        <v>[Code: 36ABCFGM] TA: Found damaged during sorting .</v>
      </c>
      <c r="R346" s="13" t="str">
        <v>Mon,11-September-2023 ,11:19 PM</v>
      </c>
      <c r="S346" s="13" t="str">
        <v>Damaged Stock</v>
      </c>
    </row>
    <row r="347" customFormat="false" ht="15.75" hidden="false" customHeight="false" outlineLevel="0" collapsed="false">
      <c r="A347" s="13" t="str">
        <f aca="false">IFERROR(__xludf.dummyfunction("""COMPUTED_VALUE"""),"Metro DC Faisalabad")</f>
        <v>Metro DC Faisalabad</v>
      </c>
      <c r="B347" s="13" t="str">
        <f aca="false">IFERROR(__xludf.dummyfunction("""COMPUTED_VALUE"""),"09ff2b51-de1a-43dc-8e0b-d66ec9177555")</f>
        <v>09ff2b51-de1a-43dc-8e0b-d66ec9177555</v>
      </c>
      <c r="C347" s="13" t="str">
        <f aca="false">IFERROR(__xludf.dummyfunction("""COMPUTED_VALUE"""),"Aquafina Mineral Water 1.5L ")</f>
        <v>Aquafina Mineral Water 1.5L </v>
      </c>
      <c r="D347" s="13" t="str">
        <f aca="false">IFERROR(__xludf.dummyfunction("""COMPUTED_VALUE"""),"Aquafina")</f>
        <v>Aquafina</v>
      </c>
      <c r="E347" s="13" t="str">
        <f aca="false">IFERROR(__xludf.dummyfunction("""COMPUTED_VALUE"""),"Beverages")</f>
        <v>Beverages</v>
      </c>
      <c r="F347" s="11" t="n">
        <f aca="false">IFERROR(__xludf.dummyfunction("""COMPUTED_VALUE"""),45181)</f>
        <v>45181</v>
      </c>
      <c r="G347" s="12" t="n">
        <f aca="false">IFERROR(__xludf.dummyfunction("""COMPUTED_VALUE"""),0.965589525463782)</f>
        <v>0.9655895255</v>
      </c>
      <c r="H347" s="13" t="str">
        <f aca="false">IFERROR(__xludf.dummyfunction("""COMPUTED_VALUE"""),"damaged stock")</f>
        <v>damaged stock</v>
      </c>
      <c r="I347" s="13" t="n">
        <f aca="false">IFERROR(__xludf.dummyfunction("""COMPUTED_VALUE"""),1)</f>
        <v>1</v>
      </c>
      <c r="J347" s="13" t="n">
        <f aca="false">IFERROR(__xludf.dummyfunction("""COMPUTED_VALUE"""),425)</f>
        <v>425</v>
      </c>
      <c r="K347" s="13" t="n">
        <f aca="false">IFERROR(__xludf.dummyfunction("""COMPUTED_VALUE"""),425)</f>
        <v>425</v>
      </c>
      <c r="L347" s="13" t="str">
        <f aca="false">IFERROR(__xludf.dummyfunction("""COMPUTED_VALUE"""),"[Code: 24EFJNNP] TA: 1 unit damaged found (sorting ky doran damage mila hy)")</f>
        <v>[Code: 24EFJNNP] TA: 1 unit damaged found (sorting ky doran damage mila hy)</v>
      </c>
      <c r="M347" s="13" t="str">
        <f aca="false">IFERROR(__xludf.dummyfunction("""COMPUTED_VALUE"""),"24EFJNNP")</f>
        <v>24EFJNNP</v>
      </c>
      <c r="N347" s="13"/>
      <c r="O347" s="13" t="str">
        <f aca="false">IFERROR(__xludf.dummyfunction("""COMPUTED_VALUE"""),"taufeeq.akhtar@tajir-app.com")</f>
        <v>taufeeq.akhtar@tajir-app.com</v>
      </c>
      <c r="P347" s="13" t="str">
        <f aca="false">IFERROR(__xludf.dummyfunction("""COMPUTED_VALUE"""),"Taufeeq Akhtar ")</f>
        <v>Taufeeq Akhtar </v>
      </c>
      <c r="Q347" s="13" t="str">
        <f aca="false">IFERROR(__xludf.dummyfunction("""COMPUTED_VALUE"""),"[Code: 24EFJNNP] TA: 1 unit damaged found (sorting ky doran damage mila hy)")</f>
        <v>[Code: 24EFJNNP] TA: 1 unit damaged found (sorting ky doran damage mila hy)</v>
      </c>
      <c r="R347" s="13" t="str">
        <v>Tue,12-September-2023 ,11:10 PM</v>
      </c>
      <c r="S347" s="13" t="str">
        <v>Damaged Stock</v>
      </c>
    </row>
    <row r="348" customFormat="false" ht="15.75" hidden="false" customHeight="false" outlineLevel="0" collapsed="false">
      <c r="A348" s="13" t="str">
        <f aca="false">IFERROR(__xludf.dummyfunction("""COMPUTED_VALUE"""),"Metro DC Faisalabad")</f>
        <v>Metro DC Faisalabad</v>
      </c>
      <c r="B348" s="13" t="str">
        <f aca="false">IFERROR(__xludf.dummyfunction("""COMPUTED_VALUE"""),"5c0cedf5-3a7f-4dd7-b7d5-727edd227cfc")</f>
        <v>5c0cedf5-3a7f-4dd7-b7d5-727edd227cfc</v>
      </c>
      <c r="C348" s="13" t="str">
        <f aca="false">IFERROR(__xludf.dummyfunction("""COMPUTED_VALUE"""),"Colgate Extra Clean Tooth Brush Medium Rs85")</f>
        <v>Colgate Extra Clean Tooth Brush Medium Rs85</v>
      </c>
      <c r="D348" s="13" t="str">
        <f aca="false">IFERROR(__xludf.dummyfunction("""COMPUTED_VALUE"""),"Colgate")</f>
        <v>Colgate</v>
      </c>
      <c r="E348" s="13" t="str">
        <f aca="false">IFERROR(__xludf.dummyfunction("""COMPUTED_VALUE"""),"Personal Care")</f>
        <v>Personal Care</v>
      </c>
      <c r="F348" s="11" t="n">
        <f aca="false">IFERROR(__xludf.dummyfunction("""COMPUTED_VALUE"""),45182)</f>
        <v>45182</v>
      </c>
      <c r="G348" s="12" t="n">
        <f aca="false">IFERROR(__xludf.dummyfunction("""COMPUTED_VALUE"""),0.985978483794954)</f>
        <v>0.9859784838</v>
      </c>
      <c r="H348" s="13" t="str">
        <f aca="false">IFERROR(__xludf.dummyfunction("""COMPUTED_VALUE"""),"damaged stock")</f>
        <v>damaged stock</v>
      </c>
      <c r="I348" s="13" t="n">
        <f aca="false">IFERROR(__xludf.dummyfunction("""COMPUTED_VALUE"""),1)</f>
        <v>1</v>
      </c>
      <c r="J348" s="13" t="n">
        <f aca="false">IFERROR(__xludf.dummyfunction("""COMPUTED_VALUE"""),52.99)</f>
        <v>52.99</v>
      </c>
      <c r="K348" s="13" t="n">
        <f aca="false">IFERROR(__xludf.dummyfunction("""COMPUTED_VALUE"""),52.99)</f>
        <v>52.99</v>
      </c>
      <c r="L348" s="13" t="str">
        <f aca="false">IFERROR(__xludf.dummyfunction("""COMPUTED_VALUE"""),"[Code: 3567CCCD] TA: 1 unit damage found (Khali packet mila brush missing hay.)")</f>
        <v>[Code: 3567CCCD] TA: 1 unit damage found (Khali packet mila brush missing hay.)</v>
      </c>
      <c r="M348" s="13" t="str">
        <f aca="false">IFERROR(__xludf.dummyfunction("""COMPUTED_VALUE"""),"3567CCCD")</f>
        <v>3567CCCD</v>
      </c>
      <c r="N348" s="13"/>
      <c r="O348" s="13" t="str">
        <f aca="false">IFERROR(__xludf.dummyfunction("""COMPUTED_VALUE"""),"taufeeq.akhtar@tajir-app.com")</f>
        <v>taufeeq.akhtar@tajir-app.com</v>
      </c>
      <c r="P348" s="13" t="str">
        <f aca="false">IFERROR(__xludf.dummyfunction("""COMPUTED_VALUE"""),"Taufeeq Akhtar ")</f>
        <v>Taufeeq Akhtar </v>
      </c>
      <c r="Q348" s="13" t="str">
        <f aca="false">IFERROR(__xludf.dummyfunction("""COMPUTED_VALUE"""),"[Code: 3567CCCD] TA: 1 unit damage found (Khali packet mila brush missing hay.)")</f>
        <v>[Code: 3567CCCD] TA: 1 unit damage found (Khali packet mila brush missing hay.)</v>
      </c>
      <c r="R348" s="13" t="str">
        <v>Wed,13-September-2023 ,11:39 PM</v>
      </c>
      <c r="S348" s="13" t="str">
        <v>Damaged Stock</v>
      </c>
    </row>
    <row r="349" customFormat="false" ht="15.75" hidden="false" customHeight="false" outlineLevel="0" collapsed="false">
      <c r="A349" s="13" t="str">
        <f aca="false">IFERROR(__xludf.dummyfunction("""COMPUTED_VALUE"""),"Metro DC Faisalabad")</f>
        <v>Metro DC Faisalabad</v>
      </c>
      <c r="B349" s="13" t="str">
        <f aca="false">IFERROR(__xludf.dummyfunction("""COMPUTED_VALUE"""),"375dbb10-803f-4f4b-8e93-abdc4dfc14fd")</f>
        <v>375dbb10-803f-4f4b-8e93-abdc4dfc14fd</v>
      </c>
      <c r="C349" s="13" t="str">
        <f aca="false">IFERROR(__xludf.dummyfunction("""COMPUTED_VALUE"""),"Chenab Garden Fortified Chakki Atta 5kg")</f>
        <v>Chenab Garden Fortified Chakki Atta 5kg</v>
      </c>
      <c r="D349" s="13" t="str">
        <f aca="false">IFERROR(__xludf.dummyfunction("""COMPUTED_VALUE"""),"Chenab Garden")</f>
        <v>Chenab Garden</v>
      </c>
      <c r="E349" s="13" t="str">
        <f aca="false">IFERROR(__xludf.dummyfunction("""COMPUTED_VALUE"""),"Flour")</f>
        <v>Flour</v>
      </c>
      <c r="F349" s="11" t="n">
        <f aca="false">IFERROR(__xludf.dummyfunction("""COMPUTED_VALUE"""),45182)</f>
        <v>45182</v>
      </c>
      <c r="G349" s="12" t="n">
        <f aca="false">IFERROR(__xludf.dummyfunction("""COMPUTED_VALUE"""),0.992185717593525)</f>
        <v>0.9921857176</v>
      </c>
      <c r="H349" s="13" t="str">
        <f aca="false">IFERROR(__xludf.dummyfunction("""COMPUTED_VALUE"""),"damaged stock")</f>
        <v>damaged stock</v>
      </c>
      <c r="I349" s="13" t="n">
        <f aca="false">IFERROR(__xludf.dummyfunction("""COMPUTED_VALUE"""),1)</f>
        <v>1</v>
      </c>
      <c r="J349" s="13" t="n">
        <f aca="false">IFERROR(__xludf.dummyfunction("""COMPUTED_VALUE"""),750)</f>
        <v>750</v>
      </c>
      <c r="K349" s="13" t="n">
        <f aca="false">IFERROR(__xludf.dummyfunction("""COMPUTED_VALUE"""),750)</f>
        <v>750</v>
      </c>
      <c r="L349" s="13" t="str">
        <f aca="false">IFERROR(__xludf.dummyfunction("""COMPUTED_VALUE"""),"[Code: 4568BDGG] TA: found in damaged condition during sorting (Company end issue)")</f>
        <v>[Code: 4568BDGG] TA: found in damaged condition during sorting (Company end issue)</v>
      </c>
      <c r="M349" s="13" t="str">
        <f aca="false">IFERROR(__xludf.dummyfunction("""COMPUTED_VALUE"""),"4568BDGG")</f>
        <v>4568BDGG</v>
      </c>
      <c r="N349" s="13"/>
      <c r="O349" s="13" t="str">
        <f aca="false">IFERROR(__xludf.dummyfunction("""COMPUTED_VALUE"""),"taufeeq.akhtar@tajir-app.com")</f>
        <v>taufeeq.akhtar@tajir-app.com</v>
      </c>
      <c r="P349" s="13" t="str">
        <f aca="false">IFERROR(__xludf.dummyfunction("""COMPUTED_VALUE"""),"Taufeeq Akhtar ")</f>
        <v>Taufeeq Akhtar </v>
      </c>
      <c r="Q349" s="13" t="str">
        <f aca="false">IFERROR(__xludf.dummyfunction("""COMPUTED_VALUE"""),"[Code: 4568BDGG] TA: found in damaged condition during sorting (Company end issue)")</f>
        <v>[Code: 4568BDGG] TA: found in damaged condition during sorting (Company end issue)</v>
      </c>
      <c r="R349" s="13" t="str">
        <v>Wed,13-September-2023 ,11:48 PM</v>
      </c>
      <c r="S349" s="13" t="str">
        <v>Damaged Stock</v>
      </c>
    </row>
    <row r="350" customFormat="false" ht="15.75" hidden="false" customHeight="false" outlineLevel="0" collapsed="false">
      <c r="A350" s="13" t="str">
        <f aca="false">IFERROR(__xludf.dummyfunction("""COMPUTED_VALUE"""),"Metro DC Faisalabad")</f>
        <v>Metro DC Faisalabad</v>
      </c>
      <c r="B350" s="13" t="str">
        <f aca="false">IFERROR(__xludf.dummyfunction("""COMPUTED_VALUE"""),"ce4bf3f0-b935-479c-8e3f-b8fe379a8db4")</f>
        <v>ce4bf3f0-b935-479c-8e3f-b8fe379a8db4</v>
      </c>
      <c r="C350" s="13" t="str">
        <f aca="false">IFERROR(__xludf.dummyfunction("""COMPUTED_VALUE"""),"Sherdil Shakar 500g")</f>
        <v>Sherdil Shakar 500g</v>
      </c>
      <c r="D350" s="13" t="str">
        <f aca="false">IFERROR(__xludf.dummyfunction("""COMPUTED_VALUE"""),"Sherdil")</f>
        <v>Sherdil</v>
      </c>
      <c r="E350" s="13" t="str">
        <f aca="false">IFERROR(__xludf.dummyfunction("""COMPUTED_VALUE"""),"Spices")</f>
        <v>Spices</v>
      </c>
      <c r="F350" s="11" t="n">
        <f aca="false">IFERROR(__xludf.dummyfunction("""COMPUTED_VALUE"""),45183)</f>
        <v>45183</v>
      </c>
      <c r="G350" s="12" t="n">
        <f aca="false">IFERROR(__xludf.dummyfunction("""COMPUTED_VALUE"""),0.522258923611629)</f>
        <v>0.5222589236</v>
      </c>
      <c r="H350" s="13" t="str">
        <f aca="false">IFERROR(__xludf.dummyfunction("""COMPUTED_VALUE"""),"damaged stock")</f>
        <v>damaged stock</v>
      </c>
      <c r="I350" s="13" t="n">
        <f aca="false">IFERROR(__xludf.dummyfunction("""COMPUTED_VALUE"""),7)</f>
        <v>7</v>
      </c>
      <c r="J350" s="13" t="n">
        <f aca="false">IFERROR(__xludf.dummyfunction("""COMPUTED_VALUE"""),150)</f>
        <v>150</v>
      </c>
      <c r="K350" s="13" t="n">
        <f aca="false">IFERROR(__xludf.dummyfunction("""COMPUTED_VALUE"""),1050)</f>
        <v>1050</v>
      </c>
      <c r="L350" s="13" t="str">
        <f aca="false">IFERROR(__xludf.dummyfunction("""COMPUTED_VALUE"""),"[Code: 34479BFJ] 07 units found damaged due to fungus (Quality Issue)")</f>
        <v>[Code: 34479BFJ] 07 units found damaged due to fungus (Quality Issue)</v>
      </c>
      <c r="M350" s="13" t="str">
        <f aca="false">IFERROR(__xludf.dummyfunction("""COMPUTED_VALUE"""),"34479BFJ")</f>
        <v>34479BFJ</v>
      </c>
      <c r="N350" s="13"/>
      <c r="O350" s="13" t="str">
        <f aca="false">IFERROR(__xludf.dummyfunction("""COMPUTED_VALUE"""),"ali.raza@tajir-app.com")</f>
        <v>ali.raza@tajir-app.com</v>
      </c>
      <c r="P350" s="13" t="str">
        <f aca="false">IFERROR(__xludf.dummyfunction("""COMPUTED_VALUE"""),"Ali Raza ")</f>
        <v>Ali Raza </v>
      </c>
      <c r="Q350" s="13" t="str">
        <f aca="false">IFERROR(__xludf.dummyfunction("""COMPUTED_VALUE"""),"[Code: 34479BFJ] 07 units found damaged due to fungus (Quality Issue)")</f>
        <v>[Code: 34479BFJ] 07 units found damaged due to fungus (Quality Issue)</v>
      </c>
      <c r="R350" s="13" t="str">
        <v>Thu,14-September-2023 ,12:32 PM</v>
      </c>
      <c r="S350" s="13" t="str">
        <v>Damaged Stock</v>
      </c>
    </row>
    <row r="351" customFormat="false" ht="15.75" hidden="false" customHeight="false" outlineLevel="0" collapsed="false">
      <c r="A351" s="13" t="str">
        <f aca="false">IFERROR(__xludf.dummyfunction("""COMPUTED_VALUE"""),"Metro DC Faisalabad")</f>
        <v>Metro DC Faisalabad</v>
      </c>
      <c r="B351" s="13" t="str">
        <f aca="false">IFERROR(__xludf.dummyfunction("""COMPUTED_VALUE"""),"9a3b2b7b-5df5-42db-9664-fb5f26aef9b0")</f>
        <v>9a3b2b7b-5df5-42db-9664-fb5f26aef9b0</v>
      </c>
      <c r="C351" s="13" t="str">
        <f aca="false">IFERROR(__xludf.dummyfunction("""COMPUTED_VALUE"""),"Quality Grains Daal Mash Chilka 500g")</f>
        <v>Quality Grains Daal Mash Chilka 500g</v>
      </c>
      <c r="D351" s="13" t="str">
        <f aca="false">IFERROR(__xludf.dummyfunction("""COMPUTED_VALUE"""),"Quality Grains")</f>
        <v>Quality Grains</v>
      </c>
      <c r="E351" s="13" t="str">
        <f aca="false">IFERROR(__xludf.dummyfunction("""COMPUTED_VALUE"""),"Pulses")</f>
        <v>Pulses</v>
      </c>
      <c r="F351" s="11" t="n">
        <f aca="false">IFERROR(__xludf.dummyfunction("""COMPUTED_VALUE"""),45183)</f>
        <v>45183</v>
      </c>
      <c r="G351" s="12" t="n">
        <f aca="false">IFERROR(__xludf.dummyfunction("""COMPUTED_VALUE"""),0.523091666665535)</f>
        <v>0.5230916667</v>
      </c>
      <c r="H351" s="13" t="str">
        <f aca="false">IFERROR(__xludf.dummyfunction("""COMPUTED_VALUE"""),"damaged stock")</f>
        <v>damaged stock</v>
      </c>
      <c r="I351" s="13" t="n">
        <f aca="false">IFERROR(__xludf.dummyfunction("""COMPUTED_VALUE"""),1)</f>
        <v>1</v>
      </c>
      <c r="J351" s="13" t="n">
        <f aca="false">IFERROR(__xludf.dummyfunction("""COMPUTED_VALUE"""),238)</f>
        <v>238</v>
      </c>
      <c r="K351" s="13" t="n">
        <f aca="false">IFERROR(__xludf.dummyfunction("""COMPUTED_VALUE"""),238)</f>
        <v>238</v>
      </c>
      <c r="L351" s="13" t="str">
        <f aca="false">IFERROR(__xludf.dummyfunction("""COMPUTED_VALUE"""),"[Code: 2FGGJLMN] 01 unit found damaged due to fungus (Quality Issue)")</f>
        <v>[Code: 2FGGJLMN] 01 unit found damaged due to fungus (Quality Issue)</v>
      </c>
      <c r="M351" s="13" t="str">
        <f aca="false">IFERROR(__xludf.dummyfunction("""COMPUTED_VALUE"""),"2FGGJLMN")</f>
        <v>2FGGJLMN</v>
      </c>
      <c r="N351" s="13"/>
      <c r="O351" s="13" t="str">
        <f aca="false">IFERROR(__xludf.dummyfunction("""COMPUTED_VALUE"""),"ali.raza@tajir-app.com")</f>
        <v>ali.raza@tajir-app.com</v>
      </c>
      <c r="P351" s="13" t="str">
        <f aca="false">IFERROR(__xludf.dummyfunction("""COMPUTED_VALUE"""),"Ali Raza ")</f>
        <v>Ali Raza </v>
      </c>
      <c r="Q351" s="13" t="str">
        <f aca="false">IFERROR(__xludf.dummyfunction("""COMPUTED_VALUE"""),"[Code: 2FGGJLMN] 01 unit found damaged due to fungus (Quality Issue)")</f>
        <v>[Code: 2FGGJLMN] 01 unit found damaged due to fungus (Quality Issue)</v>
      </c>
      <c r="R351" s="13" t="str">
        <v>Thu,14-September-2023 ,12:33 PM</v>
      </c>
      <c r="S351" s="13" t="str">
        <v>Damaged Stock</v>
      </c>
    </row>
    <row r="352" customFormat="false" ht="15.75" hidden="false" customHeight="false" outlineLevel="0" collapsed="false">
      <c r="A352" s="13" t="str">
        <f aca="false">IFERROR(__xludf.dummyfunction("""COMPUTED_VALUE"""),"Metro DC Faisalabad")</f>
        <v>Metro DC Faisalabad</v>
      </c>
      <c r="B352" s="13" t="str">
        <f aca="false">IFERROR(__xludf.dummyfunction("""COMPUTED_VALUE"""),"09ff2b51-de1a-43dc-8e0b-d66ec9177555")</f>
        <v>09ff2b51-de1a-43dc-8e0b-d66ec9177555</v>
      </c>
      <c r="C352" s="13" t="str">
        <f aca="false">IFERROR(__xludf.dummyfunction("""COMPUTED_VALUE"""),"Aquafina Mineral Water 1.5L ")</f>
        <v>Aquafina Mineral Water 1.5L </v>
      </c>
      <c r="D352" s="13" t="str">
        <f aca="false">IFERROR(__xludf.dummyfunction("""COMPUTED_VALUE"""),"Aquafina")</f>
        <v>Aquafina</v>
      </c>
      <c r="E352" s="13" t="str">
        <f aca="false">IFERROR(__xludf.dummyfunction("""COMPUTED_VALUE"""),"Beverages")</f>
        <v>Beverages</v>
      </c>
      <c r="F352" s="11" t="n">
        <f aca="false">IFERROR(__xludf.dummyfunction("""COMPUTED_VALUE"""),45183)</f>
        <v>45183</v>
      </c>
      <c r="G352" s="12" t="n">
        <f aca="false">IFERROR(__xludf.dummyfunction("""COMPUTED_VALUE"""),0.574059409723009)</f>
        <v>0.5740594097</v>
      </c>
      <c r="H352" s="13" t="str">
        <f aca="false">IFERROR(__xludf.dummyfunction("""COMPUTED_VALUE"""),"damaged stock")</f>
        <v>damaged stock</v>
      </c>
      <c r="I352" s="13" t="n">
        <f aca="false">IFERROR(__xludf.dummyfunction("""COMPUTED_VALUE"""),1)</f>
        <v>1</v>
      </c>
      <c r="J352" s="13" t="n">
        <f aca="false">IFERROR(__xludf.dummyfunction("""COMPUTED_VALUE"""),425)</f>
        <v>425</v>
      </c>
      <c r="K352" s="13" t="n">
        <f aca="false">IFERROR(__xludf.dummyfunction("""COMPUTED_VALUE"""),425)</f>
        <v>425</v>
      </c>
      <c r="L352" s="13" t="str">
        <f aca="false">IFERROR(__xludf.dummyfunction("""COMPUTED_VALUE"""),"[Code: 24456678] 01 unit found damaged leak (quality issue)")</f>
        <v>[Code: 24456678] 01 unit found damaged leak (quality issue)</v>
      </c>
      <c r="M352" s="13" t="str">
        <f aca="false">IFERROR(__xludf.dummyfunction("""COMPUTED_VALUE"""),"24456678")</f>
        <v>24456678</v>
      </c>
      <c r="N352" s="13"/>
      <c r="O352" s="13" t="str">
        <f aca="false">IFERROR(__xludf.dummyfunction("""COMPUTED_VALUE"""),"ali.raza@tajir-app.com")</f>
        <v>ali.raza@tajir-app.com</v>
      </c>
      <c r="P352" s="13" t="str">
        <f aca="false">IFERROR(__xludf.dummyfunction("""COMPUTED_VALUE"""),"Ali Raza ")</f>
        <v>Ali Raza </v>
      </c>
      <c r="Q352" s="13" t="str">
        <f aca="false">IFERROR(__xludf.dummyfunction("""COMPUTED_VALUE"""),"[Code: 24456678] 01 unit found damaged leak (quality issue)")</f>
        <v>[Code: 24456678] 01 unit found damaged leak (quality issue)</v>
      </c>
      <c r="R352" s="13" t="str">
        <v>Thu,14-September-2023 ,01:46 PM</v>
      </c>
      <c r="S352" s="13" t="str">
        <v>Damaged Stock</v>
      </c>
    </row>
    <row r="353" customFormat="false" ht="15.75" hidden="false" customHeight="false" outlineLevel="0" collapsed="false">
      <c r="A353" s="13" t="str">
        <f aca="false">IFERROR(__xludf.dummyfunction("""COMPUTED_VALUE"""),"Metro DC Faisalabad")</f>
        <v>Metro DC Faisalabad</v>
      </c>
      <c r="B353" s="13" t="str">
        <f aca="false">IFERROR(__xludf.dummyfunction("""COMPUTED_VALUE"""),"cd68a607-af95-45cb-b9f4-2721224c85f8")</f>
        <v>cd68a607-af95-45cb-b9f4-2721224c85f8</v>
      </c>
      <c r="C353" s="13" t="str">
        <f aca="false">IFERROR(__xludf.dummyfunction("""COMPUTED_VALUE"""),"Coca Cola plastic 1.5L")</f>
        <v>Coca Cola plastic 1.5L</v>
      </c>
      <c r="D353" s="13" t="str">
        <f aca="false">IFERROR(__xludf.dummyfunction("""COMPUTED_VALUE"""),"Coca Cola")</f>
        <v>Coca Cola</v>
      </c>
      <c r="E353" s="13" t="str">
        <f aca="false">IFERROR(__xludf.dummyfunction("""COMPUTED_VALUE"""),"Beverages")</f>
        <v>Beverages</v>
      </c>
      <c r="F353" s="11" t="n">
        <f aca="false">IFERROR(__xludf.dummyfunction("""COMPUTED_VALUE"""),45184)</f>
        <v>45184</v>
      </c>
      <c r="G353" s="12" t="n">
        <f aca="false">IFERROR(__xludf.dummyfunction("""COMPUTED_VALUE"""),0.773164016204253)</f>
        <v>0.7731640162</v>
      </c>
      <c r="H353" s="13" t="str">
        <f aca="false">IFERROR(__xludf.dummyfunction("""COMPUTED_VALUE"""),"damaged stock")</f>
        <v>damaged stock</v>
      </c>
      <c r="I353" s="13" t="n">
        <f aca="false">IFERROR(__xludf.dummyfunction("""COMPUTED_VALUE"""),1)</f>
        <v>1</v>
      </c>
      <c r="J353" s="13" t="n">
        <f aca="false">IFERROR(__xludf.dummyfunction("""COMPUTED_VALUE"""),870)</f>
        <v>870</v>
      </c>
      <c r="K353" s="13" t="n">
        <f aca="false">IFERROR(__xludf.dummyfunction("""COMPUTED_VALUE"""),870)</f>
        <v>870</v>
      </c>
      <c r="L353" s="13" t="str">
        <f aca="false">IFERROR(__xludf.dummyfunction("""COMPUTED_VALUE"""),"[Code: 24569BCE] TA: 1 unit damage found (sorting ky doran 2 bottle khali nikle hain or 1 bottle loose hain)")</f>
        <v>[Code: 24569BCE] TA: 1 unit damage found (sorting ky doran 2 bottle khali nikle hain or 1 bottle loose hain)</v>
      </c>
      <c r="M353" s="13" t="str">
        <f aca="false">IFERROR(__xludf.dummyfunction("""COMPUTED_VALUE"""),"24569BCE")</f>
        <v>24569BCE</v>
      </c>
      <c r="N353" s="13"/>
      <c r="O353" s="13" t="str">
        <f aca="false">IFERROR(__xludf.dummyfunction("""COMPUTED_VALUE"""),"taufeeq.akhtar@tajir-app.com")</f>
        <v>taufeeq.akhtar@tajir-app.com</v>
      </c>
      <c r="P353" s="13" t="str">
        <f aca="false">IFERROR(__xludf.dummyfunction("""COMPUTED_VALUE"""),"Taufeeq Akhtar ")</f>
        <v>Taufeeq Akhtar </v>
      </c>
      <c r="Q353" s="13" t="str">
        <f aca="false">IFERROR(__xludf.dummyfunction("""COMPUTED_VALUE"""),"[Code: 24569BCE] TA: 1 unit damage found (sorting ky doran 2 bottle khali nikle hain or 1 bottle loose hain)")</f>
        <v>[Code: 24569BCE] TA: 1 unit damage found (sorting ky doran 2 bottle khali nikle hain or 1 bottle loose hain)</v>
      </c>
      <c r="R353" s="13" t="str">
        <v>Fri,15-September-2023 ,06:33 PM</v>
      </c>
      <c r="S353" s="13" t="str">
        <v>Damaged Stock</v>
      </c>
    </row>
    <row r="354" customFormat="false" ht="15.75" hidden="false" customHeight="false" outlineLevel="0" collapsed="false">
      <c r="A354" s="13" t="str">
        <f aca="false">IFERROR(__xludf.dummyfunction("""COMPUTED_VALUE"""),"Metro DC Faisalabad")</f>
        <v>Metro DC Faisalabad</v>
      </c>
      <c r="B354" s="13" t="str">
        <f aca="false">IFERROR(__xludf.dummyfunction("""COMPUTED_VALUE"""),"ce4bf3f0-b935-479c-8e3f-b8fe379a8db4")</f>
        <v>ce4bf3f0-b935-479c-8e3f-b8fe379a8db4</v>
      </c>
      <c r="C354" s="13" t="str">
        <f aca="false">IFERROR(__xludf.dummyfunction("""COMPUTED_VALUE"""),"Sherdil Shakar 500g")</f>
        <v>Sherdil Shakar 500g</v>
      </c>
      <c r="D354" s="13" t="str">
        <f aca="false">IFERROR(__xludf.dummyfunction("""COMPUTED_VALUE"""),"Sherdil")</f>
        <v>Sherdil</v>
      </c>
      <c r="E354" s="13" t="str">
        <f aca="false">IFERROR(__xludf.dummyfunction("""COMPUTED_VALUE"""),"Spices")</f>
        <v>Spices</v>
      </c>
      <c r="F354" s="11" t="n">
        <f aca="false">IFERROR(__xludf.dummyfunction("""COMPUTED_VALUE"""),45185)</f>
        <v>45185</v>
      </c>
      <c r="G354" s="12" t="n">
        <f aca="false">IFERROR(__xludf.dummyfunction("""COMPUTED_VALUE"""),0.555879548610594)</f>
        <v>0.5558795486</v>
      </c>
      <c r="H354" s="13" t="str">
        <f aca="false">IFERROR(__xludf.dummyfunction("""COMPUTED_VALUE"""),"damaged stock")</f>
        <v>damaged stock</v>
      </c>
      <c r="I354" s="13" t="n">
        <f aca="false">IFERROR(__xludf.dummyfunction("""COMPUTED_VALUE"""),33)</f>
        <v>33</v>
      </c>
      <c r="J354" s="13" t="n">
        <f aca="false">IFERROR(__xludf.dummyfunction("""COMPUTED_VALUE"""),150)</f>
        <v>150</v>
      </c>
      <c r="K354" s="13" t="n">
        <f aca="false">IFERROR(__xludf.dummyfunction("""COMPUTED_VALUE"""),4950)</f>
        <v>4950</v>
      </c>
      <c r="L354" s="13" t="str">
        <f aca="false">IFERROR(__xludf.dummyfunction("""COMPUTED_VALUE"""),"[Code: 7CCEFJKP] AR: Stock Removed due to Bad Quality ")</f>
        <v>[Code: 7CCEFJKP] AR: Stock Removed due to Bad Quality </v>
      </c>
      <c r="M354" s="13" t="str">
        <f aca="false">IFERROR(__xludf.dummyfunction("""COMPUTED_VALUE"""),"7CCEFJKP")</f>
        <v>7CCEFJKP</v>
      </c>
      <c r="N354" s="13"/>
      <c r="O354" s="13" t="str">
        <f aca="false">IFERROR(__xludf.dummyfunction("""COMPUTED_VALUE"""),"ali.raza@tajir-app.com")</f>
        <v>ali.raza@tajir-app.com</v>
      </c>
      <c r="P354" s="13" t="str">
        <f aca="false">IFERROR(__xludf.dummyfunction("""COMPUTED_VALUE"""),"Ali Raza ")</f>
        <v>Ali Raza </v>
      </c>
      <c r="Q354" s="13" t="str">
        <f aca="false">IFERROR(__xludf.dummyfunction("""COMPUTED_VALUE"""),"[Code: 7CCEFJKP] AR: Stock Removed due to Bad Quality ")</f>
        <v>[Code: 7CCEFJKP] AR: Stock Removed due to Bad Quality </v>
      </c>
      <c r="R354" s="13" t="str">
        <v>Sat,16-September-2023 ,01:20 PM</v>
      </c>
      <c r="S354" s="13" t="str">
        <v>Damaged Stock</v>
      </c>
    </row>
    <row r="355" customFormat="false" ht="15.75" hidden="false" customHeight="false" outlineLevel="0" collapsed="false">
      <c r="A355" s="13" t="str">
        <f aca="false">IFERROR(__xludf.dummyfunction("""COMPUTED_VALUE"""),"Metro DC Faisalabad")</f>
        <v>Metro DC Faisalabad</v>
      </c>
      <c r="B355" s="13" t="str">
        <f aca="false">IFERROR(__xludf.dummyfunction("""COMPUTED_VALUE"""),"4df466f2-5062-4b23-a5b8-e471d0f47b18")</f>
        <v>4df466f2-5062-4b23-a5b8-e471d0f47b18</v>
      </c>
      <c r="C355" s="13" t="str">
        <f aca="false">IFERROR(__xludf.dummyfunction("""COMPUTED_VALUE"""),"Engro Tarang Liquid Tea Whitener x24 Crate 175ml")</f>
        <v>Engro Tarang Liquid Tea Whitener x24 Crate 175ml</v>
      </c>
      <c r="D355" s="13" t="str">
        <f aca="false">IFERROR(__xludf.dummyfunction("""COMPUTED_VALUE"""),"Tarang")</f>
        <v>Tarang</v>
      </c>
      <c r="E355" s="13" t="str">
        <f aca="false">IFERROR(__xludf.dummyfunction("""COMPUTED_VALUE"""),"Dairy")</f>
        <v>Dairy</v>
      </c>
      <c r="F355" s="11" t="n">
        <f aca="false">IFERROR(__xludf.dummyfunction("""COMPUTED_VALUE"""),45186)</f>
        <v>45186</v>
      </c>
      <c r="G355" s="12" t="n">
        <f aca="false">IFERROR(__xludf.dummyfunction("""COMPUTED_VALUE"""),0.0196978472223677)</f>
        <v>0.01969784722</v>
      </c>
      <c r="H355" s="13" t="str">
        <f aca="false">IFERROR(__xludf.dummyfunction("""COMPUTED_VALUE"""),"damaged stock")</f>
        <v>damaged stock</v>
      </c>
      <c r="I355" s="13" t="n">
        <f aca="false">IFERROR(__xludf.dummyfunction("""COMPUTED_VALUE"""),1)</f>
        <v>1</v>
      </c>
      <c r="J355" s="13" t="n">
        <f aca="false">IFERROR(__xludf.dummyfunction("""COMPUTED_VALUE"""),980)</f>
        <v>980</v>
      </c>
      <c r="K355" s="13" t="n">
        <f aca="false">IFERROR(__xludf.dummyfunction("""COMPUTED_VALUE"""),980)</f>
        <v>980</v>
      </c>
      <c r="L355" s="13" t="str">
        <f aca="false">IFERROR(__xludf.dummyfunction("""COMPUTED_VALUE"""),"[Code: 258BCDJK]  01 unit found damaged ( leak quality issue)")</f>
        <v>[Code: 258BCDJK]  01 unit found damaged ( leak quality issue)</v>
      </c>
      <c r="M355" s="13" t="str">
        <f aca="false">IFERROR(__xludf.dummyfunction("""COMPUTED_VALUE"""),"258BCDJK")</f>
        <v>258BCDJK</v>
      </c>
      <c r="N355" s="13"/>
      <c r="O355" s="13" t="str">
        <f aca="false">IFERROR(__xludf.dummyfunction("""COMPUTED_VALUE"""),"taufeeq.akhtar@tajir-app.com")</f>
        <v>taufeeq.akhtar@tajir-app.com</v>
      </c>
      <c r="P355" s="13" t="str">
        <f aca="false">IFERROR(__xludf.dummyfunction("""COMPUTED_VALUE"""),"Taufeeq Akhtar ")</f>
        <v>Taufeeq Akhtar </v>
      </c>
      <c r="Q355" s="13" t="str">
        <f aca="false">IFERROR(__xludf.dummyfunction("""COMPUTED_VALUE"""),"[Code: 258BCDJK]  01 unit found damaged ( leak quality issue)")</f>
        <v>[Code: 258BCDJK]  01 unit found damaged ( leak quality issue)</v>
      </c>
      <c r="R355" s="13" t="str">
        <v>Sun,17-September-2023 ,12:28 AM</v>
      </c>
      <c r="S355" s="13" t="str">
        <v>Damaged Stock</v>
      </c>
    </row>
    <row r="356" customFormat="false" ht="15.75" hidden="false" customHeight="false" outlineLevel="0" collapsed="false">
      <c r="A356" s="13" t="str">
        <f aca="false">IFERROR(__xludf.dummyfunction("""COMPUTED_VALUE"""),"Metro DC Faisalabad")</f>
        <v>Metro DC Faisalabad</v>
      </c>
      <c r="B356" s="13" t="str">
        <f aca="false">IFERROR(__xludf.dummyfunction("""COMPUTED_VALUE"""),"dfd6b040-ad74-42ea-ab82-4d22c45a2040")</f>
        <v>dfd6b040-ad74-42ea-ab82-4d22c45a2040</v>
      </c>
      <c r="C356" s="13" t="str">
        <f aca="false">IFERROR(__xludf.dummyfunction("""COMPUTED_VALUE"""),"Sting Berry Blast plastic 500ml (Other city stock)")</f>
        <v>Sting Berry Blast plastic 500ml (Other city stock)</v>
      </c>
      <c r="D356" s="13" t="str">
        <f aca="false">IFERROR(__xludf.dummyfunction("""COMPUTED_VALUE"""),"Sting")</f>
        <v>Sting</v>
      </c>
      <c r="E356" s="13" t="str">
        <f aca="false">IFERROR(__xludf.dummyfunction("""COMPUTED_VALUE"""),"Beverages")</f>
        <v>Beverages</v>
      </c>
      <c r="F356" s="11" t="n">
        <f aca="false">IFERROR(__xludf.dummyfunction("""COMPUTED_VALUE"""),45186)</f>
        <v>45186</v>
      </c>
      <c r="G356" s="12" t="n">
        <f aca="false">IFERROR(__xludf.dummyfunction("""COMPUTED_VALUE"""),0.0212942361099146)</f>
        <v>0.02129423611</v>
      </c>
      <c r="H356" s="13" t="str">
        <f aca="false">IFERROR(__xludf.dummyfunction("""COMPUTED_VALUE"""),"damaged stock")</f>
        <v>damaged stock</v>
      </c>
      <c r="I356" s="13" t="n">
        <f aca="false">IFERROR(__xludf.dummyfunction("""COMPUTED_VALUE"""),1)</f>
        <v>1</v>
      </c>
      <c r="J356" s="13" t="n">
        <f aca="false">IFERROR(__xludf.dummyfunction("""COMPUTED_VALUE"""),972)</f>
        <v>972</v>
      </c>
      <c r="K356" s="13" t="n">
        <f aca="false">IFERROR(__xludf.dummyfunction("""COMPUTED_VALUE"""),972)</f>
        <v>972</v>
      </c>
      <c r="L356" s="13" t="str">
        <f aca="false">IFERROR(__xludf.dummyfunction("""COMPUTED_VALUE"""),"[Code: 2456DFLN] TA; 1 unit damaged found during sorting")</f>
        <v>[Code: 2456DFLN] TA; 1 unit damaged found during sorting</v>
      </c>
      <c r="M356" s="13" t="str">
        <f aca="false">IFERROR(__xludf.dummyfunction("""COMPUTED_VALUE"""),"2456DFLN")</f>
        <v>2456DFLN</v>
      </c>
      <c r="N356" s="13"/>
      <c r="O356" s="13" t="str">
        <f aca="false">IFERROR(__xludf.dummyfunction("""COMPUTED_VALUE"""),"taufeeq.akhtar@tajir-app.com")</f>
        <v>taufeeq.akhtar@tajir-app.com</v>
      </c>
      <c r="P356" s="13" t="str">
        <f aca="false">IFERROR(__xludf.dummyfunction("""COMPUTED_VALUE"""),"Taufeeq Akhtar ")</f>
        <v>Taufeeq Akhtar </v>
      </c>
      <c r="Q356" s="13" t="str">
        <f aca="false">IFERROR(__xludf.dummyfunction("""COMPUTED_VALUE"""),"[Code: 2456DFLN] TA; 1 unit damaged found during sorting")</f>
        <v>[Code: 2456DFLN] TA; 1 unit damaged found during sorting</v>
      </c>
      <c r="R356" s="13" t="str">
        <v>Sun,17-September-2023 ,12:30 AM</v>
      </c>
      <c r="S356" s="13" t="str">
        <v>Damaged Stock</v>
      </c>
    </row>
    <row r="357" customFormat="false" ht="15.75" hidden="false" customHeight="false" outlineLevel="0" collapsed="false">
      <c r="A357" s="13" t="str">
        <f aca="false">IFERROR(__xludf.dummyfunction("""COMPUTED_VALUE"""),"Metro DC Faisalabad")</f>
        <v>Metro DC Faisalabad</v>
      </c>
      <c r="B357" s="13" t="str">
        <f aca="false">IFERROR(__xludf.dummyfunction("""COMPUTED_VALUE"""),"cd68a607-af95-45cb-b9f4-2721224c85f8")</f>
        <v>cd68a607-af95-45cb-b9f4-2721224c85f8</v>
      </c>
      <c r="C357" s="13" t="str">
        <f aca="false">IFERROR(__xludf.dummyfunction("""COMPUTED_VALUE"""),"Coca Cola plastic 1.5L")</f>
        <v>Coca Cola plastic 1.5L</v>
      </c>
      <c r="D357" s="13" t="str">
        <f aca="false">IFERROR(__xludf.dummyfunction("""COMPUTED_VALUE"""),"Coca Cola")</f>
        <v>Coca Cola</v>
      </c>
      <c r="E357" s="13" t="str">
        <f aca="false">IFERROR(__xludf.dummyfunction("""COMPUTED_VALUE"""),"Beverages")</f>
        <v>Beverages</v>
      </c>
      <c r="F357" s="11" t="n">
        <f aca="false">IFERROR(__xludf.dummyfunction("""COMPUTED_VALUE"""),45186)</f>
        <v>45186</v>
      </c>
      <c r="G357" s="12" t="n">
        <f aca="false">IFERROR(__xludf.dummyfunction("""COMPUTED_VALUE"""),0.884504432868845)</f>
        <v>0.8845044329</v>
      </c>
      <c r="H357" s="13" t="str">
        <f aca="false">IFERROR(__xludf.dummyfunction("""COMPUTED_VALUE"""),"damaged stock")</f>
        <v>damaged stock</v>
      </c>
      <c r="I357" s="13" t="n">
        <f aca="false">IFERROR(__xludf.dummyfunction("""COMPUTED_VALUE"""),1)</f>
        <v>1</v>
      </c>
      <c r="J357" s="13" t="n">
        <f aca="false">IFERROR(__xludf.dummyfunction("""COMPUTED_VALUE"""),900)</f>
        <v>900</v>
      </c>
      <c r="K357" s="13" t="n">
        <f aca="false">IFERROR(__xludf.dummyfunction("""COMPUTED_VALUE"""),900)</f>
        <v>900</v>
      </c>
      <c r="L357" s="13" t="str">
        <f aca="false">IFERROR(__xludf.dummyfunction("""COMPUTED_VALUE"""),"[Code: 34BCCFGJ] TA: 1 unit damage found (5 bottle khali hain)")</f>
        <v>[Code: 34BCCFGJ] TA: 1 unit damage found (5 bottle khali hain)</v>
      </c>
      <c r="M357" s="13" t="str">
        <f aca="false">IFERROR(__xludf.dummyfunction("""COMPUTED_VALUE"""),"34BCCFGJ")</f>
        <v>34BCCFGJ</v>
      </c>
      <c r="N357" s="13"/>
      <c r="O357" s="13" t="str">
        <f aca="false">IFERROR(__xludf.dummyfunction("""COMPUTED_VALUE"""),"taufeeq.akhtar@tajir-app.com")</f>
        <v>taufeeq.akhtar@tajir-app.com</v>
      </c>
      <c r="P357" s="13" t="str">
        <f aca="false">IFERROR(__xludf.dummyfunction("""COMPUTED_VALUE"""),"Taufeeq Akhtar ")</f>
        <v>Taufeeq Akhtar </v>
      </c>
      <c r="Q357" s="13" t="str">
        <f aca="false">IFERROR(__xludf.dummyfunction("""COMPUTED_VALUE"""),"[Code: 34BCCFGJ] TA: 1 unit damage found (5 bottle khali hain)")</f>
        <v>[Code: 34BCCFGJ] TA: 1 unit damage found (5 bottle khali hain)</v>
      </c>
      <c r="R357" s="13" t="str">
        <v>Sun,17-September-2023 ,09:13 PM</v>
      </c>
      <c r="S357" s="13" t="str">
        <v>Damaged Stock</v>
      </c>
    </row>
    <row r="358" customFormat="false" ht="15.75" hidden="false" customHeight="false" outlineLevel="0" collapsed="false">
      <c r="A358" s="13" t="str">
        <f aca="false">IFERROR(__xludf.dummyfunction("""COMPUTED_VALUE"""),"Metro DC Faisalabad")</f>
        <v>Metro DC Faisalabad</v>
      </c>
      <c r="B358" s="13" t="str">
        <f aca="false">IFERROR(__xludf.dummyfunction("""COMPUTED_VALUE"""),"d229259f-76d5-45b8-a773-a8eba64d12cf")</f>
        <v>d229259f-76d5-45b8-a773-a8eba64d12cf</v>
      </c>
      <c r="C358" s="13" t="str">
        <f aca="false">IFERROR(__xludf.dummyfunction("""COMPUTED_VALUE"""),"Pepsi plastic 500ml (Other city stock)")</f>
        <v>Pepsi plastic 500ml (Other city stock)</v>
      </c>
      <c r="D358" s="13" t="str">
        <f aca="false">IFERROR(__xludf.dummyfunction("""COMPUTED_VALUE"""),"Pepsi")</f>
        <v>Pepsi</v>
      </c>
      <c r="E358" s="13" t="str">
        <f aca="false">IFERROR(__xludf.dummyfunction("""COMPUTED_VALUE"""),"Beverages")</f>
        <v>Beverages</v>
      </c>
      <c r="F358" s="11" t="n">
        <f aca="false">IFERROR(__xludf.dummyfunction("""COMPUTED_VALUE"""),45186)</f>
        <v>45186</v>
      </c>
      <c r="G358" s="12" t="n">
        <f aca="false">IFERROR(__xludf.dummyfunction("""COMPUTED_VALUE"""),0.887206770832838)</f>
        <v>0.8872067708</v>
      </c>
      <c r="H358" s="13" t="str">
        <f aca="false">IFERROR(__xludf.dummyfunction("""COMPUTED_VALUE"""),"damaged stock")</f>
        <v>damaged stock</v>
      </c>
      <c r="I358" s="13" t="n">
        <f aca="false">IFERROR(__xludf.dummyfunction("""COMPUTED_VALUE"""),1)</f>
        <v>1</v>
      </c>
      <c r="J358" s="13" t="n">
        <f aca="false">IFERROR(__xludf.dummyfunction("""COMPUTED_VALUE"""),796)</f>
        <v>796</v>
      </c>
      <c r="K358" s="13" t="n">
        <f aca="false">IFERROR(__xludf.dummyfunction("""COMPUTED_VALUE"""),796)</f>
        <v>796</v>
      </c>
      <c r="L358" s="13" t="str">
        <f aca="false">IFERROR(__xludf.dummyfunction("""COMPUTED_VALUE"""),"[Code: 567AEGHK] TA: 1unit damage found (4 bottle khali hain )")</f>
        <v>[Code: 567AEGHK] TA: 1unit damage found (4 bottle khali hain )</v>
      </c>
      <c r="M358" s="13" t="str">
        <f aca="false">IFERROR(__xludf.dummyfunction("""COMPUTED_VALUE"""),"567AEGHK")</f>
        <v>567AEGHK</v>
      </c>
      <c r="N358" s="13"/>
      <c r="O358" s="13" t="str">
        <f aca="false">IFERROR(__xludf.dummyfunction("""COMPUTED_VALUE"""),"taufeeq.akhtar@tajir-app.com")</f>
        <v>taufeeq.akhtar@tajir-app.com</v>
      </c>
      <c r="P358" s="13" t="str">
        <f aca="false">IFERROR(__xludf.dummyfunction("""COMPUTED_VALUE"""),"Taufeeq Akhtar ")</f>
        <v>Taufeeq Akhtar </v>
      </c>
      <c r="Q358" s="13" t="str">
        <f aca="false">IFERROR(__xludf.dummyfunction("""COMPUTED_VALUE"""),"[Code: 567AEGHK] TA: 1unit damage found (4 bottle khali hain )")</f>
        <v>[Code: 567AEGHK] TA: 1unit damage found (4 bottle khali hain )</v>
      </c>
      <c r="R358" s="13" t="str">
        <v>Sun,17-September-2023 ,09:17 PM</v>
      </c>
      <c r="S358" s="13" t="str">
        <v>Damaged Stock</v>
      </c>
    </row>
    <row r="359" customFormat="false" ht="15.75" hidden="false" customHeight="false" outlineLevel="0" collapsed="false">
      <c r="A359" s="13" t="str">
        <f aca="false">IFERROR(__xludf.dummyfunction("""COMPUTED_VALUE"""),"Metro DC Faisalabad")</f>
        <v>Metro DC Faisalabad</v>
      </c>
      <c r="B359" s="13" t="str">
        <f aca="false">IFERROR(__xludf.dummyfunction("""COMPUTED_VALUE"""),"a2bf441a-dee5-4e28-b50d-2c54a3ca16ee")</f>
        <v>a2bf441a-dee5-4e28-b50d-2c54a3ca16ee</v>
      </c>
      <c r="C359" s="13" t="str">
        <f aca="false">IFERROR(__xludf.dummyfunction("""COMPUTED_VALUE"""),"Lemon Max Dishwash Liquid 170ml Rs110 (Yellow)")</f>
        <v>Lemon Max Dishwash Liquid 170ml Rs110 (Yellow)</v>
      </c>
      <c r="D359" s="13" t="str">
        <f aca="false">IFERROR(__xludf.dummyfunction("""COMPUTED_VALUE"""),"Lemon Max")</f>
        <v>Lemon Max</v>
      </c>
      <c r="E359" s="13" t="str">
        <f aca="false">IFERROR(__xludf.dummyfunction("""COMPUTED_VALUE"""),"Home Care")</f>
        <v>Home Care</v>
      </c>
      <c r="F359" s="11" t="n">
        <f aca="false">IFERROR(__xludf.dummyfunction("""COMPUTED_VALUE"""),45186)</f>
        <v>45186</v>
      </c>
      <c r="G359" s="12" t="n">
        <f aca="false">IFERROR(__xludf.dummyfunction("""COMPUTED_VALUE"""),0.890302962963604)</f>
        <v>0.890302963</v>
      </c>
      <c r="H359" s="13" t="str">
        <f aca="false">IFERROR(__xludf.dummyfunction("""COMPUTED_VALUE"""),"damaged stock")</f>
        <v>damaged stock</v>
      </c>
      <c r="I359" s="13" t="n">
        <f aca="false">IFERROR(__xludf.dummyfunction("""COMPUTED_VALUE"""),1)</f>
        <v>1</v>
      </c>
      <c r="J359" s="13" t="n">
        <f aca="false">IFERROR(__xludf.dummyfunction("""COMPUTED_VALUE"""),101.38)</f>
        <v>101.38</v>
      </c>
      <c r="K359" s="13" t="n">
        <f aca="false">IFERROR(__xludf.dummyfunction("""COMPUTED_VALUE"""),101.38)</f>
        <v>101.38</v>
      </c>
      <c r="L359" s="13" t="str">
        <f aca="false">IFERROR(__xludf.dummyfunction("""COMPUTED_VALUE"""),"[Code: 3346DEFF] TA: 1 unit damage found from box (box main sy damage mila hy es ka cap ni hy)")</f>
        <v>[Code: 3346DEFF] TA: 1 unit damage found from box (box main sy damage mila hy es ka cap ni hy)</v>
      </c>
      <c r="M359" s="13" t="str">
        <f aca="false">IFERROR(__xludf.dummyfunction("""COMPUTED_VALUE"""),"3346DEFF")</f>
        <v>3346DEFF</v>
      </c>
      <c r="N359" s="13"/>
      <c r="O359" s="13" t="str">
        <f aca="false">IFERROR(__xludf.dummyfunction("""COMPUTED_VALUE"""),"taufeeq.akhtar@tajir-app.com")</f>
        <v>taufeeq.akhtar@tajir-app.com</v>
      </c>
      <c r="P359" s="13" t="str">
        <f aca="false">IFERROR(__xludf.dummyfunction("""COMPUTED_VALUE"""),"Taufeeq Akhtar ")</f>
        <v>Taufeeq Akhtar </v>
      </c>
      <c r="Q359" s="13" t="str">
        <f aca="false">IFERROR(__xludf.dummyfunction("""COMPUTED_VALUE"""),"[Code: 3346DEFF] TA: 1 unit damage found from box (box main sy damage mila hy es ka cap ni hy)")</f>
        <v>[Code: 3346DEFF] TA: 1 unit damage found from box (box main sy damage mila hy es ka cap ni hy)</v>
      </c>
      <c r="R359" s="13" t="str">
        <v>Sun,17-September-2023 ,09:22 PM</v>
      </c>
      <c r="S359" s="13" t="str">
        <v>Damaged Stock</v>
      </c>
    </row>
    <row r="360" customFormat="false" ht="15.75" hidden="false" customHeight="false" outlineLevel="0" collapsed="false">
      <c r="A360" s="13" t="str">
        <f aca="false">IFERROR(__xludf.dummyfunction("""COMPUTED_VALUE"""),"Metro DC Faisalabad")</f>
        <v>Metro DC Faisalabad</v>
      </c>
      <c r="B360" s="13" t="str">
        <f aca="false">IFERROR(__xludf.dummyfunction("""COMPUTED_VALUE"""),"d35314e0-f3f4-47fe-90aa-af65dab10e9d")</f>
        <v>d35314e0-f3f4-47fe-90aa-af65dab10e9d</v>
      </c>
      <c r="C360" s="13" t="str">
        <f aca="false">IFERROR(__xludf.dummyfunction("""COMPUTED_VALUE"""),"Bonus tristar detergent x6 bundle 48g Rs10")</f>
        <v>Bonus tristar detergent x6 bundle 48g Rs10</v>
      </c>
      <c r="D360" s="13" t="str">
        <f aca="false">IFERROR(__xludf.dummyfunction("""COMPUTED_VALUE"""),"Bonus Surf")</f>
        <v>Bonus Surf</v>
      </c>
      <c r="E360" s="13" t="str">
        <f aca="false">IFERROR(__xludf.dummyfunction("""COMPUTED_VALUE"""),"Surf, Bleach")</f>
        <v>Surf, Bleach</v>
      </c>
      <c r="F360" s="11" t="n">
        <f aca="false">IFERROR(__xludf.dummyfunction("""COMPUTED_VALUE"""),45186)</f>
        <v>45186</v>
      </c>
      <c r="G360" s="12" t="n">
        <f aca="false">IFERROR(__xludf.dummyfunction("""COMPUTED_VALUE"""),0.891609074074855)</f>
        <v>0.8916090741</v>
      </c>
      <c r="H360" s="13" t="str">
        <f aca="false">IFERROR(__xludf.dummyfunction("""COMPUTED_VALUE"""),"damaged stock")</f>
        <v>damaged stock</v>
      </c>
      <c r="I360" s="13" t="n">
        <f aca="false">IFERROR(__xludf.dummyfunction("""COMPUTED_VALUE"""),1)</f>
        <v>1</v>
      </c>
      <c r="J360" s="13" t="n">
        <f aca="false">IFERROR(__xludf.dummyfunction("""COMPUTED_VALUE"""),55.38)</f>
        <v>55.38</v>
      </c>
      <c r="K360" s="13" t="n">
        <f aca="false">IFERROR(__xludf.dummyfunction("""COMPUTED_VALUE"""),55.38)</f>
        <v>55.38</v>
      </c>
      <c r="L360" s="13" t="str">
        <f aca="false">IFERROR(__xludf.dummyfunction("""COMPUTED_VALUE"""),"[Code: 2256666B] TA: 1 unit damage found (bag main sy damage mila hy)")</f>
        <v>[Code: 2256666B] TA: 1 unit damage found (bag main sy damage mila hy)</v>
      </c>
      <c r="M360" s="13" t="str">
        <f aca="false">IFERROR(__xludf.dummyfunction("""COMPUTED_VALUE"""),"2256666B")</f>
        <v>2256666B</v>
      </c>
      <c r="N360" s="13"/>
      <c r="O360" s="13" t="str">
        <f aca="false">IFERROR(__xludf.dummyfunction("""COMPUTED_VALUE"""),"taufeeq.akhtar@tajir-app.com")</f>
        <v>taufeeq.akhtar@tajir-app.com</v>
      </c>
      <c r="P360" s="13" t="str">
        <f aca="false">IFERROR(__xludf.dummyfunction("""COMPUTED_VALUE"""),"Taufeeq Akhtar ")</f>
        <v>Taufeeq Akhtar </v>
      </c>
      <c r="Q360" s="13" t="str">
        <f aca="false">IFERROR(__xludf.dummyfunction("""COMPUTED_VALUE"""),"[Code: 2256666B] TA: 1 unit damage found (bag main sy damage mila hy)")</f>
        <v>[Code: 2256666B] TA: 1 unit damage found (bag main sy damage mila hy)</v>
      </c>
      <c r="R360" s="13" t="str">
        <v>Sun,17-September-2023 ,09:23 PM</v>
      </c>
      <c r="S360" s="13" t="str">
        <v>Damaged Stock</v>
      </c>
    </row>
    <row r="361" customFormat="false" ht="15.75" hidden="false" customHeight="false" outlineLevel="0" collapsed="false">
      <c r="A361" s="13" t="str">
        <f aca="false">IFERROR(__xludf.dummyfunction("""COMPUTED_VALUE"""),"Metro DC Faisalabad")</f>
        <v>Metro DC Faisalabad</v>
      </c>
      <c r="B361" s="13" t="str">
        <f aca="false">IFERROR(__xludf.dummyfunction("""COMPUTED_VALUE"""),"8ded4cb0-1035-47a1-acf2-f1350da673c3")</f>
        <v>8ded4cb0-1035-47a1-acf2-f1350da673c3</v>
      </c>
      <c r="C361" s="13" t="str">
        <f aca="false">IFERROR(__xludf.dummyfunction("""COMPUTED_VALUE"""),"LU Candi Biscuits Snack Pack 6pcs Rs40")</f>
        <v>LU Candi Biscuits Snack Pack 6pcs Rs40</v>
      </c>
      <c r="D361" s="13" t="str">
        <f aca="false">IFERROR(__xludf.dummyfunction("""COMPUTED_VALUE"""),"LU")</f>
        <v>LU</v>
      </c>
      <c r="E361" s="13" t="str">
        <f aca="false">IFERROR(__xludf.dummyfunction("""COMPUTED_VALUE"""),"Biscuits, Wafers")</f>
        <v>Biscuits, Wafers</v>
      </c>
      <c r="F361" s="11" t="n">
        <f aca="false">IFERROR(__xludf.dummyfunction("""COMPUTED_VALUE"""),45186)</f>
        <v>45186</v>
      </c>
      <c r="G361" s="12" t="n">
        <f aca="false">IFERROR(__xludf.dummyfunction("""COMPUTED_VALUE"""),0.937344351850354)</f>
        <v>0.9373443519</v>
      </c>
      <c r="H361" s="13" t="str">
        <f aca="false">IFERROR(__xludf.dummyfunction("""COMPUTED_VALUE"""),"damaged stock")</f>
        <v>damaged stock</v>
      </c>
      <c r="I361" s="13" t="n">
        <f aca="false">IFERROR(__xludf.dummyfunction("""COMPUTED_VALUE"""),1)</f>
        <v>1</v>
      </c>
      <c r="J361" s="13" t="n">
        <f aca="false">IFERROR(__xludf.dummyfunction("""COMPUTED_VALUE"""),210.74)</f>
        <v>210.74</v>
      </c>
      <c r="K361" s="13" t="n">
        <f aca="false">IFERROR(__xludf.dummyfunction("""COMPUTED_VALUE"""),210.74)</f>
        <v>210.74</v>
      </c>
      <c r="L361" s="13" t="str">
        <f aca="false">IFERROR(__xludf.dummyfunction("""COMPUTED_VALUE"""),"[Code: 4458ADEH] TA: one unit damaged found from box during display(two packet missing from box)")</f>
        <v>[Code: 4458ADEH] TA: one unit damaged found from box during display(two packet missing from box)</v>
      </c>
      <c r="M361" s="13" t="str">
        <f aca="false">IFERROR(__xludf.dummyfunction("""COMPUTED_VALUE"""),"4458ADEH")</f>
        <v>4458ADEH</v>
      </c>
      <c r="N361" s="13"/>
      <c r="O361" s="13" t="str">
        <f aca="false">IFERROR(__xludf.dummyfunction("""COMPUTED_VALUE"""),"taufeeq.akhtar@tajir-app.com")</f>
        <v>taufeeq.akhtar@tajir-app.com</v>
      </c>
      <c r="P361" s="13" t="str">
        <f aca="false">IFERROR(__xludf.dummyfunction("""COMPUTED_VALUE"""),"Taufeeq Akhtar ")</f>
        <v>Taufeeq Akhtar </v>
      </c>
      <c r="Q361" s="13" t="str">
        <f aca="false">IFERROR(__xludf.dummyfunction("""COMPUTED_VALUE"""),"[Code: 4458ADEH] TA: one unit damaged found from box during display(two packet missing from box)")</f>
        <v>[Code: 4458ADEH] TA: one unit damaged found from box during display(two packet missing from box)</v>
      </c>
      <c r="R361" s="13" t="str">
        <v>Sun,17-September-2023 ,10:29 PM</v>
      </c>
      <c r="S361" s="13" t="str">
        <v>Damaged Stock</v>
      </c>
    </row>
    <row r="362" customFormat="false" ht="15.75" hidden="false" customHeight="false" outlineLevel="0" collapsed="false">
      <c r="A362" s="13" t="str">
        <f aca="false">IFERROR(__xludf.dummyfunction("""COMPUTED_VALUE"""),"Metro DC Faisalabad")</f>
        <v>Metro DC Faisalabad</v>
      </c>
      <c r="B362" s="13" t="str">
        <f aca="false">IFERROR(__xludf.dummyfunction("""COMPUTED_VALUE"""),"cd68a607-af95-45cb-b9f4-2721224c85f8")</f>
        <v>cd68a607-af95-45cb-b9f4-2721224c85f8</v>
      </c>
      <c r="C362" s="13" t="str">
        <f aca="false">IFERROR(__xludf.dummyfunction("""COMPUTED_VALUE"""),"Coca Cola plastic 1.5L")</f>
        <v>Coca Cola plastic 1.5L</v>
      </c>
      <c r="D362" s="13" t="str">
        <f aca="false">IFERROR(__xludf.dummyfunction("""COMPUTED_VALUE"""),"Coca Cola")</f>
        <v>Coca Cola</v>
      </c>
      <c r="E362" s="13" t="str">
        <f aca="false">IFERROR(__xludf.dummyfunction("""COMPUTED_VALUE"""),"Beverages")</f>
        <v>Beverages</v>
      </c>
      <c r="F362" s="11" t="n">
        <f aca="false">IFERROR(__xludf.dummyfunction("""COMPUTED_VALUE"""),45187)</f>
        <v>45187</v>
      </c>
      <c r="G362" s="12" t="n">
        <f aca="false">IFERROR(__xludf.dummyfunction("""COMPUTED_VALUE"""),0.908592407408237)</f>
        <v>0.9085924074</v>
      </c>
      <c r="H362" s="13" t="str">
        <f aca="false">IFERROR(__xludf.dummyfunction("""COMPUTED_VALUE"""),"damaged stock")</f>
        <v>damaged stock</v>
      </c>
      <c r="I362" s="13" t="n">
        <f aca="false">IFERROR(__xludf.dummyfunction("""COMPUTED_VALUE"""),1)</f>
        <v>1</v>
      </c>
      <c r="J362" s="13" t="n">
        <f aca="false">IFERROR(__xludf.dummyfunction("""COMPUTED_VALUE"""),900)</f>
        <v>900</v>
      </c>
      <c r="K362" s="13" t="n">
        <f aca="false">IFERROR(__xludf.dummyfunction("""COMPUTED_VALUE"""),900)</f>
        <v>900</v>
      </c>
      <c r="L362" s="13" t="str">
        <f aca="false">IFERROR(__xludf.dummyfunction("""COMPUTED_VALUE"""),"[Code: 2577BCHJ] TA: two bottels found empty during sorting.")</f>
        <v>[Code: 2577BCHJ] TA: two bottels found empty during sorting.</v>
      </c>
      <c r="M362" s="13" t="str">
        <f aca="false">IFERROR(__xludf.dummyfunction("""COMPUTED_VALUE"""),"2577BCHJ")</f>
        <v>2577BCHJ</v>
      </c>
      <c r="N362" s="13"/>
      <c r="O362" s="13" t="str">
        <f aca="false">IFERROR(__xludf.dummyfunction("""COMPUTED_VALUE"""),"taufeeq.akhtar@tajir-app.com")</f>
        <v>taufeeq.akhtar@tajir-app.com</v>
      </c>
      <c r="P362" s="13" t="str">
        <f aca="false">IFERROR(__xludf.dummyfunction("""COMPUTED_VALUE"""),"Taufeeq Akhtar ")</f>
        <v>Taufeeq Akhtar </v>
      </c>
      <c r="Q362" s="13" t="str">
        <f aca="false">IFERROR(__xludf.dummyfunction("""COMPUTED_VALUE"""),"[Code: 2577BCHJ] TA: two bottels found empty during sorting.")</f>
        <v>[Code: 2577BCHJ] TA: two bottels found empty during sorting.</v>
      </c>
      <c r="R362" s="13" t="str">
        <v>Mon,18-September-2023 ,09:48 PM</v>
      </c>
      <c r="S362" s="13" t="str">
        <v>Damaged Stock</v>
      </c>
    </row>
    <row r="363" customFormat="false" ht="15.75" hidden="false" customHeight="false" outlineLevel="0" collapsed="false">
      <c r="A363" s="13" t="str">
        <f aca="false">IFERROR(__xludf.dummyfunction("""COMPUTED_VALUE"""),"Metro DC Faisalabad")</f>
        <v>Metro DC Faisalabad</v>
      </c>
      <c r="B363" s="13" t="str">
        <f aca="false">IFERROR(__xludf.dummyfunction("""COMPUTED_VALUE"""),"13e1aca6-1334-4628-8642-373185a2eeb7")</f>
        <v>13e1aca6-1334-4628-8642-373185a2eeb7</v>
      </c>
      <c r="C363" s="13" t="str">
        <f aca="false">IFERROR(__xludf.dummyfunction("""COMPUTED_VALUE"""),"Shangrila Tomato Ketchup x6 Bundle 225g")</f>
        <v>Shangrila Tomato Ketchup x6 Bundle 225g</v>
      </c>
      <c r="D363" s="13" t="str">
        <f aca="false">IFERROR(__xludf.dummyfunction("""COMPUTED_VALUE"""),"Shangrila")</f>
        <v>Shangrila</v>
      </c>
      <c r="E363" s="13" t="str">
        <f aca="false">IFERROR(__xludf.dummyfunction("""COMPUTED_VALUE"""),"Sauces")</f>
        <v>Sauces</v>
      </c>
      <c r="F363" s="11" t="n">
        <f aca="false">IFERROR(__xludf.dummyfunction("""COMPUTED_VALUE"""),45188)</f>
        <v>45188</v>
      </c>
      <c r="G363" s="12" t="n">
        <f aca="false">IFERROR(__xludf.dummyfunction("""COMPUTED_VALUE"""),0.871999027776457)</f>
        <v>0.8719990278</v>
      </c>
      <c r="H363" s="13" t="str">
        <f aca="false">IFERROR(__xludf.dummyfunction("""COMPUTED_VALUE"""),"damaged stock")</f>
        <v>damaged stock</v>
      </c>
      <c r="I363" s="13" t="n">
        <f aca="false">IFERROR(__xludf.dummyfunction("""COMPUTED_VALUE"""),1)</f>
        <v>1</v>
      </c>
      <c r="J363" s="13" t="n">
        <f aca="false">IFERROR(__xludf.dummyfunction("""COMPUTED_VALUE"""),614.12)</f>
        <v>614.12</v>
      </c>
      <c r="K363" s="13" t="n">
        <f aca="false">IFERROR(__xludf.dummyfunction("""COMPUTED_VALUE"""),614.12)</f>
        <v>614.12</v>
      </c>
      <c r="L363" s="13" t="str">
        <f aca="false">IFERROR(__xludf.dummyfunction("""COMPUTED_VALUE"""),"[Code: 44678ABD] TA; 1unit damage found during display {cotton sy damage mila he}")</f>
        <v>[Code: 44678ABD] TA; 1unit damage found during display {cotton sy damage mila he}</v>
      </c>
      <c r="M363" s="13" t="str">
        <f aca="false">IFERROR(__xludf.dummyfunction("""COMPUTED_VALUE"""),"44678ABD")</f>
        <v>44678ABD</v>
      </c>
      <c r="N363" s="13"/>
      <c r="O363" s="13" t="str">
        <f aca="false">IFERROR(__xludf.dummyfunction("""COMPUTED_VALUE"""),"taufeeq.akhtar@tajir-app.com")</f>
        <v>taufeeq.akhtar@tajir-app.com</v>
      </c>
      <c r="P363" s="13" t="str">
        <f aca="false">IFERROR(__xludf.dummyfunction("""COMPUTED_VALUE"""),"Taufeeq Akhtar ")</f>
        <v>Taufeeq Akhtar </v>
      </c>
      <c r="Q363" s="13" t="str">
        <f aca="false">IFERROR(__xludf.dummyfunction("""COMPUTED_VALUE"""),"[Code: 44678ABD] TA; 1unit damage found during display {cotton sy damage mila he}")</f>
        <v>[Code: 44678ABD] TA; 1unit damage found during display {cotton sy damage mila he}</v>
      </c>
      <c r="R363" s="13" t="str">
        <v>Tue,19-September-2023 ,08:55 PM</v>
      </c>
      <c r="S363" s="13" t="str">
        <v>Damaged Stock</v>
      </c>
    </row>
    <row r="364" customFormat="false" ht="15.75" hidden="false" customHeight="false" outlineLevel="0" collapsed="false">
      <c r="A364" s="13" t="str">
        <f aca="false">IFERROR(__xludf.dummyfunction("""COMPUTED_VALUE"""),"Metro DC Faisalabad")</f>
        <v>Metro DC Faisalabad</v>
      </c>
      <c r="B364" s="13" t="str">
        <f aca="false">IFERROR(__xludf.dummyfunction("""COMPUTED_VALUE"""),"078a3f2f-ce1c-4f45-a2ab-80e3ebbdc2f7")</f>
        <v>078a3f2f-ce1c-4f45-a2ab-80e3ebbdc2f7</v>
      </c>
      <c r="C364" s="13" t="str">
        <f aca="false">IFERROR(__xludf.dummyfunction("""COMPUTED_VALUE"""),"Mountain Dew plastic 1L")</f>
        <v>Mountain Dew plastic 1L</v>
      </c>
      <c r="D364" s="13" t="str">
        <f aca="false">IFERROR(__xludf.dummyfunction("""COMPUTED_VALUE"""),"Mountain Dew")</f>
        <v>Mountain Dew</v>
      </c>
      <c r="E364" s="13" t="str">
        <f aca="false">IFERROR(__xludf.dummyfunction("""COMPUTED_VALUE"""),"Beverages")</f>
        <v>Beverages</v>
      </c>
      <c r="F364" s="11" t="n">
        <f aca="false">IFERROR(__xludf.dummyfunction("""COMPUTED_VALUE"""),45188)</f>
        <v>45188</v>
      </c>
      <c r="G364" s="12" t="n">
        <f aca="false">IFERROR(__xludf.dummyfunction("""COMPUTED_VALUE"""),0.872998969908642)</f>
        <v>0.8729989699</v>
      </c>
      <c r="H364" s="13" t="str">
        <f aca="false">IFERROR(__xludf.dummyfunction("""COMPUTED_VALUE"""),"damaged stock")</f>
        <v>damaged stock</v>
      </c>
      <c r="I364" s="13" t="n">
        <f aca="false">IFERROR(__xludf.dummyfunction("""COMPUTED_VALUE"""),1)</f>
        <v>1</v>
      </c>
      <c r="J364" s="13" t="n">
        <f aca="false">IFERROR(__xludf.dummyfunction("""COMPUTED_VALUE"""),595)</f>
        <v>595</v>
      </c>
      <c r="K364" s="13" t="n">
        <f aca="false">IFERROR(__xludf.dummyfunction("""COMPUTED_VALUE"""),595)</f>
        <v>595</v>
      </c>
      <c r="L364" s="13" t="str">
        <f aca="false">IFERROR(__xludf.dummyfunction("""COMPUTED_VALUE"""),"[Code: 78AABDFF] TA; 1 unit damage found in stock {4 bottels lose mili hain unit sy} ")</f>
        <v>[Code: 78AABDFF] TA; 1 unit damage found in stock {4 bottels lose mili hain unit sy} </v>
      </c>
      <c r="M364" s="13" t="str">
        <f aca="false">IFERROR(__xludf.dummyfunction("""COMPUTED_VALUE"""),"78AABDFF")</f>
        <v>78AABDFF</v>
      </c>
      <c r="N364" s="13"/>
      <c r="O364" s="13" t="str">
        <f aca="false">IFERROR(__xludf.dummyfunction("""COMPUTED_VALUE"""),"taufeeq.akhtar@tajir-app.com")</f>
        <v>taufeeq.akhtar@tajir-app.com</v>
      </c>
      <c r="P364" s="13" t="str">
        <f aca="false">IFERROR(__xludf.dummyfunction("""COMPUTED_VALUE"""),"Taufeeq Akhtar ")</f>
        <v>Taufeeq Akhtar </v>
      </c>
      <c r="Q364" s="13" t="str">
        <f aca="false">IFERROR(__xludf.dummyfunction("""COMPUTED_VALUE"""),"[Code: 78AABDFF] TA; 1 unit damage found in stock {4 bottels lose mili hain unit sy} ")</f>
        <v>[Code: 78AABDFF] TA; 1 unit damage found in stock {4 bottels lose mili hain unit sy} </v>
      </c>
      <c r="R364" s="13" t="str">
        <v>Tue,19-September-2023 ,08:57 PM</v>
      </c>
      <c r="S364" s="13" t="str">
        <v>Damaged Stock</v>
      </c>
    </row>
    <row r="365" customFormat="false" ht="15.75" hidden="false" customHeight="false" outlineLevel="0" collapsed="false">
      <c r="A365" s="13" t="str">
        <f aca="false">IFERROR(__xludf.dummyfunction("""COMPUTED_VALUE"""),"Metro DC Faisalabad")</f>
        <v>Metro DC Faisalabad</v>
      </c>
      <c r="B365" s="13" t="str">
        <f aca="false">IFERROR(__xludf.dummyfunction("""COMPUTED_VALUE"""),"717c11ae-c3bc-4378-a184-2154badcf63d")</f>
        <v>717c11ae-c3bc-4378-a184-2154badcf63d</v>
      </c>
      <c r="C365" s="13" t="str">
        <f aca="false">IFERROR(__xludf.dummyfunction("""COMPUTED_VALUE"""),"Quality Grains Daal Mash Wash 500g")</f>
        <v>Quality Grains Daal Mash Wash 500g</v>
      </c>
      <c r="D365" s="13" t="str">
        <f aca="false">IFERROR(__xludf.dummyfunction("""COMPUTED_VALUE"""),"Quality Grains")</f>
        <v>Quality Grains</v>
      </c>
      <c r="E365" s="13" t="str">
        <f aca="false">IFERROR(__xludf.dummyfunction("""COMPUTED_VALUE"""),"Pulses")</f>
        <v>Pulses</v>
      </c>
      <c r="F365" s="11" t="n">
        <f aca="false">IFERROR(__xludf.dummyfunction("""COMPUTED_VALUE"""),45189)</f>
        <v>45189</v>
      </c>
      <c r="G365" s="12" t="n">
        <f aca="false">IFERROR(__xludf.dummyfunction("""COMPUTED_VALUE"""),0.887335636574236)</f>
        <v>0.8873356366</v>
      </c>
      <c r="H365" s="13" t="str">
        <f aca="false">IFERROR(__xludf.dummyfunction("""COMPUTED_VALUE"""),"damaged stock")</f>
        <v>damaged stock</v>
      </c>
      <c r="I365" s="13" t="n">
        <f aca="false">IFERROR(__xludf.dummyfunction("""COMPUTED_VALUE"""),1)</f>
        <v>1</v>
      </c>
      <c r="J365" s="13" t="n">
        <f aca="false">IFERROR(__xludf.dummyfunction("""COMPUTED_VALUE"""),283)</f>
        <v>283</v>
      </c>
      <c r="K365" s="13" t="n">
        <f aca="false">IFERROR(__xludf.dummyfunction("""COMPUTED_VALUE"""),283)</f>
        <v>283</v>
      </c>
      <c r="L365" s="13" t="str">
        <f aca="false">IFERROR(__xludf.dummyfunction("""COMPUTED_VALUE"""),"[Code: 236CDFJK] TA: Qaulity sahi nahi hay (Fungus lagi hui haiy)")</f>
        <v>[Code: 236CDFJK] TA: Qaulity sahi nahi hay (Fungus lagi hui haiy)</v>
      </c>
      <c r="M365" s="13" t="str">
        <f aca="false">IFERROR(__xludf.dummyfunction("""COMPUTED_VALUE"""),"236CDFJK")</f>
        <v>236CDFJK</v>
      </c>
      <c r="N365" s="13"/>
      <c r="O365" s="13" t="str">
        <f aca="false">IFERROR(__xludf.dummyfunction("""COMPUTED_VALUE"""),"taufeeq.akhtar@tajir-app.com")</f>
        <v>taufeeq.akhtar@tajir-app.com</v>
      </c>
      <c r="P365" s="13" t="str">
        <f aca="false">IFERROR(__xludf.dummyfunction("""COMPUTED_VALUE"""),"Taufeeq Akhtar ")</f>
        <v>Taufeeq Akhtar </v>
      </c>
      <c r="Q365" s="13" t="str">
        <f aca="false">IFERROR(__xludf.dummyfunction("""COMPUTED_VALUE"""),"[Code: 236CDFJK] TA: Qaulity sahi nahi hay (Fungus lagi hui haiy)")</f>
        <v>[Code: 236CDFJK] TA: Qaulity sahi nahi hay (Fungus lagi hui haiy)</v>
      </c>
      <c r="R365" s="13" t="str">
        <v>Wed,20-September-2023 ,09:17 PM</v>
      </c>
      <c r="S365" s="13" t="str">
        <v>Damaged Stock</v>
      </c>
    </row>
    <row r="366" customFormat="false" ht="15.75" hidden="false" customHeight="false" outlineLevel="0" collapsed="false">
      <c r="A366" s="13" t="str">
        <f aca="false">IFERROR(__xludf.dummyfunction("""COMPUTED_VALUE"""),"Metro DC Faisalabad")</f>
        <v>Metro DC Faisalabad</v>
      </c>
      <c r="B366" s="13" t="str">
        <f aca="false">IFERROR(__xludf.dummyfunction("""COMPUTED_VALUE"""),"5c5c14c0-1835-4730-97c8-c60574b0a2d5")</f>
        <v>5c5c14c0-1835-4730-97c8-c60574b0a2d5</v>
      </c>
      <c r="C366" s="13" t="str">
        <f aca="false">IFERROR(__xludf.dummyfunction("""COMPUTED_VALUE"""),"Surf Excel x6 bundle 95g Rs50")</f>
        <v>Surf Excel x6 bundle 95g Rs50</v>
      </c>
      <c r="D366" s="13" t="str">
        <f aca="false">IFERROR(__xludf.dummyfunction("""COMPUTED_VALUE"""),"Surf Excel")</f>
        <v>Surf Excel</v>
      </c>
      <c r="E366" s="13" t="str">
        <f aca="false">IFERROR(__xludf.dummyfunction("""COMPUTED_VALUE"""),"Surf, Bleach")</f>
        <v>Surf, Bleach</v>
      </c>
      <c r="F366" s="11" t="n">
        <f aca="false">IFERROR(__xludf.dummyfunction("""COMPUTED_VALUE"""),45189)</f>
        <v>45189</v>
      </c>
      <c r="G366" s="12" t="n">
        <f aca="false">IFERROR(__xludf.dummyfunction("""COMPUTED_VALUE"""),0.916394618057318)</f>
        <v>0.9163946181</v>
      </c>
      <c r="H366" s="13" t="str">
        <f aca="false">IFERROR(__xludf.dummyfunction("""COMPUTED_VALUE"""),"damaged stock")</f>
        <v>damaged stock</v>
      </c>
      <c r="I366" s="13" t="n">
        <f aca="false">IFERROR(__xludf.dummyfunction("""COMPUTED_VALUE"""),1)</f>
        <v>1</v>
      </c>
      <c r="J366" s="13" t="n">
        <f aca="false">IFERROR(__xludf.dummyfunction("""COMPUTED_VALUE"""),275)</f>
        <v>275</v>
      </c>
      <c r="K366" s="13" t="n">
        <f aca="false">IFERROR(__xludf.dummyfunction("""COMPUTED_VALUE"""),275)</f>
        <v>275</v>
      </c>
      <c r="L366" s="13" t="str">
        <f aca="false">IFERROR(__xludf.dummyfunction("""COMPUTED_VALUE"""),"[Code: 79CFGLMN] TA; 1 unit damage found during display  {bag sy damage mila he}")</f>
        <v>[Code: 79CFGLMN] TA; 1 unit damage found during display  {bag sy damage mila he}</v>
      </c>
      <c r="M366" s="13" t="str">
        <f aca="false">IFERROR(__xludf.dummyfunction("""COMPUTED_VALUE"""),"79CFGLMN")</f>
        <v>79CFGLMN</v>
      </c>
      <c r="N366" s="13"/>
      <c r="O366" s="13" t="str">
        <f aca="false">IFERROR(__xludf.dummyfunction("""COMPUTED_VALUE"""),"taufeeq.akhtar@tajir-app.com")</f>
        <v>taufeeq.akhtar@tajir-app.com</v>
      </c>
      <c r="P366" s="13" t="str">
        <f aca="false">IFERROR(__xludf.dummyfunction("""COMPUTED_VALUE"""),"Taufeeq Akhtar ")</f>
        <v>Taufeeq Akhtar </v>
      </c>
      <c r="Q366" s="13" t="str">
        <f aca="false">IFERROR(__xludf.dummyfunction("""COMPUTED_VALUE"""),"[Code: 79CFGLMN] TA; 1 unit damage found during display  {bag sy damage mila he}")</f>
        <v>[Code: 79CFGLMN] TA; 1 unit damage found during display  {bag sy damage mila he}</v>
      </c>
      <c r="R366" s="13" t="str">
        <v>Wed,20-September-2023 ,09:59 PM</v>
      </c>
      <c r="S366" s="13" t="str">
        <v>Damaged Stock</v>
      </c>
    </row>
    <row r="367" customFormat="false" ht="15.75" hidden="false" customHeight="false" outlineLevel="0" collapsed="false">
      <c r="A367" s="13" t="str">
        <f aca="false">IFERROR(__xludf.dummyfunction("""COMPUTED_VALUE"""),"Metro DC Faisalabad")</f>
        <v>Metro DC Faisalabad</v>
      </c>
      <c r="B367" s="13" t="str">
        <f aca="false">IFERROR(__xludf.dummyfunction("""COMPUTED_VALUE"""),"738b3bdb-3b9e-4c0a-a6fa-18a670c5bcba")</f>
        <v>738b3bdb-3b9e-4c0a-a6fa-18a670c5bcba</v>
      </c>
      <c r="C367" s="13" t="str">
        <f aca="false">IFERROR(__xludf.dummyfunction("""COMPUTED_VALUE"""),"Bonus tristar yellow surf 240g Rs50")</f>
        <v>Bonus tristar yellow surf 240g Rs50</v>
      </c>
      <c r="D367" s="13" t="str">
        <f aca="false">IFERROR(__xludf.dummyfunction("""COMPUTED_VALUE"""),"Bonus Surf")</f>
        <v>Bonus Surf</v>
      </c>
      <c r="E367" s="13" t="str">
        <f aca="false">IFERROR(__xludf.dummyfunction("""COMPUTED_VALUE"""),"Surf, Bleach")</f>
        <v>Surf, Bleach</v>
      </c>
      <c r="F367" s="11" t="n">
        <f aca="false">IFERROR(__xludf.dummyfunction("""COMPUTED_VALUE"""),45189)</f>
        <v>45189</v>
      </c>
      <c r="G367" s="12" t="n">
        <f aca="false">IFERROR(__xludf.dummyfunction("""COMPUTED_VALUE"""),0.917632824074295)</f>
        <v>0.9176328241</v>
      </c>
      <c r="H367" s="13" t="str">
        <f aca="false">IFERROR(__xludf.dummyfunction("""COMPUTED_VALUE"""),"damaged stock")</f>
        <v>damaged stock</v>
      </c>
      <c r="I367" s="13" t="n">
        <f aca="false">IFERROR(__xludf.dummyfunction("""COMPUTED_VALUE"""),1)</f>
        <v>1</v>
      </c>
      <c r="J367" s="13" t="n">
        <f aca="false">IFERROR(__xludf.dummyfunction("""COMPUTED_VALUE"""),45.59)</f>
        <v>45.59</v>
      </c>
      <c r="K367" s="13" t="n">
        <f aca="false">IFERROR(__xludf.dummyfunction("""COMPUTED_VALUE"""),45.59)</f>
        <v>45.59</v>
      </c>
      <c r="L367" s="13" t="str">
        <f aca="false">IFERROR(__xludf.dummyfunction("""COMPUTED_VALUE"""),"[Code: 257CFKMP]  TA; 1 unit damage found during display  {bag sy damage mila he}")</f>
        <v>[Code: 257CFKMP]  TA; 1 unit damage found during display  {bag sy damage mila he}</v>
      </c>
      <c r="M367" s="13" t="str">
        <f aca="false">IFERROR(__xludf.dummyfunction("""COMPUTED_VALUE"""),"257CFKMP")</f>
        <v>257CFKMP</v>
      </c>
      <c r="N367" s="13"/>
      <c r="O367" s="13" t="str">
        <f aca="false">IFERROR(__xludf.dummyfunction("""COMPUTED_VALUE"""),"taufeeq.akhtar@tajir-app.com")</f>
        <v>taufeeq.akhtar@tajir-app.com</v>
      </c>
      <c r="P367" s="13" t="str">
        <f aca="false">IFERROR(__xludf.dummyfunction("""COMPUTED_VALUE"""),"Taufeeq Akhtar ")</f>
        <v>Taufeeq Akhtar </v>
      </c>
      <c r="Q367" s="13" t="str">
        <f aca="false">IFERROR(__xludf.dummyfunction("""COMPUTED_VALUE"""),"[Code: 257CFKMP]  TA; 1 unit damage found during display  {bag sy damage mila he}")</f>
        <v>[Code: 257CFKMP]  TA; 1 unit damage found during display  {bag sy damage mila he}</v>
      </c>
      <c r="R367" s="13" t="str">
        <v>Wed,20-September-2023 ,10:01 PM</v>
      </c>
      <c r="S367" s="13" t="str">
        <v>Damaged Stock</v>
      </c>
    </row>
    <row r="368" customFormat="false" ht="15.75" hidden="false" customHeight="false" outlineLevel="0" collapsed="false">
      <c r="A368" s="13" t="str">
        <f aca="false">IFERROR(__xludf.dummyfunction("""COMPUTED_VALUE"""),"Metro DC Faisalabad")</f>
        <v>Metro DC Faisalabad</v>
      </c>
      <c r="B368" s="13" t="str">
        <f aca="false">IFERROR(__xludf.dummyfunction("""COMPUTED_VALUE"""),"708ebf9b-2966-4d18-920f-9dbfee0aea89")</f>
        <v>708ebf9b-2966-4d18-920f-9dbfee0aea89</v>
      </c>
      <c r="C368" s="13" t="str">
        <f aca="false">IFERROR(__xludf.dummyfunction("""COMPUTED_VALUE"""),"Sunlight Pink Clean and Jasmine Fresh 330g Rs99")</f>
        <v>Sunlight Pink Clean and Jasmine Fresh 330g Rs99</v>
      </c>
      <c r="D368" s="13" t="str">
        <f aca="false">IFERROR(__xludf.dummyfunction("""COMPUTED_VALUE"""),"Sunlight")</f>
        <v>Sunlight</v>
      </c>
      <c r="E368" s="13" t="str">
        <f aca="false">IFERROR(__xludf.dummyfunction("""COMPUTED_VALUE"""),"Surf, Bleach")</f>
        <v>Surf, Bleach</v>
      </c>
      <c r="F368" s="11" t="n">
        <f aca="false">IFERROR(__xludf.dummyfunction("""COMPUTED_VALUE"""),45189)</f>
        <v>45189</v>
      </c>
      <c r="G368" s="12" t="n">
        <f aca="false">IFERROR(__xludf.dummyfunction("""COMPUTED_VALUE"""),0.918882789353237)</f>
        <v>0.9188827894</v>
      </c>
      <c r="H368" s="13" t="str">
        <f aca="false">IFERROR(__xludf.dummyfunction("""COMPUTED_VALUE"""),"damaged stock")</f>
        <v>damaged stock</v>
      </c>
      <c r="I368" s="13" t="n">
        <f aca="false">IFERROR(__xludf.dummyfunction("""COMPUTED_VALUE"""),1)</f>
        <v>1</v>
      </c>
      <c r="J368" s="13" t="n">
        <f aca="false">IFERROR(__xludf.dummyfunction("""COMPUTED_VALUE"""),87.5)</f>
        <v>87.5</v>
      </c>
      <c r="K368" s="13" t="n">
        <f aca="false">IFERROR(__xludf.dummyfunction("""COMPUTED_VALUE"""),87.5)</f>
        <v>87.5</v>
      </c>
      <c r="L368" s="13" t="str">
        <f aca="false">IFERROR(__xludf.dummyfunction("""COMPUTED_VALUE"""),"[Code: 478AAFFG]   TA; 1 unit damage found during sorting  {bag sy damage mila he}")</f>
        <v>[Code: 478AAFFG]   TA; 1 unit damage found during sorting  {bag sy damage mila he}</v>
      </c>
      <c r="M368" s="13" t="str">
        <f aca="false">IFERROR(__xludf.dummyfunction("""COMPUTED_VALUE"""),"478AAFFG")</f>
        <v>478AAFFG</v>
      </c>
      <c r="N368" s="13"/>
      <c r="O368" s="13" t="str">
        <f aca="false">IFERROR(__xludf.dummyfunction("""COMPUTED_VALUE"""),"taufeeq.akhtar@tajir-app.com")</f>
        <v>taufeeq.akhtar@tajir-app.com</v>
      </c>
      <c r="P368" s="13" t="str">
        <f aca="false">IFERROR(__xludf.dummyfunction("""COMPUTED_VALUE"""),"Taufeeq Akhtar ")</f>
        <v>Taufeeq Akhtar </v>
      </c>
      <c r="Q368" s="13" t="str">
        <f aca="false">IFERROR(__xludf.dummyfunction("""COMPUTED_VALUE"""),"[Code: 478AAFFG]   TA; 1 unit damage found during sorting  {bag sy damage mila he}")</f>
        <v>[Code: 478AAFFG]   TA; 1 unit damage found during sorting  {bag sy damage mila he}</v>
      </c>
      <c r="R368" s="13" t="str">
        <v>Wed,20-September-2023 ,10:03 PM</v>
      </c>
      <c r="S368" s="13" t="str">
        <v>Damaged Stock</v>
      </c>
    </row>
    <row r="369" customFormat="false" ht="15.75" hidden="false" customHeight="false" outlineLevel="0" collapsed="false">
      <c r="A369" s="13" t="str">
        <f aca="false">IFERROR(__xludf.dummyfunction("""COMPUTED_VALUE"""),"Metro DC Faisalabad")</f>
        <v>Metro DC Faisalabad</v>
      </c>
      <c r="B369" s="13" t="str">
        <f aca="false">IFERROR(__xludf.dummyfunction("""COMPUTED_VALUE"""),"1b684534-854d-487b-87b4-d26502505afa")</f>
        <v>1b684534-854d-487b-87b4-d26502505afa</v>
      </c>
      <c r="C369" s="13" t="str">
        <f aca="false">IFERROR(__xludf.dummyfunction("""COMPUTED_VALUE"""),"Jan Mango 1L")</f>
        <v>Jan Mango 1L</v>
      </c>
      <c r="D369" s="13" t="str">
        <f aca="false">IFERROR(__xludf.dummyfunction("""COMPUTED_VALUE"""),"Jan")</f>
        <v>Jan</v>
      </c>
      <c r="E369" s="13" t="str">
        <f aca="false">IFERROR(__xludf.dummyfunction("""COMPUTED_VALUE"""),"Juice, Syrup, Squash")</f>
        <v>Juice, Syrup, Squash</v>
      </c>
      <c r="F369" s="11" t="n">
        <f aca="false">IFERROR(__xludf.dummyfunction("""COMPUTED_VALUE"""),45191)</f>
        <v>45191</v>
      </c>
      <c r="G369" s="12" t="n">
        <f aca="false">IFERROR(__xludf.dummyfunction("""COMPUTED_VALUE"""),0.775750659722211)</f>
        <v>0.7757506597</v>
      </c>
      <c r="H369" s="13" t="str">
        <f aca="false">IFERROR(__xludf.dummyfunction("""COMPUTED_VALUE"""),"damaged stock")</f>
        <v>damaged stock</v>
      </c>
      <c r="I369" s="13" t="n">
        <f aca="false">IFERROR(__xludf.dummyfunction("""COMPUTED_VALUE"""),2)</f>
        <v>2</v>
      </c>
      <c r="J369" s="13" t="n">
        <f aca="false">IFERROR(__xludf.dummyfunction("""COMPUTED_VALUE"""),130.83)</f>
        <v>130.83</v>
      </c>
      <c r="K369" s="13" t="n">
        <f aca="false">IFERROR(__xludf.dummyfunction("""COMPUTED_VALUE"""),261.66)</f>
        <v>261.66</v>
      </c>
      <c r="L369" s="13" t="str">
        <f aca="false">IFERROR(__xludf.dummyfunction("""COMPUTED_VALUE"""),"[Code: 22578AEF]   TA; 1 unit damage found during sorting  {box sy damage mily hain}")</f>
        <v>[Code: 22578AEF]   TA; 1 unit damage found during sorting  {box sy damage mily hain}</v>
      </c>
      <c r="M369" s="13" t="str">
        <f aca="false">IFERROR(__xludf.dummyfunction("""COMPUTED_VALUE"""),"22578AEF")</f>
        <v>22578AEF</v>
      </c>
      <c r="N369" s="13"/>
      <c r="O369" s="13" t="str">
        <f aca="false">IFERROR(__xludf.dummyfunction("""COMPUTED_VALUE"""),"taufeeq.akhtar@tajir-app.com")</f>
        <v>taufeeq.akhtar@tajir-app.com</v>
      </c>
      <c r="P369" s="13" t="str">
        <f aca="false">IFERROR(__xludf.dummyfunction("""COMPUTED_VALUE"""),"Taufeeq Akhtar ")</f>
        <v>Taufeeq Akhtar </v>
      </c>
      <c r="Q369" s="13" t="str">
        <f aca="false">IFERROR(__xludf.dummyfunction("""COMPUTED_VALUE"""),"[Code: 22578AEF]   TA; 1 unit damage found during sorting  {box sy damage mily hain}")</f>
        <v>[Code: 22578AEF]   TA; 1 unit damage found during sorting  {box sy damage mily hain}</v>
      </c>
      <c r="R369" s="13" t="str">
        <v>Fri,22-September-2023 ,06:37 PM</v>
      </c>
      <c r="S369" s="13" t="str">
        <v>Damaged Stock</v>
      </c>
    </row>
    <row r="370" customFormat="false" ht="15.75" hidden="false" customHeight="false" outlineLevel="0" collapsed="false">
      <c r="A370" s="13" t="str">
        <f aca="false">IFERROR(__xludf.dummyfunction("""COMPUTED_VALUE"""),"Metro DC Faisalabad")</f>
        <v>Metro DC Faisalabad</v>
      </c>
      <c r="B370" s="13" t="str">
        <f aca="false">IFERROR(__xludf.dummyfunction("""COMPUTED_VALUE"""),"cd68a607-af95-45cb-b9f4-2721224c85f8")</f>
        <v>cd68a607-af95-45cb-b9f4-2721224c85f8</v>
      </c>
      <c r="C370" s="13" t="str">
        <f aca="false">IFERROR(__xludf.dummyfunction("""COMPUTED_VALUE"""),"Coca Cola plastic 1.5L")</f>
        <v>Coca Cola plastic 1.5L</v>
      </c>
      <c r="D370" s="13" t="str">
        <f aca="false">IFERROR(__xludf.dummyfunction("""COMPUTED_VALUE"""),"Coca Cola")</f>
        <v>Coca Cola</v>
      </c>
      <c r="E370" s="13" t="str">
        <f aca="false">IFERROR(__xludf.dummyfunction("""COMPUTED_VALUE"""),"Beverages")</f>
        <v>Beverages</v>
      </c>
      <c r="F370" s="11" t="n">
        <f aca="false">IFERROR(__xludf.dummyfunction("""COMPUTED_VALUE"""),45191)</f>
        <v>45191</v>
      </c>
      <c r="G370" s="12" t="n">
        <f aca="false">IFERROR(__xludf.dummyfunction("""COMPUTED_VALUE"""),0.7802394097206)</f>
        <v>0.7802394097</v>
      </c>
      <c r="H370" s="13" t="str">
        <f aca="false">IFERROR(__xludf.dummyfunction("""COMPUTED_VALUE"""),"damaged stock")</f>
        <v>damaged stock</v>
      </c>
      <c r="I370" s="13" t="n">
        <f aca="false">IFERROR(__xludf.dummyfunction("""COMPUTED_VALUE"""),1)</f>
        <v>1</v>
      </c>
      <c r="J370" s="13" t="n">
        <f aca="false">IFERROR(__xludf.dummyfunction("""COMPUTED_VALUE"""),900)</f>
        <v>900</v>
      </c>
      <c r="K370" s="13" t="n">
        <f aca="false">IFERROR(__xludf.dummyfunction("""COMPUTED_VALUE"""),900)</f>
        <v>900</v>
      </c>
      <c r="L370" s="13" t="str">
        <f aca="false">IFERROR(__xludf.dummyfunction("""COMPUTED_VALUE"""),"[Code: 489ABCFG] TA: 1 unit damage found (2bottle khali hain 1 lose hay )")</f>
        <v>[Code: 489ABCFG] TA: 1 unit damage found (2bottle khali hain 1 lose hay )</v>
      </c>
      <c r="M370" s="13" t="str">
        <f aca="false">IFERROR(__xludf.dummyfunction("""COMPUTED_VALUE"""),"489ABCFG")</f>
        <v>489ABCFG</v>
      </c>
      <c r="N370" s="13"/>
      <c r="O370" s="13" t="str">
        <f aca="false">IFERROR(__xludf.dummyfunction("""COMPUTED_VALUE"""),"taufeeq.akhtar@tajir-app.com")</f>
        <v>taufeeq.akhtar@tajir-app.com</v>
      </c>
      <c r="P370" s="13" t="str">
        <f aca="false">IFERROR(__xludf.dummyfunction("""COMPUTED_VALUE"""),"Taufeeq Akhtar ")</f>
        <v>Taufeeq Akhtar </v>
      </c>
      <c r="Q370" s="13" t="str">
        <f aca="false">IFERROR(__xludf.dummyfunction("""COMPUTED_VALUE"""),"[Code: 489ABCFG] TA: 1 unit damage found (2bottle khali hain 1 lose hay )")</f>
        <v>[Code: 489ABCFG] TA: 1 unit damage found (2bottle khali hain 1 lose hay )</v>
      </c>
      <c r="R370" s="13" t="str">
        <v>Fri,22-September-2023 ,06:43 PM</v>
      </c>
      <c r="S370" s="13" t="str">
        <v>Damaged Stock</v>
      </c>
    </row>
    <row r="371" customFormat="false" ht="15.75" hidden="false" customHeight="false" outlineLevel="0" collapsed="false">
      <c r="A371" s="13" t="str">
        <f aca="false">IFERROR(__xludf.dummyfunction("""COMPUTED_VALUE"""),"Metro DC Faisalabad")</f>
        <v>Metro DC Faisalabad</v>
      </c>
      <c r="B371" s="13" t="str">
        <f aca="false">IFERROR(__xludf.dummyfunction("""COMPUTED_VALUE"""),"a3fd9ae4-01a1-4cf0-82bb-221e4c8cf42d")</f>
        <v>a3fd9ae4-01a1-4cf0-82bb-221e4c8cf42d</v>
      </c>
      <c r="C371" s="13" t="str">
        <f aca="false">IFERROR(__xludf.dummyfunction("""COMPUTED_VALUE"""),"Lifebuoy Herbal Strong 9ml 16pcs Rs.10")</f>
        <v>Lifebuoy Herbal Strong 9ml 16pcs Rs.10</v>
      </c>
      <c r="D371" s="13" t="str">
        <f aca="false">IFERROR(__xludf.dummyfunction("""COMPUTED_VALUE"""),"Lifebuoy")</f>
        <v>Lifebuoy</v>
      </c>
      <c r="E371" s="13" t="str">
        <f aca="false">IFERROR(__xludf.dummyfunction("""COMPUTED_VALUE"""),"Shampoo")</f>
        <v>Shampoo</v>
      </c>
      <c r="F371" s="11" t="n">
        <f aca="false">IFERROR(__xludf.dummyfunction("""COMPUTED_VALUE"""),45192)</f>
        <v>45192</v>
      </c>
      <c r="G371" s="12" t="n">
        <f aca="false">IFERROR(__xludf.dummyfunction("""COMPUTED_VALUE"""),0.96500881944459)</f>
        <v>0.9650088194</v>
      </c>
      <c r="H371" s="13" t="str">
        <f aca="false">IFERROR(__xludf.dummyfunction("""COMPUTED_VALUE"""),"damaged stock")</f>
        <v>damaged stock</v>
      </c>
      <c r="I371" s="13" t="n">
        <f aca="false">IFERROR(__xludf.dummyfunction("""COMPUTED_VALUE"""),2)</f>
        <v>2</v>
      </c>
      <c r="J371" s="13" t="n">
        <f aca="false">IFERROR(__xludf.dummyfunction("""COMPUTED_VALUE"""),142.5)</f>
        <v>142.5</v>
      </c>
      <c r="K371" s="13" t="n">
        <f aca="false">IFERROR(__xludf.dummyfunction("""COMPUTED_VALUE"""),285)</f>
        <v>285</v>
      </c>
      <c r="L371" s="13" t="str">
        <f aca="false">IFERROR(__xludf.dummyfunction("""COMPUTED_VALUE"""),"[Code: 22357788] TA: Quantity kam hain sachet may.")</f>
        <v>[Code: 22357788] TA: Quantity kam hain sachet may.</v>
      </c>
      <c r="M371" s="13" t="str">
        <f aca="false">IFERROR(__xludf.dummyfunction("""COMPUTED_VALUE"""),"22357788")</f>
        <v>22357788</v>
      </c>
      <c r="N371" s="13"/>
      <c r="O371" s="13" t="str">
        <f aca="false">IFERROR(__xludf.dummyfunction("""COMPUTED_VALUE"""),"taufeeq.akhtar@tajir-app.com")</f>
        <v>taufeeq.akhtar@tajir-app.com</v>
      </c>
      <c r="P371" s="13" t="str">
        <f aca="false">IFERROR(__xludf.dummyfunction("""COMPUTED_VALUE"""),"Taufeeq Akhtar ")</f>
        <v>Taufeeq Akhtar </v>
      </c>
      <c r="Q371" s="13" t="str">
        <f aca="false">IFERROR(__xludf.dummyfunction("""COMPUTED_VALUE"""),"[Code: 22357788] TA: Quantity kam hain sachet may.")</f>
        <v>[Code: 22357788] TA: Quantity kam hain sachet may.</v>
      </c>
      <c r="R371" s="13" t="str">
        <v>Sat,23-September-2023 ,11:09 PM</v>
      </c>
      <c r="S371" s="13" t="str">
        <v>Damaged Stock</v>
      </c>
    </row>
    <row r="372" customFormat="false" ht="15.75" hidden="false" customHeight="false" outlineLevel="0" collapsed="false">
      <c r="A372" s="13" t="str">
        <f aca="false">IFERROR(__xludf.dummyfunction("""COMPUTED_VALUE"""),"Metro DC Faisalabad")</f>
        <v>Metro DC Faisalabad</v>
      </c>
      <c r="B372" s="13" t="str">
        <f aca="false">IFERROR(__xludf.dummyfunction("""COMPUTED_VALUE"""),"d108dc59-da93-451f-9024-d773dad3e97a")</f>
        <v>d108dc59-da93-451f-9024-d773dad3e97a</v>
      </c>
      <c r="C372" s="13" t="str">
        <f aca="false">IFERROR(__xludf.dummyfunction("""COMPUTED_VALUE"""),"Sprite plastic 1.5L")</f>
        <v>Sprite plastic 1.5L</v>
      </c>
      <c r="D372" s="13" t="str">
        <f aca="false">IFERROR(__xludf.dummyfunction("""COMPUTED_VALUE"""),"Sprite")</f>
        <v>Sprite</v>
      </c>
      <c r="E372" s="13" t="str">
        <f aca="false">IFERROR(__xludf.dummyfunction("""COMPUTED_VALUE"""),"Beverages")</f>
        <v>Beverages</v>
      </c>
      <c r="F372" s="11" t="n">
        <f aca="false">IFERROR(__xludf.dummyfunction("""COMPUTED_VALUE"""),45193)</f>
        <v>45193</v>
      </c>
      <c r="G372" s="12" t="n">
        <f aca="false">IFERROR(__xludf.dummyfunction("""COMPUTED_VALUE"""),0.940833333334012)</f>
        <v>0.9408333333</v>
      </c>
      <c r="H372" s="13" t="str">
        <f aca="false">IFERROR(__xludf.dummyfunction("""COMPUTED_VALUE"""),"damaged stock")</f>
        <v>damaged stock</v>
      </c>
      <c r="I372" s="13" t="n">
        <f aca="false">IFERROR(__xludf.dummyfunction("""COMPUTED_VALUE"""),1)</f>
        <v>1</v>
      </c>
      <c r="J372" s="13" t="n">
        <f aca="false">IFERROR(__xludf.dummyfunction("""COMPUTED_VALUE"""),870)</f>
        <v>870</v>
      </c>
      <c r="K372" s="13" t="n">
        <f aca="false">IFERROR(__xludf.dummyfunction("""COMPUTED_VALUE"""),870)</f>
        <v>870</v>
      </c>
      <c r="L372" s="13" t="str">
        <f aca="false">IFERROR(__xludf.dummyfunction("""COMPUTED_VALUE"""),"[Code: 2469CDDF]  TA: 1 unit damage found (2bottle khali hain 1 lose hay )")</f>
        <v>[Code: 2469CDDF]  TA: 1 unit damage found (2bottle khali hain 1 lose hay )</v>
      </c>
      <c r="M372" s="13" t="str">
        <f aca="false">IFERROR(__xludf.dummyfunction("""COMPUTED_VALUE"""),"2469CDDF")</f>
        <v>2469CDDF</v>
      </c>
      <c r="N372" s="13"/>
      <c r="O372" s="13" t="str">
        <f aca="false">IFERROR(__xludf.dummyfunction("""COMPUTED_VALUE"""),"taufeeq.akhtar@tajir-app.com")</f>
        <v>taufeeq.akhtar@tajir-app.com</v>
      </c>
      <c r="P372" s="13" t="str">
        <f aca="false">IFERROR(__xludf.dummyfunction("""COMPUTED_VALUE"""),"Taufeeq Akhtar ")</f>
        <v>Taufeeq Akhtar </v>
      </c>
      <c r="Q372" s="13" t="str">
        <f aca="false">IFERROR(__xludf.dummyfunction("""COMPUTED_VALUE"""),"[Code: 2469CDDF]  TA: 1 unit damage found (2bottle khali hain 1 lose hay )")</f>
        <v>[Code: 2469CDDF]  TA: 1 unit damage found (2bottle khali hain 1 lose hay )</v>
      </c>
      <c r="R372" s="13" t="str">
        <v>Sun,24-September-2023 ,10:34 PM</v>
      </c>
      <c r="S372" s="13" t="str">
        <v>Damaged Stock</v>
      </c>
    </row>
    <row r="373" customFormat="false" ht="15.75" hidden="false" customHeight="false" outlineLevel="0" collapsed="false">
      <c r="A373" s="13" t="str">
        <f aca="false">IFERROR(__xludf.dummyfunction("""COMPUTED_VALUE"""),"Metro DC Faisalabad")</f>
        <v>Metro DC Faisalabad</v>
      </c>
      <c r="B373" s="13" t="str">
        <f aca="false">IFERROR(__xludf.dummyfunction("""COMPUTED_VALUE"""),"63888977-140e-48ab-be06-54a2810ec1fe")</f>
        <v>63888977-140e-48ab-be06-54a2810ec1fe</v>
      </c>
      <c r="C373" s="13" t="str">
        <f aca="false">IFERROR(__xludf.dummyfunction("""COMPUTED_VALUE"""),"Anne French Hair Removing Cream Rose 14g Rs35")</f>
        <v>Anne French Hair Removing Cream Rose 14g Rs35</v>
      </c>
      <c r="D373" s="13" t="str">
        <f aca="false">IFERROR(__xludf.dummyfunction("""COMPUTED_VALUE"""),"Anne French")</f>
        <v>Anne French</v>
      </c>
      <c r="E373" s="13" t="str">
        <f aca="false">IFERROR(__xludf.dummyfunction("""COMPUTED_VALUE"""),"Personal Care")</f>
        <v>Personal Care</v>
      </c>
      <c r="F373" s="11" t="n">
        <f aca="false">IFERROR(__xludf.dummyfunction("""COMPUTED_VALUE"""),45195)</f>
        <v>45195</v>
      </c>
      <c r="G373" s="12" t="n">
        <f aca="false">IFERROR(__xludf.dummyfunction("""COMPUTED_VALUE"""),0.929177604164969)</f>
        <v>0.9291776042</v>
      </c>
      <c r="H373" s="13" t="str">
        <f aca="false">IFERROR(__xludf.dummyfunction("""COMPUTED_VALUE"""),"damaged stock")</f>
        <v>damaged stock</v>
      </c>
      <c r="I373" s="13" t="n">
        <f aca="false">IFERROR(__xludf.dummyfunction("""COMPUTED_VALUE"""),1)</f>
        <v>1</v>
      </c>
      <c r="J373" s="13" t="n">
        <f aca="false">IFERROR(__xludf.dummyfunction("""COMPUTED_VALUE"""),33.35)</f>
        <v>33.35</v>
      </c>
      <c r="K373" s="13" t="n">
        <f aca="false">IFERROR(__xludf.dummyfunction("""COMPUTED_VALUE"""),33.35)</f>
        <v>33.35</v>
      </c>
      <c r="L373" s="13" t="str">
        <f aca="false">IFERROR(__xludf.dummyfunction("""COMPUTED_VALUE"""),"[Code: 6678ABCE] TA: Found damaged during display..")</f>
        <v>[Code: 6678ABCE] TA: Found damaged during display..</v>
      </c>
      <c r="M373" s="13" t="str">
        <f aca="false">IFERROR(__xludf.dummyfunction("""COMPUTED_VALUE"""),"6678ABCE")</f>
        <v>6678ABCE</v>
      </c>
      <c r="N373" s="13"/>
      <c r="O373" s="13" t="str">
        <f aca="false">IFERROR(__xludf.dummyfunction("""COMPUTED_VALUE"""),"taufeeq.akhtar@tajir-app.com")</f>
        <v>taufeeq.akhtar@tajir-app.com</v>
      </c>
      <c r="P373" s="13" t="str">
        <f aca="false">IFERROR(__xludf.dummyfunction("""COMPUTED_VALUE"""),"Taufeeq Akhtar ")</f>
        <v>Taufeeq Akhtar </v>
      </c>
      <c r="Q373" s="13" t="str">
        <f aca="false">IFERROR(__xludf.dummyfunction("""COMPUTED_VALUE"""),"[Code: 6678ABCE] TA: Found damaged during display..")</f>
        <v>[Code: 6678ABCE] TA: Found damaged during display..</v>
      </c>
      <c r="R373" s="13" t="str">
        <v>Tue,26-September-2023 ,10:18 PM</v>
      </c>
      <c r="S373" s="13" t="str">
        <v>Damaged Stock</v>
      </c>
    </row>
    <row r="374" customFormat="false" ht="15.75" hidden="false" customHeight="false" outlineLevel="0" collapsed="false">
      <c r="A374" s="13" t="str">
        <f aca="false">IFERROR(__xludf.dummyfunction("""COMPUTED_VALUE"""),"Metro DC Faisalabad")</f>
        <v>Metro DC Faisalabad</v>
      </c>
      <c r="B374" s="13" t="str">
        <f aca="false">IFERROR(__xludf.dummyfunction("""COMPUTED_VALUE"""),"abcf8988-e2e3-45c6-9460-b69fac4fd0e1")</f>
        <v>abcf8988-e2e3-45c6-9460-b69fac4fd0e1</v>
      </c>
      <c r="C374" s="13" t="str">
        <f aca="false">IFERROR(__xludf.dummyfunction("""COMPUTED_VALUE"""),"Bonus tristar yellow surf 1kg Rs220")</f>
        <v>Bonus tristar yellow surf 1kg Rs220</v>
      </c>
      <c r="D374" s="13" t="str">
        <f aca="false">IFERROR(__xludf.dummyfunction("""COMPUTED_VALUE"""),"Bonus Surf")</f>
        <v>Bonus Surf</v>
      </c>
      <c r="E374" s="13" t="str">
        <f aca="false">IFERROR(__xludf.dummyfunction("""COMPUTED_VALUE"""),"Surf, Bleach")</f>
        <v>Surf, Bleach</v>
      </c>
      <c r="F374" s="11" t="n">
        <f aca="false">IFERROR(__xludf.dummyfunction("""COMPUTED_VALUE"""),45195)</f>
        <v>45195</v>
      </c>
      <c r="G374" s="12" t="n">
        <f aca="false">IFERROR(__xludf.dummyfunction("""COMPUTED_VALUE"""),0.930137951389837)</f>
        <v>0.9301379514</v>
      </c>
      <c r="H374" s="13" t="str">
        <f aca="false">IFERROR(__xludf.dummyfunction("""COMPUTED_VALUE"""),"damaged stock")</f>
        <v>damaged stock</v>
      </c>
      <c r="I374" s="13" t="n">
        <f aca="false">IFERROR(__xludf.dummyfunction("""COMPUTED_VALUE"""),1)</f>
        <v>1</v>
      </c>
      <c r="J374" s="13" t="n">
        <f aca="false">IFERROR(__xludf.dummyfunction("""COMPUTED_VALUE"""),201.18)</f>
        <v>201.18</v>
      </c>
      <c r="K374" s="13" t="n">
        <f aca="false">IFERROR(__xludf.dummyfunction("""COMPUTED_VALUE"""),201.18)</f>
        <v>201.18</v>
      </c>
      <c r="L374" s="13" t="str">
        <f aca="false">IFERROR(__xludf.dummyfunction("""COMPUTED_VALUE"""),"[Code: 5688CJLM] TA: found damaged from bag during display ...")</f>
        <v>[Code: 5688CJLM] TA: found damaged from bag during display ...</v>
      </c>
      <c r="M374" s="13" t="str">
        <f aca="false">IFERROR(__xludf.dummyfunction("""COMPUTED_VALUE"""),"5688CJLM")</f>
        <v>5688CJLM</v>
      </c>
      <c r="N374" s="13"/>
      <c r="O374" s="13" t="str">
        <f aca="false">IFERROR(__xludf.dummyfunction("""COMPUTED_VALUE"""),"taufeeq.akhtar@tajir-app.com")</f>
        <v>taufeeq.akhtar@tajir-app.com</v>
      </c>
      <c r="P374" s="13" t="str">
        <f aca="false">IFERROR(__xludf.dummyfunction("""COMPUTED_VALUE"""),"Taufeeq Akhtar ")</f>
        <v>Taufeeq Akhtar </v>
      </c>
      <c r="Q374" s="13" t="str">
        <f aca="false">IFERROR(__xludf.dummyfunction("""COMPUTED_VALUE"""),"[Code: 5688CJLM] TA: found damaged from bag during display ...")</f>
        <v>[Code: 5688CJLM] TA: found damaged from bag during display ...</v>
      </c>
      <c r="R374" s="13" t="str">
        <v>Tue,26-September-2023 ,10:19 PM</v>
      </c>
      <c r="S374" s="13" t="str">
        <v>Damaged Stock</v>
      </c>
    </row>
    <row r="375" customFormat="false" ht="15.75" hidden="false" customHeight="false" outlineLevel="0" collapsed="false">
      <c r="A375" s="13" t="str">
        <f aca="false">IFERROR(__xludf.dummyfunction("""COMPUTED_VALUE"""),"Metro DC Faisalabad")</f>
        <v>Metro DC Faisalabad</v>
      </c>
      <c r="B375" s="13" t="str">
        <f aca="false">IFERROR(__xludf.dummyfunction("""COMPUTED_VALUE"""),"52f96a76-cd7f-4425-b619-57b7c2eacaaf")</f>
        <v>52f96a76-cd7f-4425-b619-57b7c2eacaaf</v>
      </c>
      <c r="C375" s="13" t="str">
        <f aca="false">IFERROR(__xludf.dummyfunction("""COMPUTED_VALUE"""),"Aala Quality 2 Pari Broken Rice 25kg")</f>
        <v>Aala Quality 2 Pari Broken Rice 25kg</v>
      </c>
      <c r="D375" s="13" t="str">
        <f aca="false">IFERROR(__xludf.dummyfunction("""COMPUTED_VALUE"""),"2 Pari Rice")</f>
        <v>2 Pari Rice</v>
      </c>
      <c r="E375" s="13" t="str">
        <f aca="false">IFERROR(__xludf.dummyfunction("""COMPUTED_VALUE"""),"Rice")</f>
        <v>Rice</v>
      </c>
      <c r="F375" s="11" t="n">
        <f aca="false">IFERROR(__xludf.dummyfunction("""COMPUTED_VALUE"""),45195)</f>
        <v>45195</v>
      </c>
      <c r="G375" s="12" t="n">
        <f aca="false">IFERROR(__xludf.dummyfunction("""COMPUTED_VALUE"""),0.931369155092)</f>
        <v>0.9313691551</v>
      </c>
      <c r="H375" s="13" t="str">
        <f aca="false">IFERROR(__xludf.dummyfunction("""COMPUTED_VALUE"""),"damaged stock")</f>
        <v>damaged stock</v>
      </c>
      <c r="I375" s="13" t="n">
        <f aca="false">IFERROR(__xludf.dummyfunction("""COMPUTED_VALUE"""),1)</f>
        <v>1</v>
      </c>
      <c r="J375" s="13" t="n">
        <f aca="false">IFERROR(__xludf.dummyfunction("""COMPUTED_VALUE"""),4535)</f>
        <v>4535</v>
      </c>
      <c r="K375" s="13" t="n">
        <f aca="false">IFERROR(__xludf.dummyfunction("""COMPUTED_VALUE"""),4535)</f>
        <v>4535</v>
      </c>
      <c r="L375" s="13" t="str">
        <f aca="false">IFERROR(__xludf.dummyfunction("""COMPUTED_VALUE"""),"[Code: 4568GHJJ] TA: susri lagi hay ...qality kharab hain.")</f>
        <v>[Code: 4568GHJJ] TA: susri lagi hay ...qality kharab hain.</v>
      </c>
      <c r="M375" s="13" t="str">
        <f aca="false">IFERROR(__xludf.dummyfunction("""COMPUTED_VALUE"""),"4568GHJJ")</f>
        <v>4568GHJJ</v>
      </c>
      <c r="N375" s="13"/>
      <c r="O375" s="13" t="str">
        <f aca="false">IFERROR(__xludf.dummyfunction("""COMPUTED_VALUE"""),"taufeeq.akhtar@tajir-app.com")</f>
        <v>taufeeq.akhtar@tajir-app.com</v>
      </c>
      <c r="P375" s="13" t="str">
        <f aca="false">IFERROR(__xludf.dummyfunction("""COMPUTED_VALUE"""),"Taufeeq Akhtar ")</f>
        <v>Taufeeq Akhtar </v>
      </c>
      <c r="Q375" s="13" t="str">
        <f aca="false">IFERROR(__xludf.dummyfunction("""COMPUTED_VALUE"""),"[Code: 4568GHJJ] TA: susri lagi hay ...qality kharab hain.")</f>
        <v>[Code: 4568GHJJ] TA: susri lagi hay ...qality kharab hain.</v>
      </c>
      <c r="R375" s="13" t="str">
        <v>Tue,26-September-2023 ,10:21 PM</v>
      </c>
      <c r="S375" s="13" t="str">
        <v>Damaged Stock</v>
      </c>
    </row>
    <row r="376" customFormat="false" ht="15.75" hidden="false" customHeight="false" outlineLevel="0" collapsed="false">
      <c r="A376" s="13" t="str">
        <f aca="false">IFERROR(__xludf.dummyfunction("""COMPUTED_VALUE"""),"Metro DC Faisalabad")</f>
        <v>Metro DC Faisalabad</v>
      </c>
      <c r="B376" s="13" t="str">
        <f aca="false">IFERROR(__xludf.dummyfunction("""COMPUTED_VALUE"""),"52f96a76-cd7f-4425-b619-57b7c2eacaaf")</f>
        <v>52f96a76-cd7f-4425-b619-57b7c2eacaaf</v>
      </c>
      <c r="C376" s="13" t="str">
        <f aca="false">IFERROR(__xludf.dummyfunction("""COMPUTED_VALUE"""),"Aala Quality 2 Pari Broken Rice 25kg")</f>
        <v>Aala Quality 2 Pari Broken Rice 25kg</v>
      </c>
      <c r="D376" s="13" t="str">
        <f aca="false">IFERROR(__xludf.dummyfunction("""COMPUTED_VALUE"""),"2 Pari Rice")</f>
        <v>2 Pari Rice</v>
      </c>
      <c r="E376" s="13" t="str">
        <f aca="false">IFERROR(__xludf.dummyfunction("""COMPUTED_VALUE"""),"Rice")</f>
        <v>Rice</v>
      </c>
      <c r="F376" s="11" t="n">
        <f aca="false">IFERROR(__xludf.dummyfunction("""COMPUTED_VALUE"""),45196)</f>
        <v>45196</v>
      </c>
      <c r="G376" s="12" t="n">
        <f aca="false">IFERROR(__xludf.dummyfunction("""COMPUTED_VALUE"""),0.702875740739426)</f>
        <v>0.7028757407</v>
      </c>
      <c r="H376" s="13" t="str">
        <f aca="false">IFERROR(__xludf.dummyfunction("""COMPUTED_VALUE"""),"damaged stock")</f>
        <v>damaged stock</v>
      </c>
      <c r="I376" s="13" t="n">
        <f aca="false">IFERROR(__xludf.dummyfunction("""COMPUTED_VALUE"""),24)</f>
        <v>24</v>
      </c>
      <c r="J376" s="13" t="n">
        <f aca="false">IFERROR(__xludf.dummyfunction("""COMPUTED_VALUE"""),4535)</f>
        <v>4535</v>
      </c>
      <c r="K376" s="13" t="n">
        <f aca="false">IFERROR(__xludf.dummyfunction("""COMPUTED_VALUE"""),108840)</f>
        <v>108840</v>
      </c>
      <c r="L376" s="13" t="str">
        <f aca="false">IFERROR(__xludf.dummyfunction("""COMPUTED_VALUE"""),"[Code: 229CDFGJ] 24 units having quality issue.")</f>
        <v>[Code: 229CDFGJ] 24 units having quality issue.</v>
      </c>
      <c r="M376" s="13" t="str">
        <f aca="false">IFERROR(__xludf.dummyfunction("""COMPUTED_VALUE"""),"229CDFGJ")</f>
        <v>229CDFGJ</v>
      </c>
      <c r="N376" s="13"/>
      <c r="O376" s="13" t="str">
        <f aca="false">IFERROR(__xludf.dummyfunction("""COMPUTED_VALUE"""),"ali.raza@tajir-app.com")</f>
        <v>ali.raza@tajir-app.com</v>
      </c>
      <c r="P376" s="13" t="str">
        <f aca="false">IFERROR(__xludf.dummyfunction("""COMPUTED_VALUE"""),"Ali Raza ")</f>
        <v>Ali Raza </v>
      </c>
      <c r="Q376" s="13" t="str">
        <f aca="false">IFERROR(__xludf.dummyfunction("""COMPUTED_VALUE"""),"[Code: 229CDFGJ] 24 units having quality issue.")</f>
        <v>[Code: 229CDFGJ] 24 units having quality issue.</v>
      </c>
      <c r="R376" s="13" t="str">
        <v>Wed,27-September-2023 ,04:52 PM</v>
      </c>
      <c r="S376" s="13" t="str">
        <v>Damaged Stock</v>
      </c>
    </row>
    <row r="377" customFormat="false" ht="15.75" hidden="false" customHeight="false" outlineLevel="0" collapsed="false">
      <c r="A377" s="13" t="str">
        <f aca="false">IFERROR(__xludf.dummyfunction("""COMPUTED_VALUE"""),"Metro DC Faisalabad")</f>
        <v>Metro DC Faisalabad</v>
      </c>
      <c r="B377" s="13" t="str">
        <f aca="false">IFERROR(__xludf.dummyfunction("""COMPUTED_VALUE"""),"abcf8988-e2e3-45c6-9460-b69fac4fd0e1")</f>
        <v>abcf8988-e2e3-45c6-9460-b69fac4fd0e1</v>
      </c>
      <c r="C377" s="13" t="str">
        <f aca="false">IFERROR(__xludf.dummyfunction("""COMPUTED_VALUE"""),"Bonus tristar yellow surf 1kg Rs220")</f>
        <v>Bonus tristar yellow surf 1kg Rs220</v>
      </c>
      <c r="D377" s="13" t="str">
        <f aca="false">IFERROR(__xludf.dummyfunction("""COMPUTED_VALUE"""),"Bonus Surf")</f>
        <v>Bonus Surf</v>
      </c>
      <c r="E377" s="13" t="str">
        <f aca="false">IFERROR(__xludf.dummyfunction("""COMPUTED_VALUE"""),"Surf, Bleach")</f>
        <v>Surf, Bleach</v>
      </c>
      <c r="F377" s="11" t="n">
        <f aca="false">IFERROR(__xludf.dummyfunction("""COMPUTED_VALUE"""),45196)</f>
        <v>45196</v>
      </c>
      <c r="G377" s="12" t="n">
        <f aca="false">IFERROR(__xludf.dummyfunction("""COMPUTED_VALUE"""),0.718906388887682)</f>
        <v>0.7189063889</v>
      </c>
      <c r="H377" s="13" t="str">
        <f aca="false">IFERROR(__xludf.dummyfunction("""COMPUTED_VALUE"""),"damaged stock")</f>
        <v>damaged stock</v>
      </c>
      <c r="I377" s="13" t="n">
        <f aca="false">IFERROR(__xludf.dummyfunction("""COMPUTED_VALUE"""),2)</f>
        <v>2</v>
      </c>
      <c r="J377" s="13" t="n">
        <f aca="false">IFERROR(__xludf.dummyfunction("""COMPUTED_VALUE"""),201.18)</f>
        <v>201.18</v>
      </c>
      <c r="K377" s="13" t="n">
        <f aca="false">IFERROR(__xludf.dummyfunction("""COMPUTED_VALUE"""),402.36)</f>
        <v>402.36</v>
      </c>
      <c r="L377" s="13" t="str">
        <f aca="false">IFERROR(__xludf.dummyfunction("""COMPUTED_VALUE"""),"[Code: 259DEFKM] 2 unit found damaged ")</f>
        <v>[Code: 259DEFKM] 2 unit found damaged </v>
      </c>
      <c r="M377" s="13" t="str">
        <f aca="false">IFERROR(__xludf.dummyfunction("""COMPUTED_VALUE"""),"259DEFKM")</f>
        <v>259DEFKM</v>
      </c>
      <c r="N377" s="13"/>
      <c r="O377" s="13" t="str">
        <f aca="false">IFERROR(__xludf.dummyfunction("""COMPUTED_VALUE"""),"ali.raza@tajir-app.com")</f>
        <v>ali.raza@tajir-app.com</v>
      </c>
      <c r="P377" s="13" t="str">
        <f aca="false">IFERROR(__xludf.dummyfunction("""COMPUTED_VALUE"""),"Ali Raza ")</f>
        <v>Ali Raza </v>
      </c>
      <c r="Q377" s="13" t="str">
        <f aca="false">IFERROR(__xludf.dummyfunction("""COMPUTED_VALUE"""),"[Code: 259DEFKM] 2 unit found damaged ")</f>
        <v>[Code: 259DEFKM] 2 unit found damaged </v>
      </c>
      <c r="R377" s="13" t="str">
        <v>Wed,27-September-2023 ,05:15 PM</v>
      </c>
      <c r="S377" s="13" t="str">
        <v>Damaged Stock</v>
      </c>
    </row>
    <row r="378" customFormat="false" ht="15.75" hidden="false" customHeight="false" outlineLevel="0" collapsed="false">
      <c r="A378" s="13" t="str">
        <f aca="false">IFERROR(__xludf.dummyfunction("""COMPUTED_VALUE"""),"Metro DC Faisalabad")</f>
        <v>Metro DC Faisalabad</v>
      </c>
      <c r="B378" s="13" t="str">
        <f aca="false">IFERROR(__xludf.dummyfunction("""COMPUTED_VALUE"""),"f4a7c642-7555-4dfd-8198-642b8dbed45d")</f>
        <v>f4a7c642-7555-4dfd-8198-642b8dbed45d</v>
      </c>
      <c r="C378" s="13" t="str">
        <f aca="false">IFERROR(__xludf.dummyfunction("""COMPUTED_VALUE"""),"Bonus tristar yellow surf 1kg Rs230")</f>
        <v>Bonus tristar yellow surf 1kg Rs230</v>
      </c>
      <c r="D378" s="13" t="str">
        <f aca="false">IFERROR(__xludf.dummyfunction("""COMPUTED_VALUE"""),"Bonus Surf")</f>
        <v>Bonus Surf</v>
      </c>
      <c r="E378" s="13" t="str">
        <f aca="false">IFERROR(__xludf.dummyfunction("""COMPUTED_VALUE"""),"Surf, Bleach")</f>
        <v>Surf, Bleach</v>
      </c>
      <c r="F378" s="11" t="n">
        <f aca="false">IFERROR(__xludf.dummyfunction("""COMPUTED_VALUE"""),45196)</f>
        <v>45196</v>
      </c>
      <c r="G378" s="12" t="n">
        <f aca="false">IFERROR(__xludf.dummyfunction("""COMPUTED_VALUE"""),0.719611932870494)</f>
        <v>0.7196119329</v>
      </c>
      <c r="H378" s="13" t="str">
        <f aca="false">IFERROR(__xludf.dummyfunction("""COMPUTED_VALUE"""),"damaged stock")</f>
        <v>damaged stock</v>
      </c>
      <c r="I378" s="13" t="n">
        <f aca="false">IFERROR(__xludf.dummyfunction("""COMPUTED_VALUE"""),1)</f>
        <v>1</v>
      </c>
      <c r="J378" s="13" t="n">
        <f aca="false">IFERROR(__xludf.dummyfunction("""COMPUTED_VALUE"""),210.36)</f>
        <v>210.36</v>
      </c>
      <c r="K378" s="13" t="n">
        <f aca="false">IFERROR(__xludf.dummyfunction("""COMPUTED_VALUE"""),210.36)</f>
        <v>210.36</v>
      </c>
      <c r="L378" s="13" t="str">
        <f aca="false">IFERROR(__xludf.dummyfunction("""COMPUTED_VALUE"""),"[Code: 23357CFG] 1 unit found damaged")</f>
        <v>[Code: 23357CFG] 1 unit found damaged</v>
      </c>
      <c r="M378" s="13" t="str">
        <f aca="false">IFERROR(__xludf.dummyfunction("""COMPUTED_VALUE"""),"23357CFG")</f>
        <v>23357CFG</v>
      </c>
      <c r="N378" s="13"/>
      <c r="O378" s="13" t="str">
        <f aca="false">IFERROR(__xludf.dummyfunction("""COMPUTED_VALUE"""),"ali.raza@tajir-app.com")</f>
        <v>ali.raza@tajir-app.com</v>
      </c>
      <c r="P378" s="13" t="str">
        <f aca="false">IFERROR(__xludf.dummyfunction("""COMPUTED_VALUE"""),"Ali Raza ")</f>
        <v>Ali Raza </v>
      </c>
      <c r="Q378" s="13" t="str">
        <f aca="false">IFERROR(__xludf.dummyfunction("""COMPUTED_VALUE"""),"[Code: 23357CFG] 1 unit found damaged")</f>
        <v>[Code: 23357CFG] 1 unit found damaged</v>
      </c>
      <c r="R378" s="13" t="str">
        <v>Wed,27-September-2023 ,05:16 PM</v>
      </c>
      <c r="S378" s="13" t="str">
        <v>Damaged Stock</v>
      </c>
    </row>
    <row r="379" customFormat="false" ht="15.75" hidden="false" customHeight="false" outlineLevel="0" collapsed="false">
      <c r="A379" s="13" t="str">
        <f aca="false">IFERROR(__xludf.dummyfunction("""COMPUTED_VALUE"""),"Metro DC Faisalabad")</f>
        <v>Metro DC Faisalabad</v>
      </c>
      <c r="B379" s="13" t="str">
        <f aca="false">IFERROR(__xludf.dummyfunction("""COMPUTED_VALUE"""),"a6c17001-899f-47b8-a847-a7e9a37c9429")</f>
        <v>a6c17001-899f-47b8-a847-a7e9a37c9429</v>
      </c>
      <c r="C379" s="13" t="str">
        <f aca="false">IFERROR(__xludf.dummyfunction("""COMPUTED_VALUE"""),"Gibs Cake Time Plain Cake Rs10")</f>
        <v>Gibs Cake Time Plain Cake Rs10</v>
      </c>
      <c r="D379" s="13" t="str">
        <f aca="false">IFERROR(__xludf.dummyfunction("""COMPUTED_VALUE"""),"Gibs")</f>
        <v>Gibs</v>
      </c>
      <c r="E379" s="13" t="str">
        <f aca="false">IFERROR(__xludf.dummyfunction("""COMPUTED_VALUE"""),"Confectionary")</f>
        <v>Confectionary</v>
      </c>
      <c r="F379" s="11" t="n">
        <f aca="false">IFERROR(__xludf.dummyfunction("""COMPUTED_VALUE"""),45196)</f>
        <v>45196</v>
      </c>
      <c r="G379" s="12" t="n">
        <f aca="false">IFERROR(__xludf.dummyfunction("""COMPUTED_VALUE"""),0.954195173612642)</f>
        <v>0.9541951736</v>
      </c>
      <c r="H379" s="13" t="str">
        <f aca="false">IFERROR(__xludf.dummyfunction("""COMPUTED_VALUE"""),"damaged stock")</f>
        <v>damaged stock</v>
      </c>
      <c r="I379" s="13" t="n">
        <f aca="false">IFERROR(__xludf.dummyfunction("""COMPUTED_VALUE"""),1)</f>
        <v>1</v>
      </c>
      <c r="J379" s="13" t="n">
        <f aca="false">IFERROR(__xludf.dummyfunction("""COMPUTED_VALUE"""),130)</f>
        <v>130</v>
      </c>
      <c r="K379" s="13" t="n">
        <f aca="false">IFERROR(__xludf.dummyfunction("""COMPUTED_VALUE"""),130)</f>
        <v>130</v>
      </c>
      <c r="L379" s="13" t="str">
        <f aca="false">IFERROR(__xludf.dummyfunction("""COMPUTED_VALUE"""),"[Code: 33679EGG] TA: Found damaged from box during display (Company end issue)")</f>
        <v>[Code: 33679EGG] TA: Found damaged from box during display (Company end issue)</v>
      </c>
      <c r="M379" s="13" t="str">
        <f aca="false">IFERROR(__xludf.dummyfunction("""COMPUTED_VALUE"""),"33679EGG")</f>
        <v>33679EGG</v>
      </c>
      <c r="N379" s="13"/>
      <c r="O379" s="13" t="str">
        <f aca="false">IFERROR(__xludf.dummyfunction("""COMPUTED_VALUE"""),"taufeeq.akhtar@tajir-app.com")</f>
        <v>taufeeq.akhtar@tajir-app.com</v>
      </c>
      <c r="P379" s="13" t="str">
        <f aca="false">IFERROR(__xludf.dummyfunction("""COMPUTED_VALUE"""),"Taufeeq Akhtar ")</f>
        <v>Taufeeq Akhtar </v>
      </c>
      <c r="Q379" s="13" t="str">
        <f aca="false">IFERROR(__xludf.dummyfunction("""COMPUTED_VALUE"""),"[Code: 33679EGG] TA: Found damaged from box during display (Company end issue)")</f>
        <v>[Code: 33679EGG] TA: Found damaged from box during display (Company end issue)</v>
      </c>
      <c r="R379" s="13" t="str">
        <v>Wed,27-September-2023 ,10:54 PM</v>
      </c>
      <c r="S379" s="13" t="str">
        <v>Damaged Stock</v>
      </c>
    </row>
    <row r="380" customFormat="false" ht="15.75" hidden="false" customHeight="false" outlineLevel="0" collapsed="false">
      <c r="A380" s="13" t="str">
        <f aca="false">IFERROR(__xludf.dummyfunction("""COMPUTED_VALUE"""),"Metro DC Faisalabad")</f>
        <v>Metro DC Faisalabad</v>
      </c>
      <c r="B380" s="13" t="str">
        <f aca="false">IFERROR(__xludf.dummyfunction("""COMPUTED_VALUE"""),"cd68a607-af95-45cb-b9f4-2721224c85f8")</f>
        <v>cd68a607-af95-45cb-b9f4-2721224c85f8</v>
      </c>
      <c r="C380" s="13" t="str">
        <f aca="false">IFERROR(__xludf.dummyfunction("""COMPUTED_VALUE"""),"Coca Cola plastic 1.5L")</f>
        <v>Coca Cola plastic 1.5L</v>
      </c>
      <c r="D380" s="13" t="str">
        <f aca="false">IFERROR(__xludf.dummyfunction("""COMPUTED_VALUE"""),"Coca Cola")</f>
        <v>Coca Cola</v>
      </c>
      <c r="E380" s="13" t="str">
        <f aca="false">IFERROR(__xludf.dummyfunction("""COMPUTED_VALUE"""),"Beverages")</f>
        <v>Beverages</v>
      </c>
      <c r="F380" s="11" t="n">
        <f aca="false">IFERROR(__xludf.dummyfunction("""COMPUTED_VALUE"""),45199)</f>
        <v>45199</v>
      </c>
      <c r="G380" s="12" t="n">
        <f aca="false">IFERROR(__xludf.dummyfunction("""COMPUTED_VALUE"""),0.856793750001493)</f>
        <v>0.85679375</v>
      </c>
      <c r="H380" s="13" t="str">
        <f aca="false">IFERROR(__xludf.dummyfunction("""COMPUTED_VALUE"""),"damaged stock")</f>
        <v>damaged stock</v>
      </c>
      <c r="I380" s="13" t="n">
        <f aca="false">IFERROR(__xludf.dummyfunction("""COMPUTED_VALUE"""),1)</f>
        <v>1</v>
      </c>
      <c r="J380" s="13" t="n">
        <f aca="false">IFERROR(__xludf.dummyfunction("""COMPUTED_VALUE"""),914.68)</f>
        <v>914.68</v>
      </c>
      <c r="K380" s="13" t="n">
        <f aca="false">IFERROR(__xludf.dummyfunction("""COMPUTED_VALUE"""),914.68)</f>
        <v>914.68</v>
      </c>
      <c r="L380" s="13" t="str">
        <f aca="false">IFERROR(__xludf.dummyfunction("""COMPUTED_VALUE"""),"[Code: 445679CD] TA; 1unit found damage during sorting (unit sy 2bottles lose mili hain)")</f>
        <v>[Code: 445679CD] TA; 1unit found damage during sorting (unit sy 2bottles lose mili hain)</v>
      </c>
      <c r="M380" s="13" t="str">
        <f aca="false">IFERROR(__xludf.dummyfunction("""COMPUTED_VALUE"""),"445679CD")</f>
        <v>445679CD</v>
      </c>
      <c r="N380" s="13"/>
      <c r="O380" s="13" t="str">
        <f aca="false">IFERROR(__xludf.dummyfunction("""COMPUTED_VALUE"""),"taufeeq.akhtar@tajir-app.com")</f>
        <v>taufeeq.akhtar@tajir-app.com</v>
      </c>
      <c r="P380" s="13" t="str">
        <f aca="false">IFERROR(__xludf.dummyfunction("""COMPUTED_VALUE"""),"Taufeeq Akhtar ")</f>
        <v>Taufeeq Akhtar </v>
      </c>
      <c r="Q380" s="13" t="str">
        <f aca="false">IFERROR(__xludf.dummyfunction("""COMPUTED_VALUE"""),"[Code: 445679CD] TA; 1unit found damage during sorting (unit sy 2bottles lose mili hain)")</f>
        <v>[Code: 445679CD] TA; 1unit found damage during sorting (unit sy 2bottles lose mili hain)</v>
      </c>
      <c r="R380" s="13" t="str">
        <v>Sat,30-September-2023 ,08:33 PM</v>
      </c>
      <c r="S380" s="13" t="str">
        <v>Damaged Stock</v>
      </c>
    </row>
    <row r="381" customFormat="false" ht="15.75" hidden="false" customHeight="false" outlineLevel="0" collapsed="false">
      <c r="A381" s="13" t="str">
        <f aca="false">IFERROR(__xludf.dummyfunction("""COMPUTED_VALUE"""),"Metro DC Faisalabad")</f>
        <v>Metro DC Faisalabad</v>
      </c>
      <c r="B381" s="13" t="str">
        <f aca="false">IFERROR(__xludf.dummyfunction("""COMPUTED_VALUE"""),"2d1d70db-c6f7-4c4e-9a22-476f6301175b")</f>
        <v>2d1d70db-c6f7-4c4e-9a22-476f6301175b</v>
      </c>
      <c r="C381" s="13" t="str">
        <f aca="false">IFERROR(__xludf.dummyfunction("""COMPUTED_VALUE"""),"Murree Brewery Bigg Apple Plastic x12 Crate 300ml")</f>
        <v>Murree Brewery Bigg Apple Plastic x12 Crate 300ml</v>
      </c>
      <c r="D381" s="13" t="str">
        <f aca="false">IFERROR(__xludf.dummyfunction("""COMPUTED_VALUE"""),"Murree Brewery")</f>
        <v>Murree Brewery</v>
      </c>
      <c r="E381" s="13" t="str">
        <f aca="false">IFERROR(__xludf.dummyfunction("""COMPUTED_VALUE"""),"Beverages")</f>
        <v>Beverages</v>
      </c>
      <c r="F381" s="11" t="n">
        <f aca="false">IFERROR(__xludf.dummyfunction("""COMPUTED_VALUE"""),45199)</f>
        <v>45199</v>
      </c>
      <c r="G381" s="12" t="n">
        <f aca="false">IFERROR(__xludf.dummyfunction("""COMPUTED_VALUE"""),0.857349085648542)</f>
        <v>0.8573490856</v>
      </c>
      <c r="H381" s="13" t="str">
        <f aca="false">IFERROR(__xludf.dummyfunction("""COMPUTED_VALUE"""),"damaged stock")</f>
        <v>damaged stock</v>
      </c>
      <c r="I381" s="13" t="n">
        <f aca="false">IFERROR(__xludf.dummyfunction("""COMPUTED_VALUE"""),1)</f>
        <v>1</v>
      </c>
      <c r="J381" s="13" t="n">
        <f aca="false">IFERROR(__xludf.dummyfunction("""COMPUTED_VALUE"""),394.25)</f>
        <v>394.25</v>
      </c>
      <c r="K381" s="13" t="n">
        <f aca="false">IFERROR(__xludf.dummyfunction("""COMPUTED_VALUE"""),394.25)</f>
        <v>394.25</v>
      </c>
      <c r="L381" s="13" t="str">
        <f aca="false">IFERROR(__xludf.dummyfunction("""COMPUTED_VALUE"""),"[Code: 344569AB]  TA; 1unit found damage during sorting (unit sy 4bottles lose mili hain)")</f>
        <v>[Code: 344569AB]  TA; 1unit found damage during sorting (unit sy 4bottles lose mili hain)</v>
      </c>
      <c r="M381" s="13" t="str">
        <f aca="false">IFERROR(__xludf.dummyfunction("""COMPUTED_VALUE"""),"344569AB")</f>
        <v>344569AB</v>
      </c>
      <c r="N381" s="13"/>
      <c r="O381" s="13" t="str">
        <f aca="false">IFERROR(__xludf.dummyfunction("""COMPUTED_VALUE"""),"taufeeq.akhtar@tajir-app.com")</f>
        <v>taufeeq.akhtar@tajir-app.com</v>
      </c>
      <c r="P381" s="13" t="str">
        <f aca="false">IFERROR(__xludf.dummyfunction("""COMPUTED_VALUE"""),"Taufeeq Akhtar ")</f>
        <v>Taufeeq Akhtar </v>
      </c>
      <c r="Q381" s="13" t="str">
        <f aca="false">IFERROR(__xludf.dummyfunction("""COMPUTED_VALUE"""),"[Code: 344569AB]  TA; 1unit found damage during sorting (unit sy 4bottles lose mili hain)")</f>
        <v>[Code: 344569AB]  TA; 1unit found damage during sorting (unit sy 4bottles lose mili hain)</v>
      </c>
      <c r="R381" s="13" t="str">
        <v>Sat,30-September-2023 ,08:34 PM</v>
      </c>
      <c r="S381" s="13" t="str">
        <v>Damaged Stock</v>
      </c>
    </row>
    <row r="382" customFormat="false" ht="15.75" hidden="false" customHeight="false" outlineLevel="0" collapsed="false">
      <c r="A382" s="13" t="str">
        <f aca="false">IFERROR(__xludf.dummyfunction("""COMPUTED_VALUE"""),"Metro DC Faisalabad")</f>
        <v>Metro DC Faisalabad</v>
      </c>
      <c r="B382" s="13" t="str">
        <f aca="false">IFERROR(__xludf.dummyfunction("""COMPUTED_VALUE"""),"76cbd286-ec03-4842-a510-1302d929540b")</f>
        <v>76cbd286-ec03-4842-a510-1302d929540b</v>
      </c>
      <c r="C382" s="13" t="str">
        <f aca="false">IFERROR(__xludf.dummyfunction("""COMPUTED_VALUE"""),"A One Fine Atta 15kg")</f>
        <v>A One Fine Atta 15kg</v>
      </c>
      <c r="D382" s="13" t="str">
        <f aca="false">IFERROR(__xludf.dummyfunction("""COMPUTED_VALUE"""),"A One Atta")</f>
        <v>A One Atta</v>
      </c>
      <c r="E382" s="13" t="str">
        <f aca="false">IFERROR(__xludf.dummyfunction("""COMPUTED_VALUE"""),"Flour")</f>
        <v>Flour</v>
      </c>
      <c r="F382" s="11" t="n">
        <f aca="false">IFERROR(__xludf.dummyfunction("""COMPUTED_VALUE"""),45200)</f>
        <v>45200</v>
      </c>
      <c r="G382" s="12" t="n">
        <f aca="false">IFERROR(__xludf.dummyfunction("""COMPUTED_VALUE"""),0.00277657407314706)</f>
        <v>0.002776574073</v>
      </c>
      <c r="H382" s="13" t="str">
        <f aca="false">IFERROR(__xludf.dummyfunction("""COMPUTED_VALUE"""),"damaged stock")</f>
        <v>damaged stock</v>
      </c>
      <c r="I382" s="13" t="n">
        <f aca="false">IFERROR(__xludf.dummyfunction("""COMPUTED_VALUE"""),18)</f>
        <v>18</v>
      </c>
      <c r="J382" s="13" t="n">
        <f aca="false">IFERROR(__xludf.dummyfunction("""COMPUTED_VALUE"""),2095)</f>
        <v>2095</v>
      </c>
      <c r="K382" s="13" t="n">
        <f aca="false">IFERROR(__xludf.dummyfunction("""COMPUTED_VALUE"""),37710)</f>
        <v>37710</v>
      </c>
      <c r="L382" s="13" t="str">
        <f aca="false">IFERROR(__xludf.dummyfunction("""COMPUTED_VALUE"""),"[Code: 27AGHKKL] TA:  18 units damage found due to fungus  ( Quality issue )")</f>
        <v>[Code: 27AGHKKL] TA:  18 units damage found due to fungus  ( Quality issue )</v>
      </c>
      <c r="M382" s="13" t="str">
        <f aca="false">IFERROR(__xludf.dummyfunction("""COMPUTED_VALUE"""),"27AGHKKL")</f>
        <v>27AGHKKL</v>
      </c>
      <c r="N382" s="13"/>
      <c r="O382" s="13" t="str">
        <f aca="false">IFERROR(__xludf.dummyfunction("""COMPUTED_VALUE"""),"taufeeq.akhtar@tajir-app.com")</f>
        <v>taufeeq.akhtar@tajir-app.com</v>
      </c>
      <c r="P382" s="13" t="str">
        <f aca="false">IFERROR(__xludf.dummyfunction("""COMPUTED_VALUE"""),"Taufeeq Akhtar ")</f>
        <v>Taufeeq Akhtar </v>
      </c>
      <c r="Q382" s="13" t="str">
        <f aca="false">IFERROR(__xludf.dummyfunction("""COMPUTED_VALUE"""),"[Code: 27AGHKKL] TA:  18 units damage found due to fungus  ( Quality issue )")</f>
        <v>[Code: 27AGHKKL] TA:  18 units damage found due to fungus  ( Quality issue )</v>
      </c>
      <c r="R382" s="13" t="str">
        <v>Sun,01-October-2023 ,12:03 AM</v>
      </c>
      <c r="S382" s="13" t="str">
        <v>Damaged Stock</v>
      </c>
    </row>
    <row r="383" customFormat="false" ht="15.75" hidden="false" customHeight="false" outlineLevel="0" collapsed="false">
      <c r="A383" s="13" t="str">
        <f aca="false">IFERROR(__xludf.dummyfunction("""COMPUTED_VALUE"""),"Metro DC Faisalabad")</f>
        <v>Metro DC Faisalabad</v>
      </c>
      <c r="B383" s="13" t="str">
        <f aca="false">IFERROR(__xludf.dummyfunction("""COMPUTED_VALUE"""),"a5b76747-fa5b-49a3-ac19-3d6294d61b30")</f>
        <v>a5b76747-fa5b-49a3-ac19-3d6294d61b30</v>
      </c>
      <c r="C383" s="13" t="str">
        <f aca="false">IFERROR(__xludf.dummyfunction("""COMPUTED_VALUE"""),"Murree Brewery Bigg Apple Plastic x6 Crate 1.5L")</f>
        <v>Murree Brewery Bigg Apple Plastic x6 Crate 1.5L</v>
      </c>
      <c r="D383" s="13" t="str">
        <f aca="false">IFERROR(__xludf.dummyfunction("""COMPUTED_VALUE"""),"Murree Brewery")</f>
        <v>Murree Brewery</v>
      </c>
      <c r="E383" s="13" t="str">
        <f aca="false">IFERROR(__xludf.dummyfunction("""COMPUTED_VALUE"""),"Beverages")</f>
        <v>Beverages</v>
      </c>
      <c r="F383" s="11" t="n">
        <f aca="false">IFERROR(__xludf.dummyfunction("""COMPUTED_VALUE"""),45200)</f>
        <v>45200</v>
      </c>
      <c r="G383" s="12" t="n">
        <f aca="false">IFERROR(__xludf.dummyfunction("""COMPUTED_VALUE"""),0.786801226852703)</f>
        <v>0.7868012269</v>
      </c>
      <c r="H383" s="13" t="str">
        <f aca="false">IFERROR(__xludf.dummyfunction("""COMPUTED_VALUE"""),"damaged stock")</f>
        <v>damaged stock</v>
      </c>
      <c r="I383" s="13" t="n">
        <f aca="false">IFERROR(__xludf.dummyfunction("""COMPUTED_VALUE"""),1)</f>
        <v>1</v>
      </c>
      <c r="J383" s="13" t="n">
        <f aca="false">IFERROR(__xludf.dummyfunction("""COMPUTED_VALUE"""),779)</f>
        <v>779</v>
      </c>
      <c r="K383" s="13" t="n">
        <f aca="false">IFERROR(__xludf.dummyfunction("""COMPUTED_VALUE"""),779)</f>
        <v>779</v>
      </c>
      <c r="L383" s="13" t="str">
        <f aca="false">IFERROR(__xludf.dummyfunction("""COMPUTED_VALUE"""),"[Code: 2334DKNQ]  TA; 1unit found damage during sorting (unit sy 2bottles lose mili hain)")</f>
        <v>[Code: 2334DKNQ]  TA; 1unit found damage during sorting (unit sy 2bottles lose mili hain)</v>
      </c>
      <c r="M383" s="13" t="str">
        <f aca="false">IFERROR(__xludf.dummyfunction("""COMPUTED_VALUE"""),"2334DKNQ")</f>
        <v>2334DKNQ</v>
      </c>
      <c r="N383" s="13"/>
      <c r="O383" s="13" t="str">
        <f aca="false">IFERROR(__xludf.dummyfunction("""COMPUTED_VALUE"""),"taufeeq.akhtar@tajir-app.com")</f>
        <v>taufeeq.akhtar@tajir-app.com</v>
      </c>
      <c r="P383" s="13" t="str">
        <f aca="false">IFERROR(__xludf.dummyfunction("""COMPUTED_VALUE"""),"Taufeeq Akhtar ")</f>
        <v>Taufeeq Akhtar </v>
      </c>
      <c r="Q383" s="13" t="str">
        <f aca="false">IFERROR(__xludf.dummyfunction("""COMPUTED_VALUE"""),"[Code: 2334DKNQ]  TA; 1unit found damage during sorting (unit sy 2bottles lose mili hain)")</f>
        <v>[Code: 2334DKNQ]  TA; 1unit found damage during sorting (unit sy 2bottles lose mili hain)</v>
      </c>
      <c r="R383" s="13" t="str">
        <v>Sun,01-October-2023 ,06:52 PM</v>
      </c>
      <c r="S383" s="13" t="str">
        <v>Damaged Stock</v>
      </c>
    </row>
    <row r="384" customFormat="false" ht="15.75" hidden="false" customHeight="false" outlineLevel="0" collapsed="false">
      <c r="A384" s="13" t="str">
        <f aca="false">IFERROR(__xludf.dummyfunction("""COMPUTED_VALUE"""),"Metro DC Faisalabad")</f>
        <v>Metro DC Faisalabad</v>
      </c>
      <c r="B384" s="13" t="str">
        <f aca="false">IFERROR(__xludf.dummyfunction("""COMPUTED_VALUE"""),"a5b76747-fa5b-49a3-ac19-3d6294d61b30")</f>
        <v>a5b76747-fa5b-49a3-ac19-3d6294d61b30</v>
      </c>
      <c r="C384" s="13" t="str">
        <f aca="false">IFERROR(__xludf.dummyfunction("""COMPUTED_VALUE"""),"Murree Brewery Bigg Apple Plastic x6 Crate 1.5L")</f>
        <v>Murree Brewery Bigg Apple Plastic x6 Crate 1.5L</v>
      </c>
      <c r="D384" s="13" t="str">
        <f aca="false">IFERROR(__xludf.dummyfunction("""COMPUTED_VALUE"""),"Murree Brewery")</f>
        <v>Murree Brewery</v>
      </c>
      <c r="E384" s="13" t="str">
        <f aca="false">IFERROR(__xludf.dummyfunction("""COMPUTED_VALUE"""),"Beverages")</f>
        <v>Beverages</v>
      </c>
      <c r="F384" s="11" t="n">
        <f aca="false">IFERROR(__xludf.dummyfunction("""COMPUTED_VALUE"""),45200)</f>
        <v>45200</v>
      </c>
      <c r="G384" s="12" t="n">
        <f aca="false">IFERROR(__xludf.dummyfunction("""COMPUTED_VALUE"""),0.934728321757481)</f>
        <v>0.9347283218</v>
      </c>
      <c r="H384" s="13" t="str">
        <f aca="false">IFERROR(__xludf.dummyfunction("""COMPUTED_VALUE"""),"damaged stock")</f>
        <v>damaged stock</v>
      </c>
      <c r="I384" s="13" t="n">
        <f aca="false">IFERROR(__xludf.dummyfunction("""COMPUTED_VALUE"""),1)</f>
        <v>1</v>
      </c>
      <c r="J384" s="13" t="n">
        <f aca="false">IFERROR(__xludf.dummyfunction("""COMPUTED_VALUE"""),779)</f>
        <v>779</v>
      </c>
      <c r="K384" s="13" t="n">
        <f aca="false">IFERROR(__xludf.dummyfunction("""COMPUTED_VALUE"""),779)</f>
        <v>779</v>
      </c>
      <c r="L384" s="13" t="str">
        <f aca="false">IFERROR(__xludf.dummyfunction("""COMPUTED_VALUE"""),"[Code: 46BBCDDF] TA: one bottel found damaged and one bottel found in loose condition during sorting,")</f>
        <v>[Code: 46BBCDDF] TA: one bottel found damaged and one bottel found in loose condition during sorting,</v>
      </c>
      <c r="M384" s="13" t="str">
        <f aca="false">IFERROR(__xludf.dummyfunction("""COMPUTED_VALUE"""),"46BBCDDF")</f>
        <v>46BBCDDF</v>
      </c>
      <c r="N384" s="13"/>
      <c r="O384" s="13" t="str">
        <f aca="false">IFERROR(__xludf.dummyfunction("""COMPUTED_VALUE"""),"taufeeq.akhtar@tajir-app.com")</f>
        <v>taufeeq.akhtar@tajir-app.com</v>
      </c>
      <c r="P384" s="13" t="str">
        <f aca="false">IFERROR(__xludf.dummyfunction("""COMPUTED_VALUE"""),"Taufeeq Akhtar ")</f>
        <v>Taufeeq Akhtar </v>
      </c>
      <c r="Q384" s="13" t="str">
        <f aca="false">IFERROR(__xludf.dummyfunction("""COMPUTED_VALUE"""),"[Code: 46BBCDDF] TA: one bottel found damaged and one bottel found in loose condition during sorting,")</f>
        <v>[Code: 46BBCDDF] TA: one bottel found damaged and one bottel found in loose condition during sorting,</v>
      </c>
      <c r="R384" s="13" t="str">
        <v>Sun,01-October-2023 ,10:26 PM</v>
      </c>
      <c r="S384" s="13" t="str">
        <v>Damaged Stock</v>
      </c>
    </row>
    <row r="385" customFormat="false" ht="15.75" hidden="false" customHeight="false" outlineLevel="0" collapsed="false">
      <c r="A385" s="13" t="str">
        <f aca="false">IFERROR(__xludf.dummyfunction("""COMPUTED_VALUE"""),"Metro DC Faisalabad")</f>
        <v>Metro DC Faisalabad</v>
      </c>
      <c r="B385" s="13" t="str">
        <f aca="false">IFERROR(__xludf.dummyfunction("""COMPUTED_VALUE"""),"232fabde-4fe5-4c6c-aebf-a8aeba21fee0")</f>
        <v>232fabde-4fe5-4c6c-aebf-a8aeba21fee0</v>
      </c>
      <c r="C385" s="13" t="str">
        <f aca="false">IFERROR(__xludf.dummyfunction("""COMPUTED_VALUE"""),"Ultra Pure Surf x13 bundle 40g Rs 10")</f>
        <v>Ultra Pure Surf x13 bundle 40g Rs 10</v>
      </c>
      <c r="D385" s="13" t="str">
        <f aca="false">IFERROR(__xludf.dummyfunction("""COMPUTED_VALUE"""),"Ultra Pure")</f>
        <v>Ultra Pure</v>
      </c>
      <c r="E385" s="13" t="str">
        <f aca="false">IFERROR(__xludf.dummyfunction("""COMPUTED_VALUE"""),"Surf, Bleach")</f>
        <v>Surf, Bleach</v>
      </c>
      <c r="F385" s="11" t="n">
        <f aca="false">IFERROR(__xludf.dummyfunction("""COMPUTED_VALUE"""),45201)</f>
        <v>45201</v>
      </c>
      <c r="G385" s="12" t="n">
        <f aca="false">IFERROR(__xludf.dummyfunction("""COMPUTED_VALUE"""),0.938175856481972)</f>
        <v>0.9381758565</v>
      </c>
      <c r="H385" s="13" t="str">
        <f aca="false">IFERROR(__xludf.dummyfunction("""COMPUTED_VALUE"""),"damaged stock")</f>
        <v>damaged stock</v>
      </c>
      <c r="I385" s="13" t="n">
        <f aca="false">IFERROR(__xludf.dummyfunction("""COMPUTED_VALUE"""),5)</f>
        <v>5</v>
      </c>
      <c r="J385" s="13" t="n">
        <f aca="false">IFERROR(__xludf.dummyfunction("""COMPUTED_VALUE"""),117)</f>
        <v>117</v>
      </c>
      <c r="K385" s="13" t="n">
        <f aca="false">IFERROR(__xludf.dummyfunction("""COMPUTED_VALUE"""),585)</f>
        <v>585</v>
      </c>
      <c r="L385" s="13" t="str">
        <f aca="false">IFERROR(__xludf.dummyfunction("""COMPUTED_VALUE"""),"[Code: 277889EE]  TA; 5unit found damage during display (bag sy damage mily hain)")</f>
        <v>[Code: 277889EE]  TA; 5unit found damage during display (bag sy damage mily hain)</v>
      </c>
      <c r="M385" s="13" t="str">
        <f aca="false">IFERROR(__xludf.dummyfunction("""COMPUTED_VALUE"""),"277889EE")</f>
        <v>277889EE</v>
      </c>
      <c r="N385" s="13"/>
      <c r="O385" s="13" t="str">
        <f aca="false">IFERROR(__xludf.dummyfunction("""COMPUTED_VALUE"""),"taufeeq.akhtar@tajir-app.com")</f>
        <v>taufeeq.akhtar@tajir-app.com</v>
      </c>
      <c r="P385" s="13" t="str">
        <f aca="false">IFERROR(__xludf.dummyfunction("""COMPUTED_VALUE"""),"Taufeeq Akhtar ")</f>
        <v>Taufeeq Akhtar </v>
      </c>
      <c r="Q385" s="13" t="str">
        <f aca="false">IFERROR(__xludf.dummyfunction("""COMPUTED_VALUE"""),"[Code: 277889EE]  TA; 5unit found damage during display (bag sy damage mily hain)")</f>
        <v>[Code: 277889EE]  TA; 5unit found damage during display (bag sy damage mily hain)</v>
      </c>
      <c r="R385" s="13" t="str">
        <v>Mon,02-October-2023 ,10:30 PM</v>
      </c>
      <c r="S385" s="13" t="str">
        <v>Damaged Stock</v>
      </c>
    </row>
    <row r="386" customFormat="false" ht="15.75" hidden="false" customHeight="false" outlineLevel="0" collapsed="false">
      <c r="A386" s="13" t="str">
        <f aca="false">IFERROR(__xludf.dummyfunction("""COMPUTED_VALUE"""),"Metro DC Faisalabad")</f>
        <v>Metro DC Faisalabad</v>
      </c>
      <c r="B386" s="13" t="str">
        <f aca="false">IFERROR(__xludf.dummyfunction("""COMPUTED_VALUE"""),"9984c582-1364-4d99-a722-47d5f9ae95dd")</f>
        <v>9984c582-1364-4d99-a722-47d5f9ae95dd</v>
      </c>
      <c r="C386" s="13" t="str">
        <f aca="false">IFERROR(__xludf.dummyfunction("""COMPUTED_VALUE"""),"Closed 5")</f>
        <v>Closed 5</v>
      </c>
      <c r="D386" s="13" t="str">
        <f aca="false">IFERROR(__xludf.dummyfunction("""COMPUTED_VALUE"""),"Ariel Surf")</f>
        <v>Ariel Surf</v>
      </c>
      <c r="E386" s="13" t="str">
        <f aca="false">IFERROR(__xludf.dummyfunction("""COMPUTED_VALUE"""),"Surf, Bleach")</f>
        <v>Surf, Bleach</v>
      </c>
      <c r="F386" s="11" t="n">
        <f aca="false">IFERROR(__xludf.dummyfunction("""COMPUTED_VALUE"""),45201)</f>
        <v>45201</v>
      </c>
      <c r="G386" s="12" t="n">
        <f aca="false">IFERROR(__xludf.dummyfunction("""COMPUTED_VALUE"""),0.939731828702944)</f>
        <v>0.9397318287</v>
      </c>
      <c r="H386" s="13" t="str">
        <f aca="false">IFERROR(__xludf.dummyfunction("""COMPUTED_VALUE"""),"damaged stock")</f>
        <v>damaged stock</v>
      </c>
      <c r="I386" s="13" t="n">
        <f aca="false">IFERROR(__xludf.dummyfunction("""COMPUTED_VALUE"""),2)</f>
        <v>2</v>
      </c>
      <c r="J386" s="13" t="n">
        <f aca="false">IFERROR(__xludf.dummyfunction("""COMPUTED_VALUE"""),267)</f>
        <v>267</v>
      </c>
      <c r="K386" s="13" t="n">
        <f aca="false">IFERROR(__xludf.dummyfunction("""COMPUTED_VALUE"""),534)</f>
        <v>534</v>
      </c>
      <c r="L386" s="13" t="str">
        <f aca="false">IFERROR(__xludf.dummyfunction("""COMPUTED_VALUE"""),"[Code: 335AABDD]  TA; 2unit found damage during sorting (bag sy damage mily hain seal sy open hain)")</f>
        <v>[Code: 335AABDD]  TA; 2unit found damage during sorting (bag sy damage mily hain seal sy open hain)</v>
      </c>
      <c r="M386" s="13" t="str">
        <f aca="false">IFERROR(__xludf.dummyfunction("""COMPUTED_VALUE"""),"335AABDD")</f>
        <v>335AABDD</v>
      </c>
      <c r="N386" s="13"/>
      <c r="O386" s="13" t="str">
        <f aca="false">IFERROR(__xludf.dummyfunction("""COMPUTED_VALUE"""),"taufeeq.akhtar@tajir-app.com")</f>
        <v>taufeeq.akhtar@tajir-app.com</v>
      </c>
      <c r="P386" s="13" t="str">
        <f aca="false">IFERROR(__xludf.dummyfunction("""COMPUTED_VALUE"""),"Taufeeq Akhtar ")</f>
        <v>Taufeeq Akhtar </v>
      </c>
      <c r="Q386" s="13" t="str">
        <f aca="false">IFERROR(__xludf.dummyfunction("""COMPUTED_VALUE"""),"[Code: 335AABDD]  TA; 2unit found damage during sorting (bag sy damage mily hain seal sy open hain)")</f>
        <v>[Code: 335AABDD]  TA; 2unit found damage during sorting (bag sy damage mily hain seal sy open hain)</v>
      </c>
      <c r="R386" s="13" t="str">
        <v>Mon,02-October-2023 ,10:33 PM</v>
      </c>
      <c r="S386" s="13" t="str">
        <v>Damaged Stock</v>
      </c>
    </row>
    <row r="387" customFormat="false" ht="15.75" hidden="false" customHeight="false" outlineLevel="0" collapsed="false">
      <c r="A387" s="13" t="str">
        <f aca="false">IFERROR(__xludf.dummyfunction("""COMPUTED_VALUE"""),"Metro DC Faisalabad")</f>
        <v>Metro DC Faisalabad</v>
      </c>
      <c r="B387" s="13" t="str">
        <f aca="false">IFERROR(__xludf.dummyfunction("""COMPUTED_VALUE"""),"5c5c14c0-1835-4730-97c8-c60574b0a2d5")</f>
        <v>5c5c14c0-1835-4730-97c8-c60574b0a2d5</v>
      </c>
      <c r="C387" s="13" t="str">
        <f aca="false">IFERROR(__xludf.dummyfunction("""COMPUTED_VALUE"""),"Surf Excel x6 bundle 95g Rs50")</f>
        <v>Surf Excel x6 bundle 95g Rs50</v>
      </c>
      <c r="D387" s="13" t="str">
        <f aca="false">IFERROR(__xludf.dummyfunction("""COMPUTED_VALUE"""),"Surf Excel")</f>
        <v>Surf Excel</v>
      </c>
      <c r="E387" s="13" t="str">
        <f aca="false">IFERROR(__xludf.dummyfunction("""COMPUTED_VALUE"""),"Surf, Bleach")</f>
        <v>Surf, Bleach</v>
      </c>
      <c r="F387" s="11" t="n">
        <f aca="false">IFERROR(__xludf.dummyfunction("""COMPUTED_VALUE"""),45201)</f>
        <v>45201</v>
      </c>
      <c r="G387" s="12" t="n">
        <f aca="false">IFERROR(__xludf.dummyfunction("""COMPUTED_VALUE"""),0.940226342591757)</f>
        <v>0.9402263426</v>
      </c>
      <c r="H387" s="13" t="str">
        <f aca="false">IFERROR(__xludf.dummyfunction("""COMPUTED_VALUE"""),"damaged stock")</f>
        <v>damaged stock</v>
      </c>
      <c r="I387" s="13" t="n">
        <f aca="false">IFERROR(__xludf.dummyfunction("""COMPUTED_VALUE"""),1)</f>
        <v>1</v>
      </c>
      <c r="J387" s="13" t="n">
        <f aca="false">IFERROR(__xludf.dummyfunction("""COMPUTED_VALUE"""),275)</f>
        <v>275</v>
      </c>
      <c r="K387" s="13" t="n">
        <f aca="false">IFERROR(__xludf.dummyfunction("""COMPUTED_VALUE"""),275)</f>
        <v>275</v>
      </c>
      <c r="L387" s="13" t="str">
        <f aca="false">IFERROR(__xludf.dummyfunction("""COMPUTED_VALUE"""),"[Code: 45569ADE]  TA; 1unit found damage during display ")</f>
        <v>[Code: 45569ADE]  TA; 1unit found damage during display </v>
      </c>
      <c r="M387" s="13" t="str">
        <f aca="false">IFERROR(__xludf.dummyfunction("""COMPUTED_VALUE"""),"45569ADE")</f>
        <v>45569ADE</v>
      </c>
      <c r="N387" s="13"/>
      <c r="O387" s="13" t="str">
        <f aca="false">IFERROR(__xludf.dummyfunction("""COMPUTED_VALUE"""),"taufeeq.akhtar@tajir-app.com")</f>
        <v>taufeeq.akhtar@tajir-app.com</v>
      </c>
      <c r="P387" s="13" t="str">
        <f aca="false">IFERROR(__xludf.dummyfunction("""COMPUTED_VALUE"""),"Taufeeq Akhtar ")</f>
        <v>Taufeeq Akhtar </v>
      </c>
      <c r="Q387" s="13" t="str">
        <f aca="false">IFERROR(__xludf.dummyfunction("""COMPUTED_VALUE"""),"[Code: 45569ADE]  TA; 1unit found damage during display ")</f>
        <v>[Code: 45569ADE]  TA; 1unit found damage during display </v>
      </c>
      <c r="R387" s="13" t="str">
        <v>Mon,02-October-2023 ,10:33 PM</v>
      </c>
      <c r="S387" s="13" t="str">
        <v>Damaged Stock</v>
      </c>
    </row>
    <row r="388" customFormat="false" ht="15.75" hidden="false" customHeight="false" outlineLevel="0" collapsed="false">
      <c r="A388" s="13" t="str">
        <f aca="false">IFERROR(__xludf.dummyfunction("""COMPUTED_VALUE"""),"Metro DC Faisalabad")</f>
        <v>Metro DC Faisalabad</v>
      </c>
      <c r="B388" s="13" t="str">
        <f aca="false">IFERROR(__xludf.dummyfunction("""COMPUTED_VALUE"""),"38f91ed7-8c25-4061-b1cb-85ac528c02dc")</f>
        <v>38f91ed7-8c25-4061-b1cb-85ac528c02dc</v>
      </c>
      <c r="C388" s="13" t="str">
        <f aca="false">IFERROR(__xludf.dummyfunction("""COMPUTED_VALUE"""),"Shangrila Tomato Ketchup x6 Bundle 70g")</f>
        <v>Shangrila Tomato Ketchup x6 Bundle 70g</v>
      </c>
      <c r="D388" s="13" t="str">
        <f aca="false">IFERROR(__xludf.dummyfunction("""COMPUTED_VALUE"""),"Shangrila")</f>
        <v>Shangrila</v>
      </c>
      <c r="E388" s="13" t="str">
        <f aca="false">IFERROR(__xludf.dummyfunction("""COMPUTED_VALUE"""),"Sauces")</f>
        <v>Sauces</v>
      </c>
      <c r="F388" s="11" t="n">
        <f aca="false">IFERROR(__xludf.dummyfunction("""COMPUTED_VALUE"""),45201)</f>
        <v>45201</v>
      </c>
      <c r="G388" s="12" t="n">
        <f aca="false">IFERROR(__xludf.dummyfunction("""COMPUTED_VALUE"""),0.941324201390425)</f>
        <v>0.9413242014</v>
      </c>
      <c r="H388" s="13" t="str">
        <f aca="false">IFERROR(__xludf.dummyfunction("""COMPUTED_VALUE"""),"damaged stock")</f>
        <v>damaged stock</v>
      </c>
      <c r="I388" s="13" t="n">
        <f aca="false">IFERROR(__xludf.dummyfunction("""COMPUTED_VALUE"""),1)</f>
        <v>1</v>
      </c>
      <c r="J388" s="13" t="n">
        <f aca="false">IFERROR(__xludf.dummyfunction("""COMPUTED_VALUE"""),188.49)</f>
        <v>188.49</v>
      </c>
      <c r="K388" s="13" t="n">
        <f aca="false">IFERROR(__xludf.dummyfunction("""COMPUTED_VALUE"""),188.49)</f>
        <v>188.49</v>
      </c>
      <c r="L388" s="13" t="str">
        <f aca="false">IFERROR(__xludf.dummyfunction("""COMPUTED_VALUE"""),"[Code: 26CDEHKK]  TA; 1unit found damage during display (cotton sy damage mila he)")</f>
        <v>[Code: 26CDEHKK]  TA; 1unit found damage during display (cotton sy damage mila he)</v>
      </c>
      <c r="M388" s="13" t="str">
        <f aca="false">IFERROR(__xludf.dummyfunction("""COMPUTED_VALUE"""),"26CDEHKK")</f>
        <v>26CDEHKK</v>
      </c>
      <c r="N388" s="13"/>
      <c r="O388" s="13" t="str">
        <f aca="false">IFERROR(__xludf.dummyfunction("""COMPUTED_VALUE"""),"taufeeq.akhtar@tajir-app.com")</f>
        <v>taufeeq.akhtar@tajir-app.com</v>
      </c>
      <c r="P388" s="13" t="str">
        <f aca="false">IFERROR(__xludf.dummyfunction("""COMPUTED_VALUE"""),"Taufeeq Akhtar ")</f>
        <v>Taufeeq Akhtar </v>
      </c>
      <c r="Q388" s="13" t="str">
        <f aca="false">IFERROR(__xludf.dummyfunction("""COMPUTED_VALUE"""),"[Code: 26CDEHKK]  TA; 1unit found damage during display (cotton sy damage mila he)")</f>
        <v>[Code: 26CDEHKK]  TA; 1unit found damage during display (cotton sy damage mila he)</v>
      </c>
      <c r="R388" s="13" t="str">
        <v>Mon,02-October-2023 ,10:35 PM</v>
      </c>
      <c r="S388" s="13" t="str">
        <v>Damaged Stock</v>
      </c>
    </row>
    <row r="389" customFormat="false" ht="15.75" hidden="false" customHeight="false" outlineLevel="0" collapsed="false">
      <c r="A389" s="13" t="str">
        <f aca="false">IFERROR(__xludf.dummyfunction("""COMPUTED_VALUE"""),"Metro DC Faisalabad")</f>
        <v>Metro DC Faisalabad</v>
      </c>
      <c r="B389" s="13" t="str">
        <f aca="false">IFERROR(__xludf.dummyfunction("""COMPUTED_VALUE"""),"e22b9d74-ee25-4162-b816-ac79f5614672")</f>
        <v>e22b9d74-ee25-4162-b816-ac79f5614672</v>
      </c>
      <c r="C389" s="13" t="str">
        <f aca="false">IFERROR(__xludf.dummyfunction("""COMPUTED_VALUE"""),"Sherdil Dry Aloo Bukhara 200g")</f>
        <v>Sherdil Dry Aloo Bukhara 200g</v>
      </c>
      <c r="D389" s="13" t="str">
        <f aca="false">IFERROR(__xludf.dummyfunction("""COMPUTED_VALUE"""),"Sherdil")</f>
        <v>Sherdil</v>
      </c>
      <c r="E389" s="13" t="str">
        <f aca="false">IFERROR(__xludf.dummyfunction("""COMPUTED_VALUE"""),"Spices")</f>
        <v>Spices</v>
      </c>
      <c r="F389" s="11" t="n">
        <f aca="false">IFERROR(__xludf.dummyfunction("""COMPUTED_VALUE"""),45202)</f>
        <v>45202</v>
      </c>
      <c r="G389" s="12" t="n">
        <f aca="false">IFERROR(__xludf.dummyfunction("""COMPUTED_VALUE"""),0.671747071759534)</f>
        <v>0.6717470718</v>
      </c>
      <c r="H389" s="13" t="str">
        <f aca="false">IFERROR(__xludf.dummyfunction("""COMPUTED_VALUE"""),"damaged stock")</f>
        <v>damaged stock</v>
      </c>
      <c r="I389" s="13" t="n">
        <f aca="false">IFERROR(__xludf.dummyfunction("""COMPUTED_VALUE"""),2)</f>
        <v>2</v>
      </c>
      <c r="J389" s="13" t="n">
        <f aca="false">IFERROR(__xludf.dummyfunction("""COMPUTED_VALUE"""),230)</f>
        <v>230</v>
      </c>
      <c r="K389" s="13" t="n">
        <f aca="false">IFERROR(__xludf.dummyfunction("""COMPUTED_VALUE"""),460)</f>
        <v>460</v>
      </c>
      <c r="L389" s="13" t="str">
        <f aca="false">IFERROR(__xludf.dummyfunction("""COMPUTED_VALUE"""),"[Code: 22455EEF] ZA: Stock Removed due to bad Quality")</f>
        <v>[Code: 22455EEF] ZA: Stock Removed due to bad Quality</v>
      </c>
      <c r="M389" s="13" t="str">
        <f aca="false">IFERROR(__xludf.dummyfunction("""COMPUTED_VALUE"""),"22455EEF")</f>
        <v>22455EEF</v>
      </c>
      <c r="N389" s="13"/>
      <c r="O389" s="13" t="str">
        <f aca="false">IFERROR(__xludf.dummyfunction("""COMPUTED_VALUE"""),"ali.raza@tajir-app.com")</f>
        <v>ali.raza@tajir-app.com</v>
      </c>
      <c r="P389" s="13" t="str">
        <f aca="false">IFERROR(__xludf.dummyfunction("""COMPUTED_VALUE"""),"Ali Raza ")</f>
        <v>Ali Raza </v>
      </c>
      <c r="Q389" s="13" t="str">
        <f aca="false">IFERROR(__xludf.dummyfunction("""COMPUTED_VALUE"""),"[Code: 22455EEF] ZA: Stock Removed due to bad Quality")</f>
        <v>[Code: 22455EEF] ZA: Stock Removed due to bad Quality</v>
      </c>
      <c r="R389" s="13" t="str">
        <v>Tue,03-October-2023 ,04:07 PM</v>
      </c>
      <c r="S389" s="13" t="str">
        <v>Damaged Stock</v>
      </c>
    </row>
    <row r="390" customFormat="false" ht="15.75" hidden="false" customHeight="false" outlineLevel="0" collapsed="false">
      <c r="A390" s="13" t="str">
        <f aca="false">IFERROR(__xludf.dummyfunction("""COMPUTED_VALUE"""),"Metro DC Faisalabad")</f>
        <v>Metro DC Faisalabad</v>
      </c>
      <c r="B390" s="13" t="str">
        <f aca="false">IFERROR(__xludf.dummyfunction("""COMPUTED_VALUE"""),"2078dcd4-3c88-45e1-bc7b-363dde84c6e8")</f>
        <v>2078dcd4-3c88-45e1-bc7b-363dde84c6e8</v>
      </c>
      <c r="C390" s="13" t="str">
        <f aca="false">IFERROR(__xludf.dummyfunction("""COMPUTED_VALUE"""),"Special Wooden Phool Jharoo")</f>
        <v>Special Wooden Phool Jharoo</v>
      </c>
      <c r="D390" s="13" t="str">
        <f aca="false">IFERROR(__xludf.dummyfunction("""COMPUTED_VALUE"""),"Jharoo")</f>
        <v>Jharoo</v>
      </c>
      <c r="E390" s="13" t="str">
        <f aca="false">IFERROR(__xludf.dummyfunction("""COMPUTED_VALUE"""),"Home Care")</f>
        <v>Home Care</v>
      </c>
      <c r="F390" s="11" t="n">
        <f aca="false">IFERROR(__xludf.dummyfunction("""COMPUTED_VALUE"""),45202)</f>
        <v>45202</v>
      </c>
      <c r="G390" s="12" t="n">
        <f aca="false">IFERROR(__xludf.dummyfunction("""COMPUTED_VALUE"""),0.923440011575529)</f>
        <v>0.9234400116</v>
      </c>
      <c r="H390" s="13" t="str">
        <f aca="false">IFERROR(__xludf.dummyfunction("""COMPUTED_VALUE"""),"damaged stock")</f>
        <v>damaged stock</v>
      </c>
      <c r="I390" s="13" t="n">
        <f aca="false">IFERROR(__xludf.dummyfunction("""COMPUTED_VALUE"""),1)</f>
        <v>1</v>
      </c>
      <c r="J390" s="13" t="n">
        <f aca="false">IFERROR(__xludf.dummyfunction("""COMPUTED_VALUE"""),135)</f>
        <v>135</v>
      </c>
      <c r="K390" s="13" t="n">
        <f aca="false">IFERROR(__xludf.dummyfunction("""COMPUTED_VALUE"""),135)</f>
        <v>135</v>
      </c>
      <c r="L390" s="13" t="str">
        <f aca="false">IFERROR(__xludf.dummyfunction("""COMPUTED_VALUE"""),"[Code: 45699CFF] TA: 1 unit damage found (sorting ky doran damage mila hy)")</f>
        <v>[Code: 45699CFF] TA: 1 unit damage found (sorting ky doran damage mila hy)</v>
      </c>
      <c r="M390" s="13" t="str">
        <f aca="false">IFERROR(__xludf.dummyfunction("""COMPUTED_VALUE"""),"45699CFF")</f>
        <v>45699CFF</v>
      </c>
      <c r="N390" s="13"/>
      <c r="O390" s="13" t="str">
        <f aca="false">IFERROR(__xludf.dummyfunction("""COMPUTED_VALUE"""),"taufeeq.akhtar@tajir-app.com")</f>
        <v>taufeeq.akhtar@tajir-app.com</v>
      </c>
      <c r="P390" s="13" t="str">
        <f aca="false">IFERROR(__xludf.dummyfunction("""COMPUTED_VALUE"""),"Taufeeq Akhtar ")</f>
        <v>Taufeeq Akhtar </v>
      </c>
      <c r="Q390" s="13" t="str">
        <f aca="false">IFERROR(__xludf.dummyfunction("""COMPUTED_VALUE"""),"[Code: 45699CFF] TA: 1 unit damage found (sorting ky doran damage mila hy)")</f>
        <v>[Code: 45699CFF] TA: 1 unit damage found (sorting ky doran damage mila hy)</v>
      </c>
      <c r="R390" s="13" t="str">
        <v>Tue,03-October-2023 ,10:09 PM</v>
      </c>
      <c r="S390" s="13" t="str">
        <v>Damaged Stock</v>
      </c>
    </row>
    <row r="391" customFormat="false" ht="15.75" hidden="false" customHeight="false" outlineLevel="0" collapsed="false">
      <c r="A391" s="13" t="str">
        <f aca="false">IFERROR(__xludf.dummyfunction("""COMPUTED_VALUE"""),"Metro DC Faisalabad")</f>
        <v>Metro DC Faisalabad</v>
      </c>
      <c r="B391" s="13" t="str">
        <f aca="false">IFERROR(__xludf.dummyfunction("""COMPUTED_VALUE"""),"d9f37d3d-1faf-49e9-a182-5cf510e25207")</f>
        <v>d9f37d3d-1faf-49e9-a182-5cf510e25207</v>
      </c>
      <c r="C391" s="13" t="str">
        <f aca="false">IFERROR(__xludf.dummyfunction("""COMPUTED_VALUE"""),"Robin Blue Liquid x2 Bundle 75ml Rs230")</f>
        <v>Robin Blue Liquid x2 Bundle 75ml Rs230</v>
      </c>
      <c r="D391" s="13" t="str">
        <f aca="false">IFERROR(__xludf.dummyfunction("""COMPUTED_VALUE"""),"Robin")</f>
        <v>Robin</v>
      </c>
      <c r="E391" s="13" t="str">
        <f aca="false">IFERROR(__xludf.dummyfunction("""COMPUTED_VALUE"""),"Surf, Bleach")</f>
        <v>Surf, Bleach</v>
      </c>
      <c r="F391" s="11" t="n">
        <f aca="false">IFERROR(__xludf.dummyfunction("""COMPUTED_VALUE"""),45202)</f>
        <v>45202</v>
      </c>
      <c r="G391" s="12" t="n">
        <f aca="false">IFERROR(__xludf.dummyfunction("""COMPUTED_VALUE"""),0.926955601850914)</f>
        <v>0.9269556019</v>
      </c>
      <c r="H391" s="13" t="str">
        <f aca="false">IFERROR(__xludf.dummyfunction("""COMPUTED_VALUE"""),"damaged stock")</f>
        <v>damaged stock</v>
      </c>
      <c r="I391" s="13" t="n">
        <f aca="false">IFERROR(__xludf.dummyfunction("""COMPUTED_VALUE"""),1)</f>
        <v>1</v>
      </c>
      <c r="J391" s="13" t="n">
        <f aca="false">IFERROR(__xludf.dummyfunction("""COMPUTED_VALUE"""),350.72)</f>
        <v>350.72</v>
      </c>
      <c r="K391" s="13" t="n">
        <f aca="false">IFERROR(__xludf.dummyfunction("""COMPUTED_VALUE"""),350.72)</f>
        <v>350.72</v>
      </c>
      <c r="L391" s="13" t="str">
        <f aca="false">IFERROR(__xludf.dummyfunction("""COMPUTED_VALUE"""),"[Code: 4679BCDD] TA: 1 unit damage found (sorting ky doran damage mila hy)")</f>
        <v>[Code: 4679BCDD] TA: 1 unit damage found (sorting ky doran damage mila hy)</v>
      </c>
      <c r="M391" s="13" t="str">
        <f aca="false">IFERROR(__xludf.dummyfunction("""COMPUTED_VALUE"""),"4679BCDD")</f>
        <v>4679BCDD</v>
      </c>
      <c r="N391" s="13"/>
      <c r="O391" s="13" t="str">
        <f aca="false">IFERROR(__xludf.dummyfunction("""COMPUTED_VALUE"""),"taufeeq.akhtar@tajir-app.com")</f>
        <v>taufeeq.akhtar@tajir-app.com</v>
      </c>
      <c r="P391" s="13" t="str">
        <f aca="false">IFERROR(__xludf.dummyfunction("""COMPUTED_VALUE"""),"Taufeeq Akhtar ")</f>
        <v>Taufeeq Akhtar </v>
      </c>
      <c r="Q391" s="13" t="str">
        <f aca="false">IFERROR(__xludf.dummyfunction("""COMPUTED_VALUE"""),"[Code: 4679BCDD] TA: 1 unit damage found (sorting ky doran damage mila hy)")</f>
        <v>[Code: 4679BCDD] TA: 1 unit damage found (sorting ky doran damage mila hy)</v>
      </c>
      <c r="R391" s="13" t="str">
        <v>Tue,03-October-2023 ,10:14 PM</v>
      </c>
      <c r="S391" s="13" t="str">
        <v>Damaged Stock</v>
      </c>
    </row>
    <row r="392" customFormat="false" ht="15.75" hidden="false" customHeight="false" outlineLevel="0" collapsed="false">
      <c r="A392" s="13" t="str">
        <f aca="false">IFERROR(__xludf.dummyfunction("""COMPUTED_VALUE"""),"Metro DC Faisalabad")</f>
        <v>Metro DC Faisalabad</v>
      </c>
      <c r="B392" s="13" t="str">
        <f aca="false">IFERROR(__xludf.dummyfunction("""COMPUTED_VALUE"""),"a3fd9ae4-01a1-4cf0-82bb-221e4c8cf42d")</f>
        <v>a3fd9ae4-01a1-4cf0-82bb-221e4c8cf42d</v>
      </c>
      <c r="C392" s="13" t="str">
        <f aca="false">IFERROR(__xludf.dummyfunction("""COMPUTED_VALUE"""),"Lifebuoy Herbal Strong 9ml 16pcs Rs.10")</f>
        <v>Lifebuoy Herbal Strong 9ml 16pcs Rs.10</v>
      </c>
      <c r="D392" s="13" t="str">
        <f aca="false">IFERROR(__xludf.dummyfunction("""COMPUTED_VALUE"""),"Lifebuoy")</f>
        <v>Lifebuoy</v>
      </c>
      <c r="E392" s="13" t="str">
        <f aca="false">IFERROR(__xludf.dummyfunction("""COMPUTED_VALUE"""),"Shampoo")</f>
        <v>Shampoo</v>
      </c>
      <c r="F392" s="11" t="n">
        <f aca="false">IFERROR(__xludf.dummyfunction("""COMPUTED_VALUE"""),45202)</f>
        <v>45202</v>
      </c>
      <c r="G392" s="12" t="n">
        <f aca="false">IFERROR(__xludf.dummyfunction("""COMPUTED_VALUE"""),0.931339305554122)</f>
        <v>0.9313393056</v>
      </c>
      <c r="H392" s="13" t="str">
        <f aca="false">IFERROR(__xludf.dummyfunction("""COMPUTED_VALUE"""),"damaged stock")</f>
        <v>damaged stock</v>
      </c>
      <c r="I392" s="13" t="n">
        <f aca="false">IFERROR(__xludf.dummyfunction("""COMPUTED_VALUE"""),2)</f>
        <v>2</v>
      </c>
      <c r="J392" s="13" t="n">
        <f aca="false">IFERROR(__xludf.dummyfunction("""COMPUTED_VALUE"""),142.5)</f>
        <v>142.5</v>
      </c>
      <c r="K392" s="13" t="n">
        <f aca="false">IFERROR(__xludf.dummyfunction("""COMPUTED_VALUE"""),285)</f>
        <v>285</v>
      </c>
      <c r="L392" s="13" t="str">
        <f aca="false">IFERROR(__xludf.dummyfunction("""COMPUTED_VALUE"""),"[Code: 44689CGH] TA: 2 units found damage (box main sy damage mily hain)")</f>
        <v>[Code: 44689CGH] TA: 2 units found damage (box main sy damage mily hain)</v>
      </c>
      <c r="M392" s="13" t="str">
        <f aca="false">IFERROR(__xludf.dummyfunction("""COMPUTED_VALUE"""),"44689CGH")</f>
        <v>44689CGH</v>
      </c>
      <c r="N392" s="13"/>
      <c r="O392" s="13" t="str">
        <f aca="false">IFERROR(__xludf.dummyfunction("""COMPUTED_VALUE"""),"taufeeq.akhtar@tajir-app.com")</f>
        <v>taufeeq.akhtar@tajir-app.com</v>
      </c>
      <c r="P392" s="13" t="str">
        <f aca="false">IFERROR(__xludf.dummyfunction("""COMPUTED_VALUE"""),"Taufeeq Akhtar ")</f>
        <v>Taufeeq Akhtar </v>
      </c>
      <c r="Q392" s="13" t="str">
        <f aca="false">IFERROR(__xludf.dummyfunction("""COMPUTED_VALUE"""),"[Code: 44689CGH] TA: 2 units found damage (box main sy damage mily hain)")</f>
        <v>[Code: 44689CGH] TA: 2 units found damage (box main sy damage mily hain)</v>
      </c>
      <c r="R392" s="13" t="str">
        <v>Tue,03-October-2023 ,10:21 PM</v>
      </c>
      <c r="S392" s="13" t="str">
        <v>Damaged Stock</v>
      </c>
    </row>
    <row r="393" customFormat="false" ht="15.75" hidden="false" customHeight="false" outlineLevel="0" collapsed="false">
      <c r="A393" s="13" t="str">
        <f aca="false">IFERROR(__xludf.dummyfunction("""COMPUTED_VALUE"""),"Metro DC Faisalabad")</f>
        <v>Metro DC Faisalabad</v>
      </c>
      <c r="B393" s="13" t="str">
        <f aca="false">IFERROR(__xludf.dummyfunction("""COMPUTED_VALUE"""),"e9ed0c29-a010-4faa-8134-f48eaaca8f25")</f>
        <v>e9ed0c29-a010-4faa-8134-f48eaaca8f25</v>
      </c>
      <c r="C393" s="13" t="str">
        <f aca="false">IFERROR(__xludf.dummyfunction("""COMPUTED_VALUE"""),"Crown Chakki Atta 5kg")</f>
        <v>Crown Chakki Atta 5kg</v>
      </c>
      <c r="D393" s="13" t="str">
        <f aca="false">IFERROR(__xludf.dummyfunction("""COMPUTED_VALUE"""),"Crown Chakki Atta")</f>
        <v>Crown Chakki Atta</v>
      </c>
      <c r="E393" s="13" t="str">
        <f aca="false">IFERROR(__xludf.dummyfunction("""COMPUTED_VALUE"""),"Flour")</f>
        <v>Flour</v>
      </c>
      <c r="F393" s="11" t="n">
        <f aca="false">IFERROR(__xludf.dummyfunction("""COMPUTED_VALUE"""),45202)</f>
        <v>45202</v>
      </c>
      <c r="G393" s="12" t="n">
        <f aca="false">IFERROR(__xludf.dummyfunction("""COMPUTED_VALUE"""),0.9425027314825)</f>
        <v>0.9425027315</v>
      </c>
      <c r="H393" s="13" t="str">
        <f aca="false">IFERROR(__xludf.dummyfunction("""COMPUTED_VALUE"""),"damaged stock")</f>
        <v>damaged stock</v>
      </c>
      <c r="I393" s="13" t="n">
        <f aca="false">IFERROR(__xludf.dummyfunction("""COMPUTED_VALUE"""),12)</f>
        <v>12</v>
      </c>
      <c r="J393" s="13" t="n">
        <f aca="false">IFERROR(__xludf.dummyfunction("""COMPUTED_VALUE"""),690)</f>
        <v>690</v>
      </c>
      <c r="K393" s="13" t="n">
        <f aca="false">IFERROR(__xludf.dummyfunction("""COMPUTED_VALUE"""),8280)</f>
        <v>8280</v>
      </c>
      <c r="L393" s="13" t="str">
        <f aca="false">IFERROR(__xludf.dummyfunction("""COMPUTED_VALUE"""),"[Code: 2345788G] TA: 12 units found in bad quality(tthailay banay hauy hain under)")</f>
        <v>[Code: 2345788G] TA: 12 units found in bad quality(tthailay banay hauy hain under)</v>
      </c>
      <c r="M393" s="13" t="str">
        <f aca="false">IFERROR(__xludf.dummyfunction("""COMPUTED_VALUE"""),"2345788G")</f>
        <v>2345788G</v>
      </c>
      <c r="N393" s="13"/>
      <c r="O393" s="13" t="str">
        <f aca="false">IFERROR(__xludf.dummyfunction("""COMPUTED_VALUE"""),"taufeeq.akhtar@tajir-app.com")</f>
        <v>taufeeq.akhtar@tajir-app.com</v>
      </c>
      <c r="P393" s="13" t="str">
        <f aca="false">IFERROR(__xludf.dummyfunction("""COMPUTED_VALUE"""),"Taufeeq Akhtar ")</f>
        <v>Taufeeq Akhtar </v>
      </c>
      <c r="Q393" s="13" t="str">
        <f aca="false">IFERROR(__xludf.dummyfunction("""COMPUTED_VALUE"""),"[Code: 2345788G] TA: 12 units found in bad quality(tthailay banay hauy hain under)")</f>
        <v>[Code: 2345788G] TA: 12 units found in bad quality(tthailay banay hauy hain under)</v>
      </c>
      <c r="R393" s="13" t="str">
        <v>Tue,03-October-2023 ,10:37 PM</v>
      </c>
      <c r="S393" s="13" t="str">
        <v>Damaged Stock</v>
      </c>
    </row>
    <row r="394" customFormat="false" ht="15.75" hidden="false" customHeight="false" outlineLevel="0" collapsed="false">
      <c r="A394" s="13" t="str">
        <f aca="false">IFERROR(__xludf.dummyfunction("""COMPUTED_VALUE"""),"Metro DC Faisalabad")</f>
        <v>Metro DC Faisalabad</v>
      </c>
      <c r="B394" s="13" t="str">
        <f aca="false">IFERROR(__xludf.dummyfunction("""COMPUTED_VALUE"""),"138f860f-6230-442e-9fbc-5d3c54065f1e")</f>
        <v>138f860f-6230-442e-9fbc-5d3c54065f1e</v>
      </c>
      <c r="C394" s="13" t="str">
        <f aca="false">IFERROR(__xludf.dummyfunction("""COMPUTED_VALUE"""),"Pepsi plastic 1L")</f>
        <v>Pepsi plastic 1L</v>
      </c>
      <c r="D394" s="13" t="str">
        <f aca="false">IFERROR(__xludf.dummyfunction("""COMPUTED_VALUE"""),"Pepsi")</f>
        <v>Pepsi</v>
      </c>
      <c r="E394" s="13" t="str">
        <f aca="false">IFERROR(__xludf.dummyfunction("""COMPUTED_VALUE"""),"Beverages")</f>
        <v>Beverages</v>
      </c>
      <c r="F394" s="11" t="n">
        <f aca="false">IFERROR(__xludf.dummyfunction("""COMPUTED_VALUE"""),45205)</f>
        <v>45205</v>
      </c>
      <c r="G394" s="12" t="n">
        <f aca="false">IFERROR(__xludf.dummyfunction("""COMPUTED_VALUE"""),0.676491388888867)</f>
        <v>0.6764913889</v>
      </c>
      <c r="H394" s="13" t="str">
        <f aca="false">IFERROR(__xludf.dummyfunction("""COMPUTED_VALUE"""),"damaged stock")</f>
        <v>damaged stock</v>
      </c>
      <c r="I394" s="13" t="n">
        <f aca="false">IFERROR(__xludf.dummyfunction("""COMPUTED_VALUE"""),1)</f>
        <v>1</v>
      </c>
      <c r="J394" s="13" t="n">
        <f aca="false">IFERROR(__xludf.dummyfunction("""COMPUTED_VALUE"""),595)</f>
        <v>595</v>
      </c>
      <c r="K394" s="13" t="n">
        <f aca="false">IFERROR(__xludf.dummyfunction("""COMPUTED_VALUE"""),595)</f>
        <v>595</v>
      </c>
      <c r="L394" s="13" t="str">
        <f aca="false">IFERROR(__xludf.dummyfunction("""COMPUTED_VALUE"""),"[Code: 236BEGNQ]  TA: 1 unit damage found during sorting  (2bottels lose hain)")</f>
        <v>[Code: 236BEGNQ]  TA: 1 unit damage found during sorting  (2bottels lose hain)</v>
      </c>
      <c r="M394" s="13" t="str">
        <f aca="false">IFERROR(__xludf.dummyfunction("""COMPUTED_VALUE"""),"236BEGNQ")</f>
        <v>236BEGNQ</v>
      </c>
      <c r="N394" s="13"/>
      <c r="O394" s="13" t="str">
        <f aca="false">IFERROR(__xludf.dummyfunction("""COMPUTED_VALUE"""),"taufeeq.akhtar@tajir-app.com")</f>
        <v>taufeeq.akhtar@tajir-app.com</v>
      </c>
      <c r="P394" s="13" t="str">
        <f aca="false">IFERROR(__xludf.dummyfunction("""COMPUTED_VALUE"""),"Taufeeq Akhtar ")</f>
        <v>Taufeeq Akhtar </v>
      </c>
      <c r="Q394" s="13" t="str">
        <f aca="false">IFERROR(__xludf.dummyfunction("""COMPUTED_VALUE"""),"[Code: 236BEGNQ]  TA: 1 unit damage found during sorting  (2bottels lose hain)")</f>
        <v>[Code: 236BEGNQ]  TA: 1 unit damage found during sorting  (2bottels lose hain)</v>
      </c>
      <c r="R394" s="13" t="str">
        <v>Fri,06-October-2023 ,04:14 PM</v>
      </c>
      <c r="S394" s="13" t="str">
        <v>Damaged Stock</v>
      </c>
    </row>
    <row r="395" customFormat="false" ht="15.75" hidden="false" customHeight="false" outlineLevel="0" collapsed="false">
      <c r="A395" s="13" t="str">
        <f aca="false">IFERROR(__xludf.dummyfunction("""COMPUTED_VALUE"""),"Metro DC Faisalabad")</f>
        <v>Metro DC Faisalabad</v>
      </c>
      <c r="B395" s="13" t="str">
        <f aca="false">IFERROR(__xludf.dummyfunction("""COMPUTED_VALUE"""),"8fdc60ea-d545-4d3b-950e-9c3d771fe813")</f>
        <v>8fdc60ea-d545-4d3b-950e-9c3d771fe813</v>
      </c>
      <c r="C395" s="13" t="str">
        <f aca="false">IFERROR(__xludf.dummyfunction("""COMPUTED_VALUE"""),"Sunlight Green Clean and Fresh 525g Rs99")</f>
        <v>Sunlight Green Clean and Fresh 525g Rs99</v>
      </c>
      <c r="D395" s="13" t="str">
        <f aca="false">IFERROR(__xludf.dummyfunction("""COMPUTED_VALUE"""),"Sunlight")</f>
        <v>Sunlight</v>
      </c>
      <c r="E395" s="13" t="str">
        <f aca="false">IFERROR(__xludf.dummyfunction("""COMPUTED_VALUE"""),"Surf, Bleach")</f>
        <v>Surf, Bleach</v>
      </c>
      <c r="F395" s="11" t="n">
        <f aca="false">IFERROR(__xludf.dummyfunction("""COMPUTED_VALUE"""),45205)</f>
        <v>45205</v>
      </c>
      <c r="G395" s="12" t="n">
        <f aca="false">IFERROR(__xludf.dummyfunction("""COMPUTED_VALUE"""),0.794904884258629)</f>
        <v>0.7949048843</v>
      </c>
      <c r="H395" s="13" t="str">
        <f aca="false">IFERROR(__xludf.dummyfunction("""COMPUTED_VALUE"""),"damaged stock")</f>
        <v>damaged stock</v>
      </c>
      <c r="I395" s="13" t="n">
        <f aca="false">IFERROR(__xludf.dummyfunction("""COMPUTED_VALUE"""),1)</f>
        <v>1</v>
      </c>
      <c r="J395" s="13" t="n">
        <f aca="false">IFERROR(__xludf.dummyfunction("""COMPUTED_VALUE"""),95)</f>
        <v>95</v>
      </c>
      <c r="K395" s="13" t="n">
        <f aca="false">IFERROR(__xludf.dummyfunction("""COMPUTED_VALUE"""),95)</f>
        <v>95</v>
      </c>
      <c r="L395" s="13" t="str">
        <f aca="false">IFERROR(__xludf.dummyfunction("""COMPUTED_VALUE"""),"[Code: 37ACDDDL] TA: 1 unit found damage(bag main sy damage mila hy)(sorting ky doran)")</f>
        <v>[Code: 37ACDDDL] TA: 1 unit found damage(bag main sy damage mila hy)(sorting ky doran)</v>
      </c>
      <c r="M395" s="13" t="str">
        <f aca="false">IFERROR(__xludf.dummyfunction("""COMPUTED_VALUE"""),"37ACDDDL")</f>
        <v>37ACDDDL</v>
      </c>
      <c r="N395" s="13"/>
      <c r="O395" s="13" t="str">
        <f aca="false">IFERROR(__xludf.dummyfunction("""COMPUTED_VALUE"""),"taufeeq.akhtar@tajir-app.com")</f>
        <v>taufeeq.akhtar@tajir-app.com</v>
      </c>
      <c r="P395" s="13" t="str">
        <f aca="false">IFERROR(__xludf.dummyfunction("""COMPUTED_VALUE"""),"Taufeeq Akhtar ")</f>
        <v>Taufeeq Akhtar </v>
      </c>
      <c r="Q395" s="13" t="str">
        <f aca="false">IFERROR(__xludf.dummyfunction("""COMPUTED_VALUE"""),"[Code: 37ACDDDL] TA: 1 unit found damage(bag main sy damage mila hy)(sorting ky doran)")</f>
        <v>[Code: 37ACDDDL] TA: 1 unit found damage(bag main sy damage mila hy)(sorting ky doran)</v>
      </c>
      <c r="R395" s="13" t="str">
        <v>Fri,06-October-2023 ,07:04 PM</v>
      </c>
      <c r="S395" s="13" t="str">
        <v>Damaged Stock</v>
      </c>
    </row>
    <row r="396" customFormat="false" ht="15.75" hidden="false" customHeight="false" outlineLevel="0" collapsed="false">
      <c r="A396" s="13" t="str">
        <f aca="false">IFERROR(__xludf.dummyfunction("""COMPUTED_VALUE"""),"Metro DC Faisalabad")</f>
        <v>Metro DC Faisalabad</v>
      </c>
      <c r="B396" s="13" t="str">
        <f aca="false">IFERROR(__xludf.dummyfunction("""COMPUTED_VALUE"""),"7ded1a89-96f8-4e70-aaaa-68f2f94b7cb6")</f>
        <v>7ded1a89-96f8-4e70-aaaa-68f2f94b7cb6</v>
      </c>
      <c r="C396" s="13" t="str">
        <f aca="false">IFERROR(__xludf.dummyfunction("""COMPUTED_VALUE"""),"Ariel surf bundle x6 80g Rs50")</f>
        <v>Ariel surf bundle x6 80g Rs50</v>
      </c>
      <c r="D396" s="13" t="str">
        <f aca="false">IFERROR(__xludf.dummyfunction("""COMPUTED_VALUE"""),"Ariel Surf")</f>
        <v>Ariel Surf</v>
      </c>
      <c r="E396" s="13" t="str">
        <f aca="false">IFERROR(__xludf.dummyfunction("""COMPUTED_VALUE"""),"Surf, Bleach")</f>
        <v>Surf, Bleach</v>
      </c>
      <c r="F396" s="11" t="n">
        <f aca="false">IFERROR(__xludf.dummyfunction("""COMPUTED_VALUE"""),45205)</f>
        <v>45205</v>
      </c>
      <c r="G396" s="12" t="n">
        <f aca="false">IFERROR(__xludf.dummyfunction("""COMPUTED_VALUE"""),0.796868935186118)</f>
        <v>0.7968689352</v>
      </c>
      <c r="H396" s="13" t="str">
        <f aca="false">IFERROR(__xludf.dummyfunction("""COMPUTED_VALUE"""),"damaged stock")</f>
        <v>damaged stock</v>
      </c>
      <c r="I396" s="13" t="n">
        <f aca="false">IFERROR(__xludf.dummyfunction("""COMPUTED_VALUE"""),1)</f>
        <v>1</v>
      </c>
      <c r="J396" s="13" t="n">
        <f aca="false">IFERROR(__xludf.dummyfunction("""COMPUTED_VALUE"""),267)</f>
        <v>267</v>
      </c>
      <c r="K396" s="13" t="n">
        <f aca="false">IFERROR(__xludf.dummyfunction("""COMPUTED_VALUE"""),267)</f>
        <v>267</v>
      </c>
      <c r="L396" s="13" t="str">
        <f aca="false">IFERROR(__xludf.dummyfunction("""COMPUTED_VALUE"""),"[Code: 2566ABDG] TA: 1 unit found damage (sorting ky doran bag main sy damage mila hy)")</f>
        <v>[Code: 2566ABDG] TA: 1 unit found damage (sorting ky doran bag main sy damage mila hy)</v>
      </c>
      <c r="M396" s="13" t="str">
        <f aca="false">IFERROR(__xludf.dummyfunction("""COMPUTED_VALUE"""),"2566ABDG")</f>
        <v>2566ABDG</v>
      </c>
      <c r="N396" s="13"/>
      <c r="O396" s="13" t="str">
        <f aca="false">IFERROR(__xludf.dummyfunction("""COMPUTED_VALUE"""),"taufeeq.akhtar@tajir-app.com")</f>
        <v>taufeeq.akhtar@tajir-app.com</v>
      </c>
      <c r="P396" s="13" t="str">
        <f aca="false">IFERROR(__xludf.dummyfunction("""COMPUTED_VALUE"""),"Taufeeq Akhtar ")</f>
        <v>Taufeeq Akhtar </v>
      </c>
      <c r="Q396" s="13" t="str">
        <f aca="false">IFERROR(__xludf.dummyfunction("""COMPUTED_VALUE"""),"[Code: 2566ABDG] TA: 1 unit found damage (sorting ky doran bag main sy damage mila hy)")</f>
        <v>[Code: 2566ABDG] TA: 1 unit found damage (sorting ky doran bag main sy damage mila hy)</v>
      </c>
      <c r="R396" s="13" t="str">
        <v>Fri,06-October-2023 ,07:07 PM</v>
      </c>
      <c r="S396" s="13" t="str">
        <v>Damaged Stock</v>
      </c>
    </row>
    <row r="397" customFormat="false" ht="15.75" hidden="false" customHeight="false" outlineLevel="0" collapsed="false">
      <c r="A397" s="13" t="str">
        <f aca="false">IFERROR(__xludf.dummyfunction("""COMPUTED_VALUE"""),"Metro DC Faisalabad")</f>
        <v>Metro DC Faisalabad</v>
      </c>
      <c r="B397" s="13" t="str">
        <f aca="false">IFERROR(__xludf.dummyfunction("""COMPUTED_VALUE"""),"98d3b2af-101e-4569-b9c4-46656a7fa2a9")</f>
        <v>98d3b2af-101e-4569-b9c4-46656a7fa2a9</v>
      </c>
      <c r="C397" s="13" t="str">
        <f aca="false">IFERROR(__xludf.dummyfunction("""COMPUTED_VALUE"""),"Shahi Munchy Mix Rs100")</f>
        <v>Shahi Munchy Mix Rs100</v>
      </c>
      <c r="D397" s="13" t="str">
        <f aca="false">IFERROR(__xludf.dummyfunction("""COMPUTED_VALUE"""),"Shahi")</f>
        <v>Shahi</v>
      </c>
      <c r="E397" s="13" t="str">
        <f aca="false">IFERROR(__xludf.dummyfunction("""COMPUTED_VALUE"""),"Snacks")</f>
        <v>Snacks</v>
      </c>
      <c r="F397" s="11" t="n">
        <f aca="false">IFERROR(__xludf.dummyfunction("""COMPUTED_VALUE"""),45205)</f>
        <v>45205</v>
      </c>
      <c r="G397" s="12" t="n">
        <f aca="false">IFERROR(__xludf.dummyfunction("""COMPUTED_VALUE"""),0.806999525462952)</f>
        <v>0.8069995255</v>
      </c>
      <c r="H397" s="13" t="str">
        <f aca="false">IFERROR(__xludf.dummyfunction("""COMPUTED_VALUE"""),"damaged stock")</f>
        <v>damaged stock</v>
      </c>
      <c r="I397" s="13" t="n">
        <f aca="false">IFERROR(__xludf.dummyfunction("""COMPUTED_VALUE"""),1)</f>
        <v>1</v>
      </c>
      <c r="J397" s="13" t="n">
        <f aca="false">IFERROR(__xludf.dummyfunction("""COMPUTED_VALUE"""),70.91)</f>
        <v>70.91</v>
      </c>
      <c r="K397" s="13" t="n">
        <f aca="false">IFERROR(__xludf.dummyfunction("""COMPUTED_VALUE"""),70.91)</f>
        <v>70.91</v>
      </c>
      <c r="L397" s="13" t="str">
        <f aca="false">IFERROR(__xludf.dummyfunction("""COMPUTED_VALUE"""),"[Code: 2459BHHJ] TA: 1 unit found damage (box main sy damage mila hy ) (display ky doran)")</f>
        <v>[Code: 2459BHHJ] TA: 1 unit found damage (box main sy damage mila hy ) (display ky doran)</v>
      </c>
      <c r="M397" s="13" t="str">
        <f aca="false">IFERROR(__xludf.dummyfunction("""COMPUTED_VALUE"""),"2459BHHJ")</f>
        <v>2459BHHJ</v>
      </c>
      <c r="N397" s="13"/>
      <c r="O397" s="13" t="str">
        <f aca="false">IFERROR(__xludf.dummyfunction("""COMPUTED_VALUE"""),"taufeeq.akhtar@tajir-app.com")</f>
        <v>taufeeq.akhtar@tajir-app.com</v>
      </c>
      <c r="P397" s="13" t="str">
        <f aca="false">IFERROR(__xludf.dummyfunction("""COMPUTED_VALUE"""),"Taufeeq Akhtar ")</f>
        <v>Taufeeq Akhtar </v>
      </c>
      <c r="Q397" s="13" t="str">
        <f aca="false">IFERROR(__xludf.dummyfunction("""COMPUTED_VALUE"""),"[Code: 2459BHHJ] TA: 1 unit found damage (box main sy damage mila hy ) (display ky doran)")</f>
        <v>[Code: 2459BHHJ] TA: 1 unit found damage (box main sy damage mila hy ) (display ky doran)</v>
      </c>
      <c r="R397" s="13" t="str">
        <v>Fri,06-October-2023 ,07:22 PM</v>
      </c>
      <c r="S397" s="13" t="str">
        <v>Damaged Stock</v>
      </c>
    </row>
    <row r="398" customFormat="false" ht="15.75" hidden="false" customHeight="false" outlineLevel="0" collapsed="false">
      <c r="A398" s="13" t="str">
        <f aca="false">IFERROR(__xludf.dummyfunction("""COMPUTED_VALUE"""),"Metro DC Faisalabad")</f>
        <v>Metro DC Faisalabad</v>
      </c>
      <c r="B398" s="13" t="str">
        <f aca="false">IFERROR(__xludf.dummyfunction("""COMPUTED_VALUE"""),"f3945952-aa69-4f83-bc21-db77fff3fa93")</f>
        <v>f3945952-aa69-4f83-bc21-db77fff3fa93</v>
      </c>
      <c r="C398" s="13" t="str">
        <f aca="false">IFERROR(__xludf.dummyfunction("""COMPUTED_VALUE"""),"Murree Brewery Lemon Malt Can x24 Crate 250ml")</f>
        <v>Murree Brewery Lemon Malt Can x24 Crate 250ml</v>
      </c>
      <c r="D398" s="13" t="str">
        <f aca="false">IFERROR(__xludf.dummyfunction("""COMPUTED_VALUE"""),"Murree Brewery")</f>
        <v>Murree Brewery</v>
      </c>
      <c r="E398" s="13" t="str">
        <f aca="false">IFERROR(__xludf.dummyfunction("""COMPUTED_VALUE"""),"Beverages")</f>
        <v>Beverages</v>
      </c>
      <c r="F398" s="11" t="n">
        <f aca="false">IFERROR(__xludf.dummyfunction("""COMPUTED_VALUE"""),45206)</f>
        <v>45206</v>
      </c>
      <c r="G398" s="12" t="n">
        <f aca="false">IFERROR(__xludf.dummyfunction("""COMPUTED_VALUE"""),0.764775439814691)</f>
        <v>0.7647754398</v>
      </c>
      <c r="H398" s="13" t="str">
        <f aca="false">IFERROR(__xludf.dummyfunction("""COMPUTED_VALUE"""),"damaged stock")</f>
        <v>damaged stock</v>
      </c>
      <c r="I398" s="13" t="n">
        <f aca="false">IFERROR(__xludf.dummyfunction("""COMPUTED_VALUE"""),1)</f>
        <v>1</v>
      </c>
      <c r="J398" s="13" t="n">
        <f aca="false">IFERROR(__xludf.dummyfunction("""COMPUTED_VALUE"""),1558)</f>
        <v>1558</v>
      </c>
      <c r="K398" s="13" t="n">
        <f aca="false">IFERROR(__xludf.dummyfunction("""COMPUTED_VALUE"""),1558)</f>
        <v>1558</v>
      </c>
      <c r="L398" s="13" t="str">
        <f aca="false">IFERROR(__xludf.dummyfunction("""COMPUTED_VALUE"""),"[Code: 234569CC] ZA: Stock removed due to damage. ")</f>
        <v>[Code: 234569CC] ZA: Stock removed due to damage. </v>
      </c>
      <c r="M398" s="13" t="str">
        <f aca="false">IFERROR(__xludf.dummyfunction("""COMPUTED_VALUE"""),"234569CC")</f>
        <v>234569CC</v>
      </c>
      <c r="N398" s="13"/>
      <c r="O398" s="13" t="str">
        <f aca="false">IFERROR(__xludf.dummyfunction("""COMPUTED_VALUE"""),"ali.raza@tajir-app.com")</f>
        <v>ali.raza@tajir-app.com</v>
      </c>
      <c r="P398" s="13" t="str">
        <f aca="false">IFERROR(__xludf.dummyfunction("""COMPUTED_VALUE"""),"Ali Raza ")</f>
        <v>Ali Raza </v>
      </c>
      <c r="Q398" s="13" t="str">
        <f aca="false">IFERROR(__xludf.dummyfunction("""COMPUTED_VALUE"""),"[Code: 234569CC] ZA: Stock removed due to damage. ")</f>
        <v>[Code: 234569CC] ZA: Stock removed due to damage. </v>
      </c>
      <c r="R398" s="13" t="str">
        <v>Sat,07-October-2023 ,06:21 PM</v>
      </c>
      <c r="S398" s="13" t="str">
        <v>Damaged Stock</v>
      </c>
    </row>
    <row r="399" customFormat="false" ht="15.75" hidden="false" customHeight="false" outlineLevel="0" collapsed="false">
      <c r="A399" s="13" t="str">
        <f aca="false">IFERROR(__xludf.dummyfunction("""COMPUTED_VALUE"""),"Metro DC Faisalabad")</f>
        <v>Metro DC Faisalabad</v>
      </c>
      <c r="B399" s="13" t="str">
        <f aca="false">IFERROR(__xludf.dummyfunction("""COMPUTED_VALUE"""),"67c33ff3-e486-487d-844a-b17c396936ee")</f>
        <v>67c33ff3-e486-487d-844a-b17c396936ee</v>
      </c>
      <c r="C399" s="13" t="str">
        <f aca="false">IFERROR(__xludf.dummyfunction("""COMPUTED_VALUE"""),"Coca Cola plastic 1L")</f>
        <v>Coca Cola plastic 1L</v>
      </c>
      <c r="D399" s="13" t="str">
        <f aca="false">IFERROR(__xludf.dummyfunction("""COMPUTED_VALUE"""),"Coca Cola")</f>
        <v>Coca Cola</v>
      </c>
      <c r="E399" s="13" t="str">
        <f aca="false">IFERROR(__xludf.dummyfunction("""COMPUTED_VALUE"""),"Beverages")</f>
        <v>Beverages</v>
      </c>
      <c r="F399" s="11" t="n">
        <f aca="false">IFERROR(__xludf.dummyfunction("""COMPUTED_VALUE"""),45206)</f>
        <v>45206</v>
      </c>
      <c r="G399" s="12" t="n">
        <f aca="false">IFERROR(__xludf.dummyfunction("""COMPUTED_VALUE"""),0.889078564816065)</f>
        <v>0.8890785648</v>
      </c>
      <c r="H399" s="13" t="str">
        <f aca="false">IFERROR(__xludf.dummyfunction("""COMPUTED_VALUE"""),"damaged stock")</f>
        <v>damaged stock</v>
      </c>
      <c r="I399" s="13" t="n">
        <f aca="false">IFERROR(__xludf.dummyfunction("""COMPUTED_VALUE"""),1)</f>
        <v>1</v>
      </c>
      <c r="J399" s="13" t="n">
        <f aca="false">IFERROR(__xludf.dummyfunction("""COMPUTED_VALUE"""),742)</f>
        <v>742</v>
      </c>
      <c r="K399" s="13" t="n">
        <f aca="false">IFERROR(__xludf.dummyfunction("""COMPUTED_VALUE"""),742)</f>
        <v>742</v>
      </c>
      <c r="L399" s="13" t="str">
        <f aca="false">IFERROR(__xludf.dummyfunction("""COMPUTED_VALUE"""),"[Code: 23458ACD]  TA: 1 unit damage found during sorting  (4bottels lose hain)")</f>
        <v>[Code: 23458ACD]  TA: 1 unit damage found during sorting  (4bottels lose hain)</v>
      </c>
      <c r="M399" s="13" t="str">
        <f aca="false">IFERROR(__xludf.dummyfunction("""COMPUTED_VALUE"""),"23458ACD")</f>
        <v>23458ACD</v>
      </c>
      <c r="N399" s="13"/>
      <c r="O399" s="13" t="str">
        <f aca="false">IFERROR(__xludf.dummyfunction("""COMPUTED_VALUE"""),"taufeeq.akhtar@tajir-app.com")</f>
        <v>taufeeq.akhtar@tajir-app.com</v>
      </c>
      <c r="P399" s="13" t="str">
        <f aca="false">IFERROR(__xludf.dummyfunction("""COMPUTED_VALUE"""),"Taufeeq Akhtar ")</f>
        <v>Taufeeq Akhtar </v>
      </c>
      <c r="Q399" s="13" t="str">
        <f aca="false">IFERROR(__xludf.dummyfunction("""COMPUTED_VALUE"""),"[Code: 23458ACD]  TA: 1 unit damage found during sorting  (4bottels lose hain)")</f>
        <v>[Code: 23458ACD]  TA: 1 unit damage found during sorting  (4bottels lose hain)</v>
      </c>
      <c r="R399" s="13" t="str">
        <v>Sat,07-October-2023 ,09:20 PM</v>
      </c>
      <c r="S399" s="13" t="str">
        <v>Damaged Stock</v>
      </c>
    </row>
    <row r="400" customFormat="false" ht="15.75" hidden="false" customHeight="false" outlineLevel="0" collapsed="false">
      <c r="A400" s="13" t="str">
        <f aca="false">IFERROR(__xludf.dummyfunction("""COMPUTED_VALUE"""),"Metro DC Faisalabad")</f>
        <v>Metro DC Faisalabad</v>
      </c>
      <c r="B400" s="13" t="str">
        <f aca="false">IFERROR(__xludf.dummyfunction("""COMPUTED_VALUE"""),"cd68a607-af95-45cb-b9f4-2721224c85f8")</f>
        <v>cd68a607-af95-45cb-b9f4-2721224c85f8</v>
      </c>
      <c r="C400" s="13" t="str">
        <f aca="false">IFERROR(__xludf.dummyfunction("""COMPUTED_VALUE"""),"Coca Cola plastic 1.5L")</f>
        <v>Coca Cola plastic 1.5L</v>
      </c>
      <c r="D400" s="13" t="str">
        <f aca="false">IFERROR(__xludf.dummyfunction("""COMPUTED_VALUE"""),"Coca Cola")</f>
        <v>Coca Cola</v>
      </c>
      <c r="E400" s="13" t="str">
        <f aca="false">IFERROR(__xludf.dummyfunction("""COMPUTED_VALUE"""),"Beverages")</f>
        <v>Beverages</v>
      </c>
      <c r="F400" s="11" t="n">
        <f aca="false">IFERROR(__xludf.dummyfunction("""COMPUTED_VALUE"""),45206)</f>
        <v>45206</v>
      </c>
      <c r="G400" s="12" t="n">
        <f aca="false">IFERROR(__xludf.dummyfunction("""COMPUTED_VALUE"""),0.890791932871869)</f>
        <v>0.8907919329</v>
      </c>
      <c r="H400" s="13" t="str">
        <f aca="false">IFERROR(__xludf.dummyfunction("""COMPUTED_VALUE"""),"damaged stock")</f>
        <v>damaged stock</v>
      </c>
      <c r="I400" s="13" t="n">
        <f aca="false">IFERROR(__xludf.dummyfunction("""COMPUTED_VALUE"""),2)</f>
        <v>2</v>
      </c>
      <c r="J400" s="13" t="n">
        <f aca="false">IFERROR(__xludf.dummyfunction("""COMPUTED_VALUE"""),914.68)</f>
        <v>914.68</v>
      </c>
      <c r="K400" s="13" t="n">
        <f aca="false">IFERROR(__xludf.dummyfunction("""COMPUTED_VALUE"""),1829.36)</f>
        <v>1829.36</v>
      </c>
      <c r="L400" s="13" t="str">
        <f aca="false">IFERROR(__xludf.dummyfunction("""COMPUTED_VALUE"""),"[Code: 578888AA]  TA:2 unit damage found during sorting   ( bottels lose or khali hain)")</f>
        <v>[Code: 578888AA]  TA:2 unit damage found during sorting   ( bottels lose or khali hain)</v>
      </c>
      <c r="M400" s="13" t="str">
        <f aca="false">IFERROR(__xludf.dummyfunction("""COMPUTED_VALUE"""),"578888AA")</f>
        <v>578888AA</v>
      </c>
      <c r="N400" s="13"/>
      <c r="O400" s="13" t="str">
        <f aca="false">IFERROR(__xludf.dummyfunction("""COMPUTED_VALUE"""),"taufeeq.akhtar@tajir-app.com")</f>
        <v>taufeeq.akhtar@tajir-app.com</v>
      </c>
      <c r="P400" s="13" t="str">
        <f aca="false">IFERROR(__xludf.dummyfunction("""COMPUTED_VALUE"""),"Taufeeq Akhtar ")</f>
        <v>Taufeeq Akhtar </v>
      </c>
      <c r="Q400" s="13" t="str">
        <f aca="false">IFERROR(__xludf.dummyfunction("""COMPUTED_VALUE"""),"[Code: 578888AA]  TA:2 unit damage found during sorting   ( bottels lose or khali hain)")</f>
        <v>[Code: 578888AA]  TA:2 unit damage found during sorting   ( bottels lose or khali hain)</v>
      </c>
      <c r="R400" s="13" t="str">
        <v>Sat,07-October-2023 ,09:22 PM</v>
      </c>
      <c r="S400" s="13" t="str">
        <v>Damaged Stock</v>
      </c>
    </row>
    <row r="401" customFormat="false" ht="15.75" hidden="false" customHeight="false" outlineLevel="0" collapsed="false">
      <c r="A401" s="13" t="str">
        <f aca="false">IFERROR(__xludf.dummyfunction("""COMPUTED_VALUE"""),"Metro DC Faisalabad")</f>
        <v>Metro DC Faisalabad</v>
      </c>
      <c r="B401" s="13" t="str">
        <f aca="false">IFERROR(__xludf.dummyfunction("""COMPUTED_VALUE"""),"0f5fc901-0daa-4932-8fcb-1ab8eb56feaa")</f>
        <v>0f5fc901-0daa-4932-8fcb-1ab8eb56feaa</v>
      </c>
      <c r="C401" s="13" t="str">
        <f aca="false">IFERROR(__xludf.dummyfunction("""COMPUTED_VALUE"""),"Badshahi Qila Super Kernel Old Classic Rice 25kg")</f>
        <v>Badshahi Qila Super Kernel Old Classic Rice 25kg</v>
      </c>
      <c r="D401" s="13" t="str">
        <f aca="false">IFERROR(__xludf.dummyfunction("""COMPUTED_VALUE"""),"Badshahi Qila Rice")</f>
        <v>Badshahi Qila Rice</v>
      </c>
      <c r="E401" s="13" t="str">
        <f aca="false">IFERROR(__xludf.dummyfunction("""COMPUTED_VALUE"""),"Rice")</f>
        <v>Rice</v>
      </c>
      <c r="F401" s="11" t="n">
        <f aca="false">IFERROR(__xludf.dummyfunction("""COMPUTED_VALUE"""),45207)</f>
        <v>45207</v>
      </c>
      <c r="G401" s="12" t="n">
        <f aca="false">IFERROR(__xludf.dummyfunction("""COMPUTED_VALUE"""),0.461122465278344)</f>
        <v>0.4611224653</v>
      </c>
      <c r="H401" s="13" t="str">
        <f aca="false">IFERROR(__xludf.dummyfunction("""COMPUTED_VALUE"""),"damaged stock")</f>
        <v>damaged stock</v>
      </c>
      <c r="I401" s="13" t="n">
        <f aca="false">IFERROR(__xludf.dummyfunction("""COMPUTED_VALUE"""),9)</f>
        <v>9</v>
      </c>
      <c r="J401" s="13" t="n">
        <f aca="false">IFERROR(__xludf.dummyfunction("""COMPUTED_VALUE"""),9100)</f>
        <v>9100</v>
      </c>
      <c r="K401" s="13" t="n">
        <f aca="false">IFERROR(__xludf.dummyfunction("""COMPUTED_VALUE"""),81900)</f>
        <v>81900</v>
      </c>
      <c r="L401" s="13" t="str">
        <f aca="false">IFERROR(__xludf.dummyfunction("""COMPUTED_VALUE"""),"[Code: 334678AK] AR: Stock Removed due to Quality Issue")</f>
        <v>[Code: 334678AK] AR: Stock Removed due to Quality Issue</v>
      </c>
      <c r="M401" s="13" t="str">
        <f aca="false">IFERROR(__xludf.dummyfunction("""COMPUTED_VALUE"""),"334678AK")</f>
        <v>334678AK</v>
      </c>
      <c r="N401" s="13"/>
      <c r="O401" s="13" t="str">
        <f aca="false">IFERROR(__xludf.dummyfunction("""COMPUTED_VALUE"""),"ali.raza@tajir-app.com")</f>
        <v>ali.raza@tajir-app.com</v>
      </c>
      <c r="P401" s="13" t="str">
        <f aca="false">IFERROR(__xludf.dummyfunction("""COMPUTED_VALUE"""),"Ali Raza ")</f>
        <v>Ali Raza </v>
      </c>
      <c r="Q401" s="13" t="str">
        <f aca="false">IFERROR(__xludf.dummyfunction("""COMPUTED_VALUE"""),"[Code: 334678AK] AR: Stock Removed due to Quality Issue")</f>
        <v>[Code: 334678AK] AR: Stock Removed due to Quality Issue</v>
      </c>
      <c r="R401" s="13" t="str">
        <v>Sun,08-October-2023 ,11:04 AM</v>
      </c>
      <c r="S401" s="13" t="str">
        <v>Damaged Stock</v>
      </c>
    </row>
    <row r="402" customFormat="false" ht="15.75" hidden="false" customHeight="false" outlineLevel="0" collapsed="false">
      <c r="A402" s="13" t="str">
        <f aca="false">IFERROR(__xludf.dummyfunction("""COMPUTED_VALUE"""),"Metro DC Faisalabad")</f>
        <v>Metro DC Faisalabad</v>
      </c>
      <c r="B402" s="13" t="str">
        <f aca="false">IFERROR(__xludf.dummyfunction("""COMPUTED_VALUE"""),"630de87d-3ce6-4932-b06d-18dc87932be0")</f>
        <v>630de87d-3ce6-4932-b06d-18dc87932be0</v>
      </c>
      <c r="C402" s="13" t="str">
        <f aca="false">IFERROR(__xludf.dummyfunction("""COMPUTED_VALUE"""),"Al-Munawar Haldi 1Kg")</f>
        <v>Al-Munawar Haldi 1Kg</v>
      </c>
      <c r="D402" s="13" t="str">
        <f aca="false">IFERROR(__xludf.dummyfunction("""COMPUTED_VALUE"""),"Al-Munawar")</f>
        <v>Al-Munawar</v>
      </c>
      <c r="E402" s="13" t="str">
        <f aca="false">IFERROR(__xludf.dummyfunction("""COMPUTED_VALUE"""),"Spices")</f>
        <v>Spices</v>
      </c>
      <c r="F402" s="11" t="n">
        <f aca="false">IFERROR(__xludf.dummyfunction("""COMPUTED_VALUE"""),45207)</f>
        <v>45207</v>
      </c>
      <c r="G402" s="12" t="n">
        <f aca="false">IFERROR(__xludf.dummyfunction("""COMPUTED_VALUE"""),0.471334212962402)</f>
        <v>0.471334213</v>
      </c>
      <c r="H402" s="13" t="str">
        <f aca="false">IFERROR(__xludf.dummyfunction("""COMPUTED_VALUE"""),"damaged stock")</f>
        <v>damaged stock</v>
      </c>
      <c r="I402" s="13" t="n">
        <f aca="false">IFERROR(__xludf.dummyfunction("""COMPUTED_VALUE"""),1)</f>
        <v>1</v>
      </c>
      <c r="J402" s="13" t="n">
        <f aca="false">IFERROR(__xludf.dummyfunction("""COMPUTED_VALUE"""),320)</f>
        <v>320</v>
      </c>
      <c r="K402" s="13" t="n">
        <f aca="false">IFERROR(__xludf.dummyfunction("""COMPUTED_VALUE"""),320)</f>
        <v>320</v>
      </c>
      <c r="L402" s="13" t="str">
        <f aca="false">IFERROR(__xludf.dummyfunction("""COMPUTED_VALUE"""),"[Code: 24477AEF] AR: STOCK REMOVED DUE TO DAMAGE")</f>
        <v>[Code: 24477AEF] AR: STOCK REMOVED DUE TO DAMAGE</v>
      </c>
      <c r="M402" s="13" t="str">
        <f aca="false">IFERROR(__xludf.dummyfunction("""COMPUTED_VALUE"""),"24477AEF")</f>
        <v>24477AEF</v>
      </c>
      <c r="N402" s="13"/>
      <c r="O402" s="13" t="str">
        <f aca="false">IFERROR(__xludf.dummyfunction("""COMPUTED_VALUE"""),"ali.raza@tajir-app.com")</f>
        <v>ali.raza@tajir-app.com</v>
      </c>
      <c r="P402" s="13" t="str">
        <f aca="false">IFERROR(__xludf.dummyfunction("""COMPUTED_VALUE"""),"Ali Raza ")</f>
        <v>Ali Raza </v>
      </c>
      <c r="Q402" s="13" t="str">
        <f aca="false">IFERROR(__xludf.dummyfunction("""COMPUTED_VALUE"""),"[Code: 24477AEF] AR: STOCK REMOVED DUE TO DAMAGE")</f>
        <v>[Code: 24477AEF] AR: STOCK REMOVED DUE TO DAMAGE</v>
      </c>
      <c r="R402" s="13" t="str">
        <v>Sun,08-October-2023 ,11:18 AM</v>
      </c>
      <c r="S402" s="13" t="str">
        <v>Damaged Stock</v>
      </c>
    </row>
    <row r="403" customFormat="false" ht="15.75" hidden="false" customHeight="false" outlineLevel="0" collapsed="false">
      <c r="A403" s="13" t="str">
        <f aca="false">IFERROR(__xludf.dummyfunction("""COMPUTED_VALUE"""),"Metro DC Faisalabad")</f>
        <v>Metro DC Faisalabad</v>
      </c>
      <c r="B403" s="13" t="str">
        <f aca="false">IFERROR(__xludf.dummyfunction("""COMPUTED_VALUE"""),"a0341272-f530-40e9-97dd-e3c77f4a8a1c")</f>
        <v>a0341272-f530-40e9-97dd-e3c77f4a8a1c</v>
      </c>
      <c r="C403" s="13" t="str">
        <f aca="false">IFERROR(__xludf.dummyfunction("""COMPUTED_VALUE"""),"Murree Brewery Bigg Lychee Plastic x12 Crate 300ml")</f>
        <v>Murree Brewery Bigg Lychee Plastic x12 Crate 300ml</v>
      </c>
      <c r="D403" s="13" t="str">
        <f aca="false">IFERROR(__xludf.dummyfunction("""COMPUTED_VALUE"""),"Murree Brewery")</f>
        <v>Murree Brewery</v>
      </c>
      <c r="E403" s="13" t="str">
        <f aca="false">IFERROR(__xludf.dummyfunction("""COMPUTED_VALUE"""),"Beverages")</f>
        <v>Beverages</v>
      </c>
      <c r="F403" s="11" t="n">
        <f aca="false">IFERROR(__xludf.dummyfunction("""COMPUTED_VALUE"""),45207)</f>
        <v>45207</v>
      </c>
      <c r="G403" s="12" t="n">
        <f aca="false">IFERROR(__xludf.dummyfunction("""COMPUTED_VALUE"""),0.836703923611418)</f>
        <v>0.8367039236</v>
      </c>
      <c r="H403" s="13" t="str">
        <f aca="false">IFERROR(__xludf.dummyfunction("""COMPUTED_VALUE"""),"damaged stock")</f>
        <v>damaged stock</v>
      </c>
      <c r="I403" s="13" t="n">
        <f aca="false">IFERROR(__xludf.dummyfunction("""COMPUTED_VALUE"""),1)</f>
        <v>1</v>
      </c>
      <c r="J403" s="13" t="n">
        <f aca="false">IFERROR(__xludf.dummyfunction("""COMPUTED_VALUE"""),394.25)</f>
        <v>394.25</v>
      </c>
      <c r="K403" s="13" t="n">
        <f aca="false">IFERROR(__xludf.dummyfunction("""COMPUTED_VALUE"""),394.25)</f>
        <v>394.25</v>
      </c>
      <c r="L403" s="13" t="str">
        <f aca="false">IFERROR(__xludf.dummyfunction("""COMPUTED_VALUE"""),"[Code: 457ADDEF]  TA: 1 unit damage found during sorting  (4bottels lose hain)")</f>
        <v>[Code: 457ADDEF]  TA: 1 unit damage found during sorting  (4bottels lose hain)</v>
      </c>
      <c r="M403" s="13" t="str">
        <f aca="false">IFERROR(__xludf.dummyfunction("""COMPUTED_VALUE"""),"457ADDEF")</f>
        <v>457ADDEF</v>
      </c>
      <c r="N403" s="13"/>
      <c r="O403" s="13" t="str">
        <f aca="false">IFERROR(__xludf.dummyfunction("""COMPUTED_VALUE"""),"taufeeq.akhtar@tajir-app.com")</f>
        <v>taufeeq.akhtar@tajir-app.com</v>
      </c>
      <c r="P403" s="13" t="str">
        <f aca="false">IFERROR(__xludf.dummyfunction("""COMPUTED_VALUE"""),"Taufeeq Akhtar ")</f>
        <v>Taufeeq Akhtar </v>
      </c>
      <c r="Q403" s="13" t="str">
        <f aca="false">IFERROR(__xludf.dummyfunction("""COMPUTED_VALUE"""),"[Code: 457ADDEF]  TA: 1 unit damage found during sorting  (4bottels lose hain)")</f>
        <v>[Code: 457ADDEF]  TA: 1 unit damage found during sorting  (4bottels lose hain)</v>
      </c>
      <c r="R403" s="13" t="str">
        <v>Sun,08-October-2023 ,08:04 PM</v>
      </c>
      <c r="S403" s="13" t="str">
        <v>Damaged Stock</v>
      </c>
    </row>
    <row r="404" customFormat="false" ht="15.75" hidden="false" customHeight="false" outlineLevel="0" collapsed="false">
      <c r="A404" s="13" t="str">
        <f aca="false">IFERROR(__xludf.dummyfunction("""COMPUTED_VALUE"""),"Metro DC Faisalabad")</f>
        <v>Metro DC Faisalabad</v>
      </c>
      <c r="B404" s="13" t="str">
        <f aca="false">IFERROR(__xludf.dummyfunction("""COMPUTED_VALUE"""),"cd68a607-af95-45cb-b9f4-2721224c85f8")</f>
        <v>cd68a607-af95-45cb-b9f4-2721224c85f8</v>
      </c>
      <c r="C404" s="13" t="str">
        <f aca="false">IFERROR(__xludf.dummyfunction("""COMPUTED_VALUE"""),"Coca Cola plastic 1.5L")</f>
        <v>Coca Cola plastic 1.5L</v>
      </c>
      <c r="D404" s="13" t="str">
        <f aca="false">IFERROR(__xludf.dummyfunction("""COMPUTED_VALUE"""),"Coca Cola")</f>
        <v>Coca Cola</v>
      </c>
      <c r="E404" s="13" t="str">
        <f aca="false">IFERROR(__xludf.dummyfunction("""COMPUTED_VALUE"""),"Beverages")</f>
        <v>Beverages</v>
      </c>
      <c r="F404" s="11" t="n">
        <f aca="false">IFERROR(__xludf.dummyfunction("""COMPUTED_VALUE"""),45207)</f>
        <v>45207</v>
      </c>
      <c r="G404" s="12" t="n">
        <f aca="false">IFERROR(__xludf.dummyfunction("""COMPUTED_VALUE"""),0.842936817130346)</f>
        <v>0.8429368171</v>
      </c>
      <c r="H404" s="13" t="str">
        <f aca="false">IFERROR(__xludf.dummyfunction("""COMPUTED_VALUE"""),"damaged stock")</f>
        <v>damaged stock</v>
      </c>
      <c r="I404" s="13" t="n">
        <f aca="false">IFERROR(__xludf.dummyfunction("""COMPUTED_VALUE"""),1)</f>
        <v>1</v>
      </c>
      <c r="J404" s="13" t="n">
        <f aca="false">IFERROR(__xludf.dummyfunction("""COMPUTED_VALUE"""),914.68)</f>
        <v>914.68</v>
      </c>
      <c r="K404" s="13" t="n">
        <f aca="false">IFERROR(__xludf.dummyfunction("""COMPUTED_VALUE"""),914.68)</f>
        <v>914.68</v>
      </c>
      <c r="L404" s="13" t="str">
        <f aca="false">IFERROR(__xludf.dummyfunction("""COMPUTED_VALUE"""),"[Code: 3348AABD]  TA: 1 unit damage found during sorting  ( bottels lose hain)")</f>
        <v>[Code: 3348AABD]  TA: 1 unit damage found during sorting  ( bottels lose hain)</v>
      </c>
      <c r="M404" s="13" t="str">
        <f aca="false">IFERROR(__xludf.dummyfunction("""COMPUTED_VALUE"""),"3348AABD")</f>
        <v>3348AABD</v>
      </c>
      <c r="N404" s="13"/>
      <c r="O404" s="13" t="str">
        <f aca="false">IFERROR(__xludf.dummyfunction("""COMPUTED_VALUE"""),"taufeeq.akhtar@tajir-app.com")</f>
        <v>taufeeq.akhtar@tajir-app.com</v>
      </c>
      <c r="P404" s="13" t="str">
        <f aca="false">IFERROR(__xludf.dummyfunction("""COMPUTED_VALUE"""),"Taufeeq Akhtar ")</f>
        <v>Taufeeq Akhtar </v>
      </c>
      <c r="Q404" s="13" t="str">
        <f aca="false">IFERROR(__xludf.dummyfunction("""COMPUTED_VALUE"""),"[Code: 3348AABD]  TA: 1 unit damage found during sorting  ( bottels lose hain)")</f>
        <v>[Code: 3348AABD]  TA: 1 unit damage found during sorting  ( bottels lose hain)</v>
      </c>
      <c r="R404" s="13" t="str">
        <v>Sun,08-October-2023 ,08:13 PM</v>
      </c>
      <c r="S404" s="13" t="str">
        <v>Damaged Stock</v>
      </c>
    </row>
    <row r="405" customFormat="false" ht="15.75" hidden="false" customHeight="false" outlineLevel="0" collapsed="false">
      <c r="A405" s="13" t="str">
        <f aca="false">IFERROR(__xludf.dummyfunction("""COMPUTED_VALUE"""),"Metro DC Faisalabad")</f>
        <v>Metro DC Faisalabad</v>
      </c>
      <c r="B405" s="13" t="str">
        <f aca="false">IFERROR(__xludf.dummyfunction("""COMPUTED_VALUE"""),"ec9683dc-07f9-4a9c-9983-438ddf495b8a")</f>
        <v>ec9683dc-07f9-4a9c-9983-438ddf495b8a</v>
      </c>
      <c r="C405" s="13" t="str">
        <f aca="false">IFERROR(__xludf.dummyfunction("""COMPUTED_VALUE"""),"7up plastic 1.5L")</f>
        <v>7up plastic 1.5L</v>
      </c>
      <c r="D405" s="13" t="str">
        <f aca="false">IFERROR(__xludf.dummyfunction("""COMPUTED_VALUE"""),"7up")</f>
        <v>7up</v>
      </c>
      <c r="E405" s="13" t="str">
        <f aca="false">IFERROR(__xludf.dummyfunction("""COMPUTED_VALUE"""),"Beverages")</f>
        <v>Beverages</v>
      </c>
      <c r="F405" s="11" t="n">
        <f aca="false">IFERROR(__xludf.dummyfunction("""COMPUTED_VALUE"""),45207)</f>
        <v>45207</v>
      </c>
      <c r="G405" s="12" t="n">
        <f aca="false">IFERROR(__xludf.dummyfunction("""COMPUTED_VALUE"""),0.84475827546188)</f>
        <v>0.8447582755</v>
      </c>
      <c r="H405" s="13" t="str">
        <f aca="false">IFERROR(__xludf.dummyfunction("""COMPUTED_VALUE"""),"damaged stock")</f>
        <v>damaged stock</v>
      </c>
      <c r="I405" s="13" t="n">
        <f aca="false">IFERROR(__xludf.dummyfunction("""COMPUTED_VALUE"""),1)</f>
        <v>1</v>
      </c>
      <c r="J405" s="13" t="n">
        <f aca="false">IFERROR(__xludf.dummyfunction("""COMPUTED_VALUE"""),780)</f>
        <v>780</v>
      </c>
      <c r="K405" s="13" t="n">
        <f aca="false">IFERROR(__xludf.dummyfunction("""COMPUTED_VALUE"""),780)</f>
        <v>780</v>
      </c>
      <c r="L405" s="13" t="str">
        <f aca="false">IFERROR(__xludf.dummyfunction("""COMPUTED_VALUE"""),"[Code: 56ABBEEF]  TA: 1 unit damage found during sorting  (4bottels lose hain)")</f>
        <v>[Code: 56ABBEEF]  TA: 1 unit damage found during sorting  (4bottels lose hain)</v>
      </c>
      <c r="M405" s="13" t="str">
        <f aca="false">IFERROR(__xludf.dummyfunction("""COMPUTED_VALUE"""),"56ABBEEF")</f>
        <v>56ABBEEF</v>
      </c>
      <c r="N405" s="13"/>
      <c r="O405" s="13" t="str">
        <f aca="false">IFERROR(__xludf.dummyfunction("""COMPUTED_VALUE"""),"taufeeq.akhtar@tajir-app.com")</f>
        <v>taufeeq.akhtar@tajir-app.com</v>
      </c>
      <c r="P405" s="13" t="str">
        <f aca="false">IFERROR(__xludf.dummyfunction("""COMPUTED_VALUE"""),"Taufeeq Akhtar ")</f>
        <v>Taufeeq Akhtar </v>
      </c>
      <c r="Q405" s="13" t="str">
        <f aca="false">IFERROR(__xludf.dummyfunction("""COMPUTED_VALUE"""),"[Code: 56ABBEEF]  TA: 1 unit damage found during sorting  (4bottels lose hain)")</f>
        <v>[Code: 56ABBEEF]  TA: 1 unit damage found during sorting  (4bottels lose hain)</v>
      </c>
      <c r="R405" s="13" t="str">
        <v>Sun,08-October-2023 ,08:16 PM</v>
      </c>
      <c r="S405" s="13" t="str">
        <v>Damaged Stock</v>
      </c>
    </row>
    <row r="406" customFormat="false" ht="15.75" hidden="false" customHeight="false" outlineLevel="0" collapsed="false">
      <c r="A406" s="13" t="str">
        <f aca="false">IFERROR(__xludf.dummyfunction("""COMPUTED_VALUE"""),"Metro DC Faisalabad")</f>
        <v>Metro DC Faisalabad</v>
      </c>
      <c r="B406" s="13" t="str">
        <f aca="false">IFERROR(__xludf.dummyfunction("""COMPUTED_VALUE"""),"61b64cf5-8ce8-47c7-8293-6e04fbebd722")</f>
        <v>61b64cf5-8ce8-47c7-8293-6e04fbebd722</v>
      </c>
      <c r="C406" s="13" t="str">
        <f aca="false">IFERROR(__xludf.dummyfunction("""COMPUTED_VALUE"""),"Lemon Max Liquid Regular Bottle 475ml Rs260")</f>
        <v>Lemon Max Liquid Regular Bottle 475ml Rs260</v>
      </c>
      <c r="D406" s="13" t="str">
        <f aca="false">IFERROR(__xludf.dummyfunction("""COMPUTED_VALUE"""),"Lemon Max")</f>
        <v>Lemon Max</v>
      </c>
      <c r="E406" s="13" t="str">
        <f aca="false">IFERROR(__xludf.dummyfunction("""COMPUTED_VALUE"""),"Home Care")</f>
        <v>Home Care</v>
      </c>
      <c r="F406" s="11" t="n">
        <f aca="false">IFERROR(__xludf.dummyfunction("""COMPUTED_VALUE"""),45207)</f>
        <v>45207</v>
      </c>
      <c r="G406" s="12" t="n">
        <f aca="false">IFERROR(__xludf.dummyfunction("""COMPUTED_VALUE"""),0.928197847222449)</f>
        <v>0.9281978472</v>
      </c>
      <c r="H406" s="13" t="str">
        <f aca="false">IFERROR(__xludf.dummyfunction("""COMPUTED_VALUE"""),"damaged stock")</f>
        <v>damaged stock</v>
      </c>
      <c r="I406" s="13" t="n">
        <f aca="false">IFERROR(__xludf.dummyfunction("""COMPUTED_VALUE"""),1)</f>
        <v>1</v>
      </c>
      <c r="J406" s="13" t="n">
        <f aca="false">IFERROR(__xludf.dummyfunction("""COMPUTED_VALUE"""),239.66)</f>
        <v>239.66</v>
      </c>
      <c r="K406" s="13" t="n">
        <f aca="false">IFERROR(__xludf.dummyfunction("""COMPUTED_VALUE"""),239.66)</f>
        <v>239.66</v>
      </c>
      <c r="L406" s="13" t="str">
        <f aca="false">IFERROR(__xludf.dummyfunction("""COMPUTED_VALUE"""),"[Code: 2558BBHL] TA; 1 unit damage found during display  (cotton sy damage mila he)")</f>
        <v>[Code: 2558BBHL] TA; 1 unit damage found during display  (cotton sy damage mila he)</v>
      </c>
      <c r="M406" s="13" t="str">
        <f aca="false">IFERROR(__xludf.dummyfunction("""COMPUTED_VALUE"""),"2558BBHL")</f>
        <v>2558BBHL</v>
      </c>
      <c r="N406" s="13"/>
      <c r="O406" s="13" t="str">
        <f aca="false">IFERROR(__xludf.dummyfunction("""COMPUTED_VALUE"""),"taufeeq.akhtar@tajir-app.com")</f>
        <v>taufeeq.akhtar@tajir-app.com</v>
      </c>
      <c r="P406" s="13" t="str">
        <f aca="false">IFERROR(__xludf.dummyfunction("""COMPUTED_VALUE"""),"Taufeeq Akhtar ")</f>
        <v>Taufeeq Akhtar </v>
      </c>
      <c r="Q406" s="13" t="str">
        <f aca="false">IFERROR(__xludf.dummyfunction("""COMPUTED_VALUE"""),"[Code: 2558BBHL] TA; 1 unit damage found during display  (cotton sy damage mila he)")</f>
        <v>[Code: 2558BBHL] TA; 1 unit damage found during display  (cotton sy damage mila he)</v>
      </c>
      <c r="R406" s="13" t="str">
        <v>Sun,08-October-2023 ,10:16 PM</v>
      </c>
      <c r="S406" s="13" t="str">
        <v>Damaged Stock</v>
      </c>
    </row>
    <row r="407" customFormat="false" ht="15.75" hidden="false" customHeight="false" outlineLevel="0" collapsed="false">
      <c r="A407" s="13" t="str">
        <f aca="false">IFERROR(__xludf.dummyfunction("""COMPUTED_VALUE"""),"Metro DC Faisalabad")</f>
        <v>Metro DC Faisalabad</v>
      </c>
      <c r="B407" s="13" t="str">
        <f aca="false">IFERROR(__xludf.dummyfunction("""COMPUTED_VALUE"""),"855d7079-fcd2-4ebf-be1e-3a3d4fe8caed")</f>
        <v>855d7079-fcd2-4ebf-be1e-3a3d4fe8caed</v>
      </c>
      <c r="C407" s="13" t="str">
        <f aca="false">IFERROR(__xludf.dummyfunction("""COMPUTED_VALUE"""),"Quality Grains Black Chana Desi 1kg")</f>
        <v>Quality Grains Black Chana Desi 1kg</v>
      </c>
      <c r="D407" s="13" t="str">
        <f aca="false">IFERROR(__xludf.dummyfunction("""COMPUTED_VALUE"""),"Quality Grains")</f>
        <v>Quality Grains</v>
      </c>
      <c r="E407" s="13" t="str">
        <f aca="false">IFERROR(__xludf.dummyfunction("""COMPUTED_VALUE"""),"Pulses")</f>
        <v>Pulses</v>
      </c>
      <c r="F407" s="11" t="n">
        <f aca="false">IFERROR(__xludf.dummyfunction("""COMPUTED_VALUE"""),45208)</f>
        <v>45208</v>
      </c>
      <c r="G407" s="12" t="n">
        <f aca="false">IFERROR(__xludf.dummyfunction("""COMPUTED_VALUE"""),0.70683839120365)</f>
        <v>0.7068383912</v>
      </c>
      <c r="H407" s="13" t="str">
        <f aca="false">IFERROR(__xludf.dummyfunction("""COMPUTED_VALUE"""),"damaged stock")</f>
        <v>damaged stock</v>
      </c>
      <c r="I407" s="13" t="n">
        <f aca="false">IFERROR(__xludf.dummyfunction("""COMPUTED_VALUE"""),3)</f>
        <v>3</v>
      </c>
      <c r="J407" s="13" t="n">
        <f aca="false">IFERROR(__xludf.dummyfunction("""COMPUTED_VALUE"""),224)</f>
        <v>224</v>
      </c>
      <c r="K407" s="13" t="n">
        <f aca="false">IFERROR(__xludf.dummyfunction("""COMPUTED_VALUE"""),672)</f>
        <v>672</v>
      </c>
      <c r="L407" s="13" t="str">
        <f aca="false">IFERROR(__xludf.dummyfunction("""COMPUTED_VALUE"""),"[Code: 39AFKLLM] 3 units found damaged due to quality issue ")</f>
        <v>[Code: 39AFKLLM] 3 units found damaged due to quality issue </v>
      </c>
      <c r="M407" s="13" t="str">
        <f aca="false">IFERROR(__xludf.dummyfunction("""COMPUTED_VALUE"""),"39AFKLLM")</f>
        <v>39AFKLLM</v>
      </c>
      <c r="N407" s="13"/>
      <c r="O407" s="13" t="str">
        <f aca="false">IFERROR(__xludf.dummyfunction("""COMPUTED_VALUE"""),"ali.raza@tajir-app.com")</f>
        <v>ali.raza@tajir-app.com</v>
      </c>
      <c r="P407" s="13" t="str">
        <f aca="false">IFERROR(__xludf.dummyfunction("""COMPUTED_VALUE"""),"Ali Raza ")</f>
        <v>Ali Raza </v>
      </c>
      <c r="Q407" s="13" t="str">
        <f aca="false">IFERROR(__xludf.dummyfunction("""COMPUTED_VALUE"""),"[Code: 39AFKLLM] 3 units found damaged due to quality issue ")</f>
        <v>[Code: 39AFKLLM] 3 units found damaged due to quality issue </v>
      </c>
      <c r="R407" s="13" t="str">
        <v>Mon,09-October-2023 ,04:57 PM</v>
      </c>
      <c r="S407" s="13" t="str">
        <v>Damaged Stock</v>
      </c>
    </row>
    <row r="408" customFormat="false" ht="15.75" hidden="false" customHeight="false" outlineLevel="0" collapsed="false">
      <c r="A408" s="13" t="str">
        <f aca="false">IFERROR(__xludf.dummyfunction("""COMPUTED_VALUE"""),"Metro DC Faisalabad")</f>
        <v>Metro DC Faisalabad</v>
      </c>
      <c r="B408" s="13" t="str">
        <f aca="false">IFERROR(__xludf.dummyfunction("""COMPUTED_VALUE"""),"c59bd43e-ec72-41c4-93bb-8ef5fcb8f75f")</f>
        <v>c59bd43e-ec72-41c4-93bb-8ef5fcb8f75f</v>
      </c>
      <c r="C408" s="13" t="str">
        <f aca="false">IFERROR(__xludf.dummyfunction("""COMPUTED_VALUE"""),"Quality Grains Black Chana 5kg")</f>
        <v>Quality Grains Black Chana 5kg</v>
      </c>
      <c r="D408" s="13" t="str">
        <f aca="false">IFERROR(__xludf.dummyfunction("""COMPUTED_VALUE"""),"Quality Grains")</f>
        <v>Quality Grains</v>
      </c>
      <c r="E408" s="13" t="str">
        <f aca="false">IFERROR(__xludf.dummyfunction("""COMPUTED_VALUE"""),"Pulses")</f>
        <v>Pulses</v>
      </c>
      <c r="F408" s="11" t="n">
        <f aca="false">IFERROR(__xludf.dummyfunction("""COMPUTED_VALUE"""),45208)</f>
        <v>45208</v>
      </c>
      <c r="G408" s="12" t="n">
        <f aca="false">IFERROR(__xludf.dummyfunction("""COMPUTED_VALUE"""),0.707900625001477)</f>
        <v>0.707900625</v>
      </c>
      <c r="H408" s="13" t="str">
        <f aca="false">IFERROR(__xludf.dummyfunction("""COMPUTED_VALUE"""),"damaged stock")</f>
        <v>damaged stock</v>
      </c>
      <c r="I408" s="13" t="n">
        <f aca="false">IFERROR(__xludf.dummyfunction("""COMPUTED_VALUE"""),4)</f>
        <v>4</v>
      </c>
      <c r="J408" s="13" t="n">
        <f aca="false">IFERROR(__xludf.dummyfunction("""COMPUTED_VALUE"""),1115)</f>
        <v>1115</v>
      </c>
      <c r="K408" s="13" t="n">
        <f aca="false">IFERROR(__xludf.dummyfunction("""COMPUTED_VALUE"""),4460)</f>
        <v>4460</v>
      </c>
      <c r="L408" s="13" t="str">
        <f aca="false">IFERROR(__xludf.dummyfunction("""COMPUTED_VALUE"""),"[Code: 2358AEGK] 4 units found damaged due to quality issue ")</f>
        <v>[Code: 2358AEGK] 4 units found damaged due to quality issue </v>
      </c>
      <c r="M408" s="13" t="str">
        <f aca="false">IFERROR(__xludf.dummyfunction("""COMPUTED_VALUE"""),"2358AEGK")</f>
        <v>2358AEGK</v>
      </c>
      <c r="N408" s="13"/>
      <c r="O408" s="13" t="str">
        <f aca="false">IFERROR(__xludf.dummyfunction("""COMPUTED_VALUE"""),"ali.raza@tajir-app.com")</f>
        <v>ali.raza@tajir-app.com</v>
      </c>
      <c r="P408" s="13" t="str">
        <f aca="false">IFERROR(__xludf.dummyfunction("""COMPUTED_VALUE"""),"Ali Raza ")</f>
        <v>Ali Raza </v>
      </c>
      <c r="Q408" s="13" t="str">
        <f aca="false">IFERROR(__xludf.dummyfunction("""COMPUTED_VALUE"""),"[Code: 2358AEGK] 4 units found damaged due to quality issue ")</f>
        <v>[Code: 2358AEGK] 4 units found damaged due to quality issue </v>
      </c>
      <c r="R408" s="13" t="str">
        <v>Mon,09-October-2023 ,04:59 PM</v>
      </c>
      <c r="S408" s="13" t="str">
        <v>Damaged Stock</v>
      </c>
    </row>
    <row r="409" customFormat="false" ht="15.75" hidden="false" customHeight="false" outlineLevel="0" collapsed="false">
      <c r="A409" s="13" t="str">
        <f aca="false">IFERROR(__xludf.dummyfunction("""COMPUTED_VALUE"""),"Metro DC Faisalabad")</f>
        <v>Metro DC Faisalabad</v>
      </c>
      <c r="B409" s="13" t="str">
        <f aca="false">IFERROR(__xludf.dummyfunction("""COMPUTED_VALUE"""),"aa81c118-4223-44ff-878d-c9287edd1801")</f>
        <v>aa81c118-4223-44ff-878d-c9287edd1801</v>
      </c>
      <c r="C409" s="13" t="str">
        <f aca="false">IFERROR(__xludf.dummyfunction("""COMPUTED_VALUE"""),"Quality Grains White Chana Motta 1kg")</f>
        <v>Quality Grains White Chana Motta 1kg</v>
      </c>
      <c r="D409" s="13" t="str">
        <f aca="false">IFERROR(__xludf.dummyfunction("""COMPUTED_VALUE"""),"Quality Grains")</f>
        <v>Quality Grains</v>
      </c>
      <c r="E409" s="13" t="str">
        <f aca="false">IFERROR(__xludf.dummyfunction("""COMPUTED_VALUE"""),"Pulses")</f>
        <v>Pulses</v>
      </c>
      <c r="F409" s="11" t="n">
        <f aca="false">IFERROR(__xludf.dummyfunction("""COMPUTED_VALUE"""),45208)</f>
        <v>45208</v>
      </c>
      <c r="G409" s="12" t="n">
        <f aca="false">IFERROR(__xludf.dummyfunction("""COMPUTED_VALUE"""),0.708705787038729)</f>
        <v>0.708705787</v>
      </c>
      <c r="H409" s="13" t="str">
        <f aca="false">IFERROR(__xludf.dummyfunction("""COMPUTED_VALUE"""),"damaged stock")</f>
        <v>damaged stock</v>
      </c>
      <c r="I409" s="13" t="n">
        <f aca="false">IFERROR(__xludf.dummyfunction("""COMPUTED_VALUE"""),2)</f>
        <v>2</v>
      </c>
      <c r="J409" s="13" t="n">
        <f aca="false">IFERROR(__xludf.dummyfunction("""COMPUTED_VALUE"""),391)</f>
        <v>391</v>
      </c>
      <c r="K409" s="13" t="n">
        <f aca="false">IFERROR(__xludf.dummyfunction("""COMPUTED_VALUE"""),782)</f>
        <v>782</v>
      </c>
      <c r="L409" s="13" t="str">
        <f aca="false">IFERROR(__xludf.dummyfunction("""COMPUTED_VALUE"""),"[Code: 2246778B] 2 units found damaged due to quality issue ")</f>
        <v>[Code: 2246778B] 2 units found damaged due to quality issue </v>
      </c>
      <c r="M409" s="13" t="str">
        <f aca="false">IFERROR(__xludf.dummyfunction("""COMPUTED_VALUE"""),"2246778B")</f>
        <v>2246778B</v>
      </c>
      <c r="N409" s="13"/>
      <c r="O409" s="13" t="str">
        <f aca="false">IFERROR(__xludf.dummyfunction("""COMPUTED_VALUE"""),"ali.raza@tajir-app.com")</f>
        <v>ali.raza@tajir-app.com</v>
      </c>
      <c r="P409" s="13" t="str">
        <f aca="false">IFERROR(__xludf.dummyfunction("""COMPUTED_VALUE"""),"Ali Raza ")</f>
        <v>Ali Raza </v>
      </c>
      <c r="Q409" s="13" t="str">
        <f aca="false">IFERROR(__xludf.dummyfunction("""COMPUTED_VALUE"""),"[Code: 2246778B] 2 units found damaged due to quality issue ")</f>
        <v>[Code: 2246778B] 2 units found damaged due to quality issue </v>
      </c>
      <c r="R409" s="13" t="str">
        <v>Mon,09-October-2023 ,05:00 PM</v>
      </c>
      <c r="S409" s="13" t="str">
        <v>Damaged Stock</v>
      </c>
    </row>
    <row r="410" customFormat="false" ht="15.75" hidden="false" customHeight="false" outlineLevel="0" collapsed="false">
      <c r="A410" s="13" t="str">
        <f aca="false">IFERROR(__xludf.dummyfunction("""COMPUTED_VALUE"""),"Metro DC Faisalabad")</f>
        <v>Metro DC Faisalabad</v>
      </c>
      <c r="B410" s="13" t="str">
        <f aca="false">IFERROR(__xludf.dummyfunction("""COMPUTED_VALUE"""),"137560e5-2617-406b-ad61-b7a155b2b5c1")</f>
        <v>137560e5-2617-406b-ad61-b7a155b2b5c1</v>
      </c>
      <c r="C410" s="13" t="str">
        <f aca="false">IFERROR(__xludf.dummyfunction("""COMPUTED_VALUE"""),"Sherdil Black Chana 5kg")</f>
        <v>Sherdil Black Chana 5kg</v>
      </c>
      <c r="D410" s="13" t="str">
        <f aca="false">IFERROR(__xludf.dummyfunction("""COMPUTED_VALUE"""),"Sherdil")</f>
        <v>Sherdil</v>
      </c>
      <c r="E410" s="13" t="str">
        <f aca="false">IFERROR(__xludf.dummyfunction("""COMPUTED_VALUE"""),"Pulses")</f>
        <v>Pulses</v>
      </c>
      <c r="F410" s="11" t="n">
        <f aca="false">IFERROR(__xludf.dummyfunction("""COMPUTED_VALUE"""),45208)</f>
        <v>45208</v>
      </c>
      <c r="G410" s="12" t="n">
        <f aca="false">IFERROR(__xludf.dummyfunction("""COMPUTED_VALUE"""),0.709365509258736)</f>
        <v>0.7093655093</v>
      </c>
      <c r="H410" s="13" t="str">
        <f aca="false">IFERROR(__xludf.dummyfunction("""COMPUTED_VALUE"""),"damaged stock")</f>
        <v>damaged stock</v>
      </c>
      <c r="I410" s="13" t="n">
        <f aca="false">IFERROR(__xludf.dummyfunction("""COMPUTED_VALUE"""),5)</f>
        <v>5</v>
      </c>
      <c r="J410" s="13" t="n">
        <f aca="false">IFERROR(__xludf.dummyfunction("""COMPUTED_VALUE"""),1191)</f>
        <v>1191</v>
      </c>
      <c r="K410" s="13" t="n">
        <f aca="false">IFERROR(__xludf.dummyfunction("""COMPUTED_VALUE"""),5955)</f>
        <v>5955</v>
      </c>
      <c r="L410" s="13" t="str">
        <f aca="false">IFERROR(__xludf.dummyfunction("""COMPUTED_VALUE"""),"[Code: 23688DHJ] 5 units found damaged due to quality issue ")</f>
        <v>[Code: 23688DHJ] 5 units found damaged due to quality issue </v>
      </c>
      <c r="M410" s="13" t="str">
        <f aca="false">IFERROR(__xludf.dummyfunction("""COMPUTED_VALUE"""),"23688DHJ")</f>
        <v>23688DHJ</v>
      </c>
      <c r="N410" s="13"/>
      <c r="O410" s="13" t="str">
        <f aca="false">IFERROR(__xludf.dummyfunction("""COMPUTED_VALUE"""),"ali.raza@tajir-app.com")</f>
        <v>ali.raza@tajir-app.com</v>
      </c>
      <c r="P410" s="13" t="str">
        <f aca="false">IFERROR(__xludf.dummyfunction("""COMPUTED_VALUE"""),"Ali Raza ")</f>
        <v>Ali Raza </v>
      </c>
      <c r="Q410" s="13" t="str">
        <f aca="false">IFERROR(__xludf.dummyfunction("""COMPUTED_VALUE"""),"[Code: 23688DHJ] 5 units found damaged due to quality issue ")</f>
        <v>[Code: 23688DHJ] 5 units found damaged due to quality issue </v>
      </c>
      <c r="R410" s="13" t="str">
        <v>Mon,09-October-2023 ,05:01 PM</v>
      </c>
      <c r="S410" s="13" t="str">
        <v>Damaged Stock</v>
      </c>
    </row>
    <row r="411" customFormat="false" ht="15.75" hidden="false" customHeight="false" outlineLevel="0" collapsed="false">
      <c r="A411" s="13" t="str">
        <f aca="false">IFERROR(__xludf.dummyfunction("""COMPUTED_VALUE"""),"Metro DC Faisalabad")</f>
        <v>Metro DC Faisalabad</v>
      </c>
      <c r="B411" s="13" t="str">
        <f aca="false">IFERROR(__xludf.dummyfunction("""COMPUTED_VALUE"""),"b5ab7706-278d-4335-95b2-02fffc661db4")</f>
        <v>b5ab7706-278d-4335-95b2-02fffc661db4</v>
      </c>
      <c r="C411" s="13" t="str">
        <f aca="false">IFERROR(__xludf.dummyfunction("""COMPUTED_VALUE"""),"Sherdil Black Chana 1kg")</f>
        <v>Sherdil Black Chana 1kg</v>
      </c>
      <c r="D411" s="13" t="str">
        <f aca="false">IFERROR(__xludf.dummyfunction("""COMPUTED_VALUE"""),"Sherdil")</f>
        <v>Sherdil</v>
      </c>
      <c r="E411" s="13" t="str">
        <f aca="false">IFERROR(__xludf.dummyfunction("""COMPUTED_VALUE"""),"Pulses")</f>
        <v>Pulses</v>
      </c>
      <c r="F411" s="11" t="n">
        <f aca="false">IFERROR(__xludf.dummyfunction("""COMPUTED_VALUE"""),45208)</f>
        <v>45208</v>
      </c>
      <c r="G411" s="12" t="n">
        <f aca="false">IFERROR(__xludf.dummyfunction("""COMPUTED_VALUE"""),0.714055324074279)</f>
        <v>0.7140553241</v>
      </c>
      <c r="H411" s="13" t="str">
        <f aca="false">IFERROR(__xludf.dummyfunction("""COMPUTED_VALUE"""),"damaged stock")</f>
        <v>damaged stock</v>
      </c>
      <c r="I411" s="13" t="n">
        <f aca="false">IFERROR(__xludf.dummyfunction("""COMPUTED_VALUE"""),4)</f>
        <v>4</v>
      </c>
      <c r="J411" s="13" t="n">
        <f aca="false">IFERROR(__xludf.dummyfunction("""COMPUTED_VALUE"""),255)</f>
        <v>255</v>
      </c>
      <c r="K411" s="13" t="n">
        <f aca="false">IFERROR(__xludf.dummyfunction("""COMPUTED_VALUE"""),1020)</f>
        <v>1020</v>
      </c>
      <c r="L411" s="13" t="str">
        <f aca="false">IFERROR(__xludf.dummyfunction("""COMPUTED_VALUE"""),"[Code: 777899BC] 4 units found damaged due to quality issue ")</f>
        <v>[Code: 777899BC] 4 units found damaged due to quality issue </v>
      </c>
      <c r="M411" s="13" t="str">
        <f aca="false">IFERROR(__xludf.dummyfunction("""COMPUTED_VALUE"""),"777899BC")</f>
        <v>777899BC</v>
      </c>
      <c r="N411" s="13"/>
      <c r="O411" s="13" t="str">
        <f aca="false">IFERROR(__xludf.dummyfunction("""COMPUTED_VALUE"""),"ali.raza@tajir-app.com")</f>
        <v>ali.raza@tajir-app.com</v>
      </c>
      <c r="P411" s="13" t="str">
        <f aca="false">IFERROR(__xludf.dummyfunction("""COMPUTED_VALUE"""),"Ali Raza ")</f>
        <v>Ali Raza </v>
      </c>
      <c r="Q411" s="13" t="str">
        <f aca="false">IFERROR(__xludf.dummyfunction("""COMPUTED_VALUE"""),"[Code: 777899BC] 4 units found damaged due to quality issue ")</f>
        <v>[Code: 777899BC] 4 units found damaged due to quality issue </v>
      </c>
      <c r="R411" s="13" t="str">
        <v>Mon,09-October-2023 ,05:08 PM</v>
      </c>
      <c r="S411" s="13" t="str">
        <v>Damaged Stock</v>
      </c>
    </row>
    <row r="412" customFormat="false" ht="15.75" hidden="false" customHeight="false" outlineLevel="0" collapsed="false">
      <c r="A412" s="13" t="str">
        <f aca="false">IFERROR(__xludf.dummyfunction("""COMPUTED_VALUE"""),"Metro DC Faisalabad")</f>
        <v>Metro DC Faisalabad</v>
      </c>
      <c r="B412" s="13" t="str">
        <f aca="false">IFERROR(__xludf.dummyfunction("""COMPUTED_VALUE"""),"10f5c620-05d2-4bff-bf22-3c02b5a12fc2")</f>
        <v>10f5c620-05d2-4bff-bf22-3c02b5a12fc2</v>
      </c>
      <c r="C412" s="13" t="str">
        <f aca="false">IFERROR(__xludf.dummyfunction("""COMPUTED_VALUE"""),"Sherdil White Chana Bareek 5kg")</f>
        <v>Sherdil White Chana Bareek 5kg</v>
      </c>
      <c r="D412" s="13" t="str">
        <f aca="false">IFERROR(__xludf.dummyfunction("""COMPUTED_VALUE"""),"Sherdil")</f>
        <v>Sherdil</v>
      </c>
      <c r="E412" s="13" t="str">
        <f aca="false">IFERROR(__xludf.dummyfunction("""COMPUTED_VALUE"""),"Pulses")</f>
        <v>Pulses</v>
      </c>
      <c r="F412" s="11" t="n">
        <f aca="false">IFERROR(__xludf.dummyfunction("""COMPUTED_VALUE"""),45208)</f>
        <v>45208</v>
      </c>
      <c r="G412" s="12" t="n">
        <f aca="false">IFERROR(__xludf.dummyfunction("""COMPUTED_VALUE"""),0.714761238427462)</f>
        <v>0.7147612384</v>
      </c>
      <c r="H412" s="13" t="str">
        <f aca="false">IFERROR(__xludf.dummyfunction("""COMPUTED_VALUE"""),"damaged stock")</f>
        <v>damaged stock</v>
      </c>
      <c r="I412" s="13" t="n">
        <f aca="false">IFERROR(__xludf.dummyfunction("""COMPUTED_VALUE"""),3)</f>
        <v>3</v>
      </c>
      <c r="J412" s="13" t="n">
        <f aca="false">IFERROR(__xludf.dummyfunction("""COMPUTED_VALUE"""),1897)</f>
        <v>1897</v>
      </c>
      <c r="K412" s="13" t="n">
        <f aca="false">IFERROR(__xludf.dummyfunction("""COMPUTED_VALUE"""),5691)</f>
        <v>5691</v>
      </c>
      <c r="L412" s="13" t="str">
        <f aca="false">IFERROR(__xludf.dummyfunction("""COMPUTED_VALUE"""),"[Code: 7CEEFFGJ] 3 units found damaged due to quality issue ")</f>
        <v>[Code: 7CEEFFGJ] 3 units found damaged due to quality issue </v>
      </c>
      <c r="M412" s="13" t="str">
        <f aca="false">IFERROR(__xludf.dummyfunction("""COMPUTED_VALUE"""),"7CEEFFGJ")</f>
        <v>7CEEFFGJ</v>
      </c>
      <c r="N412" s="13"/>
      <c r="O412" s="13" t="str">
        <f aca="false">IFERROR(__xludf.dummyfunction("""COMPUTED_VALUE"""),"ali.raza@tajir-app.com")</f>
        <v>ali.raza@tajir-app.com</v>
      </c>
      <c r="P412" s="13" t="str">
        <f aca="false">IFERROR(__xludf.dummyfunction("""COMPUTED_VALUE"""),"Ali Raza ")</f>
        <v>Ali Raza </v>
      </c>
      <c r="Q412" s="13" t="str">
        <f aca="false">IFERROR(__xludf.dummyfunction("""COMPUTED_VALUE"""),"[Code: 7CEEFFGJ] 3 units found damaged due to quality issue ")</f>
        <v>[Code: 7CEEFFGJ] 3 units found damaged due to quality issue </v>
      </c>
      <c r="R412" s="13" t="str">
        <v>Mon,09-October-2023 ,05:09 PM</v>
      </c>
      <c r="S412" s="13" t="str">
        <v>Damaged Stock</v>
      </c>
    </row>
    <row r="413" customFormat="false" ht="15.75" hidden="false" customHeight="false" outlineLevel="0" collapsed="false">
      <c r="A413" s="13" t="str">
        <f aca="false">IFERROR(__xludf.dummyfunction("""COMPUTED_VALUE"""),"Metro DC Faisalabad")</f>
        <v>Metro DC Faisalabad</v>
      </c>
      <c r="B413" s="13" t="str">
        <f aca="false">IFERROR(__xludf.dummyfunction("""COMPUTED_VALUE"""),"6c568402-1788-466b-8f61-43acc83fa9d1")</f>
        <v>6c568402-1788-466b-8f61-43acc83fa9d1</v>
      </c>
      <c r="C413" s="13" t="str">
        <f aca="false">IFERROR(__xludf.dummyfunction("""COMPUTED_VALUE"""),"Sherdil White Chana Mota 5kg")</f>
        <v>Sherdil White Chana Mota 5kg</v>
      </c>
      <c r="D413" s="13" t="str">
        <f aca="false">IFERROR(__xludf.dummyfunction("""COMPUTED_VALUE"""),"Sherdil")</f>
        <v>Sherdil</v>
      </c>
      <c r="E413" s="13" t="str">
        <f aca="false">IFERROR(__xludf.dummyfunction("""COMPUTED_VALUE"""),"Pulses")</f>
        <v>Pulses</v>
      </c>
      <c r="F413" s="11" t="n">
        <f aca="false">IFERROR(__xludf.dummyfunction("""COMPUTED_VALUE"""),45208)</f>
        <v>45208</v>
      </c>
      <c r="G413" s="12" t="n">
        <f aca="false">IFERROR(__xludf.dummyfunction("""COMPUTED_VALUE"""),0.715367222222567)</f>
        <v>0.7153672222</v>
      </c>
      <c r="H413" s="13" t="str">
        <f aca="false">IFERROR(__xludf.dummyfunction("""COMPUTED_VALUE"""),"damaged stock")</f>
        <v>damaged stock</v>
      </c>
      <c r="I413" s="13" t="n">
        <f aca="false">IFERROR(__xludf.dummyfunction("""COMPUTED_VALUE"""),1)</f>
        <v>1</v>
      </c>
      <c r="J413" s="13" t="n">
        <f aca="false">IFERROR(__xludf.dummyfunction("""COMPUTED_VALUE"""),2290)</f>
        <v>2290</v>
      </c>
      <c r="K413" s="13" t="n">
        <f aca="false">IFERROR(__xludf.dummyfunction("""COMPUTED_VALUE"""),2290)</f>
        <v>2290</v>
      </c>
      <c r="L413" s="13" t="str">
        <f aca="false">IFERROR(__xludf.dummyfunction("""COMPUTED_VALUE"""),"[Code: ABCDDHLN] 1 unit found damaged due to quality issue ")</f>
        <v>[Code: ABCDDHLN] 1 unit found damaged due to quality issue </v>
      </c>
      <c r="M413" s="13" t="str">
        <f aca="false">IFERROR(__xludf.dummyfunction("""COMPUTED_VALUE"""),"ABCDDHLN")</f>
        <v>ABCDDHLN</v>
      </c>
      <c r="N413" s="13"/>
      <c r="O413" s="13" t="str">
        <f aca="false">IFERROR(__xludf.dummyfunction("""COMPUTED_VALUE"""),"ali.raza@tajir-app.com")</f>
        <v>ali.raza@tajir-app.com</v>
      </c>
      <c r="P413" s="13" t="str">
        <f aca="false">IFERROR(__xludf.dummyfunction("""COMPUTED_VALUE"""),"Ali Raza ")</f>
        <v>Ali Raza </v>
      </c>
      <c r="Q413" s="13" t="str">
        <f aca="false">IFERROR(__xludf.dummyfunction("""COMPUTED_VALUE"""),"[Code: ABCDDHLN] 1 unit found damaged due to quality issue ")</f>
        <v>[Code: ABCDDHLN] 1 unit found damaged due to quality issue </v>
      </c>
      <c r="R413" s="13" t="str">
        <v>Mon,09-October-2023 ,05:10 PM</v>
      </c>
      <c r="S413" s="13" t="str">
        <v>Damaged Stock</v>
      </c>
    </row>
    <row r="414" customFormat="false" ht="15.75" hidden="false" customHeight="false" outlineLevel="0" collapsed="false">
      <c r="A414" s="13" t="str">
        <f aca="false">IFERROR(__xludf.dummyfunction("""COMPUTED_VALUE"""),"Metro DC Faisalabad")</f>
        <v>Metro DC Faisalabad</v>
      </c>
      <c r="B414" s="13" t="str">
        <f aca="false">IFERROR(__xludf.dummyfunction("""COMPUTED_VALUE"""),"3ce3c12d-7715-456d-8699-9bd776782739")</f>
        <v>3ce3c12d-7715-456d-8699-9bd776782739</v>
      </c>
      <c r="C414" s="13" t="str">
        <f aca="false">IFERROR(__xludf.dummyfunction("""COMPUTED_VALUE"""),"Sherdil White Chana Mota 1kg")</f>
        <v>Sherdil White Chana Mota 1kg</v>
      </c>
      <c r="D414" s="13" t="str">
        <f aca="false">IFERROR(__xludf.dummyfunction("""COMPUTED_VALUE"""),"Sherdil")</f>
        <v>Sherdil</v>
      </c>
      <c r="E414" s="13" t="str">
        <f aca="false">IFERROR(__xludf.dummyfunction("""COMPUTED_VALUE"""),"Pulses")</f>
        <v>Pulses</v>
      </c>
      <c r="F414" s="11" t="n">
        <f aca="false">IFERROR(__xludf.dummyfunction("""COMPUTED_VALUE"""),45208)</f>
        <v>45208</v>
      </c>
      <c r="G414" s="12" t="n">
        <f aca="false">IFERROR(__xludf.dummyfunction("""COMPUTED_VALUE"""),0.716139537036757)</f>
        <v>0.716139537</v>
      </c>
      <c r="H414" s="13" t="str">
        <f aca="false">IFERROR(__xludf.dummyfunction("""COMPUTED_VALUE"""),"damaged stock")</f>
        <v>damaged stock</v>
      </c>
      <c r="I414" s="13" t="n">
        <f aca="false">IFERROR(__xludf.dummyfunction("""COMPUTED_VALUE"""),1)</f>
        <v>1</v>
      </c>
      <c r="J414" s="13" t="n">
        <f aca="false">IFERROR(__xludf.dummyfunction("""COMPUTED_VALUE"""),455)</f>
        <v>455</v>
      </c>
      <c r="K414" s="13" t="n">
        <f aca="false">IFERROR(__xludf.dummyfunction("""COMPUTED_VALUE"""),455)</f>
        <v>455</v>
      </c>
      <c r="L414" s="13" t="str">
        <f aca="false">IFERROR(__xludf.dummyfunction("""COMPUTED_VALUE"""),"[Code: 23556889] 1  unit found damaged due to quality issue ")</f>
        <v>[Code: 23556889] 1  unit found damaged due to quality issue </v>
      </c>
      <c r="M414" s="13" t="str">
        <f aca="false">IFERROR(__xludf.dummyfunction("""COMPUTED_VALUE"""),"23556889")</f>
        <v>23556889</v>
      </c>
      <c r="N414" s="13"/>
      <c r="O414" s="13" t="str">
        <f aca="false">IFERROR(__xludf.dummyfunction("""COMPUTED_VALUE"""),"ali.raza@tajir-app.com")</f>
        <v>ali.raza@tajir-app.com</v>
      </c>
      <c r="P414" s="13" t="str">
        <f aca="false">IFERROR(__xludf.dummyfunction("""COMPUTED_VALUE"""),"Ali Raza ")</f>
        <v>Ali Raza </v>
      </c>
      <c r="Q414" s="13" t="str">
        <f aca="false">IFERROR(__xludf.dummyfunction("""COMPUTED_VALUE"""),"[Code: 23556889] 1  unit found damaged due to quality issue ")</f>
        <v>[Code: 23556889] 1  unit found damaged due to quality issue </v>
      </c>
      <c r="R414" s="13" t="str">
        <v>Mon,09-October-2023 ,05:11 PM</v>
      </c>
      <c r="S414" s="13" t="str">
        <v>Damaged Stock</v>
      </c>
    </row>
    <row r="415" customFormat="false" ht="15.75" hidden="false" customHeight="false" outlineLevel="0" collapsed="false">
      <c r="A415" s="13" t="str">
        <f aca="false">IFERROR(__xludf.dummyfunction("""COMPUTED_VALUE"""),"Metro DC Faisalabad")</f>
        <v>Metro DC Faisalabad</v>
      </c>
      <c r="B415" s="13" t="str">
        <f aca="false">IFERROR(__xludf.dummyfunction("""COMPUTED_VALUE"""),"978a88b5-e0d1-4d9d-b7a1-90921ab8d4f0")</f>
        <v>978a88b5-e0d1-4d9d-b7a1-90921ab8d4f0</v>
      </c>
      <c r="C415" s="13" t="str">
        <f aca="false">IFERROR(__xludf.dummyfunction("""COMPUTED_VALUE"""),"Sherdil Daal Mash Wash 5kg")</f>
        <v>Sherdil Daal Mash Wash 5kg</v>
      </c>
      <c r="D415" s="13" t="str">
        <f aca="false">IFERROR(__xludf.dummyfunction("""COMPUTED_VALUE"""),"Sherdil")</f>
        <v>Sherdil</v>
      </c>
      <c r="E415" s="13" t="str">
        <f aca="false">IFERROR(__xludf.dummyfunction("""COMPUTED_VALUE"""),"Pulses")</f>
        <v>Pulses</v>
      </c>
      <c r="F415" s="11" t="n">
        <f aca="false">IFERROR(__xludf.dummyfunction("""COMPUTED_VALUE"""),45208)</f>
        <v>45208</v>
      </c>
      <c r="G415" s="12" t="n">
        <f aca="false">IFERROR(__xludf.dummyfunction("""COMPUTED_VALUE"""),0.716748472223456)</f>
        <v>0.7167484722</v>
      </c>
      <c r="H415" s="13" t="str">
        <f aca="false">IFERROR(__xludf.dummyfunction("""COMPUTED_VALUE"""),"damaged stock")</f>
        <v>damaged stock</v>
      </c>
      <c r="I415" s="13" t="n">
        <f aca="false">IFERROR(__xludf.dummyfunction("""COMPUTED_VALUE"""),1)</f>
        <v>1</v>
      </c>
      <c r="J415" s="13" t="n">
        <f aca="false">IFERROR(__xludf.dummyfunction("""COMPUTED_VALUE"""),3006)</f>
        <v>3006</v>
      </c>
      <c r="K415" s="13" t="n">
        <f aca="false">IFERROR(__xludf.dummyfunction("""COMPUTED_VALUE"""),3006)</f>
        <v>3006</v>
      </c>
      <c r="L415" s="13" t="str">
        <f aca="false">IFERROR(__xludf.dummyfunction("""COMPUTED_VALUE"""),"[Code: 2567799A] 1 unit found damaged due to quality issue ")</f>
        <v>[Code: 2567799A] 1 unit found damaged due to quality issue </v>
      </c>
      <c r="M415" s="13" t="str">
        <f aca="false">IFERROR(__xludf.dummyfunction("""COMPUTED_VALUE"""),"2567799A")</f>
        <v>2567799A</v>
      </c>
      <c r="N415" s="13"/>
      <c r="O415" s="13" t="str">
        <f aca="false">IFERROR(__xludf.dummyfunction("""COMPUTED_VALUE"""),"ali.raza@tajir-app.com")</f>
        <v>ali.raza@tajir-app.com</v>
      </c>
      <c r="P415" s="13" t="str">
        <f aca="false">IFERROR(__xludf.dummyfunction("""COMPUTED_VALUE"""),"Ali Raza ")</f>
        <v>Ali Raza </v>
      </c>
      <c r="Q415" s="13" t="str">
        <f aca="false">IFERROR(__xludf.dummyfunction("""COMPUTED_VALUE"""),"[Code: 2567799A] 1 unit found damaged due to quality issue ")</f>
        <v>[Code: 2567799A] 1 unit found damaged due to quality issue </v>
      </c>
      <c r="R415" s="13" t="str">
        <v>Mon,09-October-2023 ,05:12 PM</v>
      </c>
      <c r="S415" s="13" t="str">
        <v>Damaged Stock</v>
      </c>
    </row>
    <row r="416" customFormat="false" ht="15.75" hidden="false" customHeight="false" outlineLevel="0" collapsed="false">
      <c r="A416" s="13" t="str">
        <f aca="false">IFERROR(__xludf.dummyfunction("""COMPUTED_VALUE"""),"Metro DC Faisalabad")</f>
        <v>Metro DC Faisalabad</v>
      </c>
      <c r="B416" s="13" t="str">
        <f aca="false">IFERROR(__xludf.dummyfunction("""COMPUTED_VALUE"""),"7f12f4f8-6be0-4afc-98a9-afca65a480b4")</f>
        <v>7f12f4f8-6be0-4afc-98a9-afca65a480b4</v>
      </c>
      <c r="C416" s="13" t="str">
        <f aca="false">IFERROR(__xludf.dummyfunction("""COMPUTED_VALUE"""),"Sherdil Daal Moong Wash 5kg")</f>
        <v>Sherdil Daal Moong Wash 5kg</v>
      </c>
      <c r="D416" s="13" t="str">
        <f aca="false">IFERROR(__xludf.dummyfunction("""COMPUTED_VALUE"""),"Sherdil")</f>
        <v>Sherdil</v>
      </c>
      <c r="E416" s="13" t="str">
        <f aca="false">IFERROR(__xludf.dummyfunction("""COMPUTED_VALUE"""),"Pulses")</f>
        <v>Pulses</v>
      </c>
      <c r="F416" s="11" t="n">
        <f aca="false">IFERROR(__xludf.dummyfunction("""COMPUTED_VALUE"""),45208)</f>
        <v>45208</v>
      </c>
      <c r="G416" s="12" t="n">
        <f aca="false">IFERROR(__xludf.dummyfunction("""COMPUTED_VALUE"""),0.717356250000043)</f>
        <v>0.71735625</v>
      </c>
      <c r="H416" s="13" t="str">
        <f aca="false">IFERROR(__xludf.dummyfunction("""COMPUTED_VALUE"""),"damaged stock")</f>
        <v>damaged stock</v>
      </c>
      <c r="I416" s="13" t="n">
        <f aca="false">IFERROR(__xludf.dummyfunction("""COMPUTED_VALUE"""),1)</f>
        <v>1</v>
      </c>
      <c r="J416" s="13" t="n">
        <f aca="false">IFERROR(__xludf.dummyfunction("""COMPUTED_VALUE"""),1345)</f>
        <v>1345</v>
      </c>
      <c r="K416" s="13" t="n">
        <f aca="false">IFERROR(__xludf.dummyfunction("""COMPUTED_VALUE"""),1345)</f>
        <v>1345</v>
      </c>
      <c r="L416" s="13" t="str">
        <f aca="false">IFERROR(__xludf.dummyfunction("""COMPUTED_VALUE"""),"[Code: 35678DEE] 1  unit found damaged due to quality issue ")</f>
        <v>[Code: 35678DEE] 1  unit found damaged due to quality issue </v>
      </c>
      <c r="M416" s="13" t="str">
        <f aca="false">IFERROR(__xludf.dummyfunction("""COMPUTED_VALUE"""),"35678DEE")</f>
        <v>35678DEE</v>
      </c>
      <c r="N416" s="13"/>
      <c r="O416" s="13" t="str">
        <f aca="false">IFERROR(__xludf.dummyfunction("""COMPUTED_VALUE"""),"ali.raza@tajir-app.com")</f>
        <v>ali.raza@tajir-app.com</v>
      </c>
      <c r="P416" s="13" t="str">
        <f aca="false">IFERROR(__xludf.dummyfunction("""COMPUTED_VALUE"""),"Ali Raza ")</f>
        <v>Ali Raza </v>
      </c>
      <c r="Q416" s="13" t="str">
        <f aca="false">IFERROR(__xludf.dummyfunction("""COMPUTED_VALUE"""),"[Code: 35678DEE] 1  unit found damaged due to quality issue ")</f>
        <v>[Code: 35678DEE] 1  unit found damaged due to quality issue </v>
      </c>
      <c r="R416" s="13" t="str">
        <v>Mon,09-October-2023 ,05:12 PM</v>
      </c>
      <c r="S416" s="13" t="str">
        <v>Damaged Stock</v>
      </c>
    </row>
    <row r="417" customFormat="false" ht="15.75" hidden="false" customHeight="false" outlineLevel="0" collapsed="false">
      <c r="A417" s="13" t="str">
        <f aca="false">IFERROR(__xludf.dummyfunction("""COMPUTED_VALUE"""),"Metro DC Faisalabad")</f>
        <v>Metro DC Faisalabad</v>
      </c>
      <c r="B417" s="13" t="str">
        <f aca="false">IFERROR(__xludf.dummyfunction("""COMPUTED_VALUE"""),"0ec2fbab-4de7-42eb-baaa-9d579f1547ab")</f>
        <v>0ec2fbab-4de7-42eb-baaa-9d579f1547ab</v>
      </c>
      <c r="C417" s="13" t="str">
        <f aca="false">IFERROR(__xludf.dummyfunction("""COMPUTED_VALUE"""),"Swadi Dharra Mirch 2kg")</f>
        <v>Swadi Dharra Mirch 2kg</v>
      </c>
      <c r="D417" s="13" t="str">
        <f aca="false">IFERROR(__xludf.dummyfunction("""COMPUTED_VALUE"""),"Swadi")</f>
        <v>Swadi</v>
      </c>
      <c r="E417" s="13" t="str">
        <f aca="false">IFERROR(__xludf.dummyfunction("""COMPUTED_VALUE"""),"Spices")</f>
        <v>Spices</v>
      </c>
      <c r="F417" s="11" t="n">
        <f aca="false">IFERROR(__xludf.dummyfunction("""COMPUTED_VALUE"""),45208)</f>
        <v>45208</v>
      </c>
      <c r="G417" s="12" t="n">
        <f aca="false">IFERROR(__xludf.dummyfunction("""COMPUTED_VALUE"""),0.718170277778036)</f>
        <v>0.7181702778</v>
      </c>
      <c r="H417" s="13" t="str">
        <f aca="false">IFERROR(__xludf.dummyfunction("""COMPUTED_VALUE"""),"damaged stock")</f>
        <v>damaged stock</v>
      </c>
      <c r="I417" s="13" t="n">
        <f aca="false">IFERROR(__xludf.dummyfunction("""COMPUTED_VALUE"""),7)</f>
        <v>7</v>
      </c>
      <c r="J417" s="13" t="n">
        <f aca="false">IFERROR(__xludf.dummyfunction("""COMPUTED_VALUE"""),1200)</f>
        <v>1200</v>
      </c>
      <c r="K417" s="13" t="n">
        <f aca="false">IFERROR(__xludf.dummyfunction("""COMPUTED_VALUE"""),8400)</f>
        <v>8400</v>
      </c>
      <c r="L417" s="13" t="str">
        <f aca="false">IFERROR(__xludf.dummyfunction("""COMPUTED_VALUE"""),"[Code: 3567778A] 7  units found damaged due to quality issue ")</f>
        <v>[Code: 3567778A] 7  units found damaged due to quality issue </v>
      </c>
      <c r="M417" s="13" t="str">
        <f aca="false">IFERROR(__xludf.dummyfunction("""COMPUTED_VALUE"""),"3567778A")</f>
        <v>3567778A</v>
      </c>
      <c r="N417" s="13"/>
      <c r="O417" s="13" t="str">
        <f aca="false">IFERROR(__xludf.dummyfunction("""COMPUTED_VALUE"""),"ali.raza@tajir-app.com")</f>
        <v>ali.raza@tajir-app.com</v>
      </c>
      <c r="P417" s="13" t="str">
        <f aca="false">IFERROR(__xludf.dummyfunction("""COMPUTED_VALUE"""),"Ali Raza ")</f>
        <v>Ali Raza </v>
      </c>
      <c r="Q417" s="13" t="str">
        <f aca="false">IFERROR(__xludf.dummyfunction("""COMPUTED_VALUE"""),"[Code: 3567778A] 7  units found damaged due to quality issue ")</f>
        <v>[Code: 3567778A] 7  units found damaged due to quality issue </v>
      </c>
      <c r="R417" s="13" t="str">
        <v>Mon,09-October-2023 ,05:14 PM</v>
      </c>
      <c r="S417" s="13" t="str">
        <v>Damaged Stock</v>
      </c>
    </row>
    <row r="418" customFormat="false" ht="15.75" hidden="false" customHeight="false" outlineLevel="0" collapsed="false">
      <c r="A418" s="13" t="str">
        <f aca="false">IFERROR(__xludf.dummyfunction("""COMPUTED_VALUE"""),"Metro DC Faisalabad")</f>
        <v>Metro DC Faisalabad</v>
      </c>
      <c r="B418" s="13" t="str">
        <f aca="false">IFERROR(__xludf.dummyfunction("""COMPUTED_VALUE"""),"db1281d2-b45b-4883-8f8c-596859595064")</f>
        <v>db1281d2-b45b-4883-8f8c-596859595064</v>
      </c>
      <c r="C418" s="13" t="str">
        <f aca="false">IFERROR(__xludf.dummyfunction("""COMPUTED_VALUE"""),"Swadi Surkh Mirch Pissi Hoi 5kg")</f>
        <v>Swadi Surkh Mirch Pissi Hoi 5kg</v>
      </c>
      <c r="D418" s="13" t="str">
        <f aca="false">IFERROR(__xludf.dummyfunction("""COMPUTED_VALUE"""),"Swadi")</f>
        <v>Swadi</v>
      </c>
      <c r="E418" s="13" t="str">
        <f aca="false">IFERROR(__xludf.dummyfunction("""COMPUTED_VALUE"""),"Spices")</f>
        <v>Spices</v>
      </c>
      <c r="F418" s="11" t="n">
        <f aca="false">IFERROR(__xludf.dummyfunction("""COMPUTED_VALUE"""),45208)</f>
        <v>45208</v>
      </c>
      <c r="G418" s="12" t="n">
        <f aca="false">IFERROR(__xludf.dummyfunction("""COMPUTED_VALUE"""),0.718804791666575)</f>
        <v>0.7188047917</v>
      </c>
      <c r="H418" s="13" t="str">
        <f aca="false">IFERROR(__xludf.dummyfunction("""COMPUTED_VALUE"""),"damaged stock")</f>
        <v>damaged stock</v>
      </c>
      <c r="I418" s="13" t="n">
        <f aca="false">IFERROR(__xludf.dummyfunction("""COMPUTED_VALUE"""),16)</f>
        <v>16</v>
      </c>
      <c r="J418" s="13" t="n">
        <f aca="false">IFERROR(__xludf.dummyfunction("""COMPUTED_VALUE"""),2750)</f>
        <v>2750</v>
      </c>
      <c r="K418" s="13" t="n">
        <f aca="false">IFERROR(__xludf.dummyfunction("""COMPUTED_VALUE"""),44000)</f>
        <v>44000</v>
      </c>
      <c r="L418" s="13" t="str">
        <f aca="false">IFERROR(__xludf.dummyfunction("""COMPUTED_VALUE"""),"[Code: 88CEEEFJ] 16 units found damaged due to quality issue ")</f>
        <v>[Code: 88CEEEFJ] 16 units found damaged due to quality issue </v>
      </c>
      <c r="M418" s="13" t="str">
        <f aca="false">IFERROR(__xludf.dummyfunction("""COMPUTED_VALUE"""),"88CEEEFJ")</f>
        <v>88CEEEFJ</v>
      </c>
      <c r="N418" s="13"/>
      <c r="O418" s="13" t="str">
        <f aca="false">IFERROR(__xludf.dummyfunction("""COMPUTED_VALUE"""),"ali.raza@tajir-app.com")</f>
        <v>ali.raza@tajir-app.com</v>
      </c>
      <c r="P418" s="13" t="str">
        <f aca="false">IFERROR(__xludf.dummyfunction("""COMPUTED_VALUE"""),"Ali Raza ")</f>
        <v>Ali Raza </v>
      </c>
      <c r="Q418" s="13" t="str">
        <f aca="false">IFERROR(__xludf.dummyfunction("""COMPUTED_VALUE"""),"[Code: 88CEEEFJ] 16 units found damaged due to quality issue ")</f>
        <v>[Code: 88CEEEFJ] 16 units found damaged due to quality issue </v>
      </c>
      <c r="R418" s="13" t="str">
        <v>Mon,09-October-2023 ,05:15 PM</v>
      </c>
      <c r="S418" s="13" t="str">
        <v>Damaged Stock</v>
      </c>
    </row>
    <row r="419" customFormat="false" ht="15.75" hidden="false" customHeight="false" outlineLevel="0" collapsed="false">
      <c r="A419" s="13" t="str">
        <f aca="false">IFERROR(__xludf.dummyfunction("""COMPUTED_VALUE"""),"Metro DC Faisalabad")</f>
        <v>Metro DC Faisalabad</v>
      </c>
      <c r="B419" s="13" t="str">
        <f aca="false">IFERROR(__xludf.dummyfunction("""COMPUTED_VALUE"""),"e664935a-fa50-488a-85ac-07b95c2dd953")</f>
        <v>e664935a-fa50-488a-85ac-07b95c2dd953</v>
      </c>
      <c r="C419" s="13" t="str">
        <f aca="false">IFERROR(__xludf.dummyfunction("""COMPUTED_VALUE"""),"Quality Grains White Chana Bareek 500g")</f>
        <v>Quality Grains White Chana Bareek 500g</v>
      </c>
      <c r="D419" s="13" t="str">
        <f aca="false">IFERROR(__xludf.dummyfunction("""COMPUTED_VALUE"""),"Quality Grains")</f>
        <v>Quality Grains</v>
      </c>
      <c r="E419" s="13" t="str">
        <f aca="false">IFERROR(__xludf.dummyfunction("""COMPUTED_VALUE"""),"Pulses")</f>
        <v>Pulses</v>
      </c>
      <c r="F419" s="11" t="n">
        <f aca="false">IFERROR(__xludf.dummyfunction("""COMPUTED_VALUE"""),45208)</f>
        <v>45208</v>
      </c>
      <c r="G419" s="12" t="n">
        <f aca="false">IFERROR(__xludf.dummyfunction("""COMPUTED_VALUE"""),0.723435983797956)</f>
        <v>0.7234359838</v>
      </c>
      <c r="H419" s="13" t="str">
        <f aca="false">IFERROR(__xludf.dummyfunction("""COMPUTED_VALUE"""),"damaged stock")</f>
        <v>damaged stock</v>
      </c>
      <c r="I419" s="13" t="n">
        <f aca="false">IFERROR(__xludf.dummyfunction("""COMPUTED_VALUE"""),1)</f>
        <v>1</v>
      </c>
      <c r="J419" s="13" t="n">
        <f aca="false">IFERROR(__xludf.dummyfunction("""COMPUTED_VALUE"""),171)</f>
        <v>171</v>
      </c>
      <c r="K419" s="13" t="n">
        <f aca="false">IFERROR(__xludf.dummyfunction("""COMPUTED_VALUE"""),171)</f>
        <v>171</v>
      </c>
      <c r="L419" s="13" t="str">
        <f aca="false">IFERROR(__xludf.dummyfunction("""COMPUTED_VALUE"""),"[Code: 388999BE] 1 unit found quality issue.")</f>
        <v>[Code: 388999BE] 1 unit found quality issue.</v>
      </c>
      <c r="M419" s="13" t="str">
        <f aca="false">IFERROR(__xludf.dummyfunction("""COMPUTED_VALUE"""),"388999BE")</f>
        <v>388999BE</v>
      </c>
      <c r="N419" s="13"/>
      <c r="O419" s="13" t="str">
        <f aca="false">IFERROR(__xludf.dummyfunction("""COMPUTED_VALUE"""),"ali.raza@tajir-app.com")</f>
        <v>ali.raza@tajir-app.com</v>
      </c>
      <c r="P419" s="13" t="str">
        <f aca="false">IFERROR(__xludf.dummyfunction("""COMPUTED_VALUE"""),"Ali Raza ")</f>
        <v>Ali Raza </v>
      </c>
      <c r="Q419" s="13" t="str">
        <f aca="false">IFERROR(__xludf.dummyfunction("""COMPUTED_VALUE"""),"[Code: 388999BE] 1 unit found quality issue.")</f>
        <v>[Code: 388999BE] 1 unit found quality issue.</v>
      </c>
      <c r="R419" s="13" t="str">
        <v>Mon,09-October-2023 ,05:21 PM</v>
      </c>
      <c r="S419" s="13" t="str">
        <v>Damaged Stock</v>
      </c>
    </row>
    <row r="420" customFormat="false" ht="15.75" hidden="false" customHeight="false" outlineLevel="0" collapsed="false">
      <c r="A420" s="13" t="str">
        <f aca="false">IFERROR(__xludf.dummyfunction("""COMPUTED_VALUE"""),"Metro DC Faisalabad")</f>
        <v>Metro DC Faisalabad</v>
      </c>
      <c r="B420" s="13" t="str">
        <f aca="false">IFERROR(__xludf.dummyfunction("""COMPUTED_VALUE"""),"9c395894-35c2-4217-9eff-b0a22e04c2d1")</f>
        <v>9c395894-35c2-4217-9eff-b0a22e04c2d1</v>
      </c>
      <c r="C420" s="13" t="str">
        <f aca="false">IFERROR(__xludf.dummyfunction("""COMPUTED_VALUE"""),"Coca Cola plastic 2.25L (Jumbo)")</f>
        <v>Coca Cola plastic 2.25L (Jumbo)</v>
      </c>
      <c r="D420" s="13" t="str">
        <f aca="false">IFERROR(__xludf.dummyfunction("""COMPUTED_VALUE"""),"Coca Cola")</f>
        <v>Coca Cola</v>
      </c>
      <c r="E420" s="13" t="str">
        <f aca="false">IFERROR(__xludf.dummyfunction("""COMPUTED_VALUE"""),"Beverages")</f>
        <v>Beverages</v>
      </c>
      <c r="F420" s="11" t="n">
        <f aca="false">IFERROR(__xludf.dummyfunction("""COMPUTED_VALUE"""),45208)</f>
        <v>45208</v>
      </c>
      <c r="G420" s="12" t="n">
        <f aca="false">IFERROR(__xludf.dummyfunction("""COMPUTED_VALUE"""),0.925818483795784)</f>
        <v>0.9258184838</v>
      </c>
      <c r="H420" s="13" t="str">
        <f aca="false">IFERROR(__xludf.dummyfunction("""COMPUTED_VALUE"""),"damaged stock")</f>
        <v>damaged stock</v>
      </c>
      <c r="I420" s="13" t="n">
        <f aca="false">IFERROR(__xludf.dummyfunction("""COMPUTED_VALUE"""),1)</f>
        <v>1</v>
      </c>
      <c r="J420" s="13" t="n">
        <f aca="false">IFERROR(__xludf.dummyfunction("""COMPUTED_VALUE"""),1280.72)</f>
        <v>1280.72</v>
      </c>
      <c r="K420" s="13" t="n">
        <f aca="false">IFERROR(__xludf.dummyfunction("""COMPUTED_VALUE"""),1280.72)</f>
        <v>1280.72</v>
      </c>
      <c r="L420" s="13" t="str">
        <f aca="false">IFERROR(__xludf.dummyfunction("""COMPUTED_VALUE"""),"[Code: 44679BFG] TA: 2 bottels found in loose condition during sorting.")</f>
        <v>[Code: 44679BFG] TA: 2 bottels found in loose condition during sorting.</v>
      </c>
      <c r="M420" s="13" t="str">
        <f aca="false">IFERROR(__xludf.dummyfunction("""COMPUTED_VALUE"""),"44679BFG")</f>
        <v>44679BFG</v>
      </c>
      <c r="N420" s="13"/>
      <c r="O420" s="13" t="str">
        <f aca="false">IFERROR(__xludf.dummyfunction("""COMPUTED_VALUE"""),"taufeeq.akhtar@tajir-app.com")</f>
        <v>taufeeq.akhtar@tajir-app.com</v>
      </c>
      <c r="P420" s="13" t="str">
        <f aca="false">IFERROR(__xludf.dummyfunction("""COMPUTED_VALUE"""),"Taufeeq Akhtar ")</f>
        <v>Taufeeq Akhtar </v>
      </c>
      <c r="Q420" s="13" t="str">
        <f aca="false">IFERROR(__xludf.dummyfunction("""COMPUTED_VALUE"""),"[Code: 44679BFG] TA: 2 bottels found in loose condition during sorting.")</f>
        <v>[Code: 44679BFG] TA: 2 bottels found in loose condition during sorting.</v>
      </c>
      <c r="R420" s="13" t="str">
        <v>Mon,09-October-2023 ,10:13 PM</v>
      </c>
      <c r="S420" s="13" t="str">
        <v>Damaged Stock</v>
      </c>
    </row>
    <row r="421" customFormat="false" ht="15.75" hidden="false" customHeight="false" outlineLevel="0" collapsed="false">
      <c r="A421" s="13" t="str">
        <f aca="false">IFERROR(__xludf.dummyfunction("""COMPUTED_VALUE"""),"Metro DC Faisalabad")</f>
        <v>Metro DC Faisalabad</v>
      </c>
      <c r="B421" s="13" t="str">
        <f aca="false">IFERROR(__xludf.dummyfunction("""COMPUTED_VALUE"""),"9d59c968-f91e-4f22-8530-346cfe9703b8")</f>
        <v>9d59c968-f91e-4f22-8530-346cfe9703b8</v>
      </c>
      <c r="C421" s="13" t="str">
        <f aca="false">IFERROR(__xludf.dummyfunction("""COMPUTED_VALUE"""),"Fanta Red Apple 500ml (Half Liter)")</f>
        <v>Fanta Red Apple 500ml (Half Liter)</v>
      </c>
      <c r="D421" s="13" t="str">
        <f aca="false">IFERROR(__xludf.dummyfunction("""COMPUTED_VALUE"""),"Fanta")</f>
        <v>Fanta</v>
      </c>
      <c r="E421" s="13" t="str">
        <f aca="false">IFERROR(__xludf.dummyfunction("""COMPUTED_VALUE"""),"Beverages")</f>
        <v>Beverages</v>
      </c>
      <c r="F421" s="11" t="n">
        <f aca="false">IFERROR(__xludf.dummyfunction("""COMPUTED_VALUE"""),45208)</f>
        <v>45208</v>
      </c>
      <c r="G421" s="12" t="n">
        <f aca="false">IFERROR(__xludf.dummyfunction("""COMPUTED_VALUE"""),0.928209212962257)</f>
        <v>0.928209213</v>
      </c>
      <c r="H421" s="13" t="str">
        <f aca="false">IFERROR(__xludf.dummyfunction("""COMPUTED_VALUE"""),"damaged stock")</f>
        <v>damaged stock</v>
      </c>
      <c r="I421" s="13" t="n">
        <f aca="false">IFERROR(__xludf.dummyfunction("""COMPUTED_VALUE"""),1)</f>
        <v>1</v>
      </c>
      <c r="J421" s="13" t="n">
        <f aca="false">IFERROR(__xludf.dummyfunction("""COMPUTED_VALUE"""),951.37)</f>
        <v>951.37</v>
      </c>
      <c r="K421" s="13" t="n">
        <f aca="false">IFERROR(__xludf.dummyfunction("""COMPUTED_VALUE"""),951.37)</f>
        <v>951.37</v>
      </c>
      <c r="L421" s="13" t="str">
        <f aca="false">IFERROR(__xludf.dummyfunction("""COMPUTED_VALUE"""),"[Code: 223ABCCE] TA: one bottel was less in pet and one bottel found without cap.")</f>
        <v>[Code: 223ABCCE] TA: one bottel was less in pet and one bottel found without cap.</v>
      </c>
      <c r="M421" s="13" t="str">
        <f aca="false">IFERROR(__xludf.dummyfunction("""COMPUTED_VALUE"""),"223ABCCE")</f>
        <v>223ABCCE</v>
      </c>
      <c r="N421" s="13"/>
      <c r="O421" s="13" t="str">
        <f aca="false">IFERROR(__xludf.dummyfunction("""COMPUTED_VALUE"""),"taufeeq.akhtar@tajir-app.com")</f>
        <v>taufeeq.akhtar@tajir-app.com</v>
      </c>
      <c r="P421" s="13" t="str">
        <f aca="false">IFERROR(__xludf.dummyfunction("""COMPUTED_VALUE"""),"Taufeeq Akhtar ")</f>
        <v>Taufeeq Akhtar </v>
      </c>
      <c r="Q421" s="13" t="str">
        <f aca="false">IFERROR(__xludf.dummyfunction("""COMPUTED_VALUE"""),"[Code: 223ABCCE] TA: one bottel was less in pet and one bottel found without cap.")</f>
        <v>[Code: 223ABCCE] TA: one bottel was less in pet and one bottel found without cap.</v>
      </c>
      <c r="R421" s="13" t="str">
        <v>Mon,09-October-2023 ,10:16 PM</v>
      </c>
      <c r="S421" s="13" t="str">
        <v>Damaged Stock</v>
      </c>
    </row>
    <row r="422" customFormat="false" ht="15.75" hidden="false" customHeight="false" outlineLevel="0" collapsed="false">
      <c r="A422" s="13" t="str">
        <f aca="false">IFERROR(__xludf.dummyfunction("""COMPUTED_VALUE"""),"Metro DC Faisalabad")</f>
        <v>Metro DC Faisalabad</v>
      </c>
      <c r="B422" s="13" t="str">
        <f aca="false">IFERROR(__xludf.dummyfunction("""COMPUTED_VALUE"""),"0d038538-c4b5-4b63-9831-2b3c32d21d51")</f>
        <v>0d038538-c4b5-4b63-9831-2b3c32d21d51</v>
      </c>
      <c r="C422" s="13" t="str">
        <f aca="false">IFERROR(__xludf.dummyfunction("""COMPUTED_VALUE"""),"Ultra Pure Drain Opener 300ml Rs75")</f>
        <v>Ultra Pure Drain Opener 300ml Rs75</v>
      </c>
      <c r="D422" s="13" t="str">
        <f aca="false">IFERROR(__xludf.dummyfunction("""COMPUTED_VALUE"""),"Ultra Pure")</f>
        <v>Ultra Pure</v>
      </c>
      <c r="E422" s="13" t="str">
        <f aca="false">IFERROR(__xludf.dummyfunction("""COMPUTED_VALUE"""),"Home Care")</f>
        <v>Home Care</v>
      </c>
      <c r="F422" s="11" t="n">
        <f aca="false">IFERROR(__xludf.dummyfunction("""COMPUTED_VALUE"""),45208)</f>
        <v>45208</v>
      </c>
      <c r="G422" s="12" t="n">
        <f aca="false">IFERROR(__xludf.dummyfunction("""COMPUTED_VALUE"""),0.942538229164888)</f>
        <v>0.9425382292</v>
      </c>
      <c r="H422" s="13" t="str">
        <f aca="false">IFERROR(__xludf.dummyfunction("""COMPUTED_VALUE"""),"damaged stock")</f>
        <v>damaged stock</v>
      </c>
      <c r="I422" s="13" t="n">
        <f aca="false">IFERROR(__xludf.dummyfunction("""COMPUTED_VALUE"""),1)</f>
        <v>1</v>
      </c>
      <c r="J422" s="13" t="n">
        <f aca="false">IFERROR(__xludf.dummyfunction("""COMPUTED_VALUE"""),34)</f>
        <v>34</v>
      </c>
      <c r="K422" s="13" t="n">
        <f aca="false">IFERROR(__xludf.dummyfunction("""COMPUTED_VALUE"""),34)</f>
        <v>34</v>
      </c>
      <c r="L422" s="13" t="str">
        <f aca="false">IFERROR(__xludf.dummyfunction("""COMPUTED_VALUE"""),"[Code: 9ABCDDEE]  TA; 1 unit damage found during sortin .")</f>
        <v>[Code: 9ABCDDEE]  TA; 1 unit damage found during sortin .</v>
      </c>
      <c r="M422" s="13" t="str">
        <f aca="false">IFERROR(__xludf.dummyfunction("""COMPUTED_VALUE"""),"9ABCDDEE")</f>
        <v>9ABCDDEE</v>
      </c>
      <c r="N422" s="13"/>
      <c r="O422" s="13" t="str">
        <f aca="false">IFERROR(__xludf.dummyfunction("""COMPUTED_VALUE"""),"taufeeq.akhtar@tajir-app.com")</f>
        <v>taufeeq.akhtar@tajir-app.com</v>
      </c>
      <c r="P422" s="13" t="str">
        <f aca="false">IFERROR(__xludf.dummyfunction("""COMPUTED_VALUE"""),"Taufeeq Akhtar ")</f>
        <v>Taufeeq Akhtar </v>
      </c>
      <c r="Q422" s="13" t="str">
        <f aca="false">IFERROR(__xludf.dummyfunction("""COMPUTED_VALUE"""),"[Code: 9ABCDDEE]  TA; 1 unit damage found during sortin .")</f>
        <v>[Code: 9ABCDDEE]  TA; 1 unit damage found during sortin .</v>
      </c>
      <c r="R422" s="13" t="str">
        <v>Mon,09-October-2023 ,10:37 PM</v>
      </c>
      <c r="S422" s="13" t="str">
        <v>Damaged Stock</v>
      </c>
    </row>
    <row r="423" customFormat="false" ht="15.75" hidden="false" customHeight="false" outlineLevel="0" collapsed="false">
      <c r="A423" s="13" t="str">
        <f aca="false">IFERROR(__xludf.dummyfunction("""COMPUTED_VALUE"""),"Metro DC Faisalabad")</f>
        <v>Metro DC Faisalabad</v>
      </c>
      <c r="B423" s="13" t="str">
        <f aca="false">IFERROR(__xludf.dummyfunction("""COMPUTED_VALUE"""),"2078dcd4-3c88-45e1-bc7b-363dde84c6e8")</f>
        <v>2078dcd4-3c88-45e1-bc7b-363dde84c6e8</v>
      </c>
      <c r="C423" s="13" t="str">
        <f aca="false">IFERROR(__xludf.dummyfunction("""COMPUTED_VALUE"""),"Special Wooden Phool Jharoo")</f>
        <v>Special Wooden Phool Jharoo</v>
      </c>
      <c r="D423" s="13" t="str">
        <f aca="false">IFERROR(__xludf.dummyfunction("""COMPUTED_VALUE"""),"Jharoo")</f>
        <v>Jharoo</v>
      </c>
      <c r="E423" s="13" t="str">
        <f aca="false">IFERROR(__xludf.dummyfunction("""COMPUTED_VALUE"""),"Home Care")</f>
        <v>Home Care</v>
      </c>
      <c r="F423" s="11" t="n">
        <f aca="false">IFERROR(__xludf.dummyfunction("""COMPUTED_VALUE"""),45208)</f>
        <v>45208</v>
      </c>
      <c r="G423" s="12" t="n">
        <f aca="false">IFERROR(__xludf.dummyfunction("""COMPUTED_VALUE"""),0.944524525461815)</f>
        <v>0.9445245255</v>
      </c>
      <c r="H423" s="13" t="str">
        <f aca="false">IFERROR(__xludf.dummyfunction("""COMPUTED_VALUE"""),"damaged stock")</f>
        <v>damaged stock</v>
      </c>
      <c r="I423" s="13" t="n">
        <f aca="false">IFERROR(__xludf.dummyfunction("""COMPUTED_VALUE"""),1)</f>
        <v>1</v>
      </c>
      <c r="J423" s="13" t="n">
        <f aca="false">IFERROR(__xludf.dummyfunction("""COMPUTED_VALUE"""),135)</f>
        <v>135</v>
      </c>
      <c r="K423" s="13" t="n">
        <f aca="false">IFERROR(__xludf.dummyfunction("""COMPUTED_VALUE"""),135)</f>
        <v>135</v>
      </c>
      <c r="L423" s="13" t="str">
        <f aca="false">IFERROR(__xludf.dummyfunction("""COMPUTED_VALUE"""),"[Code: 488CDEGJ]  TA; 1 unit damage found during display ")</f>
        <v>[Code: 488CDEGJ]  TA; 1 unit damage found during display </v>
      </c>
      <c r="M423" s="13" t="str">
        <f aca="false">IFERROR(__xludf.dummyfunction("""COMPUTED_VALUE"""),"488CDEGJ")</f>
        <v>488CDEGJ</v>
      </c>
      <c r="N423" s="13"/>
      <c r="O423" s="13" t="str">
        <f aca="false">IFERROR(__xludf.dummyfunction("""COMPUTED_VALUE"""),"taufeeq.akhtar@tajir-app.com")</f>
        <v>taufeeq.akhtar@tajir-app.com</v>
      </c>
      <c r="P423" s="13" t="str">
        <f aca="false">IFERROR(__xludf.dummyfunction("""COMPUTED_VALUE"""),"Taufeeq Akhtar ")</f>
        <v>Taufeeq Akhtar </v>
      </c>
      <c r="Q423" s="13" t="str">
        <f aca="false">IFERROR(__xludf.dummyfunction("""COMPUTED_VALUE"""),"[Code: 488CDEGJ]  TA; 1 unit damage found during display ")</f>
        <v>[Code: 488CDEGJ]  TA; 1 unit damage found during display </v>
      </c>
      <c r="R423" s="13" t="str">
        <v>Mon,09-October-2023 ,10:40 PM</v>
      </c>
      <c r="S423" s="13" t="str">
        <v>Damaged Stock</v>
      </c>
    </row>
    <row r="424" customFormat="false" ht="15.75" hidden="false" customHeight="false" outlineLevel="0" collapsed="false">
      <c r="A424" s="13" t="str">
        <f aca="false">IFERROR(__xludf.dummyfunction("""COMPUTED_VALUE"""),"Metro DC Faisalabad")</f>
        <v>Metro DC Faisalabad</v>
      </c>
      <c r="B424" s="13" t="str">
        <f aca="false">IFERROR(__xludf.dummyfunction("""COMPUTED_VALUE"""),"cd68a607-af95-45cb-b9f4-2721224c85f8")</f>
        <v>cd68a607-af95-45cb-b9f4-2721224c85f8</v>
      </c>
      <c r="C424" s="13" t="str">
        <f aca="false">IFERROR(__xludf.dummyfunction("""COMPUTED_VALUE"""),"Coca Cola plastic 1.5L")</f>
        <v>Coca Cola plastic 1.5L</v>
      </c>
      <c r="D424" s="13" t="str">
        <f aca="false">IFERROR(__xludf.dummyfunction("""COMPUTED_VALUE"""),"Coca Cola")</f>
        <v>Coca Cola</v>
      </c>
      <c r="E424" s="13" t="str">
        <f aca="false">IFERROR(__xludf.dummyfunction("""COMPUTED_VALUE"""),"Beverages")</f>
        <v>Beverages</v>
      </c>
      <c r="F424" s="11" t="n">
        <f aca="false">IFERROR(__xludf.dummyfunction("""COMPUTED_VALUE"""),45210)</f>
        <v>45210</v>
      </c>
      <c r="G424" s="12" t="n">
        <f aca="false">IFERROR(__xludf.dummyfunction("""COMPUTED_VALUE"""),0.865499120371896)</f>
        <v>0.8654991204</v>
      </c>
      <c r="H424" s="13" t="str">
        <f aca="false">IFERROR(__xludf.dummyfunction("""COMPUTED_VALUE"""),"damaged stock")</f>
        <v>damaged stock</v>
      </c>
      <c r="I424" s="13" t="n">
        <f aca="false">IFERROR(__xludf.dummyfunction("""COMPUTED_VALUE"""),1)</f>
        <v>1</v>
      </c>
      <c r="J424" s="13" t="n">
        <f aca="false">IFERROR(__xludf.dummyfunction("""COMPUTED_VALUE"""),914.68)</f>
        <v>914.68</v>
      </c>
      <c r="K424" s="13" t="n">
        <f aca="false">IFERROR(__xludf.dummyfunction("""COMPUTED_VALUE"""),914.68)</f>
        <v>914.68</v>
      </c>
      <c r="L424" s="13" t="str">
        <f aca="false">IFERROR(__xludf.dummyfunction("""COMPUTED_VALUE"""),"[Code: 3455778A]  TA: 4 bottels found in loose condition during sorting.")</f>
        <v>[Code: 3455778A]  TA: 4 bottels found in loose condition during sorting.</v>
      </c>
      <c r="M424" s="13" t="str">
        <f aca="false">IFERROR(__xludf.dummyfunction("""COMPUTED_VALUE"""),"3455778A")</f>
        <v>3455778A</v>
      </c>
      <c r="N424" s="13"/>
      <c r="O424" s="13" t="str">
        <f aca="false">IFERROR(__xludf.dummyfunction("""COMPUTED_VALUE"""),"taufeeq.akhtar@tajir-app.com")</f>
        <v>taufeeq.akhtar@tajir-app.com</v>
      </c>
      <c r="P424" s="13" t="str">
        <f aca="false">IFERROR(__xludf.dummyfunction("""COMPUTED_VALUE"""),"Taufeeq Akhtar ")</f>
        <v>Taufeeq Akhtar </v>
      </c>
      <c r="Q424" s="13" t="str">
        <f aca="false">IFERROR(__xludf.dummyfunction("""COMPUTED_VALUE"""),"[Code: 3455778A]  TA: 4 bottels found in loose condition during sorting.")</f>
        <v>[Code: 3455778A]  TA: 4 bottels found in loose condition during sorting.</v>
      </c>
      <c r="R424" s="13" t="str">
        <v>Wed,11-October-2023 ,08:46 PM</v>
      </c>
      <c r="S424" s="13" t="str">
        <v>Damaged Stock</v>
      </c>
    </row>
    <row r="425" customFormat="false" ht="15.75" hidden="false" customHeight="false" outlineLevel="0" collapsed="false">
      <c r="A425" s="13" t="str">
        <f aca="false">IFERROR(__xludf.dummyfunction("""COMPUTED_VALUE"""),"Metro DC Faisalabad")</f>
        <v>Metro DC Faisalabad</v>
      </c>
      <c r="B425" s="13" t="str">
        <f aca="false">IFERROR(__xludf.dummyfunction("""COMPUTED_VALUE"""),"aa81c118-4223-44ff-878d-c9287edd1801")</f>
        <v>aa81c118-4223-44ff-878d-c9287edd1801</v>
      </c>
      <c r="C425" s="13" t="str">
        <f aca="false">IFERROR(__xludf.dummyfunction("""COMPUTED_VALUE"""),"Quality Grains White Chana Motta 1kg")</f>
        <v>Quality Grains White Chana Motta 1kg</v>
      </c>
      <c r="D425" s="13" t="str">
        <f aca="false">IFERROR(__xludf.dummyfunction("""COMPUTED_VALUE"""),"Quality Grains")</f>
        <v>Quality Grains</v>
      </c>
      <c r="E425" s="13" t="str">
        <f aca="false">IFERROR(__xludf.dummyfunction("""COMPUTED_VALUE"""),"Pulses")</f>
        <v>Pulses</v>
      </c>
      <c r="F425" s="11" t="n">
        <f aca="false">IFERROR(__xludf.dummyfunction("""COMPUTED_VALUE"""),45211)</f>
        <v>45211</v>
      </c>
      <c r="G425" s="12" t="n">
        <f aca="false">IFERROR(__xludf.dummyfunction("""COMPUTED_VALUE"""),0.709619108797089)</f>
        <v>0.7096191088</v>
      </c>
      <c r="H425" s="13" t="str">
        <f aca="false">IFERROR(__xludf.dummyfunction("""COMPUTED_VALUE"""),"damaged stock")</f>
        <v>damaged stock</v>
      </c>
      <c r="I425" s="13" t="n">
        <f aca="false">IFERROR(__xludf.dummyfunction("""COMPUTED_VALUE"""),1)</f>
        <v>1</v>
      </c>
      <c r="J425" s="13" t="n">
        <f aca="false">IFERROR(__xludf.dummyfunction("""COMPUTED_VALUE"""),391)</f>
        <v>391</v>
      </c>
      <c r="K425" s="13" t="n">
        <f aca="false">IFERROR(__xludf.dummyfunction("""COMPUTED_VALUE"""),391)</f>
        <v>391</v>
      </c>
      <c r="L425" s="13" t="str">
        <f aca="false">IFERROR(__xludf.dummyfunction("""COMPUTED_VALUE"""),"[Code: 3556CEGK] 1 unit found damaged due to quality issue.")</f>
        <v>[Code: 3556CEGK] 1 unit found damaged due to quality issue.</v>
      </c>
      <c r="M425" s="13" t="str">
        <f aca="false">IFERROR(__xludf.dummyfunction("""COMPUTED_VALUE"""),"3556CEGK")</f>
        <v>3556CEGK</v>
      </c>
      <c r="N425" s="13"/>
      <c r="O425" s="13" t="str">
        <f aca="false">IFERROR(__xludf.dummyfunction("""COMPUTED_VALUE"""),"ali.raza@tajir-app.com")</f>
        <v>ali.raza@tajir-app.com</v>
      </c>
      <c r="P425" s="13" t="str">
        <f aca="false">IFERROR(__xludf.dummyfunction("""COMPUTED_VALUE"""),"Ali Raza ")</f>
        <v>Ali Raza </v>
      </c>
      <c r="Q425" s="13" t="str">
        <f aca="false">IFERROR(__xludf.dummyfunction("""COMPUTED_VALUE"""),"[Code: 3556CEGK] 1 unit found damaged due to quality issue.")</f>
        <v>[Code: 3556CEGK] 1 unit found damaged due to quality issue.</v>
      </c>
      <c r="R425" s="13" t="str">
        <v>Thu,12-October-2023 ,05:01 PM</v>
      </c>
      <c r="S425" s="13" t="str">
        <v>Damaged Stock</v>
      </c>
    </row>
    <row r="426" customFormat="false" ht="15.75" hidden="false" customHeight="false" outlineLevel="0" collapsed="false">
      <c r="A426" s="13" t="str">
        <f aca="false">IFERROR(__xludf.dummyfunction("""COMPUTED_VALUE"""),"Metro DC Faisalabad")</f>
        <v>Metro DC Faisalabad</v>
      </c>
      <c r="B426" s="13" t="str">
        <f aca="false">IFERROR(__xludf.dummyfunction("""COMPUTED_VALUE"""),"855d7079-fcd2-4ebf-be1e-3a3d4fe8caed")</f>
        <v>855d7079-fcd2-4ebf-be1e-3a3d4fe8caed</v>
      </c>
      <c r="C426" s="13" t="str">
        <f aca="false">IFERROR(__xludf.dummyfunction("""COMPUTED_VALUE"""),"Quality Grains Black Chana Desi 1kg")</f>
        <v>Quality Grains Black Chana Desi 1kg</v>
      </c>
      <c r="D426" s="13" t="str">
        <f aca="false">IFERROR(__xludf.dummyfunction("""COMPUTED_VALUE"""),"Quality Grains")</f>
        <v>Quality Grains</v>
      </c>
      <c r="E426" s="13" t="str">
        <f aca="false">IFERROR(__xludf.dummyfunction("""COMPUTED_VALUE"""),"Pulses")</f>
        <v>Pulses</v>
      </c>
      <c r="F426" s="11" t="n">
        <f aca="false">IFERROR(__xludf.dummyfunction("""COMPUTED_VALUE"""),45211)</f>
        <v>45211</v>
      </c>
      <c r="G426" s="12" t="n">
        <f aca="false">IFERROR(__xludf.dummyfunction("""COMPUTED_VALUE"""),0.710219641204237)</f>
        <v>0.7102196412</v>
      </c>
      <c r="H426" s="13" t="str">
        <f aca="false">IFERROR(__xludf.dummyfunction("""COMPUTED_VALUE"""),"damaged stock")</f>
        <v>damaged stock</v>
      </c>
      <c r="I426" s="13" t="n">
        <f aca="false">IFERROR(__xludf.dummyfunction("""COMPUTED_VALUE"""),3)</f>
        <v>3</v>
      </c>
      <c r="J426" s="13" t="n">
        <f aca="false">IFERROR(__xludf.dummyfunction("""COMPUTED_VALUE"""),224)</f>
        <v>224</v>
      </c>
      <c r="K426" s="13" t="n">
        <f aca="false">IFERROR(__xludf.dummyfunction("""COMPUTED_VALUE"""),672)</f>
        <v>672</v>
      </c>
      <c r="L426" s="13" t="str">
        <f aca="false">IFERROR(__xludf.dummyfunction("""COMPUTED_VALUE"""),"[Code: 5679ACKL] 3 units found damaged due to quality issue.")</f>
        <v>[Code: 5679ACKL] 3 units found damaged due to quality issue.</v>
      </c>
      <c r="M426" s="13" t="str">
        <f aca="false">IFERROR(__xludf.dummyfunction("""COMPUTED_VALUE"""),"5679ACKL")</f>
        <v>5679ACKL</v>
      </c>
      <c r="N426" s="13"/>
      <c r="O426" s="13" t="str">
        <f aca="false">IFERROR(__xludf.dummyfunction("""COMPUTED_VALUE"""),"ali.raza@tajir-app.com")</f>
        <v>ali.raza@tajir-app.com</v>
      </c>
      <c r="P426" s="13" t="str">
        <f aca="false">IFERROR(__xludf.dummyfunction("""COMPUTED_VALUE"""),"Ali Raza ")</f>
        <v>Ali Raza </v>
      </c>
      <c r="Q426" s="13" t="str">
        <f aca="false">IFERROR(__xludf.dummyfunction("""COMPUTED_VALUE"""),"[Code: 5679ACKL] 3 units found damaged due to quality issue.")</f>
        <v>[Code: 5679ACKL] 3 units found damaged due to quality issue.</v>
      </c>
      <c r="R426" s="13" t="str">
        <v>Thu,12-October-2023 ,05:02 PM</v>
      </c>
      <c r="S426" s="13" t="str">
        <v>Damaged Stock</v>
      </c>
    </row>
    <row r="427" customFormat="false" ht="15.75" hidden="false" customHeight="false" outlineLevel="0" collapsed="false">
      <c r="A427" s="13" t="str">
        <f aca="false">IFERROR(__xludf.dummyfunction("""COMPUTED_VALUE"""),"Metro DC Faisalabad")</f>
        <v>Metro DC Faisalabad</v>
      </c>
      <c r="B427" s="13" t="str">
        <f aca="false">IFERROR(__xludf.dummyfunction("""COMPUTED_VALUE"""),"58c6dd8d-23cb-4343-8840-54ba0c1a0bea")</f>
        <v>58c6dd8d-23cb-4343-8840-54ba0c1a0bea</v>
      </c>
      <c r="C427" s="13" t="str">
        <f aca="false">IFERROR(__xludf.dummyfunction("""COMPUTED_VALUE"""),"Aquafina plastic 500ml (Half Liter)")</f>
        <v>Aquafina plastic 500ml (Half Liter)</v>
      </c>
      <c r="D427" s="13" t="str">
        <f aca="false">IFERROR(__xludf.dummyfunction("""COMPUTED_VALUE"""),"Aquafina")</f>
        <v>Aquafina</v>
      </c>
      <c r="E427" s="13" t="str">
        <f aca="false">IFERROR(__xludf.dummyfunction("""COMPUTED_VALUE"""),"Beverages")</f>
        <v>Beverages</v>
      </c>
      <c r="F427" s="11" t="n">
        <f aca="false">IFERROR(__xludf.dummyfunction("""COMPUTED_VALUE"""),45212)</f>
        <v>45212</v>
      </c>
      <c r="G427" s="12" t="n">
        <f aca="false">IFERROR(__xludf.dummyfunction("""COMPUTED_VALUE"""),0.748015578704005)</f>
        <v>0.7480155787</v>
      </c>
      <c r="H427" s="13" t="str">
        <f aca="false">IFERROR(__xludf.dummyfunction("""COMPUTED_VALUE"""),"damaged stock")</f>
        <v>damaged stock</v>
      </c>
      <c r="I427" s="13" t="n">
        <f aca="false">IFERROR(__xludf.dummyfunction("""COMPUTED_VALUE"""),1)</f>
        <v>1</v>
      </c>
      <c r="J427" s="13" t="n">
        <f aca="false">IFERROR(__xludf.dummyfunction("""COMPUTED_VALUE"""),450)</f>
        <v>450</v>
      </c>
      <c r="K427" s="13" t="n">
        <f aca="false">IFERROR(__xludf.dummyfunction("""COMPUTED_VALUE"""),450)</f>
        <v>450</v>
      </c>
      <c r="L427" s="13" t="str">
        <f aca="false">IFERROR(__xludf.dummyfunction("""COMPUTED_VALUE"""),"[Code: 3CFFJLLN]  TA: 4 bottels found in loose condition during sorting.")</f>
        <v>[Code: 3CFFJLLN]  TA: 4 bottels found in loose condition during sorting.</v>
      </c>
      <c r="M427" s="13" t="str">
        <f aca="false">IFERROR(__xludf.dummyfunction("""COMPUTED_VALUE"""),"3CFFJLLN")</f>
        <v>3CFFJLLN</v>
      </c>
      <c r="N427" s="13"/>
      <c r="O427" s="13" t="str">
        <f aca="false">IFERROR(__xludf.dummyfunction("""COMPUTED_VALUE"""),"taufeeq.akhtar@tajir-app.com")</f>
        <v>taufeeq.akhtar@tajir-app.com</v>
      </c>
      <c r="P427" s="13" t="str">
        <f aca="false">IFERROR(__xludf.dummyfunction("""COMPUTED_VALUE"""),"Taufeeq Akhtar ")</f>
        <v>Taufeeq Akhtar </v>
      </c>
      <c r="Q427" s="13" t="str">
        <f aca="false">IFERROR(__xludf.dummyfunction("""COMPUTED_VALUE"""),"[Code: 3CFFJLLN]  TA: 4 bottels found in loose condition during sorting.")</f>
        <v>[Code: 3CFFJLLN]  TA: 4 bottels found in loose condition during sorting.</v>
      </c>
      <c r="R427" s="13" t="str">
        <v>Fri,13-October-2023 ,05:57 PM</v>
      </c>
      <c r="S427" s="13" t="str">
        <v>Damaged Stock</v>
      </c>
    </row>
    <row r="428" customFormat="false" ht="15.75" hidden="false" customHeight="false" outlineLevel="0" collapsed="false">
      <c r="A428" s="13" t="str">
        <f aca="false">IFERROR(__xludf.dummyfunction("""COMPUTED_VALUE"""),"Metro DC Faisalabad")</f>
        <v>Metro DC Faisalabad</v>
      </c>
      <c r="B428" s="13" t="str">
        <f aca="false">IFERROR(__xludf.dummyfunction("""COMPUTED_VALUE"""),"ad261b39-8236-46b3-b4b8-18de2ebb3efd")</f>
        <v>ad261b39-8236-46b3-b4b8-18de2ebb3efd</v>
      </c>
      <c r="C428" s="13" t="str">
        <f aca="false">IFERROR(__xludf.dummyfunction("""COMPUTED_VALUE"""),"Lipton yellow label tea 85g Rs270")</f>
        <v>Lipton yellow label tea 85g Rs270</v>
      </c>
      <c r="D428" s="13" t="str">
        <f aca="false">IFERROR(__xludf.dummyfunction("""COMPUTED_VALUE"""),"Lipton")</f>
        <v>Lipton</v>
      </c>
      <c r="E428" s="13" t="str">
        <f aca="false">IFERROR(__xludf.dummyfunction("""COMPUTED_VALUE"""),"Tea, Coffee")</f>
        <v>Tea, Coffee</v>
      </c>
      <c r="F428" s="11" t="n">
        <f aca="false">IFERROR(__xludf.dummyfunction("""COMPUTED_VALUE"""),45212)</f>
        <v>45212</v>
      </c>
      <c r="G428" s="12" t="n">
        <f aca="false">IFERROR(__xludf.dummyfunction("""COMPUTED_VALUE"""),0.824584467594145)</f>
        <v>0.8245844676</v>
      </c>
      <c r="H428" s="13" t="str">
        <f aca="false">IFERROR(__xludf.dummyfunction("""COMPUTED_VALUE"""),"damaged stock")</f>
        <v>damaged stock</v>
      </c>
      <c r="I428" s="13" t="n">
        <f aca="false">IFERROR(__xludf.dummyfunction("""COMPUTED_VALUE"""),1)</f>
        <v>1</v>
      </c>
      <c r="J428" s="13" t="n">
        <f aca="false">IFERROR(__xludf.dummyfunction("""COMPUTED_VALUE"""),248.2)</f>
        <v>248.2</v>
      </c>
      <c r="K428" s="13" t="n">
        <f aca="false">IFERROR(__xludf.dummyfunction("""COMPUTED_VALUE"""),248.2)</f>
        <v>248.2</v>
      </c>
      <c r="L428" s="13" t="str">
        <f aca="false">IFERROR(__xludf.dummyfunction("""COMPUTED_VALUE"""),"[Code: 2457BFHJ] TA: Found damaged in box during display..")</f>
        <v>[Code: 2457BFHJ] TA: Found damaged in box during display..</v>
      </c>
      <c r="M428" s="13" t="str">
        <f aca="false">IFERROR(__xludf.dummyfunction("""COMPUTED_VALUE"""),"2457BFHJ")</f>
        <v>2457BFHJ</v>
      </c>
      <c r="N428" s="13"/>
      <c r="O428" s="13" t="str">
        <f aca="false">IFERROR(__xludf.dummyfunction("""COMPUTED_VALUE"""),"taufeeq.akhtar@tajir-app.com")</f>
        <v>taufeeq.akhtar@tajir-app.com</v>
      </c>
      <c r="P428" s="13" t="str">
        <f aca="false">IFERROR(__xludf.dummyfunction("""COMPUTED_VALUE"""),"Taufeeq Akhtar ")</f>
        <v>Taufeeq Akhtar </v>
      </c>
      <c r="Q428" s="13" t="str">
        <f aca="false">IFERROR(__xludf.dummyfunction("""COMPUTED_VALUE"""),"[Code: 2457BFHJ] TA: Found damaged in box during display..")</f>
        <v>[Code: 2457BFHJ] TA: Found damaged in box during display..</v>
      </c>
      <c r="R428" s="13" t="str">
        <v>Fri,13-October-2023 ,07:47 PM</v>
      </c>
      <c r="S428" s="13" t="str">
        <v>Damaged Stock</v>
      </c>
    </row>
    <row r="429" customFormat="false" ht="15.75" hidden="false" customHeight="false" outlineLevel="0" collapsed="false">
      <c r="A429" s="13" t="str">
        <f aca="false">IFERROR(__xludf.dummyfunction("""COMPUTED_VALUE"""),"Metro DC Faisalabad")</f>
        <v>Metro DC Faisalabad</v>
      </c>
      <c r="B429" s="13" t="str">
        <f aca="false">IFERROR(__xludf.dummyfunction("""COMPUTED_VALUE"""),"d108dc59-da93-451f-9024-d773dad3e97a")</f>
        <v>d108dc59-da93-451f-9024-d773dad3e97a</v>
      </c>
      <c r="C429" s="13" t="str">
        <f aca="false">IFERROR(__xludf.dummyfunction("""COMPUTED_VALUE"""),"Sprite plastic 1.5L")</f>
        <v>Sprite plastic 1.5L</v>
      </c>
      <c r="D429" s="13" t="str">
        <f aca="false">IFERROR(__xludf.dummyfunction("""COMPUTED_VALUE"""),"Sprite")</f>
        <v>Sprite</v>
      </c>
      <c r="E429" s="13" t="str">
        <f aca="false">IFERROR(__xludf.dummyfunction("""COMPUTED_VALUE"""),"Beverages")</f>
        <v>Beverages</v>
      </c>
      <c r="F429" s="11" t="n">
        <f aca="false">IFERROR(__xludf.dummyfunction("""COMPUTED_VALUE"""),45213)</f>
        <v>45213</v>
      </c>
      <c r="G429" s="12" t="n">
        <f aca="false">IFERROR(__xludf.dummyfunction("""COMPUTED_VALUE"""),0.851499143516837)</f>
        <v>0.8514991435</v>
      </c>
      <c r="H429" s="13" t="str">
        <f aca="false">IFERROR(__xludf.dummyfunction("""COMPUTED_VALUE"""),"damaged stock")</f>
        <v>damaged stock</v>
      </c>
      <c r="I429" s="13" t="n">
        <f aca="false">IFERROR(__xludf.dummyfunction("""COMPUTED_VALUE"""),1)</f>
        <v>1</v>
      </c>
      <c r="J429" s="13" t="n">
        <f aca="false">IFERROR(__xludf.dummyfunction("""COMPUTED_VALUE"""),870)</f>
        <v>870</v>
      </c>
      <c r="K429" s="13" t="n">
        <f aca="false">IFERROR(__xludf.dummyfunction("""COMPUTED_VALUE"""),870)</f>
        <v>870</v>
      </c>
      <c r="L429" s="13" t="str">
        <f aca="false">IFERROR(__xludf.dummyfunction("""COMPUTED_VALUE"""),"[Code: 58ABCEHM]  TA: 2 bottels found in loose   condition during sorting.")</f>
        <v>[Code: 58ABCEHM]  TA: 2 bottels found in loose   condition during sorting.</v>
      </c>
      <c r="M429" s="13" t="str">
        <f aca="false">IFERROR(__xludf.dummyfunction("""COMPUTED_VALUE"""),"58ABCEHM")</f>
        <v>58ABCEHM</v>
      </c>
      <c r="N429" s="13"/>
      <c r="O429" s="13" t="str">
        <f aca="false">IFERROR(__xludf.dummyfunction("""COMPUTED_VALUE"""),"taufeeq.akhtar@tajir-app.com")</f>
        <v>taufeeq.akhtar@tajir-app.com</v>
      </c>
      <c r="P429" s="13" t="str">
        <f aca="false">IFERROR(__xludf.dummyfunction("""COMPUTED_VALUE"""),"Taufeeq Akhtar ")</f>
        <v>Taufeeq Akhtar </v>
      </c>
      <c r="Q429" s="13" t="str">
        <f aca="false">IFERROR(__xludf.dummyfunction("""COMPUTED_VALUE"""),"[Code: 58ABCEHM]  TA: 2 bottels found in loose   condition during sorting.")</f>
        <v>[Code: 58ABCEHM]  TA: 2 bottels found in loose   condition during sorting.</v>
      </c>
      <c r="R429" s="13" t="str">
        <v>Sat,14-October-2023 ,08:26 PM</v>
      </c>
      <c r="S429" s="13" t="str">
        <v>Damaged Stock</v>
      </c>
    </row>
    <row r="430" customFormat="false" ht="15.75" hidden="false" customHeight="false" outlineLevel="0" collapsed="false">
      <c r="A430" s="13" t="str">
        <f aca="false">IFERROR(__xludf.dummyfunction("""COMPUTED_VALUE"""),"Metro DC Faisalabad")</f>
        <v>Metro DC Faisalabad</v>
      </c>
      <c r="B430" s="13" t="str">
        <f aca="false">IFERROR(__xludf.dummyfunction("""COMPUTED_VALUE"""),"1b684534-854d-487b-87b4-d26502505afa")</f>
        <v>1b684534-854d-487b-87b4-d26502505afa</v>
      </c>
      <c r="C430" s="13" t="str">
        <f aca="false">IFERROR(__xludf.dummyfunction("""COMPUTED_VALUE"""),"Jan Mango 1L")</f>
        <v>Jan Mango 1L</v>
      </c>
      <c r="D430" s="13" t="str">
        <f aca="false">IFERROR(__xludf.dummyfunction("""COMPUTED_VALUE"""),"Jan")</f>
        <v>Jan</v>
      </c>
      <c r="E430" s="13" t="str">
        <f aca="false">IFERROR(__xludf.dummyfunction("""COMPUTED_VALUE"""),"Juice, Syrup, Squash")</f>
        <v>Juice, Syrup, Squash</v>
      </c>
      <c r="F430" s="11" t="n">
        <f aca="false">IFERROR(__xludf.dummyfunction("""COMPUTED_VALUE"""),45214)</f>
        <v>45214</v>
      </c>
      <c r="G430" s="12" t="n">
        <f aca="false">IFERROR(__xludf.dummyfunction("""COMPUTED_VALUE"""),0.0312271296278564)</f>
        <v>0.03122712963</v>
      </c>
      <c r="H430" s="13" t="str">
        <f aca="false">IFERROR(__xludf.dummyfunction("""COMPUTED_VALUE"""),"damaged stock")</f>
        <v>damaged stock</v>
      </c>
      <c r="I430" s="13" t="n">
        <f aca="false">IFERROR(__xludf.dummyfunction("""COMPUTED_VALUE"""),2)</f>
        <v>2</v>
      </c>
      <c r="J430" s="13" t="n">
        <f aca="false">IFERROR(__xludf.dummyfunction("""COMPUTED_VALUE"""),130.83)</f>
        <v>130.83</v>
      </c>
      <c r="K430" s="13" t="n">
        <f aca="false">IFERROR(__xludf.dummyfunction("""COMPUTED_VALUE"""),261.66)</f>
        <v>261.66</v>
      </c>
      <c r="L430" s="13" t="str">
        <f aca="false">IFERROR(__xludf.dummyfunction("""COMPUTED_VALUE"""),"[Code: 289CDEHJ] TA; 2unit damage found during sorting  wihtout  cap")</f>
        <v>[Code: 289CDEHJ] TA; 2unit damage found during sorting  wihtout  cap</v>
      </c>
      <c r="M430" s="13" t="str">
        <f aca="false">IFERROR(__xludf.dummyfunction("""COMPUTED_VALUE"""),"289CDEHJ")</f>
        <v>289CDEHJ</v>
      </c>
      <c r="N430" s="13"/>
      <c r="O430" s="13" t="str">
        <f aca="false">IFERROR(__xludf.dummyfunction("""COMPUTED_VALUE"""),"taufeeq.akhtar@tajir-app.com")</f>
        <v>taufeeq.akhtar@tajir-app.com</v>
      </c>
      <c r="P430" s="13" t="str">
        <f aca="false">IFERROR(__xludf.dummyfunction("""COMPUTED_VALUE"""),"Taufeeq Akhtar ")</f>
        <v>Taufeeq Akhtar </v>
      </c>
      <c r="Q430" s="13" t="str">
        <f aca="false">IFERROR(__xludf.dummyfunction("""COMPUTED_VALUE"""),"[Code: 289CDEHJ] TA; 2unit damage found during sorting  wihtout  cap")</f>
        <v>[Code: 289CDEHJ] TA; 2unit damage found during sorting  wihtout  cap</v>
      </c>
      <c r="R430" s="13" t="str">
        <v>Sun,15-October-2023 ,12:44 AM</v>
      </c>
      <c r="S430" s="13" t="str">
        <v>Damaged Stock</v>
      </c>
    </row>
    <row r="431" customFormat="false" ht="15.75" hidden="false" customHeight="false" outlineLevel="0" collapsed="false">
      <c r="A431" s="13" t="str">
        <f aca="false">IFERROR(__xludf.dummyfunction("""COMPUTED_VALUE"""),"Metro DC Faisalabad")</f>
        <v>Metro DC Faisalabad</v>
      </c>
      <c r="B431" s="13" t="str">
        <f aca="false">IFERROR(__xludf.dummyfunction("""COMPUTED_VALUE"""),"f7425506-e9b7-4b03-8637-220222ba185c")</f>
        <v>f7425506-e9b7-4b03-8637-220222ba185c</v>
      </c>
      <c r="C431" s="13" t="str">
        <f aca="false">IFERROR(__xludf.dummyfunction("""COMPUTED_VALUE"""),"Ariel Original Surf 2kg Rs1250")</f>
        <v>Ariel Original Surf 2kg Rs1250</v>
      </c>
      <c r="D431" s="13" t="str">
        <f aca="false">IFERROR(__xludf.dummyfunction("""COMPUTED_VALUE"""),"Ariel Surf")</f>
        <v>Ariel Surf</v>
      </c>
      <c r="E431" s="13" t="str">
        <f aca="false">IFERROR(__xludf.dummyfunction("""COMPUTED_VALUE"""),"Surf, Bleach")</f>
        <v>Surf, Bleach</v>
      </c>
      <c r="F431" s="11" t="n">
        <f aca="false">IFERROR(__xludf.dummyfunction("""COMPUTED_VALUE"""),45214)</f>
        <v>45214</v>
      </c>
      <c r="G431" s="12" t="n">
        <f aca="false">IFERROR(__xludf.dummyfunction("""COMPUTED_VALUE"""),0.480620231482559)</f>
        <v>0.4806202315</v>
      </c>
      <c r="H431" s="13" t="str">
        <f aca="false">IFERROR(__xludf.dummyfunction("""COMPUTED_VALUE"""),"damaged stock")</f>
        <v>damaged stock</v>
      </c>
      <c r="I431" s="13" t="n">
        <f aca="false">IFERROR(__xludf.dummyfunction("""COMPUTED_VALUE"""),1)</f>
        <v>1</v>
      </c>
      <c r="J431" s="13" t="n">
        <f aca="false">IFERROR(__xludf.dummyfunction("""COMPUTED_VALUE"""),1120)</f>
        <v>1120</v>
      </c>
      <c r="K431" s="13" t="n">
        <f aca="false">IFERROR(__xludf.dummyfunction("""COMPUTED_VALUE"""),1120)</f>
        <v>1120</v>
      </c>
      <c r="L431" s="13" t="str">
        <f aca="false">IFERROR(__xludf.dummyfunction("""COMPUTED_VALUE"""),"[Code: 5779DEFG] 1 unit damaged during sorting by rack")</f>
        <v>[Code: 5779DEFG] 1 unit damaged during sorting by rack</v>
      </c>
      <c r="M431" s="13" t="str">
        <f aca="false">IFERROR(__xludf.dummyfunction("""COMPUTED_VALUE"""),"5779DEFG")</f>
        <v>5779DEFG</v>
      </c>
      <c r="N431" s="13"/>
      <c r="O431" s="13" t="str">
        <f aca="false">IFERROR(__xludf.dummyfunction("""COMPUTED_VALUE"""),"ali.raza@tajir-app.com")</f>
        <v>ali.raza@tajir-app.com</v>
      </c>
      <c r="P431" s="13" t="str">
        <f aca="false">IFERROR(__xludf.dummyfunction("""COMPUTED_VALUE"""),"Ali Raza ")</f>
        <v>Ali Raza </v>
      </c>
      <c r="Q431" s="13" t="str">
        <f aca="false">IFERROR(__xludf.dummyfunction("""COMPUTED_VALUE"""),"[Code: 5779DEFG] 1 unit damaged during sorting by rack")</f>
        <v>[Code: 5779DEFG] 1 unit damaged during sorting by rack</v>
      </c>
      <c r="R431" s="13" t="str">
        <v>Sun,15-October-2023 ,11:32 AM</v>
      </c>
      <c r="S431" s="13" t="str">
        <v>Damaged Stock</v>
      </c>
    </row>
    <row r="432" customFormat="false" ht="15.75" hidden="false" customHeight="false" outlineLevel="0" collapsed="false">
      <c r="A432" s="13" t="str">
        <f aca="false">IFERROR(__xludf.dummyfunction("""COMPUTED_VALUE"""),"Metro DC Faisalabad")</f>
        <v>Metro DC Faisalabad</v>
      </c>
      <c r="B432" s="13" t="str">
        <f aca="false">IFERROR(__xludf.dummyfunction("""COMPUTED_VALUE"""),"640b3d13-fe80-4e07-8c7f-6e8b80a71337")</f>
        <v>640b3d13-fe80-4e07-8c7f-6e8b80a71337</v>
      </c>
      <c r="C432" s="13" t="str">
        <f aca="false">IFERROR(__xludf.dummyfunction("""COMPUTED_VALUE"""),"Swadi Besan 5kg")</f>
        <v>Swadi Besan 5kg</v>
      </c>
      <c r="D432" s="13" t="str">
        <f aca="false">IFERROR(__xludf.dummyfunction("""COMPUTED_VALUE"""),"Swadi")</f>
        <v>Swadi</v>
      </c>
      <c r="E432" s="13" t="str">
        <f aca="false">IFERROR(__xludf.dummyfunction("""COMPUTED_VALUE"""),"Pulses")</f>
        <v>Pulses</v>
      </c>
      <c r="F432" s="11" t="n">
        <f aca="false">IFERROR(__xludf.dummyfunction("""COMPUTED_VALUE"""),45214)</f>
        <v>45214</v>
      </c>
      <c r="G432" s="12" t="n">
        <f aca="false">IFERROR(__xludf.dummyfunction("""COMPUTED_VALUE"""),0.481855289351388)</f>
        <v>0.4818552894</v>
      </c>
      <c r="H432" s="13" t="str">
        <f aca="false">IFERROR(__xludf.dummyfunction("""COMPUTED_VALUE"""),"damaged stock")</f>
        <v>damaged stock</v>
      </c>
      <c r="I432" s="13" t="n">
        <f aca="false">IFERROR(__xludf.dummyfunction("""COMPUTED_VALUE"""),1)</f>
        <v>1</v>
      </c>
      <c r="J432" s="13" t="n">
        <f aca="false">IFERROR(__xludf.dummyfunction("""COMPUTED_VALUE"""),1050)</f>
        <v>1050</v>
      </c>
      <c r="K432" s="13" t="n">
        <f aca="false">IFERROR(__xludf.dummyfunction("""COMPUTED_VALUE"""),1050)</f>
        <v>1050</v>
      </c>
      <c r="L432" s="13" t="str">
        <f aca="false">IFERROR(__xludf.dummyfunction("""COMPUTED_VALUE"""),"[Code: 4478CDEJ] 1 unit found damaged due to fungus")</f>
        <v>[Code: 4478CDEJ] 1 unit found damaged due to fungus</v>
      </c>
      <c r="M432" s="13" t="str">
        <f aca="false">IFERROR(__xludf.dummyfunction("""COMPUTED_VALUE"""),"4478CDEJ")</f>
        <v>4478CDEJ</v>
      </c>
      <c r="N432" s="13"/>
      <c r="O432" s="13" t="str">
        <f aca="false">IFERROR(__xludf.dummyfunction("""COMPUTED_VALUE"""),"ali.raza@tajir-app.com")</f>
        <v>ali.raza@tajir-app.com</v>
      </c>
      <c r="P432" s="13" t="str">
        <f aca="false">IFERROR(__xludf.dummyfunction("""COMPUTED_VALUE"""),"Ali Raza ")</f>
        <v>Ali Raza </v>
      </c>
      <c r="Q432" s="13" t="str">
        <f aca="false">IFERROR(__xludf.dummyfunction("""COMPUTED_VALUE"""),"[Code: 4478CDEJ] 1 unit found damaged due to fungus")</f>
        <v>[Code: 4478CDEJ] 1 unit found damaged due to fungus</v>
      </c>
      <c r="R432" s="13" t="str">
        <v>Sun,15-October-2023 ,11:33 AM</v>
      </c>
      <c r="S432" s="13" t="str">
        <v>Damaged Stock</v>
      </c>
    </row>
    <row r="433" customFormat="false" ht="15.75" hidden="false" customHeight="false" outlineLevel="0" collapsed="false">
      <c r="A433" s="13" t="str">
        <f aca="false">IFERROR(__xludf.dummyfunction("""COMPUTED_VALUE"""),"Metro DC Faisalabad")</f>
        <v>Metro DC Faisalabad</v>
      </c>
      <c r="B433" s="13" t="str">
        <f aca="false">IFERROR(__xludf.dummyfunction("""COMPUTED_VALUE"""),"978a88b5-e0d1-4d9d-b7a1-90921ab8d4f0")</f>
        <v>978a88b5-e0d1-4d9d-b7a1-90921ab8d4f0</v>
      </c>
      <c r="C433" s="13" t="str">
        <f aca="false">IFERROR(__xludf.dummyfunction("""COMPUTED_VALUE"""),"Sherdil Daal Mash Wash 5kg")</f>
        <v>Sherdil Daal Mash Wash 5kg</v>
      </c>
      <c r="D433" s="13" t="str">
        <f aca="false">IFERROR(__xludf.dummyfunction("""COMPUTED_VALUE"""),"Sherdil")</f>
        <v>Sherdil</v>
      </c>
      <c r="E433" s="13" t="str">
        <f aca="false">IFERROR(__xludf.dummyfunction("""COMPUTED_VALUE"""),"Pulses")</f>
        <v>Pulses</v>
      </c>
      <c r="F433" s="11" t="n">
        <f aca="false">IFERROR(__xludf.dummyfunction("""COMPUTED_VALUE"""),45214)</f>
        <v>45214</v>
      </c>
      <c r="G433" s="12" t="n">
        <f aca="false">IFERROR(__xludf.dummyfunction("""COMPUTED_VALUE"""),0.643554490741312)</f>
        <v>0.6435544907</v>
      </c>
      <c r="H433" s="13" t="str">
        <f aca="false">IFERROR(__xludf.dummyfunction("""COMPUTED_VALUE"""),"damaged stock")</f>
        <v>damaged stock</v>
      </c>
      <c r="I433" s="13" t="n">
        <f aca="false">IFERROR(__xludf.dummyfunction("""COMPUTED_VALUE"""),2)</f>
        <v>2</v>
      </c>
      <c r="J433" s="13" t="n">
        <f aca="false">IFERROR(__xludf.dummyfunction("""COMPUTED_VALUE"""),3006)</f>
        <v>3006</v>
      </c>
      <c r="K433" s="13" t="n">
        <f aca="false">IFERROR(__xludf.dummyfunction("""COMPUTED_VALUE"""),6012)</f>
        <v>6012</v>
      </c>
      <c r="L433" s="13" t="str">
        <f aca="false">IFERROR(__xludf.dummyfunction("""COMPUTED_VALUE"""),"[Code: 2388ABCE] 2 units found damaged due to fungus ")</f>
        <v>[Code: 2388ABCE] 2 units found damaged due to fungus </v>
      </c>
      <c r="M433" s="13" t="str">
        <f aca="false">IFERROR(__xludf.dummyfunction("""COMPUTED_VALUE"""),"2388ABCE")</f>
        <v>2388ABCE</v>
      </c>
      <c r="N433" s="13"/>
      <c r="O433" s="13" t="str">
        <f aca="false">IFERROR(__xludf.dummyfunction("""COMPUTED_VALUE"""),"ali.raza@tajir-app.com")</f>
        <v>ali.raza@tajir-app.com</v>
      </c>
      <c r="P433" s="13" t="str">
        <f aca="false">IFERROR(__xludf.dummyfunction("""COMPUTED_VALUE"""),"Ali Raza ")</f>
        <v>Ali Raza </v>
      </c>
      <c r="Q433" s="13" t="str">
        <f aca="false">IFERROR(__xludf.dummyfunction("""COMPUTED_VALUE"""),"[Code: 2388ABCE] 2 units found damaged due to fungus ")</f>
        <v>[Code: 2388ABCE] 2 units found damaged due to fungus </v>
      </c>
      <c r="R433" s="13" t="str">
        <v>Sun,15-October-2023 ,03:26 PM</v>
      </c>
      <c r="S433" s="13" t="str">
        <v>Damaged Stock</v>
      </c>
    </row>
    <row r="434" customFormat="false" ht="15.75" hidden="false" customHeight="false" outlineLevel="0" collapsed="false">
      <c r="A434" s="13" t="str">
        <f aca="false">IFERROR(__xludf.dummyfunction("""COMPUTED_VALUE"""),"Metro DC Faisalabad")</f>
        <v>Metro DC Faisalabad</v>
      </c>
      <c r="B434" s="13" t="str">
        <f aca="false">IFERROR(__xludf.dummyfunction("""COMPUTED_VALUE"""),"eff7c5b3-4154-4f71-8ee4-cf81e596da29")</f>
        <v>eff7c5b3-4154-4f71-8ee4-cf81e596da29</v>
      </c>
      <c r="C434" s="13" t="str">
        <f aca="false">IFERROR(__xludf.dummyfunction("""COMPUTED_VALUE"""),"Mirinda plastic 1.5L Mrinda Marinda")</f>
        <v>Mirinda plastic 1.5L Mrinda Marinda</v>
      </c>
      <c r="D434" s="13" t="str">
        <f aca="false">IFERROR(__xludf.dummyfunction("""COMPUTED_VALUE"""),"Mirinda")</f>
        <v>Mirinda</v>
      </c>
      <c r="E434" s="13" t="str">
        <f aca="false">IFERROR(__xludf.dummyfunction("""COMPUTED_VALUE"""),"Beverages")</f>
        <v>Beverages</v>
      </c>
      <c r="F434" s="11" t="n">
        <f aca="false">IFERROR(__xludf.dummyfunction("""COMPUTED_VALUE"""),45215)</f>
        <v>45215</v>
      </c>
      <c r="G434" s="12" t="n">
        <f aca="false">IFERROR(__xludf.dummyfunction("""COMPUTED_VALUE"""),0.86042440972198)</f>
        <v>0.8604244097</v>
      </c>
      <c r="H434" s="13" t="str">
        <f aca="false">IFERROR(__xludf.dummyfunction("""COMPUTED_VALUE"""),"damaged stock")</f>
        <v>damaged stock</v>
      </c>
      <c r="I434" s="13" t="n">
        <f aca="false">IFERROR(__xludf.dummyfunction("""COMPUTED_VALUE"""),1)</f>
        <v>1</v>
      </c>
      <c r="J434" s="13" t="n">
        <f aca="false">IFERROR(__xludf.dummyfunction("""COMPUTED_VALUE"""),800)</f>
        <v>800</v>
      </c>
      <c r="K434" s="13" t="n">
        <f aca="false">IFERROR(__xludf.dummyfunction("""COMPUTED_VALUE"""),800)</f>
        <v>800</v>
      </c>
      <c r="L434" s="13" t="str">
        <f aca="false">IFERROR(__xludf.dummyfunction("""COMPUTED_VALUE"""),"[Code: 2788BCDH]   TA: 2 bottels found in loose condition during sorting.")</f>
        <v>[Code: 2788BCDH]   TA: 2 bottels found in loose condition during sorting.</v>
      </c>
      <c r="M434" s="13" t="str">
        <f aca="false">IFERROR(__xludf.dummyfunction("""COMPUTED_VALUE"""),"2788BCDH")</f>
        <v>2788BCDH</v>
      </c>
      <c r="N434" s="13"/>
      <c r="O434" s="13" t="str">
        <f aca="false">IFERROR(__xludf.dummyfunction("""COMPUTED_VALUE"""),"taufeeq.akhtar@tajir-app.com")</f>
        <v>taufeeq.akhtar@tajir-app.com</v>
      </c>
      <c r="P434" s="13" t="str">
        <f aca="false">IFERROR(__xludf.dummyfunction("""COMPUTED_VALUE"""),"Taufeeq Akhtar ")</f>
        <v>Taufeeq Akhtar </v>
      </c>
      <c r="Q434" s="13" t="str">
        <f aca="false">IFERROR(__xludf.dummyfunction("""COMPUTED_VALUE"""),"[Code: 2788BCDH]   TA: 2 bottels found in loose condition during sorting.")</f>
        <v>[Code: 2788BCDH]   TA: 2 bottels found in loose condition during sorting.</v>
      </c>
      <c r="R434" s="13" t="str">
        <v>Mon,16-October-2023 ,08:39 PM</v>
      </c>
      <c r="S434" s="13" t="str">
        <v>Damaged Stock</v>
      </c>
    </row>
    <row r="435" customFormat="false" ht="15.75" hidden="false" customHeight="false" outlineLevel="0" collapsed="false">
      <c r="A435" s="13" t="str">
        <f aca="false">IFERROR(__xludf.dummyfunction("""COMPUTED_VALUE"""),"Metro DC Faisalabad")</f>
        <v>Metro DC Faisalabad</v>
      </c>
      <c r="B435" s="13" t="str">
        <f aca="false">IFERROR(__xludf.dummyfunction("""COMPUTED_VALUE"""),"67c33ff3-e486-487d-844a-b17c396936ee")</f>
        <v>67c33ff3-e486-487d-844a-b17c396936ee</v>
      </c>
      <c r="C435" s="13" t="str">
        <f aca="false">IFERROR(__xludf.dummyfunction("""COMPUTED_VALUE"""),"Coca Cola plastic 1L")</f>
        <v>Coca Cola plastic 1L</v>
      </c>
      <c r="D435" s="13" t="str">
        <f aca="false">IFERROR(__xludf.dummyfunction("""COMPUTED_VALUE"""),"Coca Cola")</f>
        <v>Coca Cola</v>
      </c>
      <c r="E435" s="13" t="str">
        <f aca="false">IFERROR(__xludf.dummyfunction("""COMPUTED_VALUE"""),"Beverages")</f>
        <v>Beverages</v>
      </c>
      <c r="F435" s="11" t="n">
        <f aca="false">IFERROR(__xludf.dummyfunction("""COMPUTED_VALUE"""),45215)</f>
        <v>45215</v>
      </c>
      <c r="G435" s="12" t="n">
        <f aca="false">IFERROR(__xludf.dummyfunction("""COMPUTED_VALUE"""),0.860793634258284)</f>
        <v>0.8607936343</v>
      </c>
      <c r="H435" s="13" t="str">
        <f aca="false">IFERROR(__xludf.dummyfunction("""COMPUTED_VALUE"""),"damaged stock")</f>
        <v>damaged stock</v>
      </c>
      <c r="I435" s="13" t="n">
        <f aca="false">IFERROR(__xludf.dummyfunction("""COMPUTED_VALUE"""),1)</f>
        <v>1</v>
      </c>
      <c r="J435" s="13" t="n">
        <f aca="false">IFERROR(__xludf.dummyfunction("""COMPUTED_VALUE"""),773.13)</f>
        <v>773.13</v>
      </c>
      <c r="K435" s="13" t="n">
        <f aca="false">IFERROR(__xludf.dummyfunction("""COMPUTED_VALUE"""),773.13)</f>
        <v>773.13</v>
      </c>
      <c r="L435" s="13" t="str">
        <f aca="false">IFERROR(__xludf.dummyfunction("""COMPUTED_VALUE"""),"[Code: 577889BC]   TA: 2 bottels found in loose condition during sorting.")</f>
        <v>[Code: 577889BC]   TA: 2 bottels found in loose condition during sorting.</v>
      </c>
      <c r="M435" s="13" t="str">
        <f aca="false">IFERROR(__xludf.dummyfunction("""COMPUTED_VALUE"""),"577889BC")</f>
        <v>577889BC</v>
      </c>
      <c r="N435" s="13"/>
      <c r="O435" s="13" t="str">
        <f aca="false">IFERROR(__xludf.dummyfunction("""COMPUTED_VALUE"""),"taufeeq.akhtar@tajir-app.com")</f>
        <v>taufeeq.akhtar@tajir-app.com</v>
      </c>
      <c r="P435" s="13" t="str">
        <f aca="false">IFERROR(__xludf.dummyfunction("""COMPUTED_VALUE"""),"Taufeeq Akhtar ")</f>
        <v>Taufeeq Akhtar </v>
      </c>
      <c r="Q435" s="13" t="str">
        <f aca="false">IFERROR(__xludf.dummyfunction("""COMPUTED_VALUE"""),"[Code: 577889BC]   TA: 2 bottels found in loose condition during sorting.")</f>
        <v>[Code: 577889BC]   TA: 2 bottels found in loose condition during sorting.</v>
      </c>
      <c r="R435" s="13" t="str">
        <v>Mon,16-October-2023 ,08:39 PM</v>
      </c>
      <c r="S435" s="13" t="str">
        <v>Damaged Stock</v>
      </c>
    </row>
    <row r="436" customFormat="false" ht="15.75" hidden="false" customHeight="false" outlineLevel="0" collapsed="false">
      <c r="A436" s="13" t="str">
        <f aca="false">IFERROR(__xludf.dummyfunction("""COMPUTED_VALUE"""),"Metro DC Faisalabad")</f>
        <v>Metro DC Faisalabad</v>
      </c>
      <c r="B436" s="13" t="str">
        <f aca="false">IFERROR(__xludf.dummyfunction("""COMPUTED_VALUE"""),"9f296fd5-3f53-43a7-aa24-12b881344053")</f>
        <v>9f296fd5-3f53-43a7-aa24-12b881344053</v>
      </c>
      <c r="C436" s="13" t="str">
        <f aca="false">IFERROR(__xludf.dummyfunction("""COMPUTED_VALUE"""),"Gourmet Mango Mauj 500ml")</f>
        <v>Gourmet Mango Mauj 500ml</v>
      </c>
      <c r="D436" s="13" t="str">
        <f aca="false">IFERROR(__xludf.dummyfunction("""COMPUTED_VALUE"""),"Gourmet")</f>
        <v>Gourmet</v>
      </c>
      <c r="E436" s="13" t="str">
        <f aca="false">IFERROR(__xludf.dummyfunction("""COMPUTED_VALUE"""),"Juice, Syrup, Squash")</f>
        <v>Juice, Syrup, Squash</v>
      </c>
      <c r="F436" s="11" t="n">
        <f aca="false">IFERROR(__xludf.dummyfunction("""COMPUTED_VALUE"""),45216)</f>
        <v>45216</v>
      </c>
      <c r="G436" s="12" t="n">
        <f aca="false">IFERROR(__xludf.dummyfunction("""COMPUTED_VALUE"""),0.836173009258801)</f>
        <v>0.8361730093</v>
      </c>
      <c r="H436" s="13" t="str">
        <f aca="false">IFERROR(__xludf.dummyfunction("""COMPUTED_VALUE"""),"damaged stock")</f>
        <v>damaged stock</v>
      </c>
      <c r="I436" s="13" t="n">
        <f aca="false">IFERROR(__xludf.dummyfunction("""COMPUTED_VALUE"""),1)</f>
        <v>1</v>
      </c>
      <c r="J436" s="13" t="n">
        <f aca="false">IFERROR(__xludf.dummyfunction("""COMPUTED_VALUE"""),736.02)</f>
        <v>736.02</v>
      </c>
      <c r="K436" s="13" t="n">
        <f aca="false">IFERROR(__xludf.dummyfunction("""COMPUTED_VALUE"""),736.02)</f>
        <v>736.02</v>
      </c>
      <c r="L436" s="13" t="str">
        <f aca="false">IFERROR(__xludf.dummyfunction("""COMPUTED_VALUE"""),"[Code: 35579BKL] TA; 1 unit damage found during sorting")</f>
        <v>[Code: 35579BKL] TA; 1 unit damage found during sorting</v>
      </c>
      <c r="M436" s="13" t="str">
        <f aca="false">IFERROR(__xludf.dummyfunction("""COMPUTED_VALUE"""),"35579BKL")</f>
        <v>35579BKL</v>
      </c>
      <c r="N436" s="13"/>
      <c r="O436" s="13" t="str">
        <f aca="false">IFERROR(__xludf.dummyfunction("""COMPUTED_VALUE"""),"taufeeq.akhtar@tajir-app.com")</f>
        <v>taufeeq.akhtar@tajir-app.com</v>
      </c>
      <c r="P436" s="13" t="str">
        <f aca="false">IFERROR(__xludf.dummyfunction("""COMPUTED_VALUE"""),"Taufeeq Akhtar ")</f>
        <v>Taufeeq Akhtar </v>
      </c>
      <c r="Q436" s="13" t="str">
        <f aca="false">IFERROR(__xludf.dummyfunction("""COMPUTED_VALUE"""),"[Code: 35579BKL] TA; 1 unit damage found during sorting")</f>
        <v>[Code: 35579BKL] TA; 1 unit damage found during sorting</v>
      </c>
      <c r="R436" s="13" t="str">
        <v>Tue,17-October-2023 ,08:04 PM</v>
      </c>
      <c r="S436" s="13" t="str">
        <v>Damaged Stock</v>
      </c>
    </row>
    <row r="437" customFormat="false" ht="15.75" hidden="false" customHeight="false" outlineLevel="0" collapsed="false">
      <c r="A437" s="13" t="str">
        <f aca="false">IFERROR(__xludf.dummyfunction("""COMPUTED_VALUE"""),"Metro DC Faisalabad")</f>
        <v>Metro DC Faisalabad</v>
      </c>
      <c r="B437" s="13" t="str">
        <f aca="false">IFERROR(__xludf.dummyfunction("""COMPUTED_VALUE"""),"cd68a607-af95-45cb-b9f4-2721224c85f8")</f>
        <v>cd68a607-af95-45cb-b9f4-2721224c85f8</v>
      </c>
      <c r="C437" s="13" t="str">
        <f aca="false">IFERROR(__xludf.dummyfunction("""COMPUTED_VALUE"""),"Coca Cola plastic 1.5L")</f>
        <v>Coca Cola plastic 1.5L</v>
      </c>
      <c r="D437" s="13" t="str">
        <f aca="false">IFERROR(__xludf.dummyfunction("""COMPUTED_VALUE"""),"Coca Cola")</f>
        <v>Coca Cola</v>
      </c>
      <c r="E437" s="13" t="str">
        <f aca="false">IFERROR(__xludf.dummyfunction("""COMPUTED_VALUE"""),"Beverages")</f>
        <v>Beverages</v>
      </c>
      <c r="F437" s="11" t="n">
        <f aca="false">IFERROR(__xludf.dummyfunction("""COMPUTED_VALUE"""),45217)</f>
        <v>45217</v>
      </c>
      <c r="G437" s="12" t="n">
        <f aca="false">IFERROR(__xludf.dummyfunction("""COMPUTED_VALUE"""),0.847450243056434)</f>
        <v>0.8474502431</v>
      </c>
      <c r="H437" s="13" t="str">
        <f aca="false">IFERROR(__xludf.dummyfunction("""COMPUTED_VALUE"""),"damaged stock")</f>
        <v>damaged stock</v>
      </c>
      <c r="I437" s="13" t="n">
        <f aca="false">IFERROR(__xludf.dummyfunction("""COMPUTED_VALUE"""),1)</f>
        <v>1</v>
      </c>
      <c r="J437" s="13" t="n">
        <f aca="false">IFERROR(__xludf.dummyfunction("""COMPUTED_VALUE"""),914.68)</f>
        <v>914.68</v>
      </c>
      <c r="K437" s="13" t="n">
        <f aca="false">IFERROR(__xludf.dummyfunction("""COMPUTED_VALUE"""),914.68)</f>
        <v>914.68</v>
      </c>
      <c r="L437" s="13" t="str">
        <f aca="false">IFERROR(__xludf.dummyfunction("""COMPUTED_VALUE"""),"[Code: 234579AD]  TA: 2 bottels found in loose condition during sorting.")</f>
        <v>[Code: 234579AD]  TA: 2 bottels found in loose condition during sorting.</v>
      </c>
      <c r="M437" s="13" t="str">
        <f aca="false">IFERROR(__xludf.dummyfunction("""COMPUTED_VALUE"""),"234579AD")</f>
        <v>234579AD</v>
      </c>
      <c r="N437" s="13"/>
      <c r="O437" s="13" t="str">
        <f aca="false">IFERROR(__xludf.dummyfunction("""COMPUTED_VALUE"""),"taufeeq.akhtar@tajir-app.com")</f>
        <v>taufeeq.akhtar@tajir-app.com</v>
      </c>
      <c r="P437" s="13" t="str">
        <f aca="false">IFERROR(__xludf.dummyfunction("""COMPUTED_VALUE"""),"Taufeeq Akhtar ")</f>
        <v>Taufeeq Akhtar </v>
      </c>
      <c r="Q437" s="13" t="str">
        <f aca="false">IFERROR(__xludf.dummyfunction("""COMPUTED_VALUE"""),"[Code: 234579AD]  TA: 2 bottels found in loose condition during sorting.")</f>
        <v>[Code: 234579AD]  TA: 2 bottels found in loose condition during sorting.</v>
      </c>
      <c r="R437" s="13" t="str">
        <v>Wed,18-October-2023 ,08:20 PM</v>
      </c>
      <c r="S437" s="13" t="str">
        <v>Damaged Stock</v>
      </c>
    </row>
    <row r="438" customFormat="false" ht="15.75" hidden="false" customHeight="false" outlineLevel="0" collapsed="false">
      <c r="A438" s="13" t="str">
        <f aca="false">IFERROR(__xludf.dummyfunction("""COMPUTED_VALUE"""),"Metro DC Faisalabad")</f>
        <v>Metro DC Faisalabad</v>
      </c>
      <c r="B438" s="13" t="str">
        <f aca="false">IFERROR(__xludf.dummyfunction("""COMPUTED_VALUE"""),"68a117a6-3f98-4eb1-aef6-df85a7f8e4ba")</f>
        <v>68a117a6-3f98-4eb1-aef6-df85a7f8e4ba</v>
      </c>
      <c r="C438" s="13" t="str">
        <f aca="false">IFERROR(__xludf.dummyfunction("""COMPUTED_VALUE"""),"Aish Water 1500ml")</f>
        <v>Aish Water 1500ml</v>
      </c>
      <c r="D438" s="13" t="str">
        <f aca="false">IFERROR(__xludf.dummyfunction("""COMPUTED_VALUE"""),"Aish Water")</f>
        <v>Aish Water</v>
      </c>
      <c r="E438" s="13" t="str">
        <f aca="false">IFERROR(__xludf.dummyfunction("""COMPUTED_VALUE"""),"Beverages")</f>
        <v>Beverages</v>
      </c>
      <c r="F438" s="11" t="n">
        <f aca="false">IFERROR(__xludf.dummyfunction("""COMPUTED_VALUE"""),45217)</f>
        <v>45217</v>
      </c>
      <c r="G438" s="12" t="n">
        <f aca="false">IFERROR(__xludf.dummyfunction("""COMPUTED_VALUE"""),0.851188888890554)</f>
        <v>0.8511888889</v>
      </c>
      <c r="H438" s="13" t="str">
        <f aca="false">IFERROR(__xludf.dummyfunction("""COMPUTED_VALUE"""),"damaged stock")</f>
        <v>damaged stock</v>
      </c>
      <c r="I438" s="13" t="n">
        <f aca="false">IFERROR(__xludf.dummyfunction("""COMPUTED_VALUE"""),1)</f>
        <v>1</v>
      </c>
      <c r="J438" s="13" t="n">
        <f aca="false">IFERROR(__xludf.dummyfunction("""COMPUTED_VALUE"""),190)</f>
        <v>190</v>
      </c>
      <c r="K438" s="13" t="n">
        <f aca="false">IFERROR(__xludf.dummyfunction("""COMPUTED_VALUE"""),190)</f>
        <v>190</v>
      </c>
      <c r="L438" s="13" t="str">
        <f aca="false">IFERROR(__xludf.dummyfunction("""COMPUTED_VALUE"""),"[Code: 8AAELNQ] TA: 1 unit damage during sorting (sorter sy damage hoi he 1bottel )")</f>
        <v>[Code: 8AAELNQ] TA: 1 unit damage during sorting (sorter sy damage hoi he 1bottel )</v>
      </c>
      <c r="M438" s="13" t="str">
        <f aca="false">IFERROR(__xludf.dummyfunction("""COMPUTED_VALUE"""),"8AAELNQ")</f>
        <v>8AAELNQ</v>
      </c>
      <c r="N438" s="13"/>
      <c r="O438" s="13" t="str">
        <f aca="false">IFERROR(__xludf.dummyfunction("""COMPUTED_VALUE"""),"taufeeq.akhtar@tajir-app.com")</f>
        <v>taufeeq.akhtar@tajir-app.com</v>
      </c>
      <c r="P438" s="13" t="str">
        <f aca="false">IFERROR(__xludf.dummyfunction("""COMPUTED_VALUE"""),"Taufeeq Akhtar ")</f>
        <v>Taufeeq Akhtar </v>
      </c>
      <c r="Q438" s="13" t="str">
        <f aca="false">IFERROR(__xludf.dummyfunction("""COMPUTED_VALUE"""),"[Code: 8AAELNQ] TA: 1 unit damage during sorting (sorter sy damage hoi he 1bottel )")</f>
        <v>[Code: 8AAELNQ] TA: 1 unit damage during sorting (sorter sy damage hoi he 1bottel )</v>
      </c>
      <c r="R438" s="13" t="str">
        <v>Wed,18-October-2023 ,08:25 PM</v>
      </c>
      <c r="S438" s="13" t="str">
        <v>Damaged Stock</v>
      </c>
    </row>
    <row r="439" customFormat="false" ht="15.75" hidden="false" customHeight="false" outlineLevel="0" collapsed="false">
      <c r="A439" s="13" t="str">
        <f aca="false">IFERROR(__xludf.dummyfunction("""COMPUTED_VALUE"""),"Metro DC Faisalabad")</f>
        <v>Metro DC Faisalabad</v>
      </c>
      <c r="B439" s="13" t="str">
        <f aca="false">IFERROR(__xludf.dummyfunction("""COMPUTED_VALUE"""),"61b64cf5-8ce8-47c7-8293-6e04fbebd722")</f>
        <v>61b64cf5-8ce8-47c7-8293-6e04fbebd722</v>
      </c>
      <c r="C439" s="13" t="str">
        <f aca="false">IFERROR(__xludf.dummyfunction("""COMPUTED_VALUE"""),"Lemon Max Liquid Regular Bottle 475ml Rs260")</f>
        <v>Lemon Max Liquid Regular Bottle 475ml Rs260</v>
      </c>
      <c r="D439" s="13" t="str">
        <f aca="false">IFERROR(__xludf.dummyfunction("""COMPUTED_VALUE"""),"Lemon Max")</f>
        <v>Lemon Max</v>
      </c>
      <c r="E439" s="13" t="str">
        <f aca="false">IFERROR(__xludf.dummyfunction("""COMPUTED_VALUE"""),"Home Care")</f>
        <v>Home Care</v>
      </c>
      <c r="F439" s="11" t="n">
        <f aca="false">IFERROR(__xludf.dummyfunction("""COMPUTED_VALUE"""),45217)</f>
        <v>45217</v>
      </c>
      <c r="G439" s="12" t="n">
        <f aca="false">IFERROR(__xludf.dummyfunction("""COMPUTED_VALUE"""),0.888505532407984)</f>
        <v>0.8885055324</v>
      </c>
      <c r="H439" s="13" t="str">
        <f aca="false">IFERROR(__xludf.dummyfunction("""COMPUTED_VALUE"""),"damaged stock")</f>
        <v>damaged stock</v>
      </c>
      <c r="I439" s="13" t="n">
        <f aca="false">IFERROR(__xludf.dummyfunction("""COMPUTED_VALUE"""),1)</f>
        <v>1</v>
      </c>
      <c r="J439" s="13" t="n">
        <f aca="false">IFERROR(__xludf.dummyfunction("""COMPUTED_VALUE"""),239.63)</f>
        <v>239.63</v>
      </c>
      <c r="K439" s="13" t="n">
        <f aca="false">IFERROR(__xludf.dummyfunction("""COMPUTED_VALUE"""),239.63)</f>
        <v>239.63</v>
      </c>
      <c r="L439" s="13" t="str">
        <f aca="false">IFERROR(__xludf.dummyfunction("""COMPUTED_VALUE"""),"[Code: 56779EGH] TA: Found damaged from box during stock display (cap toota hua hayn...)")</f>
        <v>[Code: 56779EGH] TA: Found damaged from box during stock display (cap toota hua hayn...)</v>
      </c>
      <c r="M439" s="13" t="str">
        <f aca="false">IFERROR(__xludf.dummyfunction("""COMPUTED_VALUE"""),"56779EGH")</f>
        <v>56779EGH</v>
      </c>
      <c r="N439" s="13"/>
      <c r="O439" s="13" t="str">
        <f aca="false">IFERROR(__xludf.dummyfunction("""COMPUTED_VALUE"""),"taufeeq.akhtar@tajir-app.com")</f>
        <v>taufeeq.akhtar@tajir-app.com</v>
      </c>
      <c r="P439" s="13" t="str">
        <f aca="false">IFERROR(__xludf.dummyfunction("""COMPUTED_VALUE"""),"Taufeeq Akhtar ")</f>
        <v>Taufeeq Akhtar </v>
      </c>
      <c r="Q439" s="13" t="str">
        <f aca="false">IFERROR(__xludf.dummyfunction("""COMPUTED_VALUE"""),"[Code: 56779EGH] TA: Found damaged from box during stock display (cap toota hua hayn...)")</f>
        <v>[Code: 56779EGH] TA: Found damaged from box during stock display (cap toota hua hayn...)</v>
      </c>
      <c r="R439" s="13" t="str">
        <v>Wed,18-October-2023 ,09:19 PM</v>
      </c>
      <c r="S439" s="13" t="str">
        <v>Damaged Stock</v>
      </c>
    </row>
    <row r="440" customFormat="false" ht="15.75" hidden="false" customHeight="false" outlineLevel="0" collapsed="false">
      <c r="A440" s="13" t="str">
        <f aca="false">IFERROR(__xludf.dummyfunction("""COMPUTED_VALUE"""),"Metro DC Faisalabad")</f>
        <v>Metro DC Faisalabad</v>
      </c>
      <c r="B440" s="13" t="str">
        <f aca="false">IFERROR(__xludf.dummyfunction("""COMPUTED_VALUE"""),"cd68a607-af95-45cb-b9f4-2721224c85f8")</f>
        <v>cd68a607-af95-45cb-b9f4-2721224c85f8</v>
      </c>
      <c r="C440" s="13" t="str">
        <f aca="false">IFERROR(__xludf.dummyfunction("""COMPUTED_VALUE"""),"Coca Cola plastic 1.5L")</f>
        <v>Coca Cola plastic 1.5L</v>
      </c>
      <c r="D440" s="13" t="str">
        <f aca="false">IFERROR(__xludf.dummyfunction("""COMPUTED_VALUE"""),"Coca Cola")</f>
        <v>Coca Cola</v>
      </c>
      <c r="E440" s="13" t="str">
        <f aca="false">IFERROR(__xludf.dummyfunction("""COMPUTED_VALUE"""),"Beverages")</f>
        <v>Beverages</v>
      </c>
      <c r="F440" s="11" t="n">
        <f aca="false">IFERROR(__xludf.dummyfunction("""COMPUTED_VALUE"""),45220)</f>
        <v>45220</v>
      </c>
      <c r="G440" s="12" t="n">
        <f aca="false">IFERROR(__xludf.dummyfunction("""COMPUTED_VALUE"""),0.818915717592636)</f>
        <v>0.8189157176</v>
      </c>
      <c r="H440" s="13" t="str">
        <f aca="false">IFERROR(__xludf.dummyfunction("""COMPUTED_VALUE"""),"damaged stock")</f>
        <v>damaged stock</v>
      </c>
      <c r="I440" s="13" t="n">
        <f aca="false">IFERROR(__xludf.dummyfunction("""COMPUTED_VALUE"""),2)</f>
        <v>2</v>
      </c>
      <c r="J440" s="13" t="n">
        <f aca="false">IFERROR(__xludf.dummyfunction("""COMPUTED_VALUE"""),914.68)</f>
        <v>914.68</v>
      </c>
      <c r="K440" s="13" t="n">
        <f aca="false">IFERROR(__xludf.dummyfunction("""COMPUTED_VALUE"""),1829.36)</f>
        <v>1829.36</v>
      </c>
      <c r="L440" s="13" t="str">
        <f aca="false">IFERROR(__xludf.dummyfunction("""COMPUTED_VALUE"""),"[Code: 22788CCF] TA: Found empty bottels during sorting...")</f>
        <v>[Code: 22788CCF] TA: Found empty bottels during sorting...</v>
      </c>
      <c r="M440" s="13" t="str">
        <f aca="false">IFERROR(__xludf.dummyfunction("""COMPUTED_VALUE"""),"22788CCF")</f>
        <v>22788CCF</v>
      </c>
      <c r="N440" s="13"/>
      <c r="O440" s="13" t="str">
        <f aca="false">IFERROR(__xludf.dummyfunction("""COMPUTED_VALUE"""),"taufeeq.akhtar@tajir-app.com")</f>
        <v>taufeeq.akhtar@tajir-app.com</v>
      </c>
      <c r="P440" s="13" t="str">
        <f aca="false">IFERROR(__xludf.dummyfunction("""COMPUTED_VALUE"""),"Taufeeq Akhtar ")</f>
        <v>Taufeeq Akhtar </v>
      </c>
      <c r="Q440" s="13" t="str">
        <f aca="false">IFERROR(__xludf.dummyfunction("""COMPUTED_VALUE"""),"[Code: 22788CCF] TA: Found empty bottels during sorting...")</f>
        <v>[Code: 22788CCF] TA: Found empty bottels during sorting...</v>
      </c>
      <c r="R440" s="13" t="str">
        <v>Sat,21-October-2023 ,07:39 PM</v>
      </c>
      <c r="S440" s="13" t="str">
        <v>Damaged Stock</v>
      </c>
    </row>
    <row r="441" customFormat="false" ht="15.75" hidden="false" customHeight="false" outlineLevel="0" collapsed="false">
      <c r="A441" s="13" t="str">
        <f aca="false">IFERROR(__xludf.dummyfunction("""COMPUTED_VALUE"""),"Metro DC Faisalabad")</f>
        <v>Metro DC Faisalabad</v>
      </c>
      <c r="B441" s="13" t="str">
        <f aca="false">IFERROR(__xludf.dummyfunction("""COMPUTED_VALUE"""),"67c33ff3-e486-487d-844a-b17c396936ee")</f>
        <v>67c33ff3-e486-487d-844a-b17c396936ee</v>
      </c>
      <c r="C441" s="13" t="str">
        <f aca="false">IFERROR(__xludf.dummyfunction("""COMPUTED_VALUE"""),"Coca Cola plastic 1L")</f>
        <v>Coca Cola plastic 1L</v>
      </c>
      <c r="D441" s="13" t="str">
        <f aca="false">IFERROR(__xludf.dummyfunction("""COMPUTED_VALUE"""),"Coca Cola")</f>
        <v>Coca Cola</v>
      </c>
      <c r="E441" s="13" t="str">
        <f aca="false">IFERROR(__xludf.dummyfunction("""COMPUTED_VALUE"""),"Beverages")</f>
        <v>Beverages</v>
      </c>
      <c r="F441" s="11" t="n">
        <f aca="false">IFERROR(__xludf.dummyfunction("""COMPUTED_VALUE"""),45220)</f>
        <v>45220</v>
      </c>
      <c r="G441" s="12" t="n">
        <f aca="false">IFERROR(__xludf.dummyfunction("""COMPUTED_VALUE"""),0.819898518519343)</f>
        <v>0.8198985185</v>
      </c>
      <c r="H441" s="13" t="str">
        <f aca="false">IFERROR(__xludf.dummyfunction("""COMPUTED_VALUE"""),"damaged stock")</f>
        <v>damaged stock</v>
      </c>
      <c r="I441" s="13" t="n">
        <f aca="false">IFERROR(__xludf.dummyfunction("""COMPUTED_VALUE"""),1)</f>
        <v>1</v>
      </c>
      <c r="J441" s="13" t="n">
        <f aca="false">IFERROR(__xludf.dummyfunction("""COMPUTED_VALUE"""),773.13)</f>
        <v>773.13</v>
      </c>
      <c r="K441" s="13" t="n">
        <f aca="false">IFERROR(__xludf.dummyfunction("""COMPUTED_VALUE"""),773.13)</f>
        <v>773.13</v>
      </c>
      <c r="L441" s="13" t="str">
        <f aca="false">IFERROR(__xludf.dummyfunction("""COMPUTED_VALUE"""),"[Code: 3458BBEH] TA: Found loose bottels during sorting....")</f>
        <v>[Code: 3458BBEH] TA: Found loose bottels during sorting....</v>
      </c>
      <c r="M441" s="13" t="str">
        <f aca="false">IFERROR(__xludf.dummyfunction("""COMPUTED_VALUE"""),"3458BBEH")</f>
        <v>3458BBEH</v>
      </c>
      <c r="N441" s="13"/>
      <c r="O441" s="13" t="str">
        <f aca="false">IFERROR(__xludf.dummyfunction("""COMPUTED_VALUE"""),"taufeeq.akhtar@tajir-app.com")</f>
        <v>taufeeq.akhtar@tajir-app.com</v>
      </c>
      <c r="P441" s="13" t="str">
        <f aca="false">IFERROR(__xludf.dummyfunction("""COMPUTED_VALUE"""),"Taufeeq Akhtar ")</f>
        <v>Taufeeq Akhtar </v>
      </c>
      <c r="Q441" s="13" t="str">
        <f aca="false">IFERROR(__xludf.dummyfunction("""COMPUTED_VALUE"""),"[Code: 3458BBEH] TA: Found loose bottels during sorting....")</f>
        <v>[Code: 3458BBEH] TA: Found loose bottels during sorting....</v>
      </c>
      <c r="R441" s="13" t="str">
        <v>Sat,21-October-2023 ,07:40 PM</v>
      </c>
      <c r="S441" s="13" t="str">
        <v>Damaged Stock</v>
      </c>
    </row>
    <row r="442" customFormat="false" ht="15.75" hidden="false" customHeight="false" outlineLevel="0" collapsed="false">
      <c r="A442" s="13" t="str">
        <f aca="false">IFERROR(__xludf.dummyfunction("""COMPUTED_VALUE"""),"Metro DC Faisalabad")</f>
        <v>Metro DC Faisalabad</v>
      </c>
      <c r="B442" s="13" t="str">
        <f aca="false">IFERROR(__xludf.dummyfunction("""COMPUTED_VALUE"""),"3175cb6a-55fb-434f-a79a-2c987c3438a4")</f>
        <v>3175cb6a-55fb-434f-a79a-2c987c3438a4</v>
      </c>
      <c r="C442" s="13" t="str">
        <f aca="false">IFERROR(__xludf.dummyfunction("""COMPUTED_VALUE"""),"Engro Dairy Omung Milk x27 Crate 225ml")</f>
        <v>Engro Dairy Omung Milk x27 Crate 225ml</v>
      </c>
      <c r="D442" s="13" t="str">
        <f aca="false">IFERROR(__xludf.dummyfunction("""COMPUTED_VALUE"""),"Omung")</f>
        <v>Omung</v>
      </c>
      <c r="E442" s="13" t="str">
        <f aca="false">IFERROR(__xludf.dummyfunction("""COMPUTED_VALUE"""),"Dairy")</f>
        <v>Dairy</v>
      </c>
      <c r="F442" s="11" t="n">
        <f aca="false">IFERROR(__xludf.dummyfunction("""COMPUTED_VALUE"""),45220)</f>
        <v>45220</v>
      </c>
      <c r="G442" s="12" t="n">
        <f aca="false">IFERROR(__xludf.dummyfunction("""COMPUTED_VALUE"""),0.853426724536078)</f>
        <v>0.8534267245</v>
      </c>
      <c r="H442" s="13" t="str">
        <f aca="false">IFERROR(__xludf.dummyfunction("""COMPUTED_VALUE"""),"damaged stock")</f>
        <v>damaged stock</v>
      </c>
      <c r="I442" s="13" t="n">
        <f aca="false">IFERROR(__xludf.dummyfunction("""COMPUTED_VALUE"""),1)</f>
        <v>1</v>
      </c>
      <c r="J442" s="13" t="n">
        <f aca="false">IFERROR(__xludf.dummyfunction("""COMPUTED_VALUE"""),1230)</f>
        <v>1230</v>
      </c>
      <c r="K442" s="13" t="n">
        <f aca="false">IFERROR(__xludf.dummyfunction("""COMPUTED_VALUE"""),1230)</f>
        <v>1230</v>
      </c>
      <c r="L442" s="13" t="str">
        <f aca="false">IFERROR(__xludf.dummyfunction("""COMPUTED_VALUE"""),"[Code: 45666DJL] TA: 1unit damage found during display (unit me sy 1pc leak mila he )")</f>
        <v>[Code: 45666DJL] TA: 1unit damage found during display (unit me sy 1pc leak mila he )</v>
      </c>
      <c r="M442" s="13" t="str">
        <f aca="false">IFERROR(__xludf.dummyfunction("""COMPUTED_VALUE"""),"45666DJL")</f>
        <v>45666DJL</v>
      </c>
      <c r="N442" s="13"/>
      <c r="O442" s="13" t="str">
        <f aca="false">IFERROR(__xludf.dummyfunction("""COMPUTED_VALUE"""),"taufeeq.akhtar@tajir-app.com")</f>
        <v>taufeeq.akhtar@tajir-app.com</v>
      </c>
      <c r="P442" s="13" t="str">
        <f aca="false">IFERROR(__xludf.dummyfunction("""COMPUTED_VALUE"""),"Taufeeq Akhtar ")</f>
        <v>Taufeeq Akhtar </v>
      </c>
      <c r="Q442" s="13" t="str">
        <f aca="false">IFERROR(__xludf.dummyfunction("""COMPUTED_VALUE"""),"[Code: 45666DJL] TA: 1unit damage found during display (unit me sy 1pc leak mila he )")</f>
        <v>[Code: 45666DJL] TA: 1unit damage found during display (unit me sy 1pc leak mila he )</v>
      </c>
      <c r="R442" s="13" t="str">
        <v>Sat,21-October-2023 ,08:28 PM</v>
      </c>
      <c r="S442" s="13" t="str">
        <v>Damaged Stock</v>
      </c>
    </row>
    <row r="443" customFormat="false" ht="15.75" hidden="false" customHeight="false" outlineLevel="0" collapsed="false">
      <c r="A443" s="13" t="str">
        <f aca="false">IFERROR(__xludf.dummyfunction("""COMPUTED_VALUE"""),"Metro DC Faisalabad")</f>
        <v>Metro DC Faisalabad</v>
      </c>
      <c r="B443" s="13" t="str">
        <f aca="false">IFERROR(__xludf.dummyfunction("""COMPUTED_VALUE"""),"4f4aa8cf-4dd3-4ca7-a53a-2b8d07d46710")</f>
        <v>4f4aa8cf-4dd3-4ca7-a53a-2b8d07d46710</v>
      </c>
      <c r="C443" s="13" t="str">
        <f aca="false">IFERROR(__xludf.dummyfunction("""COMPUTED_VALUE"""),"Head and Shoulders Anti Hairfall Shampoo 185ml Rs500")</f>
        <v>Head and Shoulders Anti Hairfall Shampoo 185ml Rs500</v>
      </c>
      <c r="D443" s="13" t="str">
        <f aca="false">IFERROR(__xludf.dummyfunction("""COMPUTED_VALUE"""),"Head and Shoulders")</f>
        <v>Head and Shoulders</v>
      </c>
      <c r="E443" s="13" t="str">
        <f aca="false">IFERROR(__xludf.dummyfunction("""COMPUTED_VALUE"""),"Shampoo")</f>
        <v>Shampoo</v>
      </c>
      <c r="F443" s="11" t="n">
        <f aca="false">IFERROR(__xludf.dummyfunction("""COMPUTED_VALUE"""),45221)</f>
        <v>45221</v>
      </c>
      <c r="G443" s="12" t="n">
        <f aca="false">IFERROR(__xludf.dummyfunction("""COMPUTED_VALUE"""),0.660227222222551)</f>
        <v>0.6602272222</v>
      </c>
      <c r="H443" s="13" t="str">
        <f aca="false">IFERROR(__xludf.dummyfunction("""COMPUTED_VALUE"""),"damaged stock")</f>
        <v>damaged stock</v>
      </c>
      <c r="I443" s="13" t="n">
        <f aca="false">IFERROR(__xludf.dummyfunction("""COMPUTED_VALUE"""),1)</f>
        <v>1</v>
      </c>
      <c r="J443" s="13" t="n">
        <f aca="false">IFERROR(__xludf.dummyfunction("""COMPUTED_VALUE"""),429)</f>
        <v>429</v>
      </c>
      <c r="K443" s="13" t="n">
        <f aca="false">IFERROR(__xludf.dummyfunction("""COMPUTED_VALUE"""),429)</f>
        <v>429</v>
      </c>
      <c r="L443" s="13" t="str">
        <f aca="false">IFERROR(__xludf.dummyfunction("""COMPUTED_VALUE"""),"[Code: 26789ACH] AR: 01 unit found empty in a packed Carton")</f>
        <v>[Code: 26789ACH] AR: 01 unit found empty in a packed Carton</v>
      </c>
      <c r="M443" s="13" t="str">
        <f aca="false">IFERROR(__xludf.dummyfunction("""COMPUTED_VALUE"""),"26789ACH")</f>
        <v>26789ACH</v>
      </c>
      <c r="N443" s="13"/>
      <c r="O443" s="13" t="str">
        <f aca="false">IFERROR(__xludf.dummyfunction("""COMPUTED_VALUE"""),"ali.raza@tajir-app.com")</f>
        <v>ali.raza@tajir-app.com</v>
      </c>
      <c r="P443" s="13" t="str">
        <f aca="false">IFERROR(__xludf.dummyfunction("""COMPUTED_VALUE"""),"Ali Raza ")</f>
        <v>Ali Raza </v>
      </c>
      <c r="Q443" s="13" t="str">
        <f aca="false">IFERROR(__xludf.dummyfunction("""COMPUTED_VALUE"""),"[Code: 26789ACH] AR: 01 unit found empty in a packed Carton")</f>
        <v>[Code: 26789ACH] AR: 01 unit found empty in a packed Carton</v>
      </c>
      <c r="R443" s="13" t="str">
        <v>Sun,22-October-2023 ,03:50 PM</v>
      </c>
      <c r="S443" s="13" t="str">
        <v>Damaged Stock</v>
      </c>
    </row>
    <row r="444" customFormat="false" ht="15.75" hidden="false" customHeight="false" outlineLevel="0" collapsed="false">
      <c r="A444" s="13" t="str">
        <f aca="false">IFERROR(__xludf.dummyfunction("""COMPUTED_VALUE"""),"Metro DC Faisalabad")</f>
        <v>Metro DC Faisalabad</v>
      </c>
      <c r="B444" s="13" t="str">
        <f aca="false">IFERROR(__xludf.dummyfunction("""COMPUTED_VALUE"""),"67c33ff3-e486-487d-844a-b17c396936ee")</f>
        <v>67c33ff3-e486-487d-844a-b17c396936ee</v>
      </c>
      <c r="C444" s="13" t="str">
        <f aca="false">IFERROR(__xludf.dummyfunction("""COMPUTED_VALUE"""),"Coca Cola plastic 1L")</f>
        <v>Coca Cola plastic 1L</v>
      </c>
      <c r="D444" s="13" t="str">
        <f aca="false">IFERROR(__xludf.dummyfunction("""COMPUTED_VALUE"""),"Coca Cola")</f>
        <v>Coca Cola</v>
      </c>
      <c r="E444" s="13" t="str">
        <f aca="false">IFERROR(__xludf.dummyfunction("""COMPUTED_VALUE"""),"Beverages")</f>
        <v>Beverages</v>
      </c>
      <c r="F444" s="11" t="n">
        <f aca="false">IFERROR(__xludf.dummyfunction("""COMPUTED_VALUE"""),45222)</f>
        <v>45222</v>
      </c>
      <c r="G444" s="12" t="n">
        <f aca="false">IFERROR(__xludf.dummyfunction("""COMPUTED_VALUE"""),0.816653773149043)</f>
        <v>0.8166537731</v>
      </c>
      <c r="H444" s="13" t="str">
        <f aca="false">IFERROR(__xludf.dummyfunction("""COMPUTED_VALUE"""),"damaged stock")</f>
        <v>damaged stock</v>
      </c>
      <c r="I444" s="13" t="n">
        <f aca="false">IFERROR(__xludf.dummyfunction("""COMPUTED_VALUE"""),2)</f>
        <v>2</v>
      </c>
      <c r="J444" s="13" t="n">
        <f aca="false">IFERROR(__xludf.dummyfunction("""COMPUTED_VALUE"""),773.13)</f>
        <v>773.13</v>
      </c>
      <c r="K444" s="13" t="n">
        <f aca="false">IFERROR(__xludf.dummyfunction("""COMPUTED_VALUE"""),1546.26)</f>
        <v>1546.26</v>
      </c>
      <c r="L444" s="13" t="str">
        <f aca="false">IFERROR(__xludf.dummyfunction("""COMPUTED_VALUE"""),"[Code: 3344CDGG]   TA: Found loose and empty bottels during sorting....")</f>
        <v>[Code: 3344CDGG]   TA: Found loose and empty bottels during sorting....</v>
      </c>
      <c r="M444" s="13" t="str">
        <f aca="false">IFERROR(__xludf.dummyfunction("""COMPUTED_VALUE"""),"3344CDGG")</f>
        <v>3344CDGG</v>
      </c>
      <c r="N444" s="13"/>
      <c r="O444" s="13" t="str">
        <f aca="false">IFERROR(__xludf.dummyfunction("""COMPUTED_VALUE"""),"taufeeq.akhtar@tajir-app.com")</f>
        <v>taufeeq.akhtar@tajir-app.com</v>
      </c>
      <c r="P444" s="13" t="str">
        <f aca="false">IFERROR(__xludf.dummyfunction("""COMPUTED_VALUE"""),"Taufeeq Akhtar ")</f>
        <v>Taufeeq Akhtar </v>
      </c>
      <c r="Q444" s="13" t="str">
        <f aca="false">IFERROR(__xludf.dummyfunction("""COMPUTED_VALUE"""),"[Code: 3344CDGG]   TA: Found loose and empty bottels during sorting....")</f>
        <v>[Code: 3344CDGG]   TA: Found loose and empty bottels during sorting....</v>
      </c>
      <c r="R444" s="13" t="str">
        <v>Mon,23-October-2023 ,07:35 PM</v>
      </c>
      <c r="S444" s="13" t="str">
        <v>Damaged Stock</v>
      </c>
    </row>
    <row r="445" customFormat="false" ht="15.75" hidden="false" customHeight="false" outlineLevel="0" collapsed="false">
      <c r="A445" s="13" t="str">
        <f aca="false">IFERROR(__xludf.dummyfunction("""COMPUTED_VALUE"""),"Metro DC Faisalabad")</f>
        <v>Metro DC Faisalabad</v>
      </c>
      <c r="B445" s="13" t="str">
        <f aca="false">IFERROR(__xludf.dummyfunction("""COMPUTED_VALUE"""),"138f860f-6230-442e-9fbc-5d3c54065f1e")</f>
        <v>138f860f-6230-442e-9fbc-5d3c54065f1e</v>
      </c>
      <c r="C445" s="13" t="str">
        <f aca="false">IFERROR(__xludf.dummyfunction("""COMPUTED_VALUE"""),"Pepsi plastic 1L")</f>
        <v>Pepsi plastic 1L</v>
      </c>
      <c r="D445" s="13" t="str">
        <f aca="false">IFERROR(__xludf.dummyfunction("""COMPUTED_VALUE"""),"Pepsi")</f>
        <v>Pepsi</v>
      </c>
      <c r="E445" s="13" t="str">
        <f aca="false">IFERROR(__xludf.dummyfunction("""COMPUTED_VALUE"""),"Beverages")</f>
        <v>Beverages</v>
      </c>
      <c r="F445" s="11" t="n">
        <f aca="false">IFERROR(__xludf.dummyfunction("""COMPUTED_VALUE"""),45222)</f>
        <v>45222</v>
      </c>
      <c r="G445" s="12" t="n">
        <f aca="false">IFERROR(__xludf.dummyfunction("""COMPUTED_VALUE"""),0.817083680553761)</f>
        <v>0.8170836806</v>
      </c>
      <c r="H445" s="13" t="str">
        <f aca="false">IFERROR(__xludf.dummyfunction("""COMPUTED_VALUE"""),"damaged stock")</f>
        <v>damaged stock</v>
      </c>
      <c r="I445" s="13" t="n">
        <f aca="false">IFERROR(__xludf.dummyfunction("""COMPUTED_VALUE"""),1)</f>
        <v>1</v>
      </c>
      <c r="J445" s="13" t="n">
        <f aca="false">IFERROR(__xludf.dummyfunction("""COMPUTED_VALUE"""),595)</f>
        <v>595</v>
      </c>
      <c r="K445" s="13" t="n">
        <f aca="false">IFERROR(__xludf.dummyfunction("""COMPUTED_VALUE"""),595)</f>
        <v>595</v>
      </c>
      <c r="L445" s="13" t="str">
        <f aca="false">IFERROR(__xludf.dummyfunction("""COMPUTED_VALUE"""),"[Code: 237CCCDE]  TA: Found loose bottels during sorting....")</f>
        <v>[Code: 237CCCDE]  TA: Found loose bottels during sorting....</v>
      </c>
      <c r="M445" s="13" t="str">
        <f aca="false">IFERROR(__xludf.dummyfunction("""COMPUTED_VALUE"""),"237CCCDE")</f>
        <v>237CCCDE</v>
      </c>
      <c r="N445" s="13"/>
      <c r="O445" s="13" t="str">
        <f aca="false">IFERROR(__xludf.dummyfunction("""COMPUTED_VALUE"""),"taufeeq.akhtar@tajir-app.com")</f>
        <v>taufeeq.akhtar@tajir-app.com</v>
      </c>
      <c r="P445" s="13" t="str">
        <f aca="false">IFERROR(__xludf.dummyfunction("""COMPUTED_VALUE"""),"Taufeeq Akhtar ")</f>
        <v>Taufeeq Akhtar </v>
      </c>
      <c r="Q445" s="13" t="str">
        <f aca="false">IFERROR(__xludf.dummyfunction("""COMPUTED_VALUE"""),"[Code: 237CCCDE]  TA: Found loose bottels during sorting....")</f>
        <v>[Code: 237CCCDE]  TA: Found loose bottels during sorting....</v>
      </c>
      <c r="R445" s="13" t="str">
        <v>Mon,23-October-2023 ,07:36 PM</v>
      </c>
      <c r="S445" s="13" t="str">
        <v>Damaged Stock</v>
      </c>
    </row>
    <row r="446" customFormat="false" ht="15.75" hidden="false" customHeight="false" outlineLevel="0" collapsed="false">
      <c r="A446" s="13" t="str">
        <f aca="false">IFERROR(__xludf.dummyfunction("""COMPUTED_VALUE"""),"Metro DC Faisalabad")</f>
        <v>Metro DC Faisalabad</v>
      </c>
      <c r="B446" s="13" t="str">
        <f aca="false">IFERROR(__xludf.dummyfunction("""COMPUTED_VALUE"""),"6bf8e4d8-b1ee-4416-8677-04c83525e4ce")</f>
        <v>6bf8e4d8-b1ee-4416-8677-04c83525e4ce</v>
      </c>
      <c r="C446" s="13" t="str">
        <f aca="false">IFERROR(__xludf.dummyfunction("""COMPUTED_VALUE"""),"Dummer Super Fine Atta 15kg")</f>
        <v>Dummer Super Fine Atta 15kg</v>
      </c>
      <c r="D446" s="13" t="str">
        <f aca="false">IFERROR(__xludf.dummyfunction("""COMPUTED_VALUE"""),"Dummer Atta")</f>
        <v>Dummer Atta</v>
      </c>
      <c r="E446" s="13" t="str">
        <f aca="false">IFERROR(__xludf.dummyfunction("""COMPUTED_VALUE"""),"Flour")</f>
        <v>Flour</v>
      </c>
      <c r="F446" s="11" t="n">
        <f aca="false">IFERROR(__xludf.dummyfunction("""COMPUTED_VALUE"""),45223)</f>
        <v>45223</v>
      </c>
      <c r="G446" s="12" t="n">
        <f aca="false">IFERROR(__xludf.dummyfunction("""COMPUTED_VALUE"""),0.376194166665217)</f>
        <v>0.3761941667</v>
      </c>
      <c r="H446" s="13" t="str">
        <f aca="false">IFERROR(__xludf.dummyfunction("""COMPUTED_VALUE"""),"damaged stock")</f>
        <v>damaged stock</v>
      </c>
      <c r="I446" s="13" t="n">
        <f aca="false">IFERROR(__xludf.dummyfunction("""COMPUTED_VALUE"""),1)</f>
        <v>1</v>
      </c>
      <c r="J446" s="13" t="n">
        <f aca="false">IFERROR(__xludf.dummyfunction("""COMPUTED_VALUE"""),2100)</f>
        <v>2100</v>
      </c>
      <c r="K446" s="13" t="n">
        <f aca="false">IFERROR(__xludf.dummyfunction("""COMPUTED_VALUE"""),2100)</f>
        <v>2100</v>
      </c>
      <c r="L446" s="13" t="str">
        <f aca="false">IFERROR(__xludf.dummyfunction("""COMPUTED_VALUE"""),"[Code: 4899DEGK] 01 unit found damaged due to mouse cut")</f>
        <v>[Code: 4899DEGK] 01 unit found damaged due to mouse cut</v>
      </c>
      <c r="M446" s="13" t="str">
        <f aca="false">IFERROR(__xludf.dummyfunction("""COMPUTED_VALUE"""),"4899DEGK")</f>
        <v>4899DEGK</v>
      </c>
      <c r="N446" s="13"/>
      <c r="O446" s="13" t="str">
        <f aca="false">IFERROR(__xludf.dummyfunction("""COMPUTED_VALUE"""),"ali.raza@tajir-app.com")</f>
        <v>ali.raza@tajir-app.com</v>
      </c>
      <c r="P446" s="13" t="str">
        <f aca="false">IFERROR(__xludf.dummyfunction("""COMPUTED_VALUE"""),"Ali Raza ")</f>
        <v>Ali Raza </v>
      </c>
      <c r="Q446" s="13" t="str">
        <f aca="false">IFERROR(__xludf.dummyfunction("""COMPUTED_VALUE"""),"[Code: 4899DEGK] 01 unit found damaged due to mouse cut")</f>
        <v>[Code: 4899DEGK] 01 unit found damaged due to mouse cut</v>
      </c>
      <c r="R446" s="13" t="str">
        <v>Tue,24-October-2023 ,09:01 AM</v>
      </c>
      <c r="S446" s="13" t="str">
        <v>Damaged Stock</v>
      </c>
    </row>
    <row r="447" customFormat="false" ht="15.75" hidden="false" customHeight="false" outlineLevel="0" collapsed="false">
      <c r="A447" s="13" t="str">
        <f aca="false">IFERROR(__xludf.dummyfunction("""COMPUTED_VALUE"""),"Metro DC Faisalabad")</f>
        <v>Metro DC Faisalabad</v>
      </c>
      <c r="B447" s="13" t="str">
        <f aca="false">IFERROR(__xludf.dummyfunction("""COMPUTED_VALUE"""),"849ad7bb-d1d3-4e3b-838f-04cf2f7fb5fd")</f>
        <v>849ad7bb-d1d3-4e3b-838f-04cf2f7fb5fd</v>
      </c>
      <c r="C447" s="13" t="str">
        <f aca="false">IFERROR(__xludf.dummyfunction("""COMPUTED_VALUE"""),"Dummer Super Fine Atta 10kg")</f>
        <v>Dummer Super Fine Atta 10kg</v>
      </c>
      <c r="D447" s="13" t="str">
        <f aca="false">IFERROR(__xludf.dummyfunction("""COMPUTED_VALUE"""),"Dummer Atta")</f>
        <v>Dummer Atta</v>
      </c>
      <c r="E447" s="13" t="str">
        <f aca="false">IFERROR(__xludf.dummyfunction("""COMPUTED_VALUE"""),"Flour")</f>
        <v>Flour</v>
      </c>
      <c r="F447" s="11" t="n">
        <f aca="false">IFERROR(__xludf.dummyfunction("""COMPUTED_VALUE"""),45223)</f>
        <v>45223</v>
      </c>
      <c r="G447" s="12" t="n">
        <f aca="false">IFERROR(__xludf.dummyfunction("""COMPUTED_VALUE"""),0.376645694443011)</f>
        <v>0.3766456944</v>
      </c>
      <c r="H447" s="13" t="str">
        <f aca="false">IFERROR(__xludf.dummyfunction("""COMPUTED_VALUE"""),"damaged stock")</f>
        <v>damaged stock</v>
      </c>
      <c r="I447" s="13" t="n">
        <f aca="false">IFERROR(__xludf.dummyfunction("""COMPUTED_VALUE"""),2)</f>
        <v>2</v>
      </c>
      <c r="J447" s="13" t="n">
        <f aca="false">IFERROR(__xludf.dummyfunction("""COMPUTED_VALUE"""),1400)</f>
        <v>1400</v>
      </c>
      <c r="K447" s="13" t="n">
        <f aca="false">IFERROR(__xludf.dummyfunction("""COMPUTED_VALUE"""),2800)</f>
        <v>2800</v>
      </c>
      <c r="L447" s="13" t="str">
        <f aca="false">IFERROR(__xludf.dummyfunction("""COMPUTED_VALUE"""),"[Code: 2336799A] 02 units found damaged due to mouse cut")</f>
        <v>[Code: 2336799A] 02 units found damaged due to mouse cut</v>
      </c>
      <c r="M447" s="13" t="str">
        <f aca="false">IFERROR(__xludf.dummyfunction("""COMPUTED_VALUE"""),"2336799A")</f>
        <v>2336799A</v>
      </c>
      <c r="N447" s="13"/>
      <c r="O447" s="13" t="str">
        <f aca="false">IFERROR(__xludf.dummyfunction("""COMPUTED_VALUE"""),"ali.raza@tajir-app.com")</f>
        <v>ali.raza@tajir-app.com</v>
      </c>
      <c r="P447" s="13" t="str">
        <f aca="false">IFERROR(__xludf.dummyfunction("""COMPUTED_VALUE"""),"Ali Raza ")</f>
        <v>Ali Raza </v>
      </c>
      <c r="Q447" s="13" t="str">
        <f aca="false">IFERROR(__xludf.dummyfunction("""COMPUTED_VALUE"""),"[Code: 2336799A] 02 units found damaged due to mouse cut")</f>
        <v>[Code: 2336799A] 02 units found damaged due to mouse cut</v>
      </c>
      <c r="R447" s="13" t="str">
        <v>Tue,24-October-2023 ,09:02 AM</v>
      </c>
      <c r="S447" s="13" t="str">
        <v>Damaged Stock</v>
      </c>
    </row>
    <row r="448" customFormat="false" ht="15.75" hidden="false" customHeight="false" outlineLevel="0" collapsed="false">
      <c r="A448" s="13" t="str">
        <f aca="false">IFERROR(__xludf.dummyfunction("""COMPUTED_VALUE"""),"Metro DC Faisalabad")</f>
        <v>Metro DC Faisalabad</v>
      </c>
      <c r="B448" s="13" t="str">
        <f aca="false">IFERROR(__xludf.dummyfunction("""COMPUTED_VALUE"""),"b463f451-40ec-48b9-a4c1-ff27d496f36c")</f>
        <v>b463f451-40ec-48b9-a4c1-ff27d496f36c</v>
      </c>
      <c r="C448" s="13" t="str">
        <f aca="false">IFERROR(__xludf.dummyfunction("""COMPUTED_VALUE"""),"A One Fine Atta 10kg")</f>
        <v>A One Fine Atta 10kg</v>
      </c>
      <c r="D448" s="13" t="str">
        <f aca="false">IFERROR(__xludf.dummyfunction("""COMPUTED_VALUE"""),"A One Atta")</f>
        <v>A One Atta</v>
      </c>
      <c r="E448" s="13" t="str">
        <f aca="false">IFERROR(__xludf.dummyfunction("""COMPUTED_VALUE"""),"Flour")</f>
        <v>Flour</v>
      </c>
      <c r="F448" s="11" t="n">
        <f aca="false">IFERROR(__xludf.dummyfunction("""COMPUTED_VALUE"""),45223)</f>
        <v>45223</v>
      </c>
      <c r="G448" s="12" t="n">
        <f aca="false">IFERROR(__xludf.dummyfunction("""COMPUTED_VALUE"""),0.591509756943431)</f>
        <v>0.5915097569</v>
      </c>
      <c r="H448" s="13" t="str">
        <f aca="false">IFERROR(__xludf.dummyfunction("""COMPUTED_VALUE"""),"damaged stock")</f>
        <v>damaged stock</v>
      </c>
      <c r="I448" s="13" t="n">
        <f aca="false">IFERROR(__xludf.dummyfunction("""COMPUTED_VALUE"""),27)</f>
        <v>27</v>
      </c>
      <c r="J448" s="13" t="n">
        <f aca="false">IFERROR(__xludf.dummyfunction("""COMPUTED_VALUE"""),1395)</f>
        <v>1395</v>
      </c>
      <c r="K448" s="13" t="n">
        <f aca="false">IFERROR(__xludf.dummyfunction("""COMPUTED_VALUE"""),37665)</f>
        <v>37665</v>
      </c>
      <c r="L448" s="13" t="str">
        <f aca="false">IFERROR(__xludf.dummyfunction("""COMPUTED_VALUE"""),"[Code: CDEEEFFK] 27 units found damaged due to quality issue.")</f>
        <v>[Code: CDEEEFFK] 27 units found damaged due to quality issue.</v>
      </c>
      <c r="M448" s="13" t="str">
        <f aca="false">IFERROR(__xludf.dummyfunction("""COMPUTED_VALUE"""),"CDEEEFFK")</f>
        <v>CDEEEFFK</v>
      </c>
      <c r="N448" s="13"/>
      <c r="O448" s="13" t="str">
        <f aca="false">IFERROR(__xludf.dummyfunction("""COMPUTED_VALUE"""),"ali.raza@tajir-app.com")</f>
        <v>ali.raza@tajir-app.com</v>
      </c>
      <c r="P448" s="13" t="str">
        <f aca="false">IFERROR(__xludf.dummyfunction("""COMPUTED_VALUE"""),"Ali Raza ")</f>
        <v>Ali Raza </v>
      </c>
      <c r="Q448" s="13" t="str">
        <f aca="false">IFERROR(__xludf.dummyfunction("""COMPUTED_VALUE"""),"[Code: CDEEEFFK] 27 units found damaged due to quality issue.")</f>
        <v>[Code: CDEEEFFK] 27 units found damaged due to quality issue.</v>
      </c>
      <c r="R448" s="13" t="str">
        <v>Tue,24-October-2023 ,02:11 PM</v>
      </c>
      <c r="S448" s="13" t="str">
        <v>Damaged Stock</v>
      </c>
    </row>
    <row r="449" customFormat="false" ht="15.75" hidden="false" customHeight="false" outlineLevel="0" collapsed="false">
      <c r="A449" s="13" t="str">
        <f aca="false">IFERROR(__xludf.dummyfunction("""COMPUTED_VALUE"""),"Metro DC Faisalabad")</f>
        <v>Metro DC Faisalabad</v>
      </c>
      <c r="B449" s="13" t="str">
        <f aca="false">IFERROR(__xludf.dummyfunction("""COMPUTED_VALUE"""),"76cbd286-ec03-4842-a510-1302d929540b")</f>
        <v>76cbd286-ec03-4842-a510-1302d929540b</v>
      </c>
      <c r="C449" s="13" t="str">
        <f aca="false">IFERROR(__xludf.dummyfunction("""COMPUTED_VALUE"""),"A One Fine Atta 15kg")</f>
        <v>A One Fine Atta 15kg</v>
      </c>
      <c r="D449" s="13" t="str">
        <f aca="false">IFERROR(__xludf.dummyfunction("""COMPUTED_VALUE"""),"A One Atta")</f>
        <v>A One Atta</v>
      </c>
      <c r="E449" s="13" t="str">
        <f aca="false">IFERROR(__xludf.dummyfunction("""COMPUTED_VALUE"""),"Flour")</f>
        <v>Flour</v>
      </c>
      <c r="F449" s="11" t="n">
        <f aca="false">IFERROR(__xludf.dummyfunction("""COMPUTED_VALUE"""),45223)</f>
        <v>45223</v>
      </c>
      <c r="G449" s="12" t="n">
        <f aca="false">IFERROR(__xludf.dummyfunction("""COMPUTED_VALUE"""),0.591992418981325)</f>
        <v>0.591992419</v>
      </c>
      <c r="H449" s="13" t="str">
        <f aca="false">IFERROR(__xludf.dummyfunction("""COMPUTED_VALUE"""),"damaged stock")</f>
        <v>damaged stock</v>
      </c>
      <c r="I449" s="13" t="n">
        <f aca="false">IFERROR(__xludf.dummyfunction("""COMPUTED_VALUE"""),8)</f>
        <v>8</v>
      </c>
      <c r="J449" s="13" t="n">
        <f aca="false">IFERROR(__xludf.dummyfunction("""COMPUTED_VALUE"""),2095)</f>
        <v>2095</v>
      </c>
      <c r="K449" s="13" t="n">
        <f aca="false">IFERROR(__xludf.dummyfunction("""COMPUTED_VALUE"""),16760)</f>
        <v>16760</v>
      </c>
      <c r="L449" s="13" t="str">
        <f aca="false">IFERROR(__xludf.dummyfunction("""COMPUTED_VALUE"""),"[Code: 339ACEGJ] 8 units found damaged due to quality issue.")</f>
        <v>[Code: 339ACEGJ] 8 units found damaged due to quality issue.</v>
      </c>
      <c r="M449" s="13" t="str">
        <f aca="false">IFERROR(__xludf.dummyfunction("""COMPUTED_VALUE"""),"339ACEGJ")</f>
        <v>339ACEGJ</v>
      </c>
      <c r="N449" s="13"/>
      <c r="O449" s="13" t="str">
        <f aca="false">IFERROR(__xludf.dummyfunction("""COMPUTED_VALUE"""),"ali.raza@tajir-app.com")</f>
        <v>ali.raza@tajir-app.com</v>
      </c>
      <c r="P449" s="13" t="str">
        <f aca="false">IFERROR(__xludf.dummyfunction("""COMPUTED_VALUE"""),"Ali Raza ")</f>
        <v>Ali Raza </v>
      </c>
      <c r="Q449" s="13" t="str">
        <f aca="false">IFERROR(__xludf.dummyfunction("""COMPUTED_VALUE"""),"[Code: 339ACEGJ] 8 units found damaged due to quality issue.")</f>
        <v>[Code: 339ACEGJ] 8 units found damaged due to quality issue.</v>
      </c>
      <c r="R449" s="13" t="str">
        <v>Tue,24-October-2023 ,02:12 PM</v>
      </c>
      <c r="S449" s="13" t="str">
        <v>Damaged Stock</v>
      </c>
    </row>
    <row r="450" customFormat="false" ht="15.75" hidden="false" customHeight="false" outlineLevel="0" collapsed="false">
      <c r="A450" s="13" t="str">
        <f aca="false">IFERROR(__xludf.dummyfunction("""COMPUTED_VALUE"""),"Metro DC Faisalabad")</f>
        <v>Metro DC Faisalabad</v>
      </c>
      <c r="B450" s="13" t="str">
        <f aca="false">IFERROR(__xludf.dummyfunction("""COMPUTED_VALUE"""),"379bf168-787d-41f8-b497-a8cc19cbb48e")</f>
        <v>379bf168-787d-41f8-b497-a8cc19cbb48e</v>
      </c>
      <c r="C450" s="13" t="str">
        <f aca="false">IFERROR(__xludf.dummyfunction("""COMPUTED_VALUE"""),"Super Shaheen Atta 10kg")</f>
        <v>Super Shaheen Atta 10kg</v>
      </c>
      <c r="D450" s="13" t="str">
        <f aca="false">IFERROR(__xludf.dummyfunction("""COMPUTED_VALUE"""),"Khalid Flour &amp; General Mills")</f>
        <v>Khalid Flour &amp; General Mills</v>
      </c>
      <c r="E450" s="13" t="str">
        <f aca="false">IFERROR(__xludf.dummyfunction("""COMPUTED_VALUE"""),"Flour")</f>
        <v>Flour</v>
      </c>
      <c r="F450" s="11" t="n">
        <f aca="false">IFERROR(__xludf.dummyfunction("""COMPUTED_VALUE"""),45223)</f>
        <v>45223</v>
      </c>
      <c r="G450" s="12" t="n">
        <f aca="false">IFERROR(__xludf.dummyfunction("""COMPUTED_VALUE"""),0.592695335646617)</f>
        <v>0.5926953356</v>
      </c>
      <c r="H450" s="13" t="str">
        <f aca="false">IFERROR(__xludf.dummyfunction("""COMPUTED_VALUE"""),"damaged stock")</f>
        <v>damaged stock</v>
      </c>
      <c r="I450" s="13" t="n">
        <f aca="false">IFERROR(__xludf.dummyfunction("""COMPUTED_VALUE"""),8)</f>
        <v>8</v>
      </c>
      <c r="J450" s="13" t="n">
        <f aca="false">IFERROR(__xludf.dummyfunction("""COMPUTED_VALUE"""),1355)</f>
        <v>1355</v>
      </c>
      <c r="K450" s="13" t="n">
        <f aca="false">IFERROR(__xludf.dummyfunction("""COMPUTED_VALUE"""),10840)</f>
        <v>10840</v>
      </c>
      <c r="L450" s="13" t="str">
        <f aca="false">IFERROR(__xludf.dummyfunction("""COMPUTED_VALUE"""),"[Code: 7888ACCE] 8 units found damaged due to qaulity issue.")</f>
        <v>[Code: 7888ACCE] 8 units found damaged due to qaulity issue.</v>
      </c>
      <c r="M450" s="13" t="str">
        <f aca="false">IFERROR(__xludf.dummyfunction("""COMPUTED_VALUE"""),"7888ACCE")</f>
        <v>7888ACCE</v>
      </c>
      <c r="N450" s="13"/>
      <c r="O450" s="13" t="str">
        <f aca="false">IFERROR(__xludf.dummyfunction("""COMPUTED_VALUE"""),"ali.raza@tajir-app.com")</f>
        <v>ali.raza@tajir-app.com</v>
      </c>
      <c r="P450" s="13" t="str">
        <f aca="false">IFERROR(__xludf.dummyfunction("""COMPUTED_VALUE"""),"Ali Raza ")</f>
        <v>Ali Raza </v>
      </c>
      <c r="Q450" s="13" t="str">
        <f aca="false">IFERROR(__xludf.dummyfunction("""COMPUTED_VALUE"""),"[Code: 7888ACCE] 8 units found damaged due to qaulity issue.")</f>
        <v>[Code: 7888ACCE] 8 units found damaged due to qaulity issue.</v>
      </c>
      <c r="R450" s="13" t="str">
        <v>Tue,24-October-2023 ,02:13 PM</v>
      </c>
      <c r="S450" s="13" t="str">
        <v>Damaged Stock</v>
      </c>
    </row>
    <row r="451" customFormat="false" ht="15.75" hidden="false" customHeight="false" outlineLevel="0" collapsed="false">
      <c r="A451" s="13" t="str">
        <f aca="false">IFERROR(__xludf.dummyfunction("""COMPUTED_VALUE"""),"Metro DC Faisalabad")</f>
        <v>Metro DC Faisalabad</v>
      </c>
      <c r="B451" s="13" t="str">
        <f aca="false">IFERROR(__xludf.dummyfunction("""COMPUTED_VALUE"""),"76cbd286-ec03-4842-a510-1302d929540b")</f>
        <v>76cbd286-ec03-4842-a510-1302d929540b</v>
      </c>
      <c r="C451" s="13" t="str">
        <f aca="false">IFERROR(__xludf.dummyfunction("""COMPUTED_VALUE"""),"A One Fine Atta 15kg")</f>
        <v>A One Fine Atta 15kg</v>
      </c>
      <c r="D451" s="13" t="str">
        <f aca="false">IFERROR(__xludf.dummyfunction("""COMPUTED_VALUE"""),"A One Atta")</f>
        <v>A One Atta</v>
      </c>
      <c r="E451" s="13" t="str">
        <f aca="false">IFERROR(__xludf.dummyfunction("""COMPUTED_VALUE"""),"Flour")</f>
        <v>Flour</v>
      </c>
      <c r="F451" s="11" t="n">
        <f aca="false">IFERROR(__xludf.dummyfunction("""COMPUTED_VALUE"""),45223)</f>
        <v>45223</v>
      </c>
      <c r="G451" s="12" t="n">
        <f aca="false">IFERROR(__xludf.dummyfunction("""COMPUTED_VALUE"""),0.794591273147227)</f>
        <v>0.7945912731</v>
      </c>
      <c r="H451" s="13" t="str">
        <f aca="false">IFERROR(__xludf.dummyfunction("""COMPUTED_VALUE"""),"damaged stock")</f>
        <v>damaged stock</v>
      </c>
      <c r="I451" s="13" t="n">
        <f aca="false">IFERROR(__xludf.dummyfunction("""COMPUTED_VALUE"""),3)</f>
        <v>3</v>
      </c>
      <c r="J451" s="13" t="n">
        <f aca="false">IFERROR(__xludf.dummyfunction("""COMPUTED_VALUE"""),2095)</f>
        <v>2095</v>
      </c>
      <c r="K451" s="13" t="n">
        <f aca="false">IFERROR(__xludf.dummyfunction("""COMPUTED_VALUE"""),6285)</f>
        <v>6285</v>
      </c>
      <c r="L451" s="13" t="str">
        <f aca="false">IFERROR(__xludf.dummyfunction("""COMPUTED_VALUE"""),"[Code: 5699AAAM] TA:Qaulity kharab hay(Susri lagi hui hai...)")</f>
        <v>[Code: 5699AAAM] TA:Qaulity kharab hay(Susri lagi hui hai...)</v>
      </c>
      <c r="M451" s="13" t="str">
        <f aca="false">IFERROR(__xludf.dummyfunction("""COMPUTED_VALUE"""),"5699AAAM")</f>
        <v>5699AAAM</v>
      </c>
      <c r="N451" s="13"/>
      <c r="O451" s="13" t="str">
        <f aca="false">IFERROR(__xludf.dummyfunction("""COMPUTED_VALUE"""),"taufeeq.akhtar@tajir-app.com")</f>
        <v>taufeeq.akhtar@tajir-app.com</v>
      </c>
      <c r="P451" s="13" t="str">
        <f aca="false">IFERROR(__xludf.dummyfunction("""COMPUTED_VALUE"""),"Taufeeq Akhtar ")</f>
        <v>Taufeeq Akhtar </v>
      </c>
      <c r="Q451" s="13" t="str">
        <f aca="false">IFERROR(__xludf.dummyfunction("""COMPUTED_VALUE"""),"[Code: 5699AAAM] TA:Qaulity kharab hay(Susri lagi hui hai...)")</f>
        <v>[Code: 5699AAAM] TA:Qaulity kharab hay(Susri lagi hui hai...)</v>
      </c>
      <c r="R451" s="13" t="str">
        <v>Tue,24-October-2023 ,07:04 PM</v>
      </c>
      <c r="S451" s="13" t="str">
        <v>Damaged Stock</v>
      </c>
    </row>
    <row r="452" customFormat="false" ht="15.75" hidden="false" customHeight="false" outlineLevel="0" collapsed="false">
      <c r="A452" s="13" t="str">
        <f aca="false">IFERROR(__xludf.dummyfunction("""COMPUTED_VALUE"""),"Metro DC Faisalabad")</f>
        <v>Metro DC Faisalabad</v>
      </c>
      <c r="B452" s="13" t="str">
        <f aca="false">IFERROR(__xludf.dummyfunction("""COMPUTED_VALUE"""),"a5b76747-fa5b-49a3-ac19-3d6294d61b30")</f>
        <v>a5b76747-fa5b-49a3-ac19-3d6294d61b30</v>
      </c>
      <c r="C452" s="13" t="str">
        <f aca="false">IFERROR(__xludf.dummyfunction("""COMPUTED_VALUE"""),"Murree Brewery Bigg Apple Plastic x6 Crate 1.5L")</f>
        <v>Murree Brewery Bigg Apple Plastic x6 Crate 1.5L</v>
      </c>
      <c r="D452" s="13" t="str">
        <f aca="false">IFERROR(__xludf.dummyfunction("""COMPUTED_VALUE"""),"Murree Brewery")</f>
        <v>Murree Brewery</v>
      </c>
      <c r="E452" s="13" t="str">
        <f aca="false">IFERROR(__xludf.dummyfunction("""COMPUTED_VALUE"""),"Beverages")</f>
        <v>Beverages</v>
      </c>
      <c r="F452" s="11" t="n">
        <f aca="false">IFERROR(__xludf.dummyfunction("""COMPUTED_VALUE"""),45223)</f>
        <v>45223</v>
      </c>
      <c r="G452" s="12" t="n">
        <f aca="false">IFERROR(__xludf.dummyfunction("""COMPUTED_VALUE"""),0.835646319443221)</f>
        <v>0.8356463194</v>
      </c>
      <c r="H452" s="13" t="str">
        <f aca="false">IFERROR(__xludf.dummyfunction("""COMPUTED_VALUE"""),"damaged stock")</f>
        <v>damaged stock</v>
      </c>
      <c r="I452" s="13" t="n">
        <f aca="false">IFERROR(__xludf.dummyfunction("""COMPUTED_VALUE"""),1)</f>
        <v>1</v>
      </c>
      <c r="J452" s="13" t="n">
        <f aca="false">IFERROR(__xludf.dummyfunction("""COMPUTED_VALUE"""),779)</f>
        <v>779</v>
      </c>
      <c r="K452" s="13" t="n">
        <f aca="false">IFERROR(__xludf.dummyfunction("""COMPUTED_VALUE"""),779)</f>
        <v>779</v>
      </c>
      <c r="L452" s="13" t="str">
        <f aca="false">IFERROR(__xludf.dummyfunction("""COMPUTED_VALUE"""),"[Code: 22566678] TA: One bottel found in loose condition during sorting.....")</f>
        <v>[Code: 22566678] TA: One bottel found in loose condition during sorting.....</v>
      </c>
      <c r="M452" s="13" t="str">
        <f aca="false">IFERROR(__xludf.dummyfunction("""COMPUTED_VALUE"""),"22566678")</f>
        <v>22566678</v>
      </c>
      <c r="N452" s="13"/>
      <c r="O452" s="13" t="str">
        <f aca="false">IFERROR(__xludf.dummyfunction("""COMPUTED_VALUE"""),"taufeeq.akhtar@tajir-app.com")</f>
        <v>taufeeq.akhtar@tajir-app.com</v>
      </c>
      <c r="P452" s="13" t="str">
        <f aca="false">IFERROR(__xludf.dummyfunction("""COMPUTED_VALUE"""),"Taufeeq Akhtar ")</f>
        <v>Taufeeq Akhtar </v>
      </c>
      <c r="Q452" s="13" t="str">
        <f aca="false">IFERROR(__xludf.dummyfunction("""COMPUTED_VALUE"""),"[Code: 22566678] TA: One bottel found in loose condition during sorting.....")</f>
        <v>[Code: 22566678] TA: One bottel found in loose condition during sorting.....</v>
      </c>
      <c r="R452" s="13" t="str">
        <v>Tue,24-October-2023 ,08:03 PM</v>
      </c>
      <c r="S452" s="13" t="str">
        <v>Damaged Stock</v>
      </c>
    </row>
    <row r="453" customFormat="false" ht="15.75" hidden="false" customHeight="false" outlineLevel="0" collapsed="false">
      <c r="A453" s="13" t="str">
        <f aca="false">IFERROR(__xludf.dummyfunction("""COMPUTED_VALUE"""),"Metro DC Faisalabad")</f>
        <v>Metro DC Faisalabad</v>
      </c>
      <c r="B453" s="13" t="str">
        <f aca="false">IFERROR(__xludf.dummyfunction("""COMPUTED_VALUE"""),"e1d071e3-d27f-47ca-bd86-13408e8d89dd")</f>
        <v>e1d071e3-d27f-47ca-bd86-13408e8d89dd</v>
      </c>
      <c r="C453" s="13" t="str">
        <f aca="false">IFERROR(__xludf.dummyfunction("""COMPUTED_VALUE"""),"Shangrila Tomato Ketchup x3 Bundle 800g")</f>
        <v>Shangrila Tomato Ketchup x3 Bundle 800g</v>
      </c>
      <c r="D453" s="13" t="str">
        <f aca="false">IFERROR(__xludf.dummyfunction("""COMPUTED_VALUE"""),"Shangrila")</f>
        <v>Shangrila</v>
      </c>
      <c r="E453" s="13" t="str">
        <f aca="false">IFERROR(__xludf.dummyfunction("""COMPUTED_VALUE"""),"Sauces")</f>
        <v>Sauces</v>
      </c>
      <c r="F453" s="11" t="n">
        <f aca="false">IFERROR(__xludf.dummyfunction("""COMPUTED_VALUE"""),45223)</f>
        <v>45223</v>
      </c>
      <c r="G453" s="12" t="n">
        <f aca="false">IFERROR(__xludf.dummyfunction("""COMPUTED_VALUE"""),0.894786099536999)</f>
        <v>0.8947860995</v>
      </c>
      <c r="H453" s="13" t="str">
        <f aca="false">IFERROR(__xludf.dummyfunction("""COMPUTED_VALUE"""),"damaged stock")</f>
        <v>damaged stock</v>
      </c>
      <c r="I453" s="13" t="n">
        <f aca="false">IFERROR(__xludf.dummyfunction("""COMPUTED_VALUE"""),1)</f>
        <v>1</v>
      </c>
      <c r="J453" s="13" t="n">
        <f aca="false">IFERROR(__xludf.dummyfunction("""COMPUTED_VALUE"""),987.91)</f>
        <v>987.91</v>
      </c>
      <c r="K453" s="13" t="n">
        <f aca="false">IFERROR(__xludf.dummyfunction("""COMPUTED_VALUE"""),987.91)</f>
        <v>987.91</v>
      </c>
      <c r="L453" s="13" t="str">
        <f aca="false">IFERROR(__xludf.dummyfunction("""COMPUTED_VALUE"""),"[Code: 2234446D] TA: Found damaged from display during sorting.")</f>
        <v>[Code: 2234446D] TA: Found damaged from display during sorting.</v>
      </c>
      <c r="M453" s="13" t="str">
        <f aca="false">IFERROR(__xludf.dummyfunction("""COMPUTED_VALUE"""),"2234446D")</f>
        <v>2234446D</v>
      </c>
      <c r="N453" s="13"/>
      <c r="O453" s="13" t="str">
        <f aca="false">IFERROR(__xludf.dummyfunction("""COMPUTED_VALUE"""),"taufeeq.akhtar@tajir-app.com")</f>
        <v>taufeeq.akhtar@tajir-app.com</v>
      </c>
      <c r="P453" s="13" t="str">
        <f aca="false">IFERROR(__xludf.dummyfunction("""COMPUTED_VALUE"""),"Taufeeq Akhtar ")</f>
        <v>Taufeeq Akhtar </v>
      </c>
      <c r="Q453" s="13" t="str">
        <f aca="false">IFERROR(__xludf.dummyfunction("""COMPUTED_VALUE"""),"[Code: 2234446D] TA: Found damaged from display during sorting.")</f>
        <v>[Code: 2234446D] TA: Found damaged from display during sorting.</v>
      </c>
      <c r="R453" s="13" t="str">
        <v>Tue,24-October-2023 ,09:28 PM</v>
      </c>
      <c r="S453" s="13" t="str">
        <v>Damaged Stock</v>
      </c>
    </row>
    <row r="454" customFormat="false" ht="15.75" hidden="false" customHeight="false" outlineLevel="0" collapsed="false">
      <c r="A454" s="13" t="str">
        <f aca="false">IFERROR(__xludf.dummyfunction("""COMPUTED_VALUE"""),"Metro DC Faisalabad")</f>
        <v>Metro DC Faisalabad</v>
      </c>
      <c r="B454" s="13" t="str">
        <f aca="false">IFERROR(__xludf.dummyfunction("""COMPUTED_VALUE"""),"38f91ed7-8c25-4061-b1cb-85ac528c02dc")</f>
        <v>38f91ed7-8c25-4061-b1cb-85ac528c02dc</v>
      </c>
      <c r="C454" s="13" t="str">
        <f aca="false">IFERROR(__xludf.dummyfunction("""COMPUTED_VALUE"""),"Shangrila Tomato Ketchup x6 Bundle 70g")</f>
        <v>Shangrila Tomato Ketchup x6 Bundle 70g</v>
      </c>
      <c r="D454" s="13" t="str">
        <f aca="false">IFERROR(__xludf.dummyfunction("""COMPUTED_VALUE"""),"Shangrila")</f>
        <v>Shangrila</v>
      </c>
      <c r="E454" s="13" t="str">
        <f aca="false">IFERROR(__xludf.dummyfunction("""COMPUTED_VALUE"""),"Sauces")</f>
        <v>Sauces</v>
      </c>
      <c r="F454" s="11" t="n">
        <f aca="false">IFERROR(__xludf.dummyfunction("""COMPUTED_VALUE"""),45223)</f>
        <v>45223</v>
      </c>
      <c r="G454" s="12" t="n">
        <f aca="false">IFERROR(__xludf.dummyfunction("""COMPUTED_VALUE"""),0.895912766204173)</f>
        <v>0.8959127662</v>
      </c>
      <c r="H454" s="13" t="str">
        <f aca="false">IFERROR(__xludf.dummyfunction("""COMPUTED_VALUE"""),"damaged stock")</f>
        <v>damaged stock</v>
      </c>
      <c r="I454" s="13" t="n">
        <f aca="false">IFERROR(__xludf.dummyfunction("""COMPUTED_VALUE"""),1)</f>
        <v>1</v>
      </c>
      <c r="J454" s="13" t="n">
        <f aca="false">IFERROR(__xludf.dummyfunction("""COMPUTED_VALUE"""),188.49)</f>
        <v>188.49</v>
      </c>
      <c r="K454" s="13" t="n">
        <f aca="false">IFERROR(__xludf.dummyfunction("""COMPUTED_VALUE"""),188.49)</f>
        <v>188.49</v>
      </c>
      <c r="L454" s="13" t="str">
        <f aca="false">IFERROR(__xludf.dummyfunction("""COMPUTED_VALUE"""),"[Code: 289AGLMN] TA: Found in damaged condition during stock display .")</f>
        <v>[Code: 289AGLMN] TA: Found in damaged condition during stock display .</v>
      </c>
      <c r="M454" s="13" t="str">
        <f aca="false">IFERROR(__xludf.dummyfunction("""COMPUTED_VALUE"""),"289AGLMN")</f>
        <v>289AGLMN</v>
      </c>
      <c r="N454" s="13"/>
      <c r="O454" s="13" t="str">
        <f aca="false">IFERROR(__xludf.dummyfunction("""COMPUTED_VALUE"""),"taufeeq.akhtar@tajir-app.com")</f>
        <v>taufeeq.akhtar@tajir-app.com</v>
      </c>
      <c r="P454" s="13" t="str">
        <f aca="false">IFERROR(__xludf.dummyfunction("""COMPUTED_VALUE"""),"Taufeeq Akhtar ")</f>
        <v>Taufeeq Akhtar </v>
      </c>
      <c r="Q454" s="13" t="str">
        <f aca="false">IFERROR(__xludf.dummyfunction("""COMPUTED_VALUE"""),"[Code: 289AGLMN] TA: Found in damaged condition during stock display .")</f>
        <v>[Code: 289AGLMN] TA: Found in damaged condition during stock display .</v>
      </c>
      <c r="R454" s="13" t="str">
        <v>Tue,24-October-2023 ,09:30 PM</v>
      </c>
      <c r="S454" s="13" t="str">
        <v>Damaged Stock</v>
      </c>
    </row>
    <row r="455" customFormat="false" ht="15.75" hidden="false" customHeight="false" outlineLevel="0" collapsed="false">
      <c r="A455" s="13" t="str">
        <f aca="false">IFERROR(__xludf.dummyfunction("""COMPUTED_VALUE"""),"Metro DC Faisalabad")</f>
        <v>Metro DC Faisalabad</v>
      </c>
      <c r="B455" s="13" t="str">
        <f aca="false">IFERROR(__xludf.dummyfunction("""COMPUTED_VALUE"""),"2078dcd4-3c88-45e1-bc7b-363dde84c6e8")</f>
        <v>2078dcd4-3c88-45e1-bc7b-363dde84c6e8</v>
      </c>
      <c r="C455" s="13" t="str">
        <f aca="false">IFERROR(__xludf.dummyfunction("""COMPUTED_VALUE"""),"Special Wooden Phool Jharoo")</f>
        <v>Special Wooden Phool Jharoo</v>
      </c>
      <c r="D455" s="13" t="str">
        <f aca="false">IFERROR(__xludf.dummyfunction("""COMPUTED_VALUE"""),"Jharoo")</f>
        <v>Jharoo</v>
      </c>
      <c r="E455" s="13" t="str">
        <f aca="false">IFERROR(__xludf.dummyfunction("""COMPUTED_VALUE"""),"Home Care")</f>
        <v>Home Care</v>
      </c>
      <c r="F455" s="11" t="n">
        <f aca="false">IFERROR(__xludf.dummyfunction("""COMPUTED_VALUE"""),45224)</f>
        <v>45224</v>
      </c>
      <c r="G455" s="12" t="n">
        <f aca="false">IFERROR(__xludf.dummyfunction("""COMPUTED_VALUE"""),0.913255833333118)</f>
        <v>0.9132558333</v>
      </c>
      <c r="H455" s="13" t="str">
        <f aca="false">IFERROR(__xludf.dummyfunction("""COMPUTED_VALUE"""),"damaged stock")</f>
        <v>damaged stock</v>
      </c>
      <c r="I455" s="13" t="n">
        <f aca="false">IFERROR(__xludf.dummyfunction("""COMPUTED_VALUE"""),1)</f>
        <v>1</v>
      </c>
      <c r="J455" s="13" t="n">
        <f aca="false">IFERROR(__xludf.dummyfunction("""COMPUTED_VALUE"""),135)</f>
        <v>135</v>
      </c>
      <c r="K455" s="13" t="n">
        <f aca="false">IFERROR(__xludf.dummyfunction("""COMPUTED_VALUE"""),135)</f>
        <v>135</v>
      </c>
      <c r="L455" s="13" t="str">
        <f aca="false">IFERROR(__xludf.dummyfunction("""COMPUTED_VALUE"""),"[Code: 244578BC] TA: found damaged from bundle during sorting.")</f>
        <v>[Code: 244578BC] TA: found damaged from bundle during sorting.</v>
      </c>
      <c r="M455" s="13" t="str">
        <f aca="false">IFERROR(__xludf.dummyfunction("""COMPUTED_VALUE"""),"244578BC")</f>
        <v>244578BC</v>
      </c>
      <c r="N455" s="13"/>
      <c r="O455" s="13" t="str">
        <f aca="false">IFERROR(__xludf.dummyfunction("""COMPUTED_VALUE"""),"taufeeq.akhtar@tajir-app.com")</f>
        <v>taufeeq.akhtar@tajir-app.com</v>
      </c>
      <c r="P455" s="13" t="str">
        <f aca="false">IFERROR(__xludf.dummyfunction("""COMPUTED_VALUE"""),"Taufeeq Akhtar ")</f>
        <v>Taufeeq Akhtar </v>
      </c>
      <c r="Q455" s="13" t="str">
        <f aca="false">IFERROR(__xludf.dummyfunction("""COMPUTED_VALUE"""),"[Code: 244578BC] TA: found damaged from bundle during sorting.")</f>
        <v>[Code: 244578BC] TA: found damaged from bundle during sorting.</v>
      </c>
      <c r="R455" s="13" t="str">
        <v>Wed,25-October-2023 ,09:55 PM</v>
      </c>
      <c r="S455" s="13" t="str">
        <v>Damaged Stock</v>
      </c>
    </row>
    <row r="456" customFormat="false" ht="15.75" hidden="false" customHeight="false" outlineLevel="0" collapsed="false">
      <c r="A456" s="13" t="str">
        <f aca="false">IFERROR(__xludf.dummyfunction("""COMPUTED_VALUE"""),"Metro DC Faisalabad")</f>
        <v>Metro DC Faisalabad</v>
      </c>
      <c r="B456" s="13" t="str">
        <f aca="false">IFERROR(__xludf.dummyfunction("""COMPUTED_VALUE"""),"d35314e0-f3f4-47fe-90aa-af65dab10e9d")</f>
        <v>d35314e0-f3f4-47fe-90aa-af65dab10e9d</v>
      </c>
      <c r="C456" s="13" t="str">
        <f aca="false">IFERROR(__xludf.dummyfunction("""COMPUTED_VALUE"""),"Bonus tristar detergent x6 bundle 48g Rs10")</f>
        <v>Bonus tristar detergent x6 bundle 48g Rs10</v>
      </c>
      <c r="D456" s="13" t="str">
        <f aca="false">IFERROR(__xludf.dummyfunction("""COMPUTED_VALUE"""),"Bonus Surf")</f>
        <v>Bonus Surf</v>
      </c>
      <c r="E456" s="13" t="str">
        <f aca="false">IFERROR(__xludf.dummyfunction("""COMPUTED_VALUE"""),"Surf, Bleach")</f>
        <v>Surf, Bleach</v>
      </c>
      <c r="F456" s="11" t="n">
        <f aca="false">IFERROR(__xludf.dummyfunction("""COMPUTED_VALUE"""),45224)</f>
        <v>45224</v>
      </c>
      <c r="G456" s="12" t="n">
        <f aca="false">IFERROR(__xludf.dummyfunction("""COMPUTED_VALUE"""),0.914343032406858)</f>
        <v>0.9143430324</v>
      </c>
      <c r="H456" s="13" t="str">
        <f aca="false">IFERROR(__xludf.dummyfunction("""COMPUTED_VALUE"""),"damaged stock")</f>
        <v>damaged stock</v>
      </c>
      <c r="I456" s="13" t="n">
        <f aca="false">IFERROR(__xludf.dummyfunction("""COMPUTED_VALUE"""),1)</f>
        <v>1</v>
      </c>
      <c r="J456" s="13" t="n">
        <f aca="false">IFERROR(__xludf.dummyfunction("""COMPUTED_VALUE"""),55.38)</f>
        <v>55.38</v>
      </c>
      <c r="K456" s="13" t="n">
        <f aca="false">IFERROR(__xludf.dummyfunction("""COMPUTED_VALUE"""),55.38)</f>
        <v>55.38</v>
      </c>
      <c r="L456" s="13" t="str">
        <f aca="false">IFERROR(__xludf.dummyfunction("""COMPUTED_VALUE"""),"[Code: 468ACEFH] TA: Found damaged from bag during sorting.")</f>
        <v>[Code: 468ACEFH] TA: Found damaged from bag during sorting.</v>
      </c>
      <c r="M456" s="13" t="str">
        <f aca="false">IFERROR(__xludf.dummyfunction("""COMPUTED_VALUE"""),"468ACEFH")</f>
        <v>468ACEFH</v>
      </c>
      <c r="N456" s="13"/>
      <c r="O456" s="13" t="str">
        <f aca="false">IFERROR(__xludf.dummyfunction("""COMPUTED_VALUE"""),"taufeeq.akhtar@tajir-app.com")</f>
        <v>taufeeq.akhtar@tajir-app.com</v>
      </c>
      <c r="P456" s="13" t="str">
        <f aca="false">IFERROR(__xludf.dummyfunction("""COMPUTED_VALUE"""),"Taufeeq Akhtar ")</f>
        <v>Taufeeq Akhtar </v>
      </c>
      <c r="Q456" s="13" t="str">
        <f aca="false">IFERROR(__xludf.dummyfunction("""COMPUTED_VALUE"""),"[Code: 468ACEFH] TA: Found damaged from bag during sorting.")</f>
        <v>[Code: 468ACEFH] TA: Found damaged from bag during sorting.</v>
      </c>
      <c r="R456" s="13" t="str">
        <v>Wed,25-October-2023 ,09:56 PM</v>
      </c>
      <c r="S456" s="13" t="str">
        <v>Damaged Stock</v>
      </c>
    </row>
    <row r="457" customFormat="false" ht="15.75" hidden="false" customHeight="false" outlineLevel="0" collapsed="false">
      <c r="A457" s="13" t="str">
        <f aca="false">IFERROR(__xludf.dummyfunction("""COMPUTED_VALUE"""),"Metro DC Faisalabad")</f>
        <v>Metro DC Faisalabad</v>
      </c>
      <c r="B457" s="13" t="str">
        <f aca="false">IFERROR(__xludf.dummyfunction("""COMPUTED_VALUE"""),"cd68a607-af95-45cb-b9f4-2721224c85f8")</f>
        <v>cd68a607-af95-45cb-b9f4-2721224c85f8</v>
      </c>
      <c r="C457" s="13" t="str">
        <f aca="false">IFERROR(__xludf.dummyfunction("""COMPUTED_VALUE"""),"Coca Cola plastic 1.5L")</f>
        <v>Coca Cola plastic 1.5L</v>
      </c>
      <c r="D457" s="13" t="str">
        <f aca="false">IFERROR(__xludf.dummyfunction("""COMPUTED_VALUE"""),"Coca Cola")</f>
        <v>Coca Cola</v>
      </c>
      <c r="E457" s="13" t="str">
        <f aca="false">IFERROR(__xludf.dummyfunction("""COMPUTED_VALUE"""),"Beverages")</f>
        <v>Beverages</v>
      </c>
      <c r="F457" s="11" t="n">
        <f aca="false">IFERROR(__xludf.dummyfunction("""COMPUTED_VALUE"""),45226)</f>
        <v>45226</v>
      </c>
      <c r="G457" s="12" t="n">
        <f aca="false">IFERROR(__xludf.dummyfunction("""COMPUTED_VALUE"""),0.664890393517802)</f>
        <v>0.6648903935</v>
      </c>
      <c r="H457" s="13" t="str">
        <f aca="false">IFERROR(__xludf.dummyfunction("""COMPUTED_VALUE"""),"damaged stock")</f>
        <v>damaged stock</v>
      </c>
      <c r="I457" s="13" t="n">
        <f aca="false">IFERROR(__xludf.dummyfunction("""COMPUTED_VALUE"""),1)</f>
        <v>1</v>
      </c>
      <c r="J457" s="13" t="n">
        <f aca="false">IFERROR(__xludf.dummyfunction("""COMPUTED_VALUE"""),914.68)</f>
        <v>914.68</v>
      </c>
      <c r="K457" s="13" t="n">
        <f aca="false">IFERROR(__xludf.dummyfunction("""COMPUTED_VALUE"""),914.68)</f>
        <v>914.68</v>
      </c>
      <c r="L457" s="13" t="str">
        <f aca="false">IFERROR(__xludf.dummyfunction("""COMPUTED_VALUE"""),"[Code: 2467BEEE] TA: Found empty bottels during soring..")</f>
        <v>[Code: 2467BEEE] TA: Found empty bottels during soring..</v>
      </c>
      <c r="M457" s="13" t="str">
        <f aca="false">IFERROR(__xludf.dummyfunction("""COMPUTED_VALUE"""),"2467BEEE")</f>
        <v>2467BEEE</v>
      </c>
      <c r="N457" s="13"/>
      <c r="O457" s="13" t="str">
        <f aca="false">IFERROR(__xludf.dummyfunction("""COMPUTED_VALUE"""),"taufeeq.akhtar@tajir-app.com")</f>
        <v>taufeeq.akhtar@tajir-app.com</v>
      </c>
      <c r="P457" s="13" t="str">
        <f aca="false">IFERROR(__xludf.dummyfunction("""COMPUTED_VALUE"""),"Taufeeq Akhtar ")</f>
        <v>Taufeeq Akhtar </v>
      </c>
      <c r="Q457" s="13" t="str">
        <f aca="false">IFERROR(__xludf.dummyfunction("""COMPUTED_VALUE"""),"[Code: 2467BEEE] TA: Found empty bottels during soring..")</f>
        <v>[Code: 2467BEEE] TA: Found empty bottels during soring..</v>
      </c>
      <c r="R457" s="13" t="str">
        <v>Fri,27-October-2023 ,03:57 PM</v>
      </c>
      <c r="S457" s="13" t="str">
        <v>Damaged Stock</v>
      </c>
    </row>
    <row r="458" customFormat="false" ht="15.75" hidden="false" customHeight="false" outlineLevel="0" collapsed="false">
      <c r="A458" s="13" t="str">
        <f aca="false">IFERROR(__xludf.dummyfunction("""COMPUTED_VALUE"""),"Metro DC Faisalabad")</f>
        <v>Metro DC Faisalabad</v>
      </c>
      <c r="B458" s="13" t="str">
        <f aca="false">IFERROR(__xludf.dummyfunction("""COMPUTED_VALUE"""),"d108dc59-da93-451f-9024-d773dad3e97a")</f>
        <v>d108dc59-da93-451f-9024-d773dad3e97a</v>
      </c>
      <c r="C458" s="13" t="str">
        <f aca="false">IFERROR(__xludf.dummyfunction("""COMPUTED_VALUE"""),"Sprite plastic 1.5L")</f>
        <v>Sprite plastic 1.5L</v>
      </c>
      <c r="D458" s="13" t="str">
        <f aca="false">IFERROR(__xludf.dummyfunction("""COMPUTED_VALUE"""),"Sprite")</f>
        <v>Sprite</v>
      </c>
      <c r="E458" s="13" t="str">
        <f aca="false">IFERROR(__xludf.dummyfunction("""COMPUTED_VALUE"""),"Beverages")</f>
        <v>Beverages</v>
      </c>
      <c r="F458" s="11" t="n">
        <f aca="false">IFERROR(__xludf.dummyfunction("""COMPUTED_VALUE"""),45226)</f>
        <v>45226</v>
      </c>
      <c r="G458" s="12" t="n">
        <f aca="false">IFERROR(__xludf.dummyfunction("""COMPUTED_VALUE"""),0.665806874998383)</f>
        <v>0.665806875</v>
      </c>
      <c r="H458" s="13" t="str">
        <f aca="false">IFERROR(__xludf.dummyfunction("""COMPUTED_VALUE"""),"damaged stock")</f>
        <v>damaged stock</v>
      </c>
      <c r="I458" s="13" t="n">
        <f aca="false">IFERROR(__xludf.dummyfunction("""COMPUTED_VALUE"""),1)</f>
        <v>1</v>
      </c>
      <c r="J458" s="13" t="n">
        <f aca="false">IFERROR(__xludf.dummyfunction("""COMPUTED_VALUE"""),870)</f>
        <v>870</v>
      </c>
      <c r="K458" s="13" t="n">
        <f aca="false">IFERROR(__xludf.dummyfunction("""COMPUTED_VALUE"""),870)</f>
        <v>870</v>
      </c>
      <c r="L458" s="13" t="str">
        <f aca="false">IFERROR(__xludf.dummyfunction("""COMPUTED_VALUE"""),"[Code: 359BCEEE] TA: Found empty bottels during sorting//")</f>
        <v>[Code: 359BCEEE] TA: Found empty bottels during sorting//</v>
      </c>
      <c r="M458" s="13" t="str">
        <f aca="false">IFERROR(__xludf.dummyfunction("""COMPUTED_VALUE"""),"359BCEEE")</f>
        <v>359BCEEE</v>
      </c>
      <c r="N458" s="13"/>
      <c r="O458" s="13" t="str">
        <f aca="false">IFERROR(__xludf.dummyfunction("""COMPUTED_VALUE"""),"taufeeq.akhtar@tajir-app.com")</f>
        <v>taufeeq.akhtar@tajir-app.com</v>
      </c>
      <c r="P458" s="13" t="str">
        <f aca="false">IFERROR(__xludf.dummyfunction("""COMPUTED_VALUE"""),"Taufeeq Akhtar ")</f>
        <v>Taufeeq Akhtar </v>
      </c>
      <c r="Q458" s="13" t="str">
        <f aca="false">IFERROR(__xludf.dummyfunction("""COMPUTED_VALUE"""),"[Code: 359BCEEE] TA: Found empty bottels during sorting//")</f>
        <v>[Code: 359BCEEE] TA: Found empty bottels during sorting//</v>
      </c>
      <c r="R458" s="13" t="str">
        <v>Fri,27-October-2023 ,03:58 PM</v>
      </c>
      <c r="S458" s="13" t="str">
        <v>Damaged Stock</v>
      </c>
    </row>
    <row r="459" customFormat="false" ht="15.75" hidden="false" customHeight="false" outlineLevel="0" collapsed="false">
      <c r="A459" s="13" t="str">
        <f aca="false">IFERROR(__xludf.dummyfunction("""COMPUTED_VALUE"""),"Metro DC Faisalabad")</f>
        <v>Metro DC Faisalabad</v>
      </c>
      <c r="B459" s="13" t="str">
        <f aca="false">IFERROR(__xludf.dummyfunction("""COMPUTED_VALUE"""),"b3598e3d-528f-482f-9789-ead5b9583f19")</f>
        <v>b3598e3d-528f-482f-9789-ead5b9583f19</v>
      </c>
      <c r="C459" s="13" t="str">
        <f aca="false">IFERROR(__xludf.dummyfunction("""COMPUTED_VALUE"""),"Surf Excel x6 bundle Rs50")</f>
        <v>Surf Excel x6 bundle Rs50</v>
      </c>
      <c r="D459" s="13" t="str">
        <f aca="false">IFERROR(__xludf.dummyfunction("""COMPUTED_VALUE"""),"Surf Excel")</f>
        <v>Surf Excel</v>
      </c>
      <c r="E459" s="13" t="str">
        <f aca="false">IFERROR(__xludf.dummyfunction("""COMPUTED_VALUE"""),"Surf, Bleach")</f>
        <v>Surf, Bleach</v>
      </c>
      <c r="F459" s="11" t="n">
        <f aca="false">IFERROR(__xludf.dummyfunction("""COMPUTED_VALUE"""),45226)</f>
        <v>45226</v>
      </c>
      <c r="G459" s="12" t="n">
        <f aca="false">IFERROR(__xludf.dummyfunction("""COMPUTED_VALUE"""),0.74631439814727)</f>
        <v>0.7463143981</v>
      </c>
      <c r="H459" s="13" t="str">
        <f aca="false">IFERROR(__xludf.dummyfunction("""COMPUTED_VALUE"""),"damaged stock")</f>
        <v>damaged stock</v>
      </c>
      <c r="I459" s="13" t="n">
        <f aca="false">IFERROR(__xludf.dummyfunction("""COMPUTED_VALUE"""),1)</f>
        <v>1</v>
      </c>
      <c r="J459" s="13" t="n">
        <f aca="false">IFERROR(__xludf.dummyfunction("""COMPUTED_VALUE"""),275)</f>
        <v>275</v>
      </c>
      <c r="K459" s="13" t="n">
        <f aca="false">IFERROR(__xludf.dummyfunction("""COMPUTED_VALUE"""),275)</f>
        <v>275</v>
      </c>
      <c r="L459" s="13" t="str">
        <f aca="false">IFERROR(__xludf.dummyfunction("""COMPUTED_VALUE"""),"[Code: 278ABEHJ] TA: found Damaged from bag during sorting.")</f>
        <v>[Code: 278ABEHJ] TA: found Damaged from bag during sorting.</v>
      </c>
      <c r="M459" s="13" t="str">
        <f aca="false">IFERROR(__xludf.dummyfunction("""COMPUTED_VALUE"""),"278ABEHJ")</f>
        <v>278ABEHJ</v>
      </c>
      <c r="N459" s="13"/>
      <c r="O459" s="13" t="str">
        <f aca="false">IFERROR(__xludf.dummyfunction("""COMPUTED_VALUE"""),"taufeeq.akhtar@tajir-app.com")</f>
        <v>taufeeq.akhtar@tajir-app.com</v>
      </c>
      <c r="P459" s="13" t="str">
        <f aca="false">IFERROR(__xludf.dummyfunction("""COMPUTED_VALUE"""),"Taufeeq Akhtar ")</f>
        <v>Taufeeq Akhtar </v>
      </c>
      <c r="Q459" s="13" t="str">
        <f aca="false">IFERROR(__xludf.dummyfunction("""COMPUTED_VALUE"""),"[Code: 278ABEHJ] TA: found Damaged from bag during sorting.")</f>
        <v>[Code: 278ABEHJ] TA: found Damaged from bag during sorting.</v>
      </c>
      <c r="R459" s="13" t="str">
        <v>Fri,27-October-2023 ,05:54 PM</v>
      </c>
      <c r="S459" s="13" t="str">
        <v>Damaged Stock</v>
      </c>
    </row>
    <row r="460" customFormat="false" ht="15.75" hidden="false" customHeight="false" outlineLevel="0" collapsed="false">
      <c r="A460" s="13" t="str">
        <f aca="false">IFERROR(__xludf.dummyfunction("""COMPUTED_VALUE"""),"Metro DC Faisalabad")</f>
        <v>Metro DC Faisalabad</v>
      </c>
      <c r="B460" s="13" t="str">
        <f aca="false">IFERROR(__xludf.dummyfunction("""COMPUTED_VALUE"""),"82a80d89-36a1-4ab2-99b4-c4ddef4f8da9")</f>
        <v>82a80d89-36a1-4ab2-99b4-c4ddef4f8da9</v>
      </c>
      <c r="C460" s="13" t="str">
        <f aca="false">IFERROR(__xludf.dummyfunction("""COMPUTED_VALUE"""),"Quality Grains Daal Mash Wash 5kg")</f>
        <v>Quality Grains Daal Mash Wash 5kg</v>
      </c>
      <c r="D460" s="13" t="str">
        <f aca="false">IFERROR(__xludf.dummyfunction("""COMPUTED_VALUE"""),"Quality Grains")</f>
        <v>Quality Grains</v>
      </c>
      <c r="E460" s="13" t="str">
        <f aca="false">IFERROR(__xludf.dummyfunction("""COMPUTED_VALUE"""),"Pulses")</f>
        <v>Pulses</v>
      </c>
      <c r="F460" s="11" t="n">
        <f aca="false">IFERROR(__xludf.dummyfunction("""COMPUTED_VALUE"""),45227)</f>
        <v>45227</v>
      </c>
      <c r="G460" s="12" t="n">
        <f aca="false">IFERROR(__xludf.dummyfunction("""COMPUTED_VALUE"""),0.686852673612394)</f>
        <v>0.6868526736</v>
      </c>
      <c r="H460" s="13" t="str">
        <f aca="false">IFERROR(__xludf.dummyfunction("""COMPUTED_VALUE"""),"damaged stock")</f>
        <v>damaged stock</v>
      </c>
      <c r="I460" s="13" t="n">
        <f aca="false">IFERROR(__xludf.dummyfunction("""COMPUTED_VALUE"""),3)</f>
        <v>3</v>
      </c>
      <c r="J460" s="13" t="n">
        <f aca="false">IFERROR(__xludf.dummyfunction("""COMPUTED_VALUE"""),2785)</f>
        <v>2785</v>
      </c>
      <c r="K460" s="13" t="n">
        <f aca="false">IFERROR(__xludf.dummyfunction("""COMPUTED_VALUE"""),8355)</f>
        <v>8355</v>
      </c>
      <c r="L460" s="13" t="str">
        <f aca="false">IFERROR(__xludf.dummyfunction("""COMPUTED_VALUE"""),"[Code: 4557ABDH] 3 units found damaged due to fungus (quality issue) ")</f>
        <v>[Code: 4557ABDH] 3 units found damaged due to fungus (quality issue) </v>
      </c>
      <c r="M460" s="13" t="str">
        <f aca="false">IFERROR(__xludf.dummyfunction("""COMPUTED_VALUE"""),"4557ABDH")</f>
        <v>4557ABDH</v>
      </c>
      <c r="N460" s="13"/>
      <c r="O460" s="13" t="str">
        <f aca="false">IFERROR(__xludf.dummyfunction("""COMPUTED_VALUE"""),"ali.raza@tajir-app.com")</f>
        <v>ali.raza@tajir-app.com</v>
      </c>
      <c r="P460" s="13" t="str">
        <f aca="false">IFERROR(__xludf.dummyfunction("""COMPUTED_VALUE"""),"Ali Raza ")</f>
        <v>Ali Raza </v>
      </c>
      <c r="Q460" s="13" t="str">
        <f aca="false">IFERROR(__xludf.dummyfunction("""COMPUTED_VALUE"""),"[Code: 4557ABDH] 3 units found damaged due to fungus (quality issue) ")</f>
        <v>[Code: 4557ABDH] 3 units found damaged due to fungus (quality issue) </v>
      </c>
      <c r="R460" s="13" t="str">
        <v>Sat,28-October-2023 ,04:29 PM</v>
      </c>
      <c r="S460" s="13" t="str">
        <v>Damaged Stock</v>
      </c>
    </row>
    <row r="461" customFormat="false" ht="15.75" hidden="false" customHeight="false" outlineLevel="0" collapsed="false">
      <c r="A461" s="13" t="str">
        <f aca="false">IFERROR(__xludf.dummyfunction("""COMPUTED_VALUE"""),"Metro DC Faisalabad")</f>
        <v>Metro DC Faisalabad</v>
      </c>
      <c r="B461" s="13" t="str">
        <f aca="false">IFERROR(__xludf.dummyfunction("""COMPUTED_VALUE"""),"978a88b5-e0d1-4d9d-b7a1-90921ab8d4f0")</f>
        <v>978a88b5-e0d1-4d9d-b7a1-90921ab8d4f0</v>
      </c>
      <c r="C461" s="13" t="str">
        <f aca="false">IFERROR(__xludf.dummyfunction("""COMPUTED_VALUE"""),"Sherdil Daal Mash Wash 5kg")</f>
        <v>Sherdil Daal Mash Wash 5kg</v>
      </c>
      <c r="D461" s="13" t="str">
        <f aca="false">IFERROR(__xludf.dummyfunction("""COMPUTED_VALUE"""),"Sherdil")</f>
        <v>Sherdil</v>
      </c>
      <c r="E461" s="13" t="str">
        <f aca="false">IFERROR(__xludf.dummyfunction("""COMPUTED_VALUE"""),"Pulses")</f>
        <v>Pulses</v>
      </c>
      <c r="F461" s="11" t="n">
        <f aca="false">IFERROR(__xludf.dummyfunction("""COMPUTED_VALUE"""),45227)</f>
        <v>45227</v>
      </c>
      <c r="G461" s="12" t="n">
        <f aca="false">IFERROR(__xludf.dummyfunction("""COMPUTED_VALUE"""),0.687252534720907)</f>
        <v>0.6872525347</v>
      </c>
      <c r="H461" s="13" t="str">
        <f aca="false">IFERROR(__xludf.dummyfunction("""COMPUTED_VALUE"""),"damaged stock")</f>
        <v>damaged stock</v>
      </c>
      <c r="I461" s="13" t="n">
        <f aca="false">IFERROR(__xludf.dummyfunction("""COMPUTED_VALUE"""),1)</f>
        <v>1</v>
      </c>
      <c r="J461" s="13" t="n">
        <f aca="false">IFERROR(__xludf.dummyfunction("""COMPUTED_VALUE"""),3006)</f>
        <v>3006</v>
      </c>
      <c r="K461" s="13" t="n">
        <f aca="false">IFERROR(__xludf.dummyfunction("""COMPUTED_VALUE"""),3006)</f>
        <v>3006</v>
      </c>
      <c r="L461" s="13" t="str">
        <f aca="false">IFERROR(__xludf.dummyfunction("""COMPUTED_VALUE"""),"[Code: 378BBDFH] 1 unit found damaged due to fungus (quality issue)")</f>
        <v>[Code: 378BBDFH] 1 unit found damaged due to fungus (quality issue)</v>
      </c>
      <c r="M461" s="13" t="str">
        <f aca="false">IFERROR(__xludf.dummyfunction("""COMPUTED_VALUE"""),"378BBDFH")</f>
        <v>378BBDFH</v>
      </c>
      <c r="N461" s="13"/>
      <c r="O461" s="13" t="str">
        <f aca="false">IFERROR(__xludf.dummyfunction("""COMPUTED_VALUE"""),"ali.raza@tajir-app.com")</f>
        <v>ali.raza@tajir-app.com</v>
      </c>
      <c r="P461" s="13" t="str">
        <f aca="false">IFERROR(__xludf.dummyfunction("""COMPUTED_VALUE"""),"Ali Raza ")</f>
        <v>Ali Raza </v>
      </c>
      <c r="Q461" s="13" t="str">
        <f aca="false">IFERROR(__xludf.dummyfunction("""COMPUTED_VALUE"""),"[Code: 378BBDFH] 1 unit found damaged due to fungus (quality issue)")</f>
        <v>[Code: 378BBDFH] 1 unit found damaged due to fungus (quality issue)</v>
      </c>
      <c r="R461" s="13" t="str">
        <v>Sat,28-October-2023 ,04:29 PM</v>
      </c>
      <c r="S461" s="13" t="str">
        <v>Damaged Stock</v>
      </c>
    </row>
    <row r="462" customFormat="false" ht="15.75" hidden="false" customHeight="false" outlineLevel="0" collapsed="false">
      <c r="A462" s="13" t="str">
        <f aca="false">IFERROR(__xludf.dummyfunction("""COMPUTED_VALUE"""),"Metro DC Faisalabad")</f>
        <v>Metro DC Faisalabad</v>
      </c>
      <c r="B462" s="13" t="str">
        <f aca="false">IFERROR(__xludf.dummyfunction("""COMPUTED_VALUE"""),"a46be111-2a99-4b29-8a75-aa691efd5217")</f>
        <v>a46be111-2a99-4b29-8a75-aa691efd5217</v>
      </c>
      <c r="C462" s="13" t="str">
        <f aca="false">IFERROR(__xludf.dummyfunction("""COMPUTED_VALUE"""),"Sting Berry Blast plastic 500ml (Half Liter)")</f>
        <v>Sting Berry Blast plastic 500ml (Half Liter)</v>
      </c>
      <c r="D462" s="13" t="str">
        <f aca="false">IFERROR(__xludf.dummyfunction("""COMPUTED_VALUE"""),"Sting")</f>
        <v>Sting</v>
      </c>
      <c r="E462" s="13" t="str">
        <f aca="false">IFERROR(__xludf.dummyfunction("""COMPUTED_VALUE"""),"Beverages")</f>
        <v>Beverages</v>
      </c>
      <c r="F462" s="11" t="n">
        <f aca="false">IFERROR(__xludf.dummyfunction("""COMPUTED_VALUE"""),45227)</f>
        <v>45227</v>
      </c>
      <c r="G462" s="12" t="n">
        <f aca="false">IFERROR(__xludf.dummyfunction("""COMPUTED_VALUE"""),0.87907859953625)</f>
        <v>0.8790785995</v>
      </c>
      <c r="H462" s="13" t="str">
        <f aca="false">IFERROR(__xludf.dummyfunction("""COMPUTED_VALUE"""),"damaged stock")</f>
        <v>damaged stock</v>
      </c>
      <c r="I462" s="13" t="n">
        <f aca="false">IFERROR(__xludf.dummyfunction("""COMPUTED_VALUE"""),1)</f>
        <v>1</v>
      </c>
      <c r="J462" s="13" t="n">
        <f aca="false">IFERROR(__xludf.dummyfunction("""COMPUTED_VALUE"""),980)</f>
        <v>980</v>
      </c>
      <c r="K462" s="13" t="n">
        <f aca="false">IFERROR(__xludf.dummyfunction("""COMPUTED_VALUE"""),980)</f>
        <v>980</v>
      </c>
      <c r="L462" s="13" t="str">
        <f aca="false">IFERROR(__xludf.dummyfunction("""COMPUTED_VALUE"""),"[Code: 33789FKL] TA: Found three empty bottels in pet during sorting")</f>
        <v>[Code: 33789FKL] TA: Found three empty bottels in pet during sorting</v>
      </c>
      <c r="M462" s="13" t="str">
        <f aca="false">IFERROR(__xludf.dummyfunction("""COMPUTED_VALUE"""),"33789FKL")</f>
        <v>33789FKL</v>
      </c>
      <c r="N462" s="13"/>
      <c r="O462" s="13" t="str">
        <f aca="false">IFERROR(__xludf.dummyfunction("""COMPUTED_VALUE"""),"taufeeq.akhtar@tajir-app.com")</f>
        <v>taufeeq.akhtar@tajir-app.com</v>
      </c>
      <c r="P462" s="13" t="str">
        <f aca="false">IFERROR(__xludf.dummyfunction("""COMPUTED_VALUE"""),"Taufeeq Akhtar ")</f>
        <v>Taufeeq Akhtar </v>
      </c>
      <c r="Q462" s="13" t="str">
        <f aca="false">IFERROR(__xludf.dummyfunction("""COMPUTED_VALUE"""),"[Code: 33789FKL] TA: Found three empty bottels in pet during sorting")</f>
        <v>[Code: 33789FKL] TA: Found three empty bottels in pet during sorting</v>
      </c>
      <c r="R462" s="13" t="str">
        <v>Sat,28-October-2023 ,09:05 PM</v>
      </c>
      <c r="S462" s="13" t="str">
        <v>Damaged Stock</v>
      </c>
    </row>
    <row r="463" customFormat="false" ht="15.75" hidden="false" customHeight="false" outlineLevel="0" collapsed="false">
      <c r="A463" s="13" t="str">
        <f aca="false">IFERROR(__xludf.dummyfunction("""COMPUTED_VALUE"""),"Metro DC Faisalabad")</f>
        <v>Metro DC Faisalabad</v>
      </c>
      <c r="B463" s="13" t="str">
        <f aca="false">IFERROR(__xludf.dummyfunction("""COMPUTED_VALUE"""),"52fc90df-861c-4bdc-a491-d48a5fbaceb8")</f>
        <v>52fc90df-861c-4bdc-a491-d48a5fbaceb8</v>
      </c>
      <c r="C463" s="13" t="str">
        <f aca="false">IFERROR(__xludf.dummyfunction("""COMPUTED_VALUE"""),"Habib Foods Funtime Apple Flavoured Drink 200mL")</f>
        <v>Habib Foods Funtime Apple Flavoured Drink 200mL</v>
      </c>
      <c r="D463" s="13" t="str">
        <f aca="false">IFERROR(__xludf.dummyfunction("""COMPUTED_VALUE"""),"Habib Foods")</f>
        <v>Habib Foods</v>
      </c>
      <c r="E463" s="13" t="str">
        <f aca="false">IFERROR(__xludf.dummyfunction("""COMPUTED_VALUE"""),"Juice, Syrup, Squash")</f>
        <v>Juice, Syrup, Squash</v>
      </c>
      <c r="F463" s="11" t="n">
        <f aca="false">IFERROR(__xludf.dummyfunction("""COMPUTED_VALUE"""),45227)</f>
        <v>45227</v>
      </c>
      <c r="G463" s="12" t="n">
        <f aca="false">IFERROR(__xludf.dummyfunction("""COMPUTED_VALUE"""),0.880528368054634)</f>
        <v>0.8805283681</v>
      </c>
      <c r="H463" s="13" t="str">
        <f aca="false">IFERROR(__xludf.dummyfunction("""COMPUTED_VALUE"""),"damaged stock")</f>
        <v>damaged stock</v>
      </c>
      <c r="I463" s="13" t="n">
        <f aca="false">IFERROR(__xludf.dummyfunction("""COMPUTED_VALUE"""),1)</f>
        <v>1</v>
      </c>
      <c r="J463" s="13" t="n">
        <f aca="false">IFERROR(__xludf.dummyfunction("""COMPUTED_VALUE"""),500)</f>
        <v>500</v>
      </c>
      <c r="K463" s="13" t="n">
        <f aca="false">IFERROR(__xludf.dummyfunction("""COMPUTED_VALUE"""),500)</f>
        <v>500</v>
      </c>
      <c r="L463" s="13" t="str">
        <f aca="false">IFERROR(__xludf.dummyfunction("""COMPUTED_VALUE"""),"[Code: 569AACDE] TA: Found damaged from display during sorting.")</f>
        <v>[Code: 569AACDE] TA: Found damaged from display during sorting.</v>
      </c>
      <c r="M463" s="13" t="str">
        <f aca="false">IFERROR(__xludf.dummyfunction("""COMPUTED_VALUE"""),"569AACDE")</f>
        <v>569AACDE</v>
      </c>
      <c r="N463" s="13"/>
      <c r="O463" s="13" t="str">
        <f aca="false">IFERROR(__xludf.dummyfunction("""COMPUTED_VALUE"""),"taufeeq.akhtar@tajir-app.com")</f>
        <v>taufeeq.akhtar@tajir-app.com</v>
      </c>
      <c r="P463" s="13" t="str">
        <f aca="false">IFERROR(__xludf.dummyfunction("""COMPUTED_VALUE"""),"Taufeeq Akhtar ")</f>
        <v>Taufeeq Akhtar </v>
      </c>
      <c r="Q463" s="13" t="str">
        <f aca="false">IFERROR(__xludf.dummyfunction("""COMPUTED_VALUE"""),"[Code: 569AACDE] TA: Found damaged from display during sorting.")</f>
        <v>[Code: 569AACDE] TA: Found damaged from display during sorting.</v>
      </c>
      <c r="R463" s="13" t="str">
        <v>Sat,28-October-2023 ,09:07 PM</v>
      </c>
      <c r="S463" s="13" t="str">
        <v>Damaged Stock</v>
      </c>
    </row>
    <row r="464" customFormat="false" ht="15.75" hidden="false" customHeight="false" outlineLevel="0" collapsed="false">
      <c r="A464" s="13" t="str">
        <f aca="false">IFERROR(__xludf.dummyfunction("""COMPUTED_VALUE"""),"Metro DC Faisalabad")</f>
        <v>Metro DC Faisalabad</v>
      </c>
      <c r="B464" s="13" t="str">
        <f aca="false">IFERROR(__xludf.dummyfunction("""COMPUTED_VALUE"""),"039ebff0-a54d-4ab1-a893-22ee2482fc18")</f>
        <v>039ebff0-a54d-4ab1-a893-22ee2482fc18</v>
      </c>
      <c r="C464" s="13" t="str">
        <f aca="false">IFERROR(__xludf.dummyfunction("""COMPUTED_VALUE"""),"Habib Foods Funtime Mango Flavoured Drink 200mL")</f>
        <v>Habib Foods Funtime Mango Flavoured Drink 200mL</v>
      </c>
      <c r="D464" s="13" t="str">
        <f aca="false">IFERROR(__xludf.dummyfunction("""COMPUTED_VALUE"""),"Habib Foods")</f>
        <v>Habib Foods</v>
      </c>
      <c r="E464" s="13" t="str">
        <f aca="false">IFERROR(__xludf.dummyfunction("""COMPUTED_VALUE"""),"Juice, Syrup, Squash")</f>
        <v>Juice, Syrup, Squash</v>
      </c>
      <c r="F464" s="11" t="n">
        <f aca="false">IFERROR(__xludf.dummyfunction("""COMPUTED_VALUE"""),45227)</f>
        <v>45227</v>
      </c>
      <c r="G464" s="12" t="n">
        <f aca="false">IFERROR(__xludf.dummyfunction("""COMPUTED_VALUE"""),0.901526284721586)</f>
        <v>0.9015262847</v>
      </c>
      <c r="H464" s="13" t="str">
        <f aca="false">IFERROR(__xludf.dummyfunction("""COMPUTED_VALUE"""),"damaged stock")</f>
        <v>damaged stock</v>
      </c>
      <c r="I464" s="13" t="n">
        <f aca="false">IFERROR(__xludf.dummyfunction("""COMPUTED_VALUE"""),1)</f>
        <v>1</v>
      </c>
      <c r="J464" s="13" t="n">
        <f aca="false">IFERROR(__xludf.dummyfunction("""COMPUTED_VALUE"""),500)</f>
        <v>500</v>
      </c>
      <c r="K464" s="13" t="n">
        <f aca="false">IFERROR(__xludf.dummyfunction("""COMPUTED_VALUE"""),500)</f>
        <v>500</v>
      </c>
      <c r="L464" s="13" t="str">
        <f aca="false">IFERROR(__xludf.dummyfunction("""COMPUTED_VALUE"""),"[Code: 26789DDG] TA: found damaged from display during sorting.")</f>
        <v>[Code: 26789DDG] TA: found damaged from display during sorting.</v>
      </c>
      <c r="M464" s="13" t="str">
        <f aca="false">IFERROR(__xludf.dummyfunction("""COMPUTED_VALUE"""),"26789DDG")</f>
        <v>26789DDG</v>
      </c>
      <c r="N464" s="13"/>
      <c r="O464" s="13" t="str">
        <f aca="false">IFERROR(__xludf.dummyfunction("""COMPUTED_VALUE"""),"taufeeq.akhtar@tajir-app.com")</f>
        <v>taufeeq.akhtar@tajir-app.com</v>
      </c>
      <c r="P464" s="13" t="str">
        <f aca="false">IFERROR(__xludf.dummyfunction("""COMPUTED_VALUE"""),"Taufeeq Akhtar ")</f>
        <v>Taufeeq Akhtar </v>
      </c>
      <c r="Q464" s="13" t="str">
        <f aca="false">IFERROR(__xludf.dummyfunction("""COMPUTED_VALUE"""),"[Code: 26789DDG] TA: found damaged from display during sorting.")</f>
        <v>[Code: 26789DDG] TA: found damaged from display during sorting.</v>
      </c>
      <c r="R464" s="13" t="str">
        <v>Sat,28-October-2023 ,09:38 PM</v>
      </c>
      <c r="S464" s="13" t="str">
        <v>Damaged Stock</v>
      </c>
    </row>
    <row r="465" customFormat="false" ht="15.75" hidden="false" customHeight="false" outlineLevel="0" collapsed="false">
      <c r="A465" s="13" t="str">
        <f aca="false">IFERROR(__xludf.dummyfunction("""COMPUTED_VALUE"""),"Metro DC Faisalabad")</f>
        <v>Metro DC Faisalabad</v>
      </c>
      <c r="B465" s="13" t="str">
        <f aca="false">IFERROR(__xludf.dummyfunction("""COMPUTED_VALUE"""),"4064f4d6-26ba-4acc-a2ea-538239607256")</f>
        <v>4064f4d6-26ba-4acc-a2ea-538239607256</v>
      </c>
      <c r="C465" s="13" t="str">
        <f aca="false">IFERROR(__xludf.dummyfunction("""COMPUTED_VALUE"""),"Sunlight Pink Clean and Jasmine Fresh 380g Rs99")</f>
        <v>Sunlight Pink Clean and Jasmine Fresh 380g Rs99</v>
      </c>
      <c r="D465" s="13" t="str">
        <f aca="false">IFERROR(__xludf.dummyfunction("""COMPUTED_VALUE"""),"Sunlight")</f>
        <v>Sunlight</v>
      </c>
      <c r="E465" s="13" t="str">
        <f aca="false">IFERROR(__xludf.dummyfunction("""COMPUTED_VALUE"""),"Surf, Bleach")</f>
        <v>Surf, Bleach</v>
      </c>
      <c r="F465" s="11" t="n">
        <f aca="false">IFERROR(__xludf.dummyfunction("""COMPUTED_VALUE"""),45227)</f>
        <v>45227</v>
      </c>
      <c r="G465" s="12" t="n">
        <f aca="false">IFERROR(__xludf.dummyfunction("""COMPUTED_VALUE"""),0.928074664351421)</f>
        <v>0.9280746644</v>
      </c>
      <c r="H465" s="13" t="str">
        <f aca="false">IFERROR(__xludf.dummyfunction("""COMPUTED_VALUE"""),"damaged stock")</f>
        <v>damaged stock</v>
      </c>
      <c r="I465" s="13" t="n">
        <f aca="false">IFERROR(__xludf.dummyfunction("""COMPUTED_VALUE"""),1)</f>
        <v>1</v>
      </c>
      <c r="J465" s="13" t="n">
        <f aca="false">IFERROR(__xludf.dummyfunction("""COMPUTED_VALUE"""),89.1)</f>
        <v>89.1</v>
      </c>
      <c r="K465" s="13" t="n">
        <f aca="false">IFERROR(__xludf.dummyfunction("""COMPUTED_VALUE"""),89.1)</f>
        <v>89.1</v>
      </c>
      <c r="L465" s="13" t="str">
        <f aca="false">IFERROR(__xludf.dummyfunction("""COMPUTED_VALUE"""),"[Code: 234999EE] TA: 1 unit damage found during display (bag sy damage mila he)")</f>
        <v>[Code: 234999EE] TA: 1 unit damage found during display (bag sy damage mila he)</v>
      </c>
      <c r="M465" s="13" t="str">
        <f aca="false">IFERROR(__xludf.dummyfunction("""COMPUTED_VALUE"""),"234999EE")</f>
        <v>234999EE</v>
      </c>
      <c r="N465" s="13"/>
      <c r="O465" s="13" t="str">
        <f aca="false">IFERROR(__xludf.dummyfunction("""COMPUTED_VALUE"""),"taufeeq.akhtar@tajir-app.com")</f>
        <v>taufeeq.akhtar@tajir-app.com</v>
      </c>
      <c r="P465" s="13" t="str">
        <f aca="false">IFERROR(__xludf.dummyfunction("""COMPUTED_VALUE"""),"Taufeeq Akhtar ")</f>
        <v>Taufeeq Akhtar </v>
      </c>
      <c r="Q465" s="13" t="str">
        <f aca="false">IFERROR(__xludf.dummyfunction("""COMPUTED_VALUE"""),"[Code: 234999EE] TA: 1 unit damage found during display (bag sy damage mila he)")</f>
        <v>[Code: 234999EE] TA: 1 unit damage found during display (bag sy damage mila he)</v>
      </c>
      <c r="R465" s="13" t="str">
        <v>Sat,28-October-2023 ,10:16 PM</v>
      </c>
      <c r="S465" s="13" t="str">
        <v>Damaged Stock</v>
      </c>
    </row>
    <row r="466" customFormat="false" ht="15.75" hidden="false" customHeight="false" outlineLevel="0" collapsed="false">
      <c r="A466" s="13" t="str">
        <f aca="false">IFERROR(__xludf.dummyfunction("""COMPUTED_VALUE"""),"Metro DC Faisalabad")</f>
        <v>Metro DC Faisalabad</v>
      </c>
      <c r="B466" s="13" t="str">
        <f aca="false">IFERROR(__xludf.dummyfunction("""COMPUTED_VALUE"""),"640b3d13-fe80-4e07-8c7f-6e8b80a71337")</f>
        <v>640b3d13-fe80-4e07-8c7f-6e8b80a71337</v>
      </c>
      <c r="C466" s="13" t="str">
        <f aca="false">IFERROR(__xludf.dummyfunction("""COMPUTED_VALUE"""),"Swadi Besan 5kg")</f>
        <v>Swadi Besan 5kg</v>
      </c>
      <c r="D466" s="13" t="str">
        <f aca="false">IFERROR(__xludf.dummyfunction("""COMPUTED_VALUE"""),"Swadi")</f>
        <v>Swadi</v>
      </c>
      <c r="E466" s="13" t="str">
        <f aca="false">IFERROR(__xludf.dummyfunction("""COMPUTED_VALUE"""),"Pulses")</f>
        <v>Pulses</v>
      </c>
      <c r="F466" s="11" t="n">
        <f aca="false">IFERROR(__xludf.dummyfunction("""COMPUTED_VALUE"""),45227)</f>
        <v>45227</v>
      </c>
      <c r="G466" s="12" t="n">
        <f aca="false">IFERROR(__xludf.dummyfunction("""COMPUTED_VALUE"""),0.954527199074031)</f>
        <v>0.9545271991</v>
      </c>
      <c r="H466" s="13" t="str">
        <f aca="false">IFERROR(__xludf.dummyfunction("""COMPUTED_VALUE"""),"damaged stock")</f>
        <v>damaged stock</v>
      </c>
      <c r="I466" s="13" t="n">
        <f aca="false">IFERROR(__xludf.dummyfunction("""COMPUTED_VALUE"""),1)</f>
        <v>1</v>
      </c>
      <c r="J466" s="13" t="n">
        <f aca="false">IFERROR(__xludf.dummyfunction("""COMPUTED_VALUE"""),1050)</f>
        <v>1050</v>
      </c>
      <c r="K466" s="13" t="n">
        <f aca="false">IFERROR(__xludf.dummyfunction("""COMPUTED_VALUE"""),1050)</f>
        <v>1050</v>
      </c>
      <c r="L466" s="13" t="str">
        <f aca="false">IFERROR(__xludf.dummyfunction("""COMPUTED_VALUE"""),"[Code: 4468889E] TA: quality kharap hay...susri lagi hay ")</f>
        <v>[Code: 4468889E] TA: quality kharap hay...susri lagi hay </v>
      </c>
      <c r="M466" s="13" t="str">
        <f aca="false">IFERROR(__xludf.dummyfunction("""COMPUTED_VALUE"""),"4468889E")</f>
        <v>4468889E</v>
      </c>
      <c r="N466" s="13"/>
      <c r="O466" s="13" t="str">
        <f aca="false">IFERROR(__xludf.dummyfunction("""COMPUTED_VALUE"""),"taufeeq.akhtar@tajir-app.com")</f>
        <v>taufeeq.akhtar@tajir-app.com</v>
      </c>
      <c r="P466" s="13" t="str">
        <f aca="false">IFERROR(__xludf.dummyfunction("""COMPUTED_VALUE"""),"Taufeeq Akhtar ")</f>
        <v>Taufeeq Akhtar </v>
      </c>
      <c r="Q466" s="13" t="str">
        <f aca="false">IFERROR(__xludf.dummyfunction("""COMPUTED_VALUE"""),"[Code: 4468889E] TA: quality kharap hay...susri lagi hay ")</f>
        <v>[Code: 4468889E] TA: quality kharap hay...susri lagi hay </v>
      </c>
      <c r="R466" s="13" t="str">
        <v>Sat,28-October-2023 ,10:54 PM</v>
      </c>
      <c r="S466" s="13" t="str">
        <v>Damaged Stock</v>
      </c>
    </row>
    <row r="467" customFormat="false" ht="15.75" hidden="false" customHeight="false" outlineLevel="0" collapsed="false">
      <c r="A467" s="13" t="str">
        <f aca="false">IFERROR(__xludf.dummyfunction("""COMPUTED_VALUE"""),"Metro DC Faisalabad")</f>
        <v>Metro DC Faisalabad</v>
      </c>
      <c r="B467" s="13" t="str">
        <f aca="false">IFERROR(__xludf.dummyfunction("""COMPUTED_VALUE"""),"d108dc59-da93-451f-9024-d773dad3e97a")</f>
        <v>d108dc59-da93-451f-9024-d773dad3e97a</v>
      </c>
      <c r="C467" s="13" t="str">
        <f aca="false">IFERROR(__xludf.dummyfunction("""COMPUTED_VALUE"""),"Sprite plastic 1.5L")</f>
        <v>Sprite plastic 1.5L</v>
      </c>
      <c r="D467" s="13" t="str">
        <f aca="false">IFERROR(__xludf.dummyfunction("""COMPUTED_VALUE"""),"Sprite")</f>
        <v>Sprite</v>
      </c>
      <c r="E467" s="13" t="str">
        <f aca="false">IFERROR(__xludf.dummyfunction("""COMPUTED_VALUE"""),"Beverages")</f>
        <v>Beverages</v>
      </c>
      <c r="F467" s="11" t="n">
        <f aca="false">IFERROR(__xludf.dummyfunction("""COMPUTED_VALUE"""),45229)</f>
        <v>45229</v>
      </c>
      <c r="G467" s="12" t="n">
        <f aca="false">IFERROR(__xludf.dummyfunction("""COMPUTED_VALUE"""),0.39617920138974)</f>
        <v>0.3961792014</v>
      </c>
      <c r="H467" s="13" t="str">
        <f aca="false">IFERROR(__xludf.dummyfunction("""COMPUTED_VALUE"""),"damaged stock")</f>
        <v>damaged stock</v>
      </c>
      <c r="I467" s="13" t="n">
        <f aca="false">IFERROR(__xludf.dummyfunction("""COMPUTED_VALUE"""),5)</f>
        <v>5</v>
      </c>
      <c r="J467" s="13" t="n">
        <f aca="false">IFERROR(__xludf.dummyfunction("""COMPUTED_VALUE"""),870)</f>
        <v>870</v>
      </c>
      <c r="K467" s="13" t="n">
        <f aca="false">IFERROR(__xludf.dummyfunction("""COMPUTED_VALUE"""),4350)</f>
        <v>4350</v>
      </c>
      <c r="L467" s="13" t="str">
        <f aca="false">IFERROR(__xludf.dummyfunction("""COMPUTED_VALUE"""),"[Code: 22ACDEEF] 05 units found damaged (Mouse Cut)")</f>
        <v>[Code: 22ACDEEF] 05 units found damaged (Mouse Cut)</v>
      </c>
      <c r="M467" s="13" t="str">
        <f aca="false">IFERROR(__xludf.dummyfunction("""COMPUTED_VALUE"""),"22ACDEEF")</f>
        <v>22ACDEEF</v>
      </c>
      <c r="N467" s="13"/>
      <c r="O467" s="13" t="str">
        <f aca="false">IFERROR(__xludf.dummyfunction("""COMPUTED_VALUE"""),"ali.raza@tajir-app.com")</f>
        <v>ali.raza@tajir-app.com</v>
      </c>
      <c r="P467" s="13" t="str">
        <f aca="false">IFERROR(__xludf.dummyfunction("""COMPUTED_VALUE"""),"Ali Raza ")</f>
        <v>Ali Raza </v>
      </c>
      <c r="Q467" s="13" t="str">
        <f aca="false">IFERROR(__xludf.dummyfunction("""COMPUTED_VALUE"""),"[Code: 22ACDEEF] 05 units found damaged (Mouse Cut)")</f>
        <v>[Code: 22ACDEEF] 05 units found damaged (Mouse Cut)</v>
      </c>
      <c r="R467" s="13" t="str">
        <v>Mon,30-October-2023 ,09:30 AM</v>
      </c>
      <c r="S467" s="13" t="str">
        <v>Damaged Stock</v>
      </c>
    </row>
    <row r="468" customFormat="false" ht="15.75" hidden="false" customHeight="false" outlineLevel="0" collapsed="false">
      <c r="A468" s="13" t="str">
        <f aca="false">IFERROR(__xludf.dummyfunction("""COMPUTED_VALUE"""),"Metro DC Faisalabad")</f>
        <v>Metro DC Faisalabad</v>
      </c>
      <c r="B468" s="13" t="str">
        <f aca="false">IFERROR(__xludf.dummyfunction("""COMPUTED_VALUE"""),"fc06922e-76db-4025-89f7-b946dd24e76b")</f>
        <v>fc06922e-76db-4025-89f7-b946dd24e76b</v>
      </c>
      <c r="C468" s="13" t="str">
        <f aca="false">IFERROR(__xludf.dummyfunction("""COMPUTED_VALUE"""),"Candyland Paradise Chocolate 12pcs Box Rs20 (large box)")</f>
        <v>Candyland Paradise Chocolate 12pcs Box Rs20 (large box)</v>
      </c>
      <c r="D468" s="13" t="str">
        <f aca="false">IFERROR(__xludf.dummyfunction("""COMPUTED_VALUE"""),"Candyland")</f>
        <v>Candyland</v>
      </c>
      <c r="E468" s="13" t="str">
        <f aca="false">IFERROR(__xludf.dummyfunction("""COMPUTED_VALUE"""),"Confectionary")</f>
        <v>Confectionary</v>
      </c>
      <c r="F468" s="11" t="n">
        <f aca="false">IFERROR(__xludf.dummyfunction("""COMPUTED_VALUE"""),45229)</f>
        <v>45229</v>
      </c>
      <c r="G468" s="12" t="n">
        <f aca="false">IFERROR(__xludf.dummyfunction("""COMPUTED_VALUE"""),0.424557928239997)</f>
        <v>0.4245579282</v>
      </c>
      <c r="H468" s="13" t="str">
        <f aca="false">IFERROR(__xludf.dummyfunction("""COMPUTED_VALUE"""),"damaged stock")</f>
        <v>damaged stock</v>
      </c>
      <c r="I468" s="13" t="n">
        <f aca="false">IFERROR(__xludf.dummyfunction("""COMPUTED_VALUE"""),1)</f>
        <v>1</v>
      </c>
      <c r="J468" s="13" t="n">
        <f aca="false">IFERROR(__xludf.dummyfunction("""COMPUTED_VALUE"""),184.25)</f>
        <v>184.25</v>
      </c>
      <c r="K468" s="13" t="n">
        <f aca="false">IFERROR(__xludf.dummyfunction("""COMPUTED_VALUE"""),184.25)</f>
        <v>184.25</v>
      </c>
      <c r="L468" s="13" t="str">
        <f aca="false">IFERROR(__xludf.dummyfunction("""COMPUTED_VALUE"""),"[Code: 255BBDEG] 01 unit found damaged quality issue.")</f>
        <v>[Code: 255BBDEG] 01 unit found damaged quality issue.</v>
      </c>
      <c r="M468" s="13" t="str">
        <f aca="false">IFERROR(__xludf.dummyfunction("""COMPUTED_VALUE"""),"255BBDEG")</f>
        <v>255BBDEG</v>
      </c>
      <c r="N468" s="13"/>
      <c r="O468" s="13" t="str">
        <f aca="false">IFERROR(__xludf.dummyfunction("""COMPUTED_VALUE"""),"ali.raza@tajir-app.com")</f>
        <v>ali.raza@tajir-app.com</v>
      </c>
      <c r="P468" s="13" t="str">
        <f aca="false">IFERROR(__xludf.dummyfunction("""COMPUTED_VALUE"""),"Ali Raza ")</f>
        <v>Ali Raza </v>
      </c>
      <c r="Q468" s="13" t="str">
        <f aca="false">IFERROR(__xludf.dummyfunction("""COMPUTED_VALUE"""),"[Code: 255BBDEG] 01 unit found damaged quality issue.")</f>
        <v>[Code: 255BBDEG] 01 unit found damaged quality issue.</v>
      </c>
      <c r="R468" s="13" t="str">
        <v>Mon,30-October-2023 ,10:11 AM</v>
      </c>
      <c r="S468" s="13" t="str">
        <v>Damaged Stock</v>
      </c>
    </row>
    <row r="469" customFormat="false" ht="15.75" hidden="false" customHeight="false" outlineLevel="0" collapsed="false">
      <c r="A469" s="13" t="str">
        <f aca="false">IFERROR(__xludf.dummyfunction("""COMPUTED_VALUE"""),"Metro DC Faisalabad")</f>
        <v>Metro DC Faisalabad</v>
      </c>
      <c r="B469" s="13" t="str">
        <f aca="false">IFERROR(__xludf.dummyfunction("""COMPUTED_VALUE"""),"82a80d89-36a1-4ab2-99b4-c4ddef4f8da9")</f>
        <v>82a80d89-36a1-4ab2-99b4-c4ddef4f8da9</v>
      </c>
      <c r="C469" s="13" t="str">
        <f aca="false">IFERROR(__xludf.dummyfunction("""COMPUTED_VALUE"""),"Quality Grains Daal Mash Wash 5kg")</f>
        <v>Quality Grains Daal Mash Wash 5kg</v>
      </c>
      <c r="D469" s="13" t="str">
        <f aca="false">IFERROR(__xludf.dummyfunction("""COMPUTED_VALUE"""),"Quality Grains")</f>
        <v>Quality Grains</v>
      </c>
      <c r="E469" s="13" t="str">
        <f aca="false">IFERROR(__xludf.dummyfunction("""COMPUTED_VALUE"""),"Pulses")</f>
        <v>Pulses</v>
      </c>
      <c r="F469" s="11" t="n">
        <f aca="false">IFERROR(__xludf.dummyfunction("""COMPUTED_VALUE"""),45229)</f>
        <v>45229</v>
      </c>
      <c r="G469" s="12" t="n">
        <f aca="false">IFERROR(__xludf.dummyfunction("""COMPUTED_VALUE"""),0.517525787036918)</f>
        <v>0.517525787</v>
      </c>
      <c r="H469" s="13" t="str">
        <f aca="false">IFERROR(__xludf.dummyfunction("""COMPUTED_VALUE"""),"damaged stock")</f>
        <v>damaged stock</v>
      </c>
      <c r="I469" s="13" t="n">
        <f aca="false">IFERROR(__xludf.dummyfunction("""COMPUTED_VALUE"""),1)</f>
        <v>1</v>
      </c>
      <c r="J469" s="13" t="n">
        <f aca="false">IFERROR(__xludf.dummyfunction("""COMPUTED_VALUE"""),2785)</f>
        <v>2785</v>
      </c>
      <c r="K469" s="13" t="n">
        <f aca="false">IFERROR(__xludf.dummyfunction("""COMPUTED_VALUE"""),2785)</f>
        <v>2785</v>
      </c>
      <c r="L469" s="13" t="str">
        <f aca="false">IFERROR(__xludf.dummyfunction("""COMPUTED_VALUE"""),"[Code: 2356679A] 01 unit found damaged due to fungus")</f>
        <v>[Code: 2356679A] 01 unit found damaged due to fungus</v>
      </c>
      <c r="M469" s="13" t="str">
        <f aca="false">IFERROR(__xludf.dummyfunction("""COMPUTED_VALUE"""),"2356679A")</f>
        <v>2356679A</v>
      </c>
      <c r="N469" s="13"/>
      <c r="O469" s="13" t="str">
        <f aca="false">IFERROR(__xludf.dummyfunction("""COMPUTED_VALUE"""),"ali.raza@tajir-app.com")</f>
        <v>ali.raza@tajir-app.com</v>
      </c>
      <c r="P469" s="13" t="str">
        <f aca="false">IFERROR(__xludf.dummyfunction("""COMPUTED_VALUE"""),"Ali Raza ")</f>
        <v>Ali Raza </v>
      </c>
      <c r="Q469" s="13" t="str">
        <f aca="false">IFERROR(__xludf.dummyfunction("""COMPUTED_VALUE"""),"[Code: 2356679A] 01 unit found damaged due to fungus")</f>
        <v>[Code: 2356679A] 01 unit found damaged due to fungus</v>
      </c>
      <c r="R469" s="13" t="str">
        <v>Mon,30-October-2023 ,12:25 PM</v>
      </c>
      <c r="S469" s="13" t="str">
        <v>Damaged Stock</v>
      </c>
    </row>
    <row r="470" customFormat="false" ht="15.75" hidden="false" customHeight="false" outlineLevel="0" collapsed="false">
      <c r="A470" s="13" t="str">
        <f aca="false">IFERROR(__xludf.dummyfunction("""COMPUTED_VALUE"""),"Metro DC Faisalabad")</f>
        <v>Metro DC Faisalabad</v>
      </c>
      <c r="B470" s="13" t="str">
        <f aca="false">IFERROR(__xludf.dummyfunction("""COMPUTED_VALUE"""),"52258fdc-8b0c-4343-9884-310c160a213d")</f>
        <v>52258fdc-8b0c-4343-9884-310c160a213d</v>
      </c>
      <c r="C470" s="13" t="str">
        <f aca="false">IFERROR(__xludf.dummyfunction("""COMPUTED_VALUE"""),"Sunridge Fortified Chakki Atta 5kg")</f>
        <v>Sunridge Fortified Chakki Atta 5kg</v>
      </c>
      <c r="D470" s="13" t="str">
        <f aca="false">IFERROR(__xludf.dummyfunction("""COMPUTED_VALUE"""),"Sunridge")</f>
        <v>Sunridge</v>
      </c>
      <c r="E470" s="13" t="str">
        <f aca="false">IFERROR(__xludf.dummyfunction("""COMPUTED_VALUE"""),"Flour")</f>
        <v>Flour</v>
      </c>
      <c r="F470" s="11" t="n">
        <f aca="false">IFERROR(__xludf.dummyfunction("""COMPUTED_VALUE"""),45230)</f>
        <v>45230</v>
      </c>
      <c r="G470" s="12" t="n">
        <f aca="false">IFERROR(__xludf.dummyfunction("""COMPUTED_VALUE"""),0.775145347223403)</f>
        <v>0.7751453472</v>
      </c>
      <c r="H470" s="13" t="str">
        <f aca="false">IFERROR(__xludf.dummyfunction("""COMPUTED_VALUE"""),"damaged stock")</f>
        <v>damaged stock</v>
      </c>
      <c r="I470" s="13" t="n">
        <f aca="false">IFERROR(__xludf.dummyfunction("""COMPUTED_VALUE"""),7)</f>
        <v>7</v>
      </c>
      <c r="J470" s="13" t="n">
        <f aca="false">IFERROR(__xludf.dummyfunction("""COMPUTED_VALUE"""),828)</f>
        <v>828</v>
      </c>
      <c r="K470" s="13" t="n">
        <f aca="false">IFERROR(__xludf.dummyfunction("""COMPUTED_VALUE"""),5796)</f>
        <v>5796</v>
      </c>
      <c r="L470" s="13" t="str">
        <f aca="false">IFERROR(__xludf.dummyfunction("""COMPUTED_VALUE"""),"[Code: 34788ABB] AR: Stock Removed due to Damage")</f>
        <v>[Code: 34788ABB] AR: Stock Removed due to Damage</v>
      </c>
      <c r="M470" s="13" t="str">
        <f aca="false">IFERROR(__xludf.dummyfunction("""COMPUTED_VALUE"""),"34788ABB")</f>
        <v>34788ABB</v>
      </c>
      <c r="N470" s="13"/>
      <c r="O470" s="13" t="str">
        <f aca="false">IFERROR(__xludf.dummyfunction("""COMPUTED_VALUE"""),"ali.raza@tajir-app.com")</f>
        <v>ali.raza@tajir-app.com</v>
      </c>
      <c r="P470" s="13" t="str">
        <f aca="false">IFERROR(__xludf.dummyfunction("""COMPUTED_VALUE"""),"Ali Raza ")</f>
        <v>Ali Raza </v>
      </c>
      <c r="Q470" s="13" t="str">
        <f aca="false">IFERROR(__xludf.dummyfunction("""COMPUTED_VALUE"""),"[Code: 34788ABB] AR: Stock Removed due to Damage")</f>
        <v>[Code: 34788ABB] AR: Stock Removed due to Damage</v>
      </c>
      <c r="R470" s="13" t="str">
        <v>Tue,31-October-2023 ,06:36 PM</v>
      </c>
      <c r="S470" s="13" t="str">
        <v>Damaged Stock</v>
      </c>
    </row>
    <row r="471" customFormat="false" ht="15.75" hidden="false" customHeight="false" outlineLevel="0" collapsed="false">
      <c r="A471" s="13" t="str">
        <f aca="false">IFERROR(__xludf.dummyfunction("""COMPUTED_VALUE"""),"Metro DC Faisalabad")</f>
        <v>Metro DC Faisalabad</v>
      </c>
      <c r="B471" s="13" t="str">
        <f aca="false">IFERROR(__xludf.dummyfunction("""COMPUTED_VALUE"""),"d108dc59-da93-451f-9024-d773dad3e97a")</f>
        <v>d108dc59-da93-451f-9024-d773dad3e97a</v>
      </c>
      <c r="C471" s="13" t="str">
        <f aca="false">IFERROR(__xludf.dummyfunction("""COMPUTED_VALUE"""),"Sprite plastic 1.5L")</f>
        <v>Sprite plastic 1.5L</v>
      </c>
      <c r="D471" s="13" t="str">
        <f aca="false">IFERROR(__xludf.dummyfunction("""COMPUTED_VALUE"""),"Sprite")</f>
        <v>Sprite</v>
      </c>
      <c r="E471" s="13" t="str">
        <f aca="false">IFERROR(__xludf.dummyfunction("""COMPUTED_VALUE"""),"Beverages")</f>
        <v>Beverages</v>
      </c>
      <c r="F471" s="11" t="n">
        <f aca="false">IFERROR(__xludf.dummyfunction("""COMPUTED_VALUE"""),45230)</f>
        <v>45230</v>
      </c>
      <c r="G471" s="12" t="n">
        <f aca="false">IFERROR(__xludf.dummyfunction("""COMPUTED_VALUE"""),0.858822418982581)</f>
        <v>0.858822419</v>
      </c>
      <c r="H471" s="13" t="str">
        <f aca="false">IFERROR(__xludf.dummyfunction("""COMPUTED_VALUE"""),"damaged stock")</f>
        <v>damaged stock</v>
      </c>
      <c r="I471" s="13" t="n">
        <f aca="false">IFERROR(__xludf.dummyfunction("""COMPUTED_VALUE"""),2)</f>
        <v>2</v>
      </c>
      <c r="J471" s="13" t="n">
        <f aca="false">IFERROR(__xludf.dummyfunction("""COMPUTED_VALUE"""),870)</f>
        <v>870</v>
      </c>
      <c r="K471" s="13" t="n">
        <f aca="false">IFERROR(__xludf.dummyfunction("""COMPUTED_VALUE"""),1740)</f>
        <v>1740</v>
      </c>
      <c r="L471" s="13" t="str">
        <f aca="false">IFERROR(__xludf.dummyfunction("""COMPUTED_VALUE"""),"[Code: 2345ACDF] TA: 2unit damage found during soritng,")</f>
        <v>[Code: 2345ACDF] TA: 2unit damage found during soritng,</v>
      </c>
      <c r="M471" s="13" t="str">
        <f aca="false">IFERROR(__xludf.dummyfunction("""COMPUTED_VALUE"""),"2345ACDF")</f>
        <v>2345ACDF</v>
      </c>
      <c r="N471" s="13"/>
      <c r="O471" s="13" t="str">
        <f aca="false">IFERROR(__xludf.dummyfunction("""COMPUTED_VALUE"""),"taufeeq.akhtar@tajir-app.com")</f>
        <v>taufeeq.akhtar@tajir-app.com</v>
      </c>
      <c r="P471" s="13" t="str">
        <f aca="false">IFERROR(__xludf.dummyfunction("""COMPUTED_VALUE"""),"Taufeeq Akhtar ")</f>
        <v>Taufeeq Akhtar </v>
      </c>
      <c r="Q471" s="13" t="str">
        <f aca="false">IFERROR(__xludf.dummyfunction("""COMPUTED_VALUE"""),"[Code: 2345ACDF] TA: 2unit damage found during soritng,")</f>
        <v>[Code: 2345ACDF] TA: 2unit damage found during soritng,</v>
      </c>
      <c r="R471" s="13" t="str">
        <v>Tue,31-October-2023 ,08:36 PM</v>
      </c>
      <c r="S471" s="13" t="str">
        <v>Damaged Stock</v>
      </c>
    </row>
    <row r="472" customFormat="false" ht="15.75" hidden="false" customHeight="false" outlineLevel="0" collapsed="false">
      <c r="A472" s="13" t="str">
        <f aca="false">IFERROR(__xludf.dummyfunction("""COMPUTED_VALUE"""),"Metro DC Faisalabad")</f>
        <v>Metro DC Faisalabad</v>
      </c>
      <c r="B472" s="13" t="str">
        <f aca="false">IFERROR(__xludf.dummyfunction("""COMPUTED_VALUE"""),"ae3c4d47-c25a-4d8a-91fe-7e939d3514ad")</f>
        <v>ae3c4d47-c25a-4d8a-91fe-7e939d3514ad</v>
      </c>
      <c r="C472" s="13" t="str">
        <f aca="false">IFERROR(__xludf.dummyfunction("""COMPUTED_VALUE"""),"Sunsilk Stunning Black Shine Shampoo x16 bundle 4.5ml")</f>
        <v>Sunsilk Stunning Black Shine Shampoo x16 bundle 4.5ml</v>
      </c>
      <c r="D472" s="13" t="str">
        <f aca="false">IFERROR(__xludf.dummyfunction("""COMPUTED_VALUE"""),"Sunsilk")</f>
        <v>Sunsilk</v>
      </c>
      <c r="E472" s="13" t="str">
        <f aca="false">IFERROR(__xludf.dummyfunction("""COMPUTED_VALUE"""),"Shampoo")</f>
        <v>Shampoo</v>
      </c>
      <c r="F472" s="11" t="n">
        <f aca="false">IFERROR(__xludf.dummyfunction("""COMPUTED_VALUE"""),45230)</f>
        <v>45230</v>
      </c>
      <c r="G472" s="12" t="n">
        <f aca="false">IFERROR(__xludf.dummyfunction("""COMPUTED_VALUE"""),0.913786377315365)</f>
        <v>0.9137863773</v>
      </c>
      <c r="H472" s="13" t="str">
        <f aca="false">IFERROR(__xludf.dummyfunction("""COMPUTED_VALUE"""),"damaged stock")</f>
        <v>damaged stock</v>
      </c>
      <c r="I472" s="13" t="n">
        <f aca="false">IFERROR(__xludf.dummyfunction("""COMPUTED_VALUE"""),1)</f>
        <v>1</v>
      </c>
      <c r="J472" s="13" t="n">
        <f aca="false">IFERROR(__xludf.dummyfunction("""COMPUTED_VALUE"""),72.92)</f>
        <v>72.92</v>
      </c>
      <c r="K472" s="13" t="n">
        <f aca="false">IFERROR(__xludf.dummyfunction("""COMPUTED_VALUE"""),72.92)</f>
        <v>72.92</v>
      </c>
      <c r="L472" s="13" t="str">
        <f aca="false">IFERROR(__xludf.dummyfunction("""COMPUTED_VALUE"""),"[Code: 2567899A]  TA:1unit damage found during display (empty packet )")</f>
        <v>[Code: 2567899A]  TA:1unit damage found during display (empty packet )</v>
      </c>
      <c r="M472" s="13" t="str">
        <f aca="false">IFERROR(__xludf.dummyfunction("""COMPUTED_VALUE"""),"2567899A")</f>
        <v>2567899A</v>
      </c>
      <c r="N472" s="13"/>
      <c r="O472" s="13" t="str">
        <f aca="false">IFERROR(__xludf.dummyfunction("""COMPUTED_VALUE"""),"taufeeq.akhtar@tajir-app.com")</f>
        <v>taufeeq.akhtar@tajir-app.com</v>
      </c>
      <c r="P472" s="13" t="str">
        <f aca="false">IFERROR(__xludf.dummyfunction("""COMPUTED_VALUE"""),"Taufeeq Akhtar ")</f>
        <v>Taufeeq Akhtar </v>
      </c>
      <c r="Q472" s="13" t="str">
        <f aca="false">IFERROR(__xludf.dummyfunction("""COMPUTED_VALUE"""),"[Code: 2567899A]  TA:1unit damage found during display (empty packet )")</f>
        <v>[Code: 2567899A]  TA:1unit damage found during display (empty packet )</v>
      </c>
      <c r="R472" s="13" t="str">
        <v>Tue,31-October-2023 ,09:55 PM</v>
      </c>
      <c r="S472" s="13" t="str">
        <v>Damaged Stock</v>
      </c>
    </row>
    <row r="473" customFormat="false" ht="15.75" hidden="false" customHeight="false" outlineLevel="0" collapsed="false">
      <c r="A473" s="13" t="str">
        <f aca="false">IFERROR(__xludf.dummyfunction("""COMPUTED_VALUE"""),"Metro DC Faisalabad")</f>
        <v>Metro DC Faisalabad</v>
      </c>
      <c r="B473" s="13" t="str">
        <f aca="false">IFERROR(__xludf.dummyfunction("""COMPUTED_VALUE"""),"779a871a-5819-420b-a693-f4c28ec0610b")</f>
        <v>779a871a-5819-420b-a693-f4c28ec0610b</v>
      </c>
      <c r="C473" s="13" t="str">
        <f aca="false">IFERROR(__xludf.dummyfunction("""COMPUTED_VALUE"""),"Quality Grains Daal Moung Chilka 1kg")</f>
        <v>Quality Grains Daal Moung Chilka 1kg</v>
      </c>
      <c r="D473" s="13" t="str">
        <f aca="false">IFERROR(__xludf.dummyfunction("""COMPUTED_VALUE"""),"Quality Grains")</f>
        <v>Quality Grains</v>
      </c>
      <c r="E473" s="13" t="str">
        <f aca="false">IFERROR(__xludf.dummyfunction("""COMPUTED_VALUE"""),"Pulses")</f>
        <v>Pulses</v>
      </c>
      <c r="F473" s="11" t="n">
        <f aca="false">IFERROR(__xludf.dummyfunction("""COMPUTED_VALUE"""),45231)</f>
        <v>45231</v>
      </c>
      <c r="G473" s="12" t="n">
        <f aca="false">IFERROR(__xludf.dummyfunction("""COMPUTED_VALUE"""),0.654898854166618)</f>
        <v>0.6548988542</v>
      </c>
      <c r="H473" s="13" t="str">
        <f aca="false">IFERROR(__xludf.dummyfunction("""COMPUTED_VALUE"""),"damaged stock")</f>
        <v>damaged stock</v>
      </c>
      <c r="I473" s="13" t="n">
        <f aca="false">IFERROR(__xludf.dummyfunction("""COMPUTED_VALUE"""),5)</f>
        <v>5</v>
      </c>
      <c r="J473" s="13" t="n">
        <f aca="false">IFERROR(__xludf.dummyfunction("""COMPUTED_VALUE"""),245)</f>
        <v>245</v>
      </c>
      <c r="K473" s="13" t="n">
        <f aca="false">IFERROR(__xludf.dummyfunction("""COMPUTED_VALUE"""),1225)</f>
        <v>1225</v>
      </c>
      <c r="L473" s="13" t="str">
        <f aca="false">IFERROR(__xludf.dummyfunction("""COMPUTED_VALUE"""),"[Code: 89BEEFHK] 5 units found damaged due to susri (quality issue)")</f>
        <v>[Code: 89BEEFHK] 5 units found damaged due to susri (quality issue)</v>
      </c>
      <c r="M473" s="13" t="str">
        <f aca="false">IFERROR(__xludf.dummyfunction("""COMPUTED_VALUE"""),"89BEEFHK")</f>
        <v>89BEEFHK</v>
      </c>
      <c r="N473" s="13"/>
      <c r="O473" s="13" t="str">
        <f aca="false">IFERROR(__xludf.dummyfunction("""COMPUTED_VALUE"""),"ali.raza@tajir-app.com")</f>
        <v>ali.raza@tajir-app.com</v>
      </c>
      <c r="P473" s="13" t="str">
        <f aca="false">IFERROR(__xludf.dummyfunction("""COMPUTED_VALUE"""),"Ali Raza ")</f>
        <v>Ali Raza </v>
      </c>
      <c r="Q473" s="13" t="str">
        <f aca="false">IFERROR(__xludf.dummyfunction("""COMPUTED_VALUE"""),"[Code: 89BEEFHK] 5 units found damaged due to susri (quality issue)")</f>
        <v>[Code: 89BEEFHK] 5 units found damaged due to susri (quality issue)</v>
      </c>
      <c r="R473" s="13" t="str">
        <v>Wed,01-November-2023 ,03:43 PM</v>
      </c>
      <c r="S473" s="13" t="str">
        <v>Damaged Stock</v>
      </c>
    </row>
    <row r="474" customFormat="false" ht="15.75" hidden="false" customHeight="false" outlineLevel="0" collapsed="false">
      <c r="A474" s="13" t="str">
        <f aca="false">IFERROR(__xludf.dummyfunction("""COMPUTED_VALUE"""),"Metro DC Faisalabad")</f>
        <v>Metro DC Faisalabad</v>
      </c>
      <c r="B474" s="13" t="str">
        <f aca="false">IFERROR(__xludf.dummyfunction("""COMPUTED_VALUE"""),"3da155b6-908d-4d4b-902c-b571d43decb4")</f>
        <v>3da155b6-908d-4d4b-902c-b571d43decb4</v>
      </c>
      <c r="C474" s="13" t="str">
        <f aca="false">IFERROR(__xludf.dummyfunction("""COMPUTED_VALUE"""),"Sheikhoo White Sugar 50kg")</f>
        <v>Sheikhoo White Sugar 50kg</v>
      </c>
      <c r="D474" s="13" t="str">
        <f aca="false">IFERROR(__xludf.dummyfunction("""COMPUTED_VALUE"""),"Sheikhoo Sugar")</f>
        <v>Sheikhoo Sugar</v>
      </c>
      <c r="E474" s="13" t="str">
        <f aca="false">IFERROR(__xludf.dummyfunction("""COMPUTED_VALUE"""),"Sugar")</f>
        <v>Sugar</v>
      </c>
      <c r="F474" s="11" t="n">
        <f aca="false">IFERROR(__xludf.dummyfunction("""COMPUTED_VALUE"""),45231)</f>
        <v>45231</v>
      </c>
      <c r="G474" s="12" t="n">
        <f aca="false">IFERROR(__xludf.dummyfunction("""COMPUTED_VALUE"""),0.80882261573893)</f>
        <v>0.8088226157</v>
      </c>
      <c r="H474" s="13" t="str">
        <f aca="false">IFERROR(__xludf.dummyfunction("""COMPUTED_VALUE"""),"damaged stock")</f>
        <v>damaged stock</v>
      </c>
      <c r="I474" s="13" t="n">
        <f aca="false">IFERROR(__xludf.dummyfunction("""COMPUTED_VALUE"""),7)</f>
        <v>7</v>
      </c>
      <c r="J474" s="13" t="n">
        <f aca="false">IFERROR(__xludf.dummyfunction("""COMPUTED_VALUE"""),6750)</f>
        <v>6750</v>
      </c>
      <c r="K474" s="13" t="n">
        <f aca="false">IFERROR(__xludf.dummyfunction("""COMPUTED_VALUE"""),47250)</f>
        <v>47250</v>
      </c>
      <c r="L474" s="13" t="str">
        <f aca="false">IFERROR(__xludf.dummyfunction("""COMPUTED_VALUE"""),"[Code: 2247FHMN] TA: 7unit  Temporary Remove Due to Wet,")</f>
        <v>[Code: 2247FHMN] TA: 7unit  Temporary Remove Due to Wet,</v>
      </c>
      <c r="M474" s="13" t="str">
        <f aca="false">IFERROR(__xludf.dummyfunction("""COMPUTED_VALUE"""),"2247FHMN")</f>
        <v>2247FHMN</v>
      </c>
      <c r="N474" s="13"/>
      <c r="O474" s="13" t="str">
        <f aca="false">IFERROR(__xludf.dummyfunction("""COMPUTED_VALUE"""),"taufeeq.akhtar@tajir-app.com")</f>
        <v>taufeeq.akhtar@tajir-app.com</v>
      </c>
      <c r="P474" s="13" t="str">
        <f aca="false">IFERROR(__xludf.dummyfunction("""COMPUTED_VALUE"""),"Taufeeq Akhtar ")</f>
        <v>Taufeeq Akhtar </v>
      </c>
      <c r="Q474" s="13" t="str">
        <f aca="false">IFERROR(__xludf.dummyfunction("""COMPUTED_VALUE"""),"[Code: 2247FHMN] TA: 7unit  Temporary Remove Due to Wet,")</f>
        <v>[Code: 2247FHMN] TA: 7unit  Temporary Remove Due to Wet,</v>
      </c>
      <c r="R474" s="13" t="str">
        <v>Wed,01-November-2023 ,07:24 PM</v>
      </c>
      <c r="S474" s="13" t="str">
        <v>Damaged Stock</v>
      </c>
    </row>
    <row r="475" customFormat="false" ht="15.75" hidden="false" customHeight="false" outlineLevel="0" collapsed="false">
      <c r="A475" s="13" t="str">
        <f aca="false">IFERROR(__xludf.dummyfunction("""COMPUTED_VALUE"""),"Metro DC Faisalabad")</f>
        <v>Metro DC Faisalabad</v>
      </c>
      <c r="B475" s="13" t="str">
        <f aca="false">IFERROR(__xludf.dummyfunction("""COMPUTED_VALUE"""),"8af448e7-ff6d-4e39-a837-4e923e99504e")</f>
        <v>8af448e7-ff6d-4e39-a837-4e923e99504e</v>
      </c>
      <c r="C475" s="13" t="str">
        <f aca="false">IFERROR(__xludf.dummyfunction("""COMPUTED_VALUE"""),"Murree Brewery Bigg Apple Plastic x6 Crate 1L (One Liter)")</f>
        <v>Murree Brewery Bigg Apple Plastic x6 Crate 1L (One Liter)</v>
      </c>
      <c r="D475" s="13" t="str">
        <f aca="false">IFERROR(__xludf.dummyfunction("""COMPUTED_VALUE"""),"Murree Brewery")</f>
        <v>Murree Brewery</v>
      </c>
      <c r="E475" s="13" t="str">
        <f aca="false">IFERROR(__xludf.dummyfunction("""COMPUTED_VALUE"""),"Beverages")</f>
        <v>Beverages</v>
      </c>
      <c r="F475" s="11" t="n">
        <f aca="false">IFERROR(__xludf.dummyfunction("""COMPUTED_VALUE"""),45231)</f>
        <v>45231</v>
      </c>
      <c r="G475" s="12" t="n">
        <f aca="false">IFERROR(__xludf.dummyfunction("""COMPUTED_VALUE"""),0.811136701389773)</f>
        <v>0.8111367014</v>
      </c>
      <c r="H475" s="13" t="str">
        <f aca="false">IFERROR(__xludf.dummyfunction("""COMPUTED_VALUE"""),"damaged stock")</f>
        <v>damaged stock</v>
      </c>
      <c r="I475" s="13" t="n">
        <f aca="false">IFERROR(__xludf.dummyfunction("""COMPUTED_VALUE"""),1)</f>
        <v>1</v>
      </c>
      <c r="J475" s="13" t="n">
        <f aca="false">IFERROR(__xludf.dummyfunction("""COMPUTED_VALUE"""),508.25)</f>
        <v>508.25</v>
      </c>
      <c r="K475" s="13" t="n">
        <f aca="false">IFERROR(__xludf.dummyfunction("""COMPUTED_VALUE"""),508.25)</f>
        <v>508.25</v>
      </c>
      <c r="L475" s="13" t="str">
        <f aca="false">IFERROR(__xludf.dummyfunction("""COMPUTED_VALUE"""),"[Code: 22466BDE] TA: 1unit Damage Found During Sorting .")</f>
        <v>[Code: 22466BDE] TA: 1unit Damage Found During Sorting .</v>
      </c>
      <c r="M475" s="13" t="str">
        <f aca="false">IFERROR(__xludf.dummyfunction("""COMPUTED_VALUE"""),"22466BDE")</f>
        <v>22466BDE</v>
      </c>
      <c r="N475" s="13"/>
      <c r="O475" s="13" t="str">
        <f aca="false">IFERROR(__xludf.dummyfunction("""COMPUTED_VALUE"""),"taufeeq.akhtar@tajir-app.com")</f>
        <v>taufeeq.akhtar@tajir-app.com</v>
      </c>
      <c r="P475" s="13" t="str">
        <f aca="false">IFERROR(__xludf.dummyfunction("""COMPUTED_VALUE"""),"Taufeeq Akhtar ")</f>
        <v>Taufeeq Akhtar </v>
      </c>
      <c r="Q475" s="13" t="str">
        <f aca="false">IFERROR(__xludf.dummyfunction("""COMPUTED_VALUE"""),"[Code: 22466BDE] TA: 1unit Damage Found During Sorting .")</f>
        <v>[Code: 22466BDE] TA: 1unit Damage Found During Sorting .</v>
      </c>
      <c r="R475" s="13" t="str">
        <v>Wed,01-November-2023 ,07:28 PM</v>
      </c>
      <c r="S475" s="13" t="str">
        <v>Damaged Stock</v>
      </c>
    </row>
    <row r="476" customFormat="false" ht="15.75" hidden="false" customHeight="false" outlineLevel="0" collapsed="false">
      <c r="A476" s="13" t="str">
        <f aca="false">IFERROR(__xludf.dummyfunction("""COMPUTED_VALUE"""),"Metro DC Faisalabad")</f>
        <v>Metro DC Faisalabad</v>
      </c>
      <c r="B476" s="13" t="str">
        <f aca="false">IFERROR(__xludf.dummyfunction("""COMPUTED_VALUE"""),"bc3a54c1-25e7-4ec6-ae1e-cef975dfb230")</f>
        <v>bc3a54c1-25e7-4ec6-ae1e-cef975dfb230</v>
      </c>
      <c r="C476" s="13" t="str">
        <f aca="false">IFERROR(__xludf.dummyfunction("""COMPUTED_VALUE"""),"Ariel Original x3 180gm Rs99")</f>
        <v>Ariel Original x3 180gm Rs99</v>
      </c>
      <c r="D476" s="13" t="str">
        <f aca="false">IFERROR(__xludf.dummyfunction("""COMPUTED_VALUE"""),"Ariel Surf")</f>
        <v>Ariel Surf</v>
      </c>
      <c r="E476" s="13" t="str">
        <f aca="false">IFERROR(__xludf.dummyfunction("""COMPUTED_VALUE"""),"Surf, Bleach")</f>
        <v>Surf, Bleach</v>
      </c>
      <c r="F476" s="11" t="n">
        <f aca="false">IFERROR(__xludf.dummyfunction("""COMPUTED_VALUE"""),45231)</f>
        <v>45231</v>
      </c>
      <c r="G476" s="12" t="n">
        <f aca="false">IFERROR(__xludf.dummyfunction("""COMPUTED_VALUE"""),0.813908518518475)</f>
        <v>0.8139085185</v>
      </c>
      <c r="H476" s="13" t="str">
        <f aca="false">IFERROR(__xludf.dummyfunction("""COMPUTED_VALUE"""),"damaged stock")</f>
        <v>damaged stock</v>
      </c>
      <c r="I476" s="13" t="n">
        <f aca="false">IFERROR(__xludf.dummyfunction("""COMPUTED_VALUE"""),1)</f>
        <v>1</v>
      </c>
      <c r="J476" s="13" t="n">
        <f aca="false">IFERROR(__xludf.dummyfunction("""COMPUTED_VALUE"""),258)</f>
        <v>258</v>
      </c>
      <c r="K476" s="13" t="n">
        <f aca="false">IFERROR(__xludf.dummyfunction("""COMPUTED_VALUE"""),258)</f>
        <v>258</v>
      </c>
      <c r="L476" s="13" t="str">
        <f aca="false">IFERROR(__xludf.dummyfunction("""COMPUTED_VALUE"""),"[Code: 347888GG]  TA: 1unit Damage Found During display  [bag sy damage mila he]")</f>
        <v>[Code: 347888GG]  TA: 1unit Damage Found During display  [bag sy damage mila he]</v>
      </c>
      <c r="M476" s="13" t="str">
        <f aca="false">IFERROR(__xludf.dummyfunction("""COMPUTED_VALUE"""),"347888GG")</f>
        <v>347888GG</v>
      </c>
      <c r="N476" s="13"/>
      <c r="O476" s="13" t="str">
        <f aca="false">IFERROR(__xludf.dummyfunction("""COMPUTED_VALUE"""),"taufeeq.akhtar@tajir-app.com")</f>
        <v>taufeeq.akhtar@tajir-app.com</v>
      </c>
      <c r="P476" s="13" t="str">
        <f aca="false">IFERROR(__xludf.dummyfunction("""COMPUTED_VALUE"""),"Taufeeq Akhtar ")</f>
        <v>Taufeeq Akhtar </v>
      </c>
      <c r="Q476" s="13" t="str">
        <f aca="false">IFERROR(__xludf.dummyfunction("""COMPUTED_VALUE"""),"[Code: 347888GG]  TA: 1unit Damage Found During display  [bag sy damage mila he]")</f>
        <v>[Code: 347888GG]  TA: 1unit Damage Found During display  [bag sy damage mila he]</v>
      </c>
      <c r="R476" s="13" t="str">
        <v>Wed,01-November-2023 ,07:32 PM</v>
      </c>
      <c r="S476" s="13" t="str">
        <v>Damaged Stock</v>
      </c>
    </row>
    <row r="477" customFormat="false" ht="15.75" hidden="false" customHeight="false" outlineLevel="0" collapsed="false">
      <c r="A477" s="13" t="str">
        <f aca="false">IFERROR(__xludf.dummyfunction("""COMPUTED_VALUE"""),"Metro DC Faisalabad")</f>
        <v>Metro DC Faisalabad</v>
      </c>
      <c r="B477" s="13" t="str">
        <f aca="false">IFERROR(__xludf.dummyfunction("""COMPUTED_VALUE"""),"d35314e0-f3f4-47fe-90aa-af65dab10e9d")</f>
        <v>d35314e0-f3f4-47fe-90aa-af65dab10e9d</v>
      </c>
      <c r="C477" s="13" t="str">
        <f aca="false">IFERROR(__xludf.dummyfunction("""COMPUTED_VALUE"""),"Bonus tristar detergent x6 bundle 48g Rs10")</f>
        <v>Bonus tristar detergent x6 bundle 48g Rs10</v>
      </c>
      <c r="D477" s="13" t="str">
        <f aca="false">IFERROR(__xludf.dummyfunction("""COMPUTED_VALUE"""),"Bonus Surf")</f>
        <v>Bonus Surf</v>
      </c>
      <c r="E477" s="13" t="str">
        <f aca="false">IFERROR(__xludf.dummyfunction("""COMPUTED_VALUE"""),"Surf, Bleach")</f>
        <v>Surf, Bleach</v>
      </c>
      <c r="F477" s="11" t="n">
        <f aca="false">IFERROR(__xludf.dummyfunction("""COMPUTED_VALUE"""),45233)</f>
        <v>45233</v>
      </c>
      <c r="G477" s="12" t="n">
        <f aca="false">IFERROR(__xludf.dummyfunction("""COMPUTED_VALUE"""),0.730709259260154)</f>
        <v>0.7307092593</v>
      </c>
      <c r="H477" s="13" t="str">
        <f aca="false">IFERROR(__xludf.dummyfunction("""COMPUTED_VALUE"""),"damaged stock")</f>
        <v>damaged stock</v>
      </c>
      <c r="I477" s="13" t="n">
        <f aca="false">IFERROR(__xludf.dummyfunction("""COMPUTED_VALUE"""),4)</f>
        <v>4</v>
      </c>
      <c r="J477" s="13" t="n">
        <f aca="false">IFERROR(__xludf.dummyfunction("""COMPUTED_VALUE"""),55.25)</f>
        <v>55.25</v>
      </c>
      <c r="K477" s="13" t="n">
        <f aca="false">IFERROR(__xludf.dummyfunction("""COMPUTED_VALUE"""),221)</f>
        <v>221</v>
      </c>
      <c r="L477" s="13" t="str">
        <f aca="false">IFERROR(__xludf.dummyfunction("""COMPUTED_VALUE"""),"[Code: 334479AB]  TA: 4unit Damage Found During Display .")</f>
        <v>[Code: 334479AB]  TA: 4unit Damage Found During Display .</v>
      </c>
      <c r="M477" s="13" t="str">
        <f aca="false">IFERROR(__xludf.dummyfunction("""COMPUTED_VALUE"""),"334479AB")</f>
        <v>334479AB</v>
      </c>
      <c r="N477" s="13"/>
      <c r="O477" s="13" t="str">
        <f aca="false">IFERROR(__xludf.dummyfunction("""COMPUTED_VALUE"""),"taufeeq.akhtar@tajir-app.com")</f>
        <v>taufeeq.akhtar@tajir-app.com</v>
      </c>
      <c r="P477" s="13" t="str">
        <f aca="false">IFERROR(__xludf.dummyfunction("""COMPUTED_VALUE"""),"Taufeeq Akhtar ")</f>
        <v>Taufeeq Akhtar </v>
      </c>
      <c r="Q477" s="13" t="str">
        <f aca="false">IFERROR(__xludf.dummyfunction("""COMPUTED_VALUE"""),"[Code: 334479AB]  TA: 4unit Damage Found During Display .")</f>
        <v>[Code: 334479AB]  TA: 4unit Damage Found During Display .</v>
      </c>
      <c r="R477" s="13" t="str">
        <v>Fri,03-November-2023 ,05:32 PM</v>
      </c>
      <c r="S477" s="13" t="str">
        <v>Damaged Stock</v>
      </c>
    </row>
    <row r="478" customFormat="false" ht="15.75" hidden="false" customHeight="false" outlineLevel="0" collapsed="false">
      <c r="A478" s="13" t="str">
        <f aca="false">IFERROR(__xludf.dummyfunction("""COMPUTED_VALUE"""),"Metro DC Faisalabad")</f>
        <v>Metro DC Faisalabad</v>
      </c>
      <c r="B478" s="13" t="str">
        <f aca="false">IFERROR(__xludf.dummyfunction("""COMPUTED_VALUE"""),"4064f4d6-26ba-4acc-a2ea-538239607256")</f>
        <v>4064f4d6-26ba-4acc-a2ea-538239607256</v>
      </c>
      <c r="C478" s="13" t="str">
        <f aca="false">IFERROR(__xludf.dummyfunction("""COMPUTED_VALUE"""),"Sunlight Pink Clean and Jasmine Fresh 380g Rs99")</f>
        <v>Sunlight Pink Clean and Jasmine Fresh 380g Rs99</v>
      </c>
      <c r="D478" s="13" t="str">
        <f aca="false">IFERROR(__xludf.dummyfunction("""COMPUTED_VALUE"""),"Sunlight")</f>
        <v>Sunlight</v>
      </c>
      <c r="E478" s="13" t="str">
        <f aca="false">IFERROR(__xludf.dummyfunction("""COMPUTED_VALUE"""),"Surf, Bleach")</f>
        <v>Surf, Bleach</v>
      </c>
      <c r="F478" s="11" t="n">
        <f aca="false">IFERROR(__xludf.dummyfunction("""COMPUTED_VALUE"""),45233)</f>
        <v>45233</v>
      </c>
      <c r="G478" s="12" t="n">
        <f aca="false">IFERROR(__xludf.dummyfunction("""COMPUTED_VALUE"""),0.731087824074236)</f>
        <v>0.7310878241</v>
      </c>
      <c r="H478" s="13" t="str">
        <f aca="false">IFERROR(__xludf.dummyfunction("""COMPUTED_VALUE"""),"damaged stock")</f>
        <v>damaged stock</v>
      </c>
      <c r="I478" s="13" t="n">
        <f aca="false">IFERROR(__xludf.dummyfunction("""COMPUTED_VALUE"""),1)</f>
        <v>1</v>
      </c>
      <c r="J478" s="13" t="n">
        <f aca="false">IFERROR(__xludf.dummyfunction("""COMPUTED_VALUE"""),84)</f>
        <v>84</v>
      </c>
      <c r="K478" s="13" t="n">
        <f aca="false">IFERROR(__xludf.dummyfunction("""COMPUTED_VALUE"""),84)</f>
        <v>84</v>
      </c>
      <c r="L478" s="13" t="str">
        <f aca="false">IFERROR(__xludf.dummyfunction("""COMPUTED_VALUE"""),"[Code: 2579CDDE]  TA: 1unit Damage Found During Sorting .")</f>
        <v>[Code: 2579CDDE]  TA: 1unit Damage Found During Sorting .</v>
      </c>
      <c r="M478" s="13" t="str">
        <f aca="false">IFERROR(__xludf.dummyfunction("""COMPUTED_VALUE"""),"2579CDDE")</f>
        <v>2579CDDE</v>
      </c>
      <c r="N478" s="13"/>
      <c r="O478" s="13" t="str">
        <f aca="false">IFERROR(__xludf.dummyfunction("""COMPUTED_VALUE"""),"taufeeq.akhtar@tajir-app.com")</f>
        <v>taufeeq.akhtar@tajir-app.com</v>
      </c>
      <c r="P478" s="13" t="str">
        <f aca="false">IFERROR(__xludf.dummyfunction("""COMPUTED_VALUE"""),"Taufeeq Akhtar ")</f>
        <v>Taufeeq Akhtar </v>
      </c>
      <c r="Q478" s="13" t="str">
        <f aca="false">IFERROR(__xludf.dummyfunction("""COMPUTED_VALUE"""),"[Code: 2579CDDE]  TA: 1unit Damage Found During Sorting .")</f>
        <v>[Code: 2579CDDE]  TA: 1unit Damage Found During Sorting .</v>
      </c>
      <c r="R478" s="13" t="str">
        <v>Fri,03-November-2023 ,05:32 PM</v>
      </c>
      <c r="S478" s="13" t="str">
        <v>Damaged Stock</v>
      </c>
    </row>
    <row r="479" customFormat="false" ht="15.75" hidden="false" customHeight="false" outlineLevel="0" collapsed="false">
      <c r="A479" s="13" t="str">
        <f aca="false">IFERROR(__xludf.dummyfunction("""COMPUTED_VALUE"""),"Metro DC Faisalabad")</f>
        <v>Metro DC Faisalabad</v>
      </c>
      <c r="B479" s="13" t="str">
        <f aca="false">IFERROR(__xludf.dummyfunction("""COMPUTED_VALUE"""),"2078dcd4-3c88-45e1-bc7b-363dde84c6e8")</f>
        <v>2078dcd4-3c88-45e1-bc7b-363dde84c6e8</v>
      </c>
      <c r="C479" s="13" t="str">
        <f aca="false">IFERROR(__xludf.dummyfunction("""COMPUTED_VALUE"""),"Special Wooden Phool Jharoo")</f>
        <v>Special Wooden Phool Jharoo</v>
      </c>
      <c r="D479" s="13" t="str">
        <f aca="false">IFERROR(__xludf.dummyfunction("""COMPUTED_VALUE"""),"Jharoo")</f>
        <v>Jharoo</v>
      </c>
      <c r="E479" s="13" t="str">
        <f aca="false">IFERROR(__xludf.dummyfunction("""COMPUTED_VALUE"""),"Home Care")</f>
        <v>Home Care</v>
      </c>
      <c r="F479" s="11" t="n">
        <f aca="false">IFERROR(__xludf.dummyfunction("""COMPUTED_VALUE"""),45233)</f>
        <v>45233</v>
      </c>
      <c r="G479" s="12" t="n">
        <f aca="false">IFERROR(__xludf.dummyfunction("""COMPUTED_VALUE"""),0.731785324075567)</f>
        <v>0.7317853241</v>
      </c>
      <c r="H479" s="13" t="str">
        <f aca="false">IFERROR(__xludf.dummyfunction("""COMPUTED_VALUE"""),"damaged stock")</f>
        <v>damaged stock</v>
      </c>
      <c r="I479" s="13" t="n">
        <f aca="false">IFERROR(__xludf.dummyfunction("""COMPUTED_VALUE"""),1)</f>
        <v>1</v>
      </c>
      <c r="J479" s="13" t="n">
        <f aca="false">IFERROR(__xludf.dummyfunction("""COMPUTED_VALUE"""),135)</f>
        <v>135</v>
      </c>
      <c r="K479" s="13" t="n">
        <f aca="false">IFERROR(__xludf.dummyfunction("""COMPUTED_VALUE"""),135)</f>
        <v>135</v>
      </c>
      <c r="L479" s="13" t="str">
        <f aca="false">IFERROR(__xludf.dummyfunction("""COMPUTED_VALUE"""),"[Code: 69AHKPQR]  TA: 1unit Damage Found During Sorting  (stock me se damage mila he)")</f>
        <v>[Code: 69AHKPQR]  TA: 1unit Damage Found During Sorting  (stock me se damage mila he)</v>
      </c>
      <c r="M479" s="13" t="str">
        <f aca="false">IFERROR(__xludf.dummyfunction("""COMPUTED_VALUE"""),"69AHKPQR")</f>
        <v>69AHKPQR</v>
      </c>
      <c r="N479" s="13"/>
      <c r="O479" s="13" t="str">
        <f aca="false">IFERROR(__xludf.dummyfunction("""COMPUTED_VALUE"""),"taufeeq.akhtar@tajir-app.com")</f>
        <v>taufeeq.akhtar@tajir-app.com</v>
      </c>
      <c r="P479" s="13" t="str">
        <f aca="false">IFERROR(__xludf.dummyfunction("""COMPUTED_VALUE"""),"Taufeeq Akhtar ")</f>
        <v>Taufeeq Akhtar </v>
      </c>
      <c r="Q479" s="13" t="str">
        <f aca="false">IFERROR(__xludf.dummyfunction("""COMPUTED_VALUE"""),"[Code: 69AHKPQR]  TA: 1unit Damage Found During Sorting  (stock me se damage mila he)")</f>
        <v>[Code: 69AHKPQR]  TA: 1unit Damage Found During Sorting  (stock me se damage mila he)</v>
      </c>
      <c r="R479" s="13" t="str">
        <v>Fri,03-November-2023 ,05:33 PM</v>
      </c>
      <c r="S479" s="13" t="str">
        <v>Damaged Stock</v>
      </c>
    </row>
    <row r="480" customFormat="false" ht="15.75" hidden="false" customHeight="false" outlineLevel="0" collapsed="false">
      <c r="A480" s="13" t="str">
        <f aca="false">IFERROR(__xludf.dummyfunction("""COMPUTED_VALUE"""),"Metro DC Faisalabad")</f>
        <v>Metro DC Faisalabad</v>
      </c>
      <c r="B480" s="13" t="str">
        <f aca="false">IFERROR(__xludf.dummyfunction("""COMPUTED_VALUE"""),"09ff2b51-de1a-43dc-8e0b-d66ec9177555")</f>
        <v>09ff2b51-de1a-43dc-8e0b-d66ec9177555</v>
      </c>
      <c r="C480" s="13" t="str">
        <f aca="false">IFERROR(__xludf.dummyfunction("""COMPUTED_VALUE"""),"Aquafina Mineral Water 1.5L ")</f>
        <v>Aquafina Mineral Water 1.5L </v>
      </c>
      <c r="D480" s="13" t="str">
        <f aca="false">IFERROR(__xludf.dummyfunction("""COMPUTED_VALUE"""),"Aquafina")</f>
        <v>Aquafina</v>
      </c>
      <c r="E480" s="13" t="str">
        <f aca="false">IFERROR(__xludf.dummyfunction("""COMPUTED_VALUE"""),"Beverages")</f>
        <v>Beverages</v>
      </c>
      <c r="F480" s="11" t="n">
        <f aca="false">IFERROR(__xludf.dummyfunction("""COMPUTED_VALUE"""),45233)</f>
        <v>45233</v>
      </c>
      <c r="G480" s="12" t="n">
        <f aca="false">IFERROR(__xludf.dummyfunction("""COMPUTED_VALUE"""),0.732118842592512)</f>
        <v>0.7321188426</v>
      </c>
      <c r="H480" s="13" t="str">
        <f aca="false">IFERROR(__xludf.dummyfunction("""COMPUTED_VALUE"""),"damaged stock")</f>
        <v>damaged stock</v>
      </c>
      <c r="I480" s="13" t="n">
        <f aca="false">IFERROR(__xludf.dummyfunction("""COMPUTED_VALUE"""),1)</f>
        <v>1</v>
      </c>
      <c r="J480" s="13" t="n">
        <f aca="false">IFERROR(__xludf.dummyfunction("""COMPUTED_VALUE"""),425)</f>
        <v>425</v>
      </c>
      <c r="K480" s="13" t="n">
        <f aca="false">IFERROR(__xludf.dummyfunction("""COMPUTED_VALUE"""),425)</f>
        <v>425</v>
      </c>
      <c r="L480" s="13" t="str">
        <f aca="false">IFERROR(__xludf.dummyfunction("""COMPUTED_VALUE"""),"[Code: 359ABDHH]  TA: 1unit Damage Found During Sorting .")</f>
        <v>[Code: 359ABDHH]  TA: 1unit Damage Found During Sorting .</v>
      </c>
      <c r="M480" s="13" t="str">
        <f aca="false">IFERROR(__xludf.dummyfunction("""COMPUTED_VALUE"""),"359ABDHH")</f>
        <v>359ABDHH</v>
      </c>
      <c r="N480" s="13"/>
      <c r="O480" s="13" t="str">
        <f aca="false">IFERROR(__xludf.dummyfunction("""COMPUTED_VALUE"""),"taufeeq.akhtar@tajir-app.com")</f>
        <v>taufeeq.akhtar@tajir-app.com</v>
      </c>
      <c r="P480" s="13" t="str">
        <f aca="false">IFERROR(__xludf.dummyfunction("""COMPUTED_VALUE"""),"Taufeeq Akhtar ")</f>
        <v>Taufeeq Akhtar </v>
      </c>
      <c r="Q480" s="13" t="str">
        <f aca="false">IFERROR(__xludf.dummyfunction("""COMPUTED_VALUE"""),"[Code: 359ABDHH]  TA: 1unit Damage Found During Sorting .")</f>
        <v>[Code: 359ABDHH]  TA: 1unit Damage Found During Sorting .</v>
      </c>
      <c r="R480" s="13" t="str">
        <v>Fri,03-November-2023 ,05:34 PM</v>
      </c>
      <c r="S480" s="13" t="str">
        <v>Damaged Stock</v>
      </c>
    </row>
    <row r="481" customFormat="false" ht="15.75" hidden="false" customHeight="false" outlineLevel="0" collapsed="false">
      <c r="A481" s="13" t="str">
        <f aca="false">IFERROR(__xludf.dummyfunction("""COMPUTED_VALUE"""),"Metro DC Faisalabad")</f>
        <v>Metro DC Faisalabad</v>
      </c>
      <c r="B481" s="13" t="str">
        <f aca="false">IFERROR(__xludf.dummyfunction("""COMPUTED_VALUE"""),"5f783172-f331-4bff-8c1d-48e7522a3543")</f>
        <v>5f783172-f331-4bff-8c1d-48e7522a3543</v>
      </c>
      <c r="C481" s="13" t="str">
        <f aca="false">IFERROR(__xludf.dummyfunction("""COMPUTED_VALUE"""),"Shahi Chewra Rs100")</f>
        <v>Shahi Chewra Rs100</v>
      </c>
      <c r="D481" s="13" t="str">
        <f aca="false">IFERROR(__xludf.dummyfunction("""COMPUTED_VALUE"""),"Shahi")</f>
        <v>Shahi</v>
      </c>
      <c r="E481" s="13" t="str">
        <f aca="false">IFERROR(__xludf.dummyfunction("""COMPUTED_VALUE"""),"Snacks")</f>
        <v>Snacks</v>
      </c>
      <c r="F481" s="11" t="n">
        <f aca="false">IFERROR(__xludf.dummyfunction("""COMPUTED_VALUE"""),45233)</f>
        <v>45233</v>
      </c>
      <c r="G481" s="12" t="n">
        <f aca="false">IFERROR(__xludf.dummyfunction("""COMPUTED_VALUE"""),0.732820995368915)</f>
        <v>0.7328209954</v>
      </c>
      <c r="H481" s="13" t="str">
        <f aca="false">IFERROR(__xludf.dummyfunction("""COMPUTED_VALUE"""),"damaged stock")</f>
        <v>damaged stock</v>
      </c>
      <c r="I481" s="13" t="n">
        <f aca="false">IFERROR(__xludf.dummyfunction("""COMPUTED_VALUE"""),1)</f>
        <v>1</v>
      </c>
      <c r="J481" s="13" t="n">
        <f aca="false">IFERROR(__xludf.dummyfunction("""COMPUTED_VALUE"""),70.91)</f>
        <v>70.91</v>
      </c>
      <c r="K481" s="13" t="n">
        <f aca="false">IFERROR(__xludf.dummyfunction("""COMPUTED_VALUE"""),70.91)</f>
        <v>70.91</v>
      </c>
      <c r="L481" s="13" t="str">
        <f aca="false">IFERROR(__xludf.dummyfunction("""COMPUTED_VALUE"""),"[Code: 3589CCEH]  TA: 1unit Damage Found During Display. (cotton sy damage mila he)")</f>
        <v>[Code: 3589CCEH]  TA: 1unit Damage Found During Display. (cotton sy damage mila he)</v>
      </c>
      <c r="M481" s="13" t="str">
        <f aca="false">IFERROR(__xludf.dummyfunction("""COMPUTED_VALUE"""),"3589CCEH")</f>
        <v>3589CCEH</v>
      </c>
      <c r="N481" s="13"/>
      <c r="O481" s="13" t="str">
        <f aca="false">IFERROR(__xludf.dummyfunction("""COMPUTED_VALUE"""),"taufeeq.akhtar@tajir-app.com")</f>
        <v>taufeeq.akhtar@tajir-app.com</v>
      </c>
      <c r="P481" s="13" t="str">
        <f aca="false">IFERROR(__xludf.dummyfunction("""COMPUTED_VALUE"""),"Taufeeq Akhtar ")</f>
        <v>Taufeeq Akhtar </v>
      </c>
      <c r="Q481" s="13" t="str">
        <f aca="false">IFERROR(__xludf.dummyfunction("""COMPUTED_VALUE"""),"[Code: 3589CCEH]  TA: 1unit Damage Found During Display. (cotton sy damage mila he)")</f>
        <v>[Code: 3589CCEH]  TA: 1unit Damage Found During Display. (cotton sy damage mila he)</v>
      </c>
      <c r="R481" s="13" t="str">
        <v>Fri,03-November-2023 ,05:35 PM</v>
      </c>
      <c r="S481" s="13" t="str">
        <v>Damaged Stock</v>
      </c>
    </row>
    <row r="482" customFormat="false" ht="15.75" hidden="false" customHeight="false" outlineLevel="0" collapsed="false">
      <c r="A482" s="13" t="str">
        <f aca="false">IFERROR(__xludf.dummyfunction("""COMPUTED_VALUE"""),"Metro DC Faisalabad")</f>
        <v>Metro DC Faisalabad</v>
      </c>
      <c r="B482" s="13" t="str">
        <f aca="false">IFERROR(__xludf.dummyfunction("""COMPUTED_VALUE"""),"10f5c620-05d2-4bff-bf22-3c02b5a12fc2")</f>
        <v>10f5c620-05d2-4bff-bf22-3c02b5a12fc2</v>
      </c>
      <c r="C482" s="13" t="str">
        <f aca="false">IFERROR(__xludf.dummyfunction("""COMPUTED_VALUE"""),"Sherdil White Chana Bareek 5kg")</f>
        <v>Sherdil White Chana Bareek 5kg</v>
      </c>
      <c r="D482" s="13" t="str">
        <f aca="false">IFERROR(__xludf.dummyfunction("""COMPUTED_VALUE"""),"Sherdil")</f>
        <v>Sherdil</v>
      </c>
      <c r="E482" s="13" t="str">
        <f aca="false">IFERROR(__xludf.dummyfunction("""COMPUTED_VALUE"""),"Pulses")</f>
        <v>Pulses</v>
      </c>
      <c r="F482" s="11" t="n">
        <f aca="false">IFERROR(__xludf.dummyfunction("""COMPUTED_VALUE"""),45234)</f>
        <v>45234</v>
      </c>
      <c r="G482" s="12" t="n">
        <f aca="false">IFERROR(__xludf.dummyfunction("""COMPUTED_VALUE"""),0.719866099538476)</f>
        <v>0.7198660995</v>
      </c>
      <c r="H482" s="13" t="str">
        <f aca="false">IFERROR(__xludf.dummyfunction("""COMPUTED_VALUE"""),"damaged stock")</f>
        <v>damaged stock</v>
      </c>
      <c r="I482" s="13" t="n">
        <f aca="false">IFERROR(__xludf.dummyfunction("""COMPUTED_VALUE"""),1)</f>
        <v>1</v>
      </c>
      <c r="J482" s="13" t="n">
        <f aca="false">IFERROR(__xludf.dummyfunction("""COMPUTED_VALUE"""),1625)</f>
        <v>1625</v>
      </c>
      <c r="K482" s="13" t="n">
        <f aca="false">IFERROR(__xludf.dummyfunction("""COMPUTED_VALUE"""),1625)</f>
        <v>1625</v>
      </c>
      <c r="L482" s="13" t="str">
        <f aca="false">IFERROR(__xludf.dummyfunction("""COMPUTED_VALUE"""),"[Code: 35589EFG] AR Stock Removed due to Quality Issue")</f>
        <v>[Code: 35589EFG] AR Stock Removed due to Quality Issue</v>
      </c>
      <c r="M482" s="13" t="str">
        <f aca="false">IFERROR(__xludf.dummyfunction("""COMPUTED_VALUE"""),"35589EFG")</f>
        <v>35589EFG</v>
      </c>
      <c r="N482" s="13"/>
      <c r="O482" s="13" t="str">
        <f aca="false">IFERROR(__xludf.dummyfunction("""COMPUTED_VALUE"""),"ali.raza@tajir-app.com")</f>
        <v>ali.raza@tajir-app.com</v>
      </c>
      <c r="P482" s="13" t="str">
        <f aca="false">IFERROR(__xludf.dummyfunction("""COMPUTED_VALUE"""),"Ali Raza ")</f>
        <v>Ali Raza </v>
      </c>
      <c r="Q482" s="13" t="str">
        <f aca="false">IFERROR(__xludf.dummyfunction("""COMPUTED_VALUE"""),"[Code: 35589EFG] AR Stock Removed due to Quality Issue")</f>
        <v>[Code: 35589EFG] AR Stock Removed due to Quality Issue</v>
      </c>
      <c r="R482" s="13" t="str">
        <v>Sat,04-November-2023 ,05:16 PM</v>
      </c>
      <c r="S482" s="13" t="str">
        <v>Damaged Stock</v>
      </c>
    </row>
    <row r="483" customFormat="false" ht="15.75" hidden="false" customHeight="false" outlineLevel="0" collapsed="false">
      <c r="A483" s="13" t="str">
        <f aca="false">IFERROR(__xludf.dummyfunction("""COMPUTED_VALUE"""),"Metro DC Faisalabad")</f>
        <v>Metro DC Faisalabad</v>
      </c>
      <c r="B483" s="13" t="str">
        <f aca="false">IFERROR(__xludf.dummyfunction("""COMPUTED_VALUE"""),"3fcace5b-a875-4788-8ec1-1c7dc9c451bb")</f>
        <v>3fcace5b-a875-4788-8ec1-1c7dc9c451bb</v>
      </c>
      <c r="C483" s="13" t="str">
        <f aca="false">IFERROR(__xludf.dummyfunction("""COMPUTED_VALUE"""),"Murree Brewery Lychee White Malt Glass x24 Crate 300ml (white liquid)")</f>
        <v>Murree Brewery Lychee White Malt Glass x24 Crate 300ml (white liquid)</v>
      </c>
      <c r="D483" s="13" t="str">
        <f aca="false">IFERROR(__xludf.dummyfunction("""COMPUTED_VALUE"""),"Murree Brewery")</f>
        <v>Murree Brewery</v>
      </c>
      <c r="E483" s="13" t="str">
        <f aca="false">IFERROR(__xludf.dummyfunction("""COMPUTED_VALUE"""),"Beverages")</f>
        <v>Beverages</v>
      </c>
      <c r="F483" s="11" t="n">
        <f aca="false">IFERROR(__xludf.dummyfunction("""COMPUTED_VALUE"""),45235)</f>
        <v>45235</v>
      </c>
      <c r="G483" s="12" t="n">
        <f aca="false">IFERROR(__xludf.dummyfunction("""COMPUTED_VALUE"""),0.814277974536261)</f>
        <v>0.8142779745</v>
      </c>
      <c r="H483" s="13" t="str">
        <f aca="false">IFERROR(__xludf.dummyfunction("""COMPUTED_VALUE"""),"damaged stock")</f>
        <v>damaged stock</v>
      </c>
      <c r="I483" s="13" t="n">
        <f aca="false">IFERROR(__xludf.dummyfunction("""COMPUTED_VALUE"""),1)</f>
        <v>1</v>
      </c>
      <c r="J483" s="13" t="n">
        <f aca="false">IFERROR(__xludf.dummyfunction("""COMPUTED_VALUE"""),1453.5)</f>
        <v>1453.5</v>
      </c>
      <c r="K483" s="13" t="n">
        <f aca="false">IFERROR(__xludf.dummyfunction("""COMPUTED_VALUE"""),1453.5)</f>
        <v>1453.5</v>
      </c>
      <c r="L483" s="13" t="str">
        <f aca="false">IFERROR(__xludf.dummyfunction("""COMPUTED_VALUE"""),"[Code: 356BBGGK] TA: 1 unit damage found during sorting (cotton me  sy bottels damage hain)")</f>
        <v>[Code: 356BBGGK] TA: 1 unit damage found during sorting (cotton me  sy bottels damage hain)</v>
      </c>
      <c r="M483" s="13" t="str">
        <f aca="false">IFERROR(__xludf.dummyfunction("""COMPUTED_VALUE"""),"356BBGGK")</f>
        <v>356BBGGK</v>
      </c>
      <c r="N483" s="13"/>
      <c r="O483" s="13" t="str">
        <f aca="false">IFERROR(__xludf.dummyfunction("""COMPUTED_VALUE"""),"taufeeq.akhtar@tajir-app.com")</f>
        <v>taufeeq.akhtar@tajir-app.com</v>
      </c>
      <c r="P483" s="13" t="str">
        <f aca="false">IFERROR(__xludf.dummyfunction("""COMPUTED_VALUE"""),"Taufeeq Akhtar ")</f>
        <v>Taufeeq Akhtar </v>
      </c>
      <c r="Q483" s="13" t="str">
        <f aca="false">IFERROR(__xludf.dummyfunction("""COMPUTED_VALUE"""),"[Code: 356BBGGK] TA: 1 unit damage found during sorting (cotton me  sy bottels damage hain)")</f>
        <v>[Code: 356BBGGK] TA: 1 unit damage found during sorting (cotton me  sy bottels damage hain)</v>
      </c>
      <c r="R483" s="13" t="str">
        <v>Sun,05-November-2023 ,07:32 PM</v>
      </c>
      <c r="S483" s="13" t="str">
        <v>Damaged Stock</v>
      </c>
    </row>
    <row r="484" customFormat="false" ht="15.75" hidden="false" customHeight="false" outlineLevel="0" collapsed="false">
      <c r="A484" s="13" t="str">
        <f aca="false">IFERROR(__xludf.dummyfunction("""COMPUTED_VALUE"""),"Metro DC Faisalabad")</f>
        <v>Metro DC Faisalabad</v>
      </c>
      <c r="B484" s="13" t="str">
        <f aca="false">IFERROR(__xludf.dummyfunction("""COMPUTED_VALUE"""),"ae3c4d47-c25a-4d8a-91fe-7e939d3514ad")</f>
        <v>ae3c4d47-c25a-4d8a-91fe-7e939d3514ad</v>
      </c>
      <c r="C484" s="13" t="str">
        <f aca="false">IFERROR(__xludf.dummyfunction("""COMPUTED_VALUE"""),"Sunsilk Stunning Black Shine Shampoo x16 bundle 4.5ml")</f>
        <v>Sunsilk Stunning Black Shine Shampoo x16 bundle 4.5ml</v>
      </c>
      <c r="D484" s="13" t="str">
        <f aca="false">IFERROR(__xludf.dummyfunction("""COMPUTED_VALUE"""),"Sunsilk")</f>
        <v>Sunsilk</v>
      </c>
      <c r="E484" s="13" t="str">
        <f aca="false">IFERROR(__xludf.dummyfunction("""COMPUTED_VALUE"""),"Shampoo")</f>
        <v>Shampoo</v>
      </c>
      <c r="F484" s="11" t="n">
        <f aca="false">IFERROR(__xludf.dummyfunction("""COMPUTED_VALUE"""),45235)</f>
        <v>45235</v>
      </c>
      <c r="G484" s="12" t="n">
        <f aca="false">IFERROR(__xludf.dummyfunction("""COMPUTED_VALUE"""),0.822631574073131)</f>
        <v>0.8226315741</v>
      </c>
      <c r="H484" s="13" t="str">
        <f aca="false">IFERROR(__xludf.dummyfunction("""COMPUTED_VALUE"""),"damaged stock")</f>
        <v>damaged stock</v>
      </c>
      <c r="I484" s="13" t="n">
        <f aca="false">IFERROR(__xludf.dummyfunction("""COMPUTED_VALUE"""),4)</f>
        <v>4</v>
      </c>
      <c r="J484" s="13" t="n">
        <f aca="false">IFERROR(__xludf.dummyfunction("""COMPUTED_VALUE"""),72.92)</f>
        <v>72.92</v>
      </c>
      <c r="K484" s="13" t="n">
        <f aca="false">IFERROR(__xludf.dummyfunction("""COMPUTED_VALUE"""),291.68)</f>
        <v>291.68</v>
      </c>
      <c r="L484" s="13" t="str">
        <f aca="false">IFERROR(__xludf.dummyfunction("""COMPUTED_VALUE"""),"[Code: 79CFFGGH]  TA: 4 unit damage found during sorting (cotton me  sy  empty packet mily hain )")</f>
        <v>[Code: 79CFFGGH]  TA: 4 unit damage found during sorting (cotton me  sy  empty packet mily hain )</v>
      </c>
      <c r="M484" s="13" t="str">
        <f aca="false">IFERROR(__xludf.dummyfunction("""COMPUTED_VALUE"""),"79CFFGGH")</f>
        <v>79CFFGGH</v>
      </c>
      <c r="N484" s="13"/>
      <c r="O484" s="13" t="str">
        <f aca="false">IFERROR(__xludf.dummyfunction("""COMPUTED_VALUE"""),"taufeeq.akhtar@tajir-app.com")</f>
        <v>taufeeq.akhtar@tajir-app.com</v>
      </c>
      <c r="P484" s="13" t="str">
        <f aca="false">IFERROR(__xludf.dummyfunction("""COMPUTED_VALUE"""),"Taufeeq Akhtar ")</f>
        <v>Taufeeq Akhtar </v>
      </c>
      <c r="Q484" s="13" t="str">
        <f aca="false">IFERROR(__xludf.dummyfunction("""COMPUTED_VALUE"""),"[Code: 79CFFGGH]  TA: 4 unit damage found during sorting (cotton me  sy  empty packet mily hain )")</f>
        <v>[Code: 79CFFGGH]  TA: 4 unit damage found during sorting (cotton me  sy  empty packet mily hain )</v>
      </c>
      <c r="R484" s="13" t="str">
        <v>Sun,05-November-2023 ,07:44 PM</v>
      </c>
      <c r="S484" s="13" t="str">
        <v>Damaged Stock</v>
      </c>
    </row>
    <row r="485" customFormat="false" ht="15.75" hidden="false" customHeight="false" outlineLevel="0" collapsed="false">
      <c r="A485" s="13" t="str">
        <f aca="false">IFERROR(__xludf.dummyfunction("""COMPUTED_VALUE"""),"Metro DC Faisalabad")</f>
        <v>Metro DC Faisalabad</v>
      </c>
      <c r="B485" s="13" t="str">
        <f aca="false">IFERROR(__xludf.dummyfunction("""COMPUTED_VALUE"""),"717c11ae-c3bc-4378-a184-2154badcf63d")</f>
        <v>717c11ae-c3bc-4378-a184-2154badcf63d</v>
      </c>
      <c r="C485" s="13" t="str">
        <f aca="false">IFERROR(__xludf.dummyfunction("""COMPUTED_VALUE"""),"Quality Grains Daal Mash Wash 500g")</f>
        <v>Quality Grains Daal Mash Wash 500g</v>
      </c>
      <c r="D485" s="13" t="str">
        <f aca="false">IFERROR(__xludf.dummyfunction("""COMPUTED_VALUE"""),"Quality Grains")</f>
        <v>Quality Grains</v>
      </c>
      <c r="E485" s="13" t="str">
        <f aca="false">IFERROR(__xludf.dummyfunction("""COMPUTED_VALUE"""),"Pulses")</f>
        <v>Pulses</v>
      </c>
      <c r="F485" s="11" t="n">
        <f aca="false">IFERROR(__xludf.dummyfunction("""COMPUTED_VALUE"""),45235)</f>
        <v>45235</v>
      </c>
      <c r="G485" s="12" t="n">
        <f aca="false">IFERROR(__xludf.dummyfunction("""COMPUTED_VALUE"""),0.881039270835042)</f>
        <v>0.8810392708</v>
      </c>
      <c r="H485" s="13" t="str">
        <f aca="false">IFERROR(__xludf.dummyfunction("""COMPUTED_VALUE"""),"damaged stock")</f>
        <v>damaged stock</v>
      </c>
      <c r="I485" s="13" t="n">
        <f aca="false">IFERROR(__xludf.dummyfunction("""COMPUTED_VALUE"""),6)</f>
        <v>6</v>
      </c>
      <c r="J485" s="13" t="n">
        <f aca="false">IFERROR(__xludf.dummyfunction("""COMPUTED_VALUE"""),281)</f>
        <v>281</v>
      </c>
      <c r="K485" s="13" t="n">
        <f aca="false">IFERROR(__xludf.dummyfunction("""COMPUTED_VALUE"""),1686)</f>
        <v>1686</v>
      </c>
      <c r="L485" s="13" t="str">
        <f aca="false">IFERROR(__xludf.dummyfunction("""COMPUTED_VALUE"""),"[Code: 5699AAAA] TA: Stock Removed due to quality issue")</f>
        <v>[Code: 5699AAAA] TA: Stock Removed due to quality issue</v>
      </c>
      <c r="M485" s="13" t="str">
        <f aca="false">IFERROR(__xludf.dummyfunction("""COMPUTED_VALUE"""),"5699AAAA")</f>
        <v>5699AAAA</v>
      </c>
      <c r="N485" s="13"/>
      <c r="O485" s="13" t="str">
        <f aca="false">IFERROR(__xludf.dummyfunction("""COMPUTED_VALUE"""),"taufeeq.akhtar@tajir-app.com")</f>
        <v>taufeeq.akhtar@tajir-app.com</v>
      </c>
      <c r="P485" s="13" t="str">
        <f aca="false">IFERROR(__xludf.dummyfunction("""COMPUTED_VALUE"""),"Taufeeq Akhtar ")</f>
        <v>Taufeeq Akhtar </v>
      </c>
      <c r="Q485" s="13" t="str">
        <f aca="false">IFERROR(__xludf.dummyfunction("""COMPUTED_VALUE"""),"[Code: 5699AAAA] TA: Stock Removed due to quality issue")</f>
        <v>[Code: 5699AAAA] TA: Stock Removed due to quality issue</v>
      </c>
      <c r="R485" s="13" t="str">
        <v>Sun,05-November-2023 ,09:08 PM</v>
      </c>
      <c r="S485" s="13" t="str">
        <v>Damaged Stock</v>
      </c>
    </row>
    <row r="486" customFormat="false" ht="15.75" hidden="false" customHeight="false" outlineLevel="0" collapsed="false">
      <c r="A486" s="13" t="str">
        <f aca="false">IFERROR(__xludf.dummyfunction("""COMPUTED_VALUE"""),"Metro DC Faisalabad")</f>
        <v>Metro DC Faisalabad</v>
      </c>
      <c r="B486" s="13" t="str">
        <f aca="false">IFERROR(__xludf.dummyfunction("""COMPUTED_VALUE"""),"1d2b420d-9f9c-4450-8c04-687f96234eb2")</f>
        <v>1d2b420d-9f9c-4450-8c04-687f96234eb2</v>
      </c>
      <c r="C486" s="13" t="str">
        <f aca="false">IFERROR(__xludf.dummyfunction("""COMPUTED_VALUE"""),"Bahadur Fellow Fountain Pen 10pcs Box (BIP001)")</f>
        <v>Bahadur Fellow Fountain Pen 10pcs Box (BIP001)</v>
      </c>
      <c r="D486" s="13" t="str">
        <f aca="false">IFERROR(__xludf.dummyfunction("""COMPUTED_VALUE"""),"Bahadur")</f>
        <v>Bahadur</v>
      </c>
      <c r="E486" s="13" t="str">
        <f aca="false">IFERROR(__xludf.dummyfunction("""COMPUTED_VALUE"""),"Stationery")</f>
        <v>Stationery</v>
      </c>
      <c r="F486" s="11" t="n">
        <f aca="false">IFERROR(__xludf.dummyfunction("""COMPUTED_VALUE"""),45235)</f>
        <v>45235</v>
      </c>
      <c r="G486" s="12" t="n">
        <f aca="false">IFERROR(__xludf.dummyfunction("""COMPUTED_VALUE"""),0.930366203704194)</f>
        <v>0.9303662037</v>
      </c>
      <c r="H486" s="13" t="str">
        <f aca="false">IFERROR(__xludf.dummyfunction("""COMPUTED_VALUE"""),"damaged stock")</f>
        <v>damaged stock</v>
      </c>
      <c r="I486" s="13" t="n">
        <f aca="false">IFERROR(__xludf.dummyfunction("""COMPUTED_VALUE"""),2)</f>
        <v>2</v>
      </c>
      <c r="J486" s="13" t="n">
        <f aca="false">IFERROR(__xludf.dummyfunction("""COMPUTED_VALUE"""),358.1)</f>
        <v>358.1</v>
      </c>
      <c r="K486" s="13" t="n">
        <f aca="false">IFERROR(__xludf.dummyfunction("""COMPUTED_VALUE"""),716.2)</f>
        <v>716.2</v>
      </c>
      <c r="L486" s="13" t="str">
        <f aca="false">IFERROR(__xludf.dummyfunction("""COMPUTED_VALUE"""),"[Code: 36GGJLMN] TA; 2unit damage found (paking is bad qualty)")</f>
        <v>[Code: 36GGJLMN] TA; 2unit damage found (paking is bad qualty)</v>
      </c>
      <c r="M486" s="13" t="str">
        <f aca="false">IFERROR(__xludf.dummyfunction("""COMPUTED_VALUE"""),"36GGJLMN")</f>
        <v>36GGJLMN</v>
      </c>
      <c r="N486" s="13"/>
      <c r="O486" s="13" t="str">
        <f aca="false">IFERROR(__xludf.dummyfunction("""COMPUTED_VALUE"""),"taufeeq.akhtar@tajir-app.com")</f>
        <v>taufeeq.akhtar@tajir-app.com</v>
      </c>
      <c r="P486" s="13" t="str">
        <f aca="false">IFERROR(__xludf.dummyfunction("""COMPUTED_VALUE"""),"Taufeeq Akhtar ")</f>
        <v>Taufeeq Akhtar </v>
      </c>
      <c r="Q486" s="13" t="str">
        <f aca="false">IFERROR(__xludf.dummyfunction("""COMPUTED_VALUE"""),"[Code: 36GGJLMN] TA; 2unit damage found (paking is bad qualty)")</f>
        <v>[Code: 36GGJLMN] TA; 2unit damage found (paking is bad qualty)</v>
      </c>
      <c r="R486" s="13" t="str">
        <v>Sun,05-November-2023 ,10:19 PM</v>
      </c>
      <c r="S486" s="13" t="str">
        <v>Damaged Stock</v>
      </c>
    </row>
    <row r="487" customFormat="false" ht="15.75" hidden="false" customHeight="false" outlineLevel="0" collapsed="false">
      <c r="A487" s="13" t="str">
        <f aca="false">IFERROR(__xludf.dummyfunction("""COMPUTED_VALUE"""),"Metro DC Faisalabad")</f>
        <v>Metro DC Faisalabad</v>
      </c>
      <c r="B487" s="13" t="str">
        <f aca="false">IFERROR(__xludf.dummyfunction("""COMPUTED_VALUE"""),"e8f9b476-5fbb-491e-8f5e-eabafac776a8")</f>
        <v>e8f9b476-5fbb-491e-8f5e-eabafac776a8</v>
      </c>
      <c r="C487" s="13" t="str">
        <f aca="false">IFERROR(__xludf.dummyfunction("""COMPUTED_VALUE"""),"Sunlight Green Clean and Fresh x6 Bundle 25g")</f>
        <v>Sunlight Green Clean and Fresh x6 Bundle 25g</v>
      </c>
      <c r="D487" s="13" t="str">
        <f aca="false">IFERROR(__xludf.dummyfunction("""COMPUTED_VALUE"""),"Sunlight")</f>
        <v>Sunlight</v>
      </c>
      <c r="E487" s="13" t="str">
        <f aca="false">IFERROR(__xludf.dummyfunction("""COMPUTED_VALUE"""),"Surf, Bleach")</f>
        <v>Surf, Bleach</v>
      </c>
      <c r="F487" s="11" t="n">
        <f aca="false">IFERROR(__xludf.dummyfunction("""COMPUTED_VALUE"""),45235)</f>
        <v>45235</v>
      </c>
      <c r="G487" s="12" t="n">
        <f aca="false">IFERROR(__xludf.dummyfunction("""COMPUTED_VALUE"""),0.932163171297784)</f>
        <v>0.9321631713</v>
      </c>
      <c r="H487" s="13" t="str">
        <f aca="false">IFERROR(__xludf.dummyfunction("""COMPUTED_VALUE"""),"damaged stock")</f>
        <v>damaged stock</v>
      </c>
      <c r="I487" s="13" t="n">
        <f aca="false">IFERROR(__xludf.dummyfunction("""COMPUTED_VALUE"""),1)</f>
        <v>1</v>
      </c>
      <c r="J487" s="13" t="n">
        <f aca="false">IFERROR(__xludf.dummyfunction("""COMPUTED_VALUE"""),55)</f>
        <v>55</v>
      </c>
      <c r="K487" s="13" t="n">
        <f aca="false">IFERROR(__xludf.dummyfunction("""COMPUTED_VALUE"""),55)</f>
        <v>55</v>
      </c>
      <c r="L487" s="13" t="str">
        <f aca="false">IFERROR(__xludf.dummyfunction("""COMPUTED_VALUE"""),"[Code: 239BGJMM]  TA: 1unit Damage Found During Sorting .")</f>
        <v>[Code: 239BGJMM]  TA: 1unit Damage Found During Sorting .</v>
      </c>
      <c r="M487" s="13" t="str">
        <f aca="false">IFERROR(__xludf.dummyfunction("""COMPUTED_VALUE"""),"239BGJMM")</f>
        <v>239BGJMM</v>
      </c>
      <c r="N487" s="13"/>
      <c r="O487" s="13" t="str">
        <f aca="false">IFERROR(__xludf.dummyfunction("""COMPUTED_VALUE"""),"taufeeq.akhtar@tajir-app.com")</f>
        <v>taufeeq.akhtar@tajir-app.com</v>
      </c>
      <c r="P487" s="13" t="str">
        <f aca="false">IFERROR(__xludf.dummyfunction("""COMPUTED_VALUE"""),"Taufeeq Akhtar ")</f>
        <v>Taufeeq Akhtar </v>
      </c>
      <c r="Q487" s="13" t="str">
        <f aca="false">IFERROR(__xludf.dummyfunction("""COMPUTED_VALUE"""),"[Code: 239BGJMM]  TA: 1unit Damage Found During Sorting .")</f>
        <v>[Code: 239BGJMM]  TA: 1unit Damage Found During Sorting .</v>
      </c>
      <c r="R487" s="13" t="str">
        <v>Sun,05-November-2023 ,10:22 PM</v>
      </c>
      <c r="S487" s="13" t="str">
        <v>Damaged Stock</v>
      </c>
    </row>
    <row r="488" customFormat="false" ht="15.75" hidden="false" customHeight="false" outlineLevel="0" collapsed="false">
      <c r="A488" s="13" t="str">
        <f aca="false">IFERROR(__xludf.dummyfunction("""COMPUTED_VALUE"""),"Metro DC Faisalabad")</f>
        <v>Metro DC Faisalabad</v>
      </c>
      <c r="B488" s="13" t="str">
        <f aca="false">IFERROR(__xludf.dummyfunction("""COMPUTED_VALUE"""),"d35314e0-f3f4-47fe-90aa-af65dab10e9d")</f>
        <v>d35314e0-f3f4-47fe-90aa-af65dab10e9d</v>
      </c>
      <c r="C488" s="13" t="str">
        <f aca="false">IFERROR(__xludf.dummyfunction("""COMPUTED_VALUE"""),"Bonus tristar detergent x6 bundle 48g Rs10")</f>
        <v>Bonus tristar detergent x6 bundle 48g Rs10</v>
      </c>
      <c r="D488" s="13" t="str">
        <f aca="false">IFERROR(__xludf.dummyfunction("""COMPUTED_VALUE"""),"Bonus Surf")</f>
        <v>Bonus Surf</v>
      </c>
      <c r="E488" s="13" t="str">
        <f aca="false">IFERROR(__xludf.dummyfunction("""COMPUTED_VALUE"""),"Surf, Bleach")</f>
        <v>Surf, Bleach</v>
      </c>
      <c r="F488" s="11" t="n">
        <f aca="false">IFERROR(__xludf.dummyfunction("""COMPUTED_VALUE"""),45235)</f>
        <v>45235</v>
      </c>
      <c r="G488" s="12" t="n">
        <f aca="false">IFERROR(__xludf.dummyfunction("""COMPUTED_VALUE"""),0.93410015046424)</f>
        <v>0.9341001505</v>
      </c>
      <c r="H488" s="13" t="str">
        <f aca="false">IFERROR(__xludf.dummyfunction("""COMPUTED_VALUE"""),"damaged stock")</f>
        <v>damaged stock</v>
      </c>
      <c r="I488" s="13" t="n">
        <f aca="false">IFERROR(__xludf.dummyfunction("""COMPUTED_VALUE"""),2)</f>
        <v>2</v>
      </c>
      <c r="J488" s="13" t="n">
        <f aca="false">IFERROR(__xludf.dummyfunction("""COMPUTED_VALUE"""),55.25)</f>
        <v>55.25</v>
      </c>
      <c r="K488" s="13" t="n">
        <f aca="false">IFERROR(__xludf.dummyfunction("""COMPUTED_VALUE"""),110.5)</f>
        <v>110.5</v>
      </c>
      <c r="L488" s="13" t="str">
        <f aca="false">IFERROR(__xludf.dummyfunction("""COMPUTED_VALUE"""),"[Code: 22349AAB]  TA: 1unit Damage Found During  display.")</f>
        <v>[Code: 22349AAB]  TA: 1unit Damage Found During  display.</v>
      </c>
      <c r="M488" s="13" t="str">
        <f aca="false">IFERROR(__xludf.dummyfunction("""COMPUTED_VALUE"""),"22349AAB")</f>
        <v>22349AAB</v>
      </c>
      <c r="N488" s="13"/>
      <c r="O488" s="13" t="str">
        <f aca="false">IFERROR(__xludf.dummyfunction("""COMPUTED_VALUE"""),"taufeeq.akhtar@tajir-app.com")</f>
        <v>taufeeq.akhtar@tajir-app.com</v>
      </c>
      <c r="P488" s="13" t="str">
        <f aca="false">IFERROR(__xludf.dummyfunction("""COMPUTED_VALUE"""),"Taufeeq Akhtar ")</f>
        <v>Taufeeq Akhtar </v>
      </c>
      <c r="Q488" s="13" t="str">
        <f aca="false">IFERROR(__xludf.dummyfunction("""COMPUTED_VALUE"""),"[Code: 22349AAB]  TA: 1unit Damage Found During  display.")</f>
        <v>[Code: 22349AAB]  TA: 1unit Damage Found During  display.</v>
      </c>
      <c r="R488" s="13" t="str">
        <v>Sun,05-November-2023 ,10:25 PM</v>
      </c>
      <c r="S488" s="13" t="str">
        <v>Damaged Stock</v>
      </c>
    </row>
    <row r="489" customFormat="false" ht="15.75" hidden="false" customHeight="false" outlineLevel="0" collapsed="false">
      <c r="A489" s="13" t="str">
        <f aca="false">IFERROR(__xludf.dummyfunction("""COMPUTED_VALUE"""),"Metro DC Faisalabad")</f>
        <v>Metro DC Faisalabad</v>
      </c>
      <c r="B489" s="13" t="str">
        <f aca="false">IFERROR(__xludf.dummyfunction("""COMPUTED_VALUE"""),"128d0670-3def-4796-8768-176c25cf0959")</f>
        <v>128d0670-3def-4796-8768-176c25cf0959</v>
      </c>
      <c r="C489" s="13" t="str">
        <f aca="false">IFERROR(__xludf.dummyfunction("""COMPUTED_VALUE"""),"Quality Grains White Chana Bareek 5kg")</f>
        <v>Quality Grains White Chana Bareek 5kg</v>
      </c>
      <c r="D489" s="13" t="str">
        <f aca="false">IFERROR(__xludf.dummyfunction("""COMPUTED_VALUE"""),"Quality Grains")</f>
        <v>Quality Grains</v>
      </c>
      <c r="E489" s="13" t="str">
        <f aca="false">IFERROR(__xludf.dummyfunction("""COMPUTED_VALUE"""),"Pulses")</f>
        <v>Pulses</v>
      </c>
      <c r="F489" s="11" t="n">
        <f aca="false">IFERROR(__xludf.dummyfunction("""COMPUTED_VALUE"""),45236)</f>
        <v>45236</v>
      </c>
      <c r="G489" s="12" t="n">
        <f aca="false">IFERROR(__xludf.dummyfunction("""COMPUTED_VALUE"""),0.638498495370947)</f>
        <v>0.6384984954</v>
      </c>
      <c r="H489" s="13" t="str">
        <f aca="false">IFERROR(__xludf.dummyfunction("""COMPUTED_VALUE"""),"damaged stock")</f>
        <v>damaged stock</v>
      </c>
      <c r="I489" s="13" t="n">
        <f aca="false">IFERROR(__xludf.dummyfunction("""COMPUTED_VALUE"""),5)</f>
        <v>5</v>
      </c>
      <c r="J489" s="13" t="n">
        <f aca="false">IFERROR(__xludf.dummyfunction("""COMPUTED_VALUE"""),1685)</f>
        <v>1685</v>
      </c>
      <c r="K489" s="13" t="n">
        <f aca="false">IFERROR(__xludf.dummyfunction("""COMPUTED_VALUE"""),8425)</f>
        <v>8425</v>
      </c>
      <c r="L489" s="13" t="str">
        <f aca="false">IFERROR(__xludf.dummyfunction("""COMPUTED_VALUE"""),"[Code: 2AEFJKLM] 5 units found damaged due to susri (Quality Issue)")</f>
        <v>[Code: 2AEFJKLM] 5 units found damaged due to susri (Quality Issue)</v>
      </c>
      <c r="M489" s="13" t="str">
        <f aca="false">IFERROR(__xludf.dummyfunction("""COMPUTED_VALUE"""),"2AEFJKLM")</f>
        <v>2AEFJKLM</v>
      </c>
      <c r="N489" s="13"/>
      <c r="O489" s="13" t="str">
        <f aca="false">IFERROR(__xludf.dummyfunction("""COMPUTED_VALUE"""),"ali.raza@tajir-app.com")</f>
        <v>ali.raza@tajir-app.com</v>
      </c>
      <c r="P489" s="13" t="str">
        <f aca="false">IFERROR(__xludf.dummyfunction("""COMPUTED_VALUE"""),"Ali Raza ")</f>
        <v>Ali Raza </v>
      </c>
      <c r="Q489" s="13" t="str">
        <f aca="false">IFERROR(__xludf.dummyfunction("""COMPUTED_VALUE"""),"[Code: 2AEFJKLM] 5 units found damaged due to susri (Quality Issue)")</f>
        <v>[Code: 2AEFJKLM] 5 units found damaged due to susri (Quality Issue)</v>
      </c>
      <c r="R489" s="13" t="str">
        <v>Mon,06-November-2023 ,03:19 PM</v>
      </c>
      <c r="S489" s="13" t="str">
        <v>Damaged Stock</v>
      </c>
    </row>
    <row r="490" customFormat="false" ht="15.75" hidden="false" customHeight="false" outlineLevel="0" collapsed="false">
      <c r="A490" s="13" t="str">
        <f aca="false">IFERROR(__xludf.dummyfunction("""COMPUTED_VALUE"""),"Metro DC Faisalabad")</f>
        <v>Metro DC Faisalabad</v>
      </c>
      <c r="B490" s="13" t="str">
        <f aca="false">IFERROR(__xludf.dummyfunction("""COMPUTED_VALUE"""),"ae3c4d47-c25a-4d8a-91fe-7e939d3514ad")</f>
        <v>ae3c4d47-c25a-4d8a-91fe-7e939d3514ad</v>
      </c>
      <c r="C490" s="13" t="str">
        <f aca="false">IFERROR(__xludf.dummyfunction("""COMPUTED_VALUE"""),"Sunsilk Stunning Black Shine Shampoo x16 bundle 4.5ml")</f>
        <v>Sunsilk Stunning Black Shine Shampoo x16 bundle 4.5ml</v>
      </c>
      <c r="D490" s="13" t="str">
        <f aca="false">IFERROR(__xludf.dummyfunction("""COMPUTED_VALUE"""),"Sunsilk")</f>
        <v>Sunsilk</v>
      </c>
      <c r="E490" s="13" t="str">
        <f aca="false">IFERROR(__xludf.dummyfunction("""COMPUTED_VALUE"""),"Shampoo")</f>
        <v>Shampoo</v>
      </c>
      <c r="F490" s="11" t="n">
        <f aca="false">IFERROR(__xludf.dummyfunction("""COMPUTED_VALUE"""),45236)</f>
        <v>45236</v>
      </c>
      <c r="G490" s="12" t="n">
        <f aca="false">IFERROR(__xludf.dummyfunction("""COMPUTED_VALUE"""),0.93080767361255)</f>
        <v>0.9308076736</v>
      </c>
      <c r="H490" s="13" t="str">
        <f aca="false">IFERROR(__xludf.dummyfunction("""COMPUTED_VALUE"""),"damaged stock")</f>
        <v>damaged stock</v>
      </c>
      <c r="I490" s="13" t="n">
        <f aca="false">IFERROR(__xludf.dummyfunction("""COMPUTED_VALUE"""),2)</f>
        <v>2</v>
      </c>
      <c r="J490" s="13" t="n">
        <f aca="false">IFERROR(__xludf.dummyfunction("""COMPUTED_VALUE"""),72.92)</f>
        <v>72.92</v>
      </c>
      <c r="K490" s="13" t="n">
        <f aca="false">IFERROR(__xludf.dummyfunction("""COMPUTED_VALUE"""),145.84)</f>
        <v>145.84</v>
      </c>
      <c r="L490" s="13" t="str">
        <f aca="false">IFERROR(__xludf.dummyfunction("""COMPUTED_VALUE"""),"[Code: 2478BCGJ]   TA: 2unit damage found during sorting  ")</f>
        <v>[Code: 2478BCGJ]   TA: 2unit damage found during sorting  </v>
      </c>
      <c r="M490" s="13" t="str">
        <f aca="false">IFERROR(__xludf.dummyfunction("""COMPUTED_VALUE"""),"2478BCGJ")</f>
        <v>2478BCGJ</v>
      </c>
      <c r="N490" s="13"/>
      <c r="O490" s="13" t="str">
        <f aca="false">IFERROR(__xludf.dummyfunction("""COMPUTED_VALUE"""),"taufeeq.akhtar@tajir-app.com")</f>
        <v>taufeeq.akhtar@tajir-app.com</v>
      </c>
      <c r="P490" s="13" t="str">
        <f aca="false">IFERROR(__xludf.dummyfunction("""COMPUTED_VALUE"""),"Taufeeq Akhtar ")</f>
        <v>Taufeeq Akhtar </v>
      </c>
      <c r="Q490" s="13" t="str">
        <f aca="false">IFERROR(__xludf.dummyfunction("""COMPUTED_VALUE"""),"[Code: 2478BCGJ]   TA: 2unit damage found during sorting  ")</f>
        <v>[Code: 2478BCGJ]   TA: 2unit damage found during sorting  </v>
      </c>
      <c r="R490" s="13" t="str">
        <v>Mon,06-November-2023 ,10:20 PM</v>
      </c>
      <c r="S490" s="13" t="str">
        <v>Damaged Stock</v>
      </c>
    </row>
    <row r="491" customFormat="false" ht="15.75" hidden="false" customHeight="false" outlineLevel="0" collapsed="false">
      <c r="A491" s="13" t="str">
        <f aca="false">IFERROR(__xludf.dummyfunction("""COMPUTED_VALUE"""),"Metro DC Faisalabad")</f>
        <v>Metro DC Faisalabad</v>
      </c>
      <c r="B491" s="13" t="str">
        <f aca="false">IFERROR(__xludf.dummyfunction("""COMPUTED_VALUE"""),"e8f9b476-5fbb-491e-8f5e-eabafac776a8")</f>
        <v>e8f9b476-5fbb-491e-8f5e-eabafac776a8</v>
      </c>
      <c r="C491" s="13" t="str">
        <f aca="false">IFERROR(__xludf.dummyfunction("""COMPUTED_VALUE"""),"Sunlight Green Clean and Fresh x6 Bundle 25g")</f>
        <v>Sunlight Green Clean and Fresh x6 Bundle 25g</v>
      </c>
      <c r="D491" s="13" t="str">
        <f aca="false">IFERROR(__xludf.dummyfunction("""COMPUTED_VALUE"""),"Sunlight")</f>
        <v>Sunlight</v>
      </c>
      <c r="E491" s="13" t="str">
        <f aca="false">IFERROR(__xludf.dummyfunction("""COMPUTED_VALUE"""),"Surf, Bleach")</f>
        <v>Surf, Bleach</v>
      </c>
      <c r="F491" s="11" t="n">
        <f aca="false">IFERROR(__xludf.dummyfunction("""COMPUTED_VALUE"""),45237)</f>
        <v>45237</v>
      </c>
      <c r="G491" s="12" t="n">
        <f aca="false">IFERROR(__xludf.dummyfunction("""COMPUTED_VALUE"""),0.868781400462553)</f>
        <v>0.8687814005</v>
      </c>
      <c r="H491" s="13" t="str">
        <f aca="false">IFERROR(__xludf.dummyfunction("""COMPUTED_VALUE"""),"damaged stock")</f>
        <v>damaged stock</v>
      </c>
      <c r="I491" s="13" t="n">
        <f aca="false">IFERROR(__xludf.dummyfunction("""COMPUTED_VALUE"""),3)</f>
        <v>3</v>
      </c>
      <c r="J491" s="13" t="n">
        <f aca="false">IFERROR(__xludf.dummyfunction("""COMPUTED_VALUE"""),55)</f>
        <v>55</v>
      </c>
      <c r="K491" s="13" t="n">
        <f aca="false">IFERROR(__xludf.dummyfunction("""COMPUTED_VALUE"""),165)</f>
        <v>165</v>
      </c>
      <c r="L491" s="13" t="str">
        <f aca="false">IFERROR(__xludf.dummyfunction("""COMPUTED_VALUE"""),"[Code: 247778AD]  TA: 1unit Damage Found During Display . [bag s damage mily hain]")</f>
        <v>[Code: 247778AD]  TA: 1unit Damage Found During Display . [bag s damage mily hain]</v>
      </c>
      <c r="M491" s="13" t="str">
        <f aca="false">IFERROR(__xludf.dummyfunction("""COMPUTED_VALUE"""),"247778AD")</f>
        <v>247778AD</v>
      </c>
      <c r="N491" s="13"/>
      <c r="O491" s="13" t="str">
        <f aca="false">IFERROR(__xludf.dummyfunction("""COMPUTED_VALUE"""),"taufeeq.akhtar@tajir-app.com")</f>
        <v>taufeeq.akhtar@tajir-app.com</v>
      </c>
      <c r="P491" s="13" t="str">
        <f aca="false">IFERROR(__xludf.dummyfunction("""COMPUTED_VALUE"""),"Taufeeq Akhtar ")</f>
        <v>Taufeeq Akhtar </v>
      </c>
      <c r="Q491" s="13" t="str">
        <f aca="false">IFERROR(__xludf.dummyfunction("""COMPUTED_VALUE"""),"[Code: 247778AD]  TA: 1unit Damage Found During Display . [bag s damage mily hain]")</f>
        <v>[Code: 247778AD]  TA: 1unit Damage Found During Display . [bag s damage mily hain]</v>
      </c>
      <c r="R491" s="13" t="str">
        <v>Tue,07-November-2023 ,08:51 PM</v>
      </c>
      <c r="S491" s="13" t="str">
        <v>Damaged Stock</v>
      </c>
    </row>
    <row r="492" customFormat="false" ht="15.75" hidden="false" customHeight="false" outlineLevel="0" collapsed="false">
      <c r="A492" s="13" t="str">
        <f aca="false">IFERROR(__xludf.dummyfunction("""COMPUTED_VALUE"""),"Metro DC Faisalabad")</f>
        <v>Metro DC Faisalabad</v>
      </c>
      <c r="B492" s="13" t="str">
        <f aca="false">IFERROR(__xludf.dummyfunction("""COMPUTED_VALUE"""),"ad261b39-8236-46b3-b4b8-18de2ebb3efd")</f>
        <v>ad261b39-8236-46b3-b4b8-18de2ebb3efd</v>
      </c>
      <c r="C492" s="13" t="str">
        <f aca="false">IFERROR(__xludf.dummyfunction("""COMPUTED_VALUE"""),"Lipton yellow label tea 85g Rs270")</f>
        <v>Lipton yellow label tea 85g Rs270</v>
      </c>
      <c r="D492" s="13" t="str">
        <f aca="false">IFERROR(__xludf.dummyfunction("""COMPUTED_VALUE"""),"Lipton")</f>
        <v>Lipton</v>
      </c>
      <c r="E492" s="13" t="str">
        <f aca="false">IFERROR(__xludf.dummyfunction("""COMPUTED_VALUE"""),"Tea, Coffee")</f>
        <v>Tea, Coffee</v>
      </c>
      <c r="F492" s="11" t="n">
        <f aca="false">IFERROR(__xludf.dummyfunction("""COMPUTED_VALUE"""),45237)</f>
        <v>45237</v>
      </c>
      <c r="G492" s="12" t="n">
        <f aca="false">IFERROR(__xludf.dummyfunction("""COMPUTED_VALUE"""),0.918672592592571)</f>
        <v>0.9186725926</v>
      </c>
      <c r="H492" s="13" t="str">
        <f aca="false">IFERROR(__xludf.dummyfunction("""COMPUTED_VALUE"""),"damaged stock")</f>
        <v>damaged stock</v>
      </c>
      <c r="I492" s="13" t="n">
        <f aca="false">IFERROR(__xludf.dummyfunction("""COMPUTED_VALUE"""),21)</f>
        <v>21</v>
      </c>
      <c r="J492" s="13" t="n">
        <f aca="false">IFERROR(__xludf.dummyfunction("""COMPUTED_VALUE"""),248.2)</f>
        <v>248.2</v>
      </c>
      <c r="K492" s="13" t="n">
        <f aca="false">IFERROR(__xludf.dummyfunction("""COMPUTED_VALUE"""),5212.2)</f>
        <v>5212.2</v>
      </c>
      <c r="L492" s="13" t="str">
        <f aca="false">IFERROR(__xludf.dummyfunction("""COMPUTED_VALUE"""),"[Code: 2467BDHJ]  TA: 21unit Damage Found During Display. [ cotton sy damage mily hain]")</f>
        <v>[Code: 2467BDHJ]  TA: 21unit Damage Found During Display. [ cotton sy damage mily hain]</v>
      </c>
      <c r="M492" s="13" t="str">
        <f aca="false">IFERROR(__xludf.dummyfunction("""COMPUTED_VALUE"""),"2467BDHJ")</f>
        <v>2467BDHJ</v>
      </c>
      <c r="N492" s="13"/>
      <c r="O492" s="13" t="str">
        <f aca="false">IFERROR(__xludf.dummyfunction("""COMPUTED_VALUE"""),"taufeeq.akhtar@tajir-app.com")</f>
        <v>taufeeq.akhtar@tajir-app.com</v>
      </c>
      <c r="P492" s="13" t="str">
        <f aca="false">IFERROR(__xludf.dummyfunction("""COMPUTED_VALUE"""),"Taufeeq Akhtar ")</f>
        <v>Taufeeq Akhtar </v>
      </c>
      <c r="Q492" s="13" t="str">
        <f aca="false">IFERROR(__xludf.dummyfunction("""COMPUTED_VALUE"""),"[Code: 2467BDHJ]  TA: 21unit Damage Found During Display. [ cotton sy damage mily hain]")</f>
        <v>[Code: 2467BDHJ]  TA: 21unit Damage Found During Display. [ cotton sy damage mily hain]</v>
      </c>
      <c r="R492" s="13" t="str">
        <v>Tue,07-November-2023 ,10:02 PM</v>
      </c>
      <c r="S492" s="13" t="str">
        <v>Damaged Stock</v>
      </c>
    </row>
    <row r="493" customFormat="false" ht="15.75" hidden="false" customHeight="false" outlineLevel="0" collapsed="false">
      <c r="A493" s="13" t="str">
        <f aca="false">IFERROR(__xludf.dummyfunction("""COMPUTED_VALUE"""),"Metro DC Faisalabad")</f>
        <v>Metro DC Faisalabad</v>
      </c>
      <c r="B493" s="13" t="str">
        <f aca="false">IFERROR(__xludf.dummyfunction("""COMPUTED_VALUE"""),"2a782b9f-b287-4bd1-8599-4907b87ef77a")</f>
        <v>2a782b9f-b287-4bd1-8599-4907b87ef77a</v>
      </c>
      <c r="C493" s="13" t="str">
        <f aca="false">IFERROR(__xludf.dummyfunction("""COMPUTED_VALUE"""),"Sherdil White Chana Bareek 1kg")</f>
        <v>Sherdil White Chana Bareek 1kg</v>
      </c>
      <c r="D493" s="13" t="str">
        <f aca="false">IFERROR(__xludf.dummyfunction("""COMPUTED_VALUE"""),"Sherdil")</f>
        <v>Sherdil</v>
      </c>
      <c r="E493" s="13" t="str">
        <f aca="false">IFERROR(__xludf.dummyfunction("""COMPUTED_VALUE"""),"Pulses")</f>
        <v>Pulses</v>
      </c>
      <c r="F493" s="11" t="n">
        <f aca="false">IFERROR(__xludf.dummyfunction("""COMPUTED_VALUE"""),45238)</f>
        <v>45238</v>
      </c>
      <c r="G493" s="12" t="n">
        <f aca="false">IFERROR(__xludf.dummyfunction("""COMPUTED_VALUE"""),0.470579918979681)</f>
        <v>0.470579919</v>
      </c>
      <c r="H493" s="13" t="str">
        <f aca="false">IFERROR(__xludf.dummyfunction("""COMPUTED_VALUE"""),"damaged stock")</f>
        <v>damaged stock</v>
      </c>
      <c r="I493" s="13" t="n">
        <f aca="false">IFERROR(__xludf.dummyfunction("""COMPUTED_VALUE"""),1)</f>
        <v>1</v>
      </c>
      <c r="J493" s="13" t="n">
        <f aca="false">IFERROR(__xludf.dummyfunction("""COMPUTED_VALUE"""),342)</f>
        <v>342</v>
      </c>
      <c r="K493" s="13" t="n">
        <f aca="false">IFERROR(__xludf.dummyfunction("""COMPUTED_VALUE"""),342)</f>
        <v>342</v>
      </c>
      <c r="L493" s="13" t="str">
        <f aca="false">IFERROR(__xludf.dummyfunction("""COMPUTED_VALUE"""),"[Code: 7799DDDF] 1 unit found damaged due to susri (Quality Issue)")</f>
        <v>[Code: 7799DDDF] 1 unit found damaged due to susri (Quality Issue)</v>
      </c>
      <c r="M493" s="13" t="str">
        <f aca="false">IFERROR(__xludf.dummyfunction("""COMPUTED_VALUE"""),"7799DDDF")</f>
        <v>7799DDDF</v>
      </c>
      <c r="N493" s="13"/>
      <c r="O493" s="13" t="str">
        <f aca="false">IFERROR(__xludf.dummyfunction("""COMPUTED_VALUE"""),"ali.raza@tajir-app.com")</f>
        <v>ali.raza@tajir-app.com</v>
      </c>
      <c r="P493" s="13" t="str">
        <f aca="false">IFERROR(__xludf.dummyfunction("""COMPUTED_VALUE"""),"Ali Raza ")</f>
        <v>Ali Raza </v>
      </c>
      <c r="Q493" s="13" t="str">
        <f aca="false">IFERROR(__xludf.dummyfunction("""COMPUTED_VALUE"""),"[Code: 7799DDDF] 1 unit found damaged due to susri (Quality Issue)")</f>
        <v>[Code: 7799DDDF] 1 unit found damaged due to susri (Quality Issue)</v>
      </c>
      <c r="R493" s="13" t="str">
        <v>Wed,08-November-2023 ,11:17 AM</v>
      </c>
      <c r="S493" s="13" t="str">
        <v>Damaged Stock</v>
      </c>
    </row>
    <row r="494" customFormat="false" ht="15.75" hidden="false" customHeight="false" outlineLevel="0" collapsed="false">
      <c r="A494" s="13" t="str">
        <f aca="false">IFERROR(__xludf.dummyfunction("""COMPUTED_VALUE"""),"Metro DC Faisalabad")</f>
        <v>Metro DC Faisalabad</v>
      </c>
      <c r="B494" s="13" t="str">
        <f aca="false">IFERROR(__xludf.dummyfunction("""COMPUTED_VALUE"""),"5fd9d62f-0238-4019-9bdc-1d1af6ce662a")</f>
        <v>5fd9d62f-0238-4019-9bdc-1d1af6ce662a</v>
      </c>
      <c r="C494" s="13" t="str">
        <f aca="false">IFERROR(__xludf.dummyfunction("""COMPUTED_VALUE"""),"National Chicken Tikka 20G x6 bundle Rs60")</f>
        <v>National Chicken Tikka 20G x6 bundle Rs60</v>
      </c>
      <c r="D494" s="13" t="str">
        <f aca="false">IFERROR(__xludf.dummyfunction("""COMPUTED_VALUE"""),"National")</f>
        <v>National</v>
      </c>
      <c r="E494" s="13" t="str">
        <f aca="false">IFERROR(__xludf.dummyfunction("""COMPUTED_VALUE"""),"Spices")</f>
        <v>Spices</v>
      </c>
      <c r="F494" s="11" t="n">
        <f aca="false">IFERROR(__xludf.dummyfunction("""COMPUTED_VALUE"""),45238)</f>
        <v>45238</v>
      </c>
      <c r="G494" s="12" t="n">
        <f aca="false">IFERROR(__xludf.dummyfunction("""COMPUTED_VALUE"""),0.704507939812999)</f>
        <v>0.7045079398</v>
      </c>
      <c r="H494" s="13" t="str">
        <f aca="false">IFERROR(__xludf.dummyfunction("""COMPUTED_VALUE"""),"damaged stock")</f>
        <v>damaged stock</v>
      </c>
      <c r="I494" s="13" t="n">
        <f aca="false">IFERROR(__xludf.dummyfunction("""COMPUTED_VALUE"""),1)</f>
        <v>1</v>
      </c>
      <c r="J494" s="13" t="n">
        <f aca="false">IFERROR(__xludf.dummyfunction("""COMPUTED_VALUE"""),292.25)</f>
        <v>292.25</v>
      </c>
      <c r="K494" s="13" t="n">
        <f aca="false">IFERROR(__xludf.dummyfunction("""COMPUTED_VALUE"""),292.25)</f>
        <v>292.25</v>
      </c>
      <c r="L494" s="13" t="str">
        <f aca="false">IFERROR(__xludf.dummyfunction("""COMPUTED_VALUE"""),"[Code: 239FJMNN] 1 unit found damaged (Seal Open)")</f>
        <v>[Code: 239FJMNN] 1 unit found damaged (Seal Open)</v>
      </c>
      <c r="M494" s="13" t="str">
        <f aca="false">IFERROR(__xludf.dummyfunction("""COMPUTED_VALUE"""),"239FJMNN")</f>
        <v>239FJMNN</v>
      </c>
      <c r="N494" s="13"/>
      <c r="O494" s="13" t="str">
        <f aca="false">IFERROR(__xludf.dummyfunction("""COMPUTED_VALUE"""),"ali.raza@tajir-app.com")</f>
        <v>ali.raza@tajir-app.com</v>
      </c>
      <c r="P494" s="13" t="str">
        <f aca="false">IFERROR(__xludf.dummyfunction("""COMPUTED_VALUE"""),"Ali Raza ")</f>
        <v>Ali Raza </v>
      </c>
      <c r="Q494" s="13" t="str">
        <f aca="false">IFERROR(__xludf.dummyfunction("""COMPUTED_VALUE"""),"[Code: 239FJMNN] 1 unit found damaged (Seal Open)")</f>
        <v>[Code: 239FJMNN] 1 unit found damaged (Seal Open)</v>
      </c>
      <c r="R494" s="13" t="str">
        <v>Wed,08-November-2023 ,04:54 PM</v>
      </c>
      <c r="S494" s="13" t="str">
        <v>Damaged Stock</v>
      </c>
    </row>
    <row r="495" customFormat="false" ht="15.75" hidden="false" customHeight="false" outlineLevel="0" collapsed="false">
      <c r="A495" s="13" t="str">
        <f aca="false">IFERROR(__xludf.dummyfunction("""COMPUTED_VALUE"""),"Metro DC Faisalabad")</f>
        <v>Metro DC Faisalabad</v>
      </c>
      <c r="B495" s="13" t="str">
        <f aca="false">IFERROR(__xludf.dummyfunction("""COMPUTED_VALUE"""),"dbdce744-b75d-431f-ad78-9522b1ea1c7a")</f>
        <v>dbdce744-b75d-431f-ad78-9522b1ea1c7a</v>
      </c>
      <c r="C495" s="13" t="str">
        <f aca="false">IFERROR(__xludf.dummyfunction("""COMPUTED_VALUE"""),"Deer Finger Crayons 6pcs x2Bundle")</f>
        <v>Deer Finger Crayons 6pcs x2Bundle</v>
      </c>
      <c r="D495" s="13" t="str">
        <f aca="false">IFERROR(__xludf.dummyfunction("""COMPUTED_VALUE"""),"Deer")</f>
        <v>Deer</v>
      </c>
      <c r="E495" s="13" t="str">
        <f aca="false">IFERROR(__xludf.dummyfunction("""COMPUTED_VALUE"""),"Stationery")</f>
        <v>Stationery</v>
      </c>
      <c r="F495" s="11" t="n">
        <f aca="false">IFERROR(__xludf.dummyfunction("""COMPUTED_VALUE"""),45238)</f>
        <v>45238</v>
      </c>
      <c r="G495" s="12" t="n">
        <f aca="false">IFERROR(__xludf.dummyfunction("""COMPUTED_VALUE"""),0.759488657407747)</f>
        <v>0.7594886574</v>
      </c>
      <c r="H495" s="13" t="str">
        <f aca="false">IFERROR(__xludf.dummyfunction("""COMPUTED_VALUE"""),"damaged stock")</f>
        <v>damaged stock</v>
      </c>
      <c r="I495" s="13" t="n">
        <f aca="false">IFERROR(__xludf.dummyfunction("""COMPUTED_VALUE"""),1)</f>
        <v>1</v>
      </c>
      <c r="J495" s="13" t="n">
        <f aca="false">IFERROR(__xludf.dummyfunction("""COMPUTED_VALUE"""),241.8)</f>
        <v>241.8</v>
      </c>
      <c r="K495" s="13" t="n">
        <f aca="false">IFERROR(__xludf.dummyfunction("""COMPUTED_VALUE"""),241.8)</f>
        <v>241.8</v>
      </c>
      <c r="L495" s="13" t="str">
        <f aca="false">IFERROR(__xludf.dummyfunction("""COMPUTED_VALUE"""),"[Code: 268ABHLL] AR: 2 Crayons found damage in one box")</f>
        <v>[Code: 268ABHLL] AR: 2 Crayons found damage in one box</v>
      </c>
      <c r="M495" s="13" t="str">
        <f aca="false">IFERROR(__xludf.dummyfunction("""COMPUTED_VALUE"""),"268ABHLL")</f>
        <v>268ABHLL</v>
      </c>
      <c r="N495" s="13"/>
      <c r="O495" s="13" t="str">
        <f aca="false">IFERROR(__xludf.dummyfunction("""COMPUTED_VALUE"""),"ali.raza@tajir-app.com")</f>
        <v>ali.raza@tajir-app.com</v>
      </c>
      <c r="P495" s="13" t="str">
        <f aca="false">IFERROR(__xludf.dummyfunction("""COMPUTED_VALUE"""),"Ali Raza ")</f>
        <v>Ali Raza </v>
      </c>
      <c r="Q495" s="13" t="str">
        <f aca="false">IFERROR(__xludf.dummyfunction("""COMPUTED_VALUE"""),"[Code: 268ABHLL] AR: 2 Crayons found damage in one box")</f>
        <v>[Code: 268ABHLL] AR: 2 Crayons found damage in one box</v>
      </c>
      <c r="R495" s="13" t="str">
        <v>Wed,08-November-2023 ,06:13 PM</v>
      </c>
      <c r="S495" s="13" t="str">
        <v>Damaged Stock</v>
      </c>
    </row>
    <row r="496" customFormat="false" ht="15.75" hidden="false" customHeight="false" outlineLevel="0" collapsed="false">
      <c r="A496" s="13" t="str">
        <f aca="false">IFERROR(__xludf.dummyfunction("""COMPUTED_VALUE"""),"Metro DC Faisalabad")</f>
        <v>Metro DC Faisalabad</v>
      </c>
      <c r="B496" s="13" t="str">
        <f aca="false">IFERROR(__xludf.dummyfunction("""COMPUTED_VALUE"""),"039ebff0-a54d-4ab1-a893-22ee2482fc18")</f>
        <v>039ebff0-a54d-4ab1-a893-22ee2482fc18</v>
      </c>
      <c r="C496" s="13" t="str">
        <f aca="false">IFERROR(__xludf.dummyfunction("""COMPUTED_VALUE"""),"Habib Foods Funtime Mango Flavoured Drink 200mL")</f>
        <v>Habib Foods Funtime Mango Flavoured Drink 200mL</v>
      </c>
      <c r="D496" s="13" t="str">
        <f aca="false">IFERROR(__xludf.dummyfunction("""COMPUTED_VALUE"""),"Habib Foods")</f>
        <v>Habib Foods</v>
      </c>
      <c r="E496" s="13" t="str">
        <f aca="false">IFERROR(__xludf.dummyfunction("""COMPUTED_VALUE"""),"Juice, Syrup, Squash")</f>
        <v>Juice, Syrup, Squash</v>
      </c>
      <c r="F496" s="11" t="n">
        <f aca="false">IFERROR(__xludf.dummyfunction("""COMPUTED_VALUE"""),45240)</f>
        <v>45240</v>
      </c>
      <c r="G496" s="12" t="n">
        <f aca="false">IFERROR(__xludf.dummyfunction("""COMPUTED_VALUE"""),0.82031943287037)</f>
        <v>0.8203194329</v>
      </c>
      <c r="H496" s="13" t="str">
        <f aca="false">IFERROR(__xludf.dummyfunction("""COMPUTED_VALUE"""),"damaged stock")</f>
        <v>damaged stock</v>
      </c>
      <c r="I496" s="13" t="n">
        <f aca="false">IFERROR(__xludf.dummyfunction("""COMPUTED_VALUE"""),1)</f>
        <v>1</v>
      </c>
      <c r="J496" s="13" t="n">
        <f aca="false">IFERROR(__xludf.dummyfunction("""COMPUTED_VALUE"""),500)</f>
        <v>500</v>
      </c>
      <c r="K496" s="13" t="n">
        <f aca="false">IFERROR(__xludf.dummyfunction("""COMPUTED_VALUE"""),500)</f>
        <v>500</v>
      </c>
      <c r="L496" s="13" t="str">
        <f aca="false">IFERROR(__xludf.dummyfunction("""COMPUTED_VALUE"""),"[Code: 23899CGG] TA: 1 unit Damage Found during Sorting.")</f>
        <v>[Code: 23899CGG] TA: 1 unit Damage Found during Sorting.</v>
      </c>
      <c r="M496" s="13" t="str">
        <f aca="false">IFERROR(__xludf.dummyfunction("""COMPUTED_VALUE"""),"23899CGG")</f>
        <v>23899CGG</v>
      </c>
      <c r="N496" s="13"/>
      <c r="O496" s="13" t="str">
        <f aca="false">IFERROR(__xludf.dummyfunction("""COMPUTED_VALUE"""),"taufeeq.akhtar@tajir-app.com")</f>
        <v>taufeeq.akhtar@tajir-app.com</v>
      </c>
      <c r="P496" s="13" t="str">
        <f aca="false">IFERROR(__xludf.dummyfunction("""COMPUTED_VALUE"""),"Taufeeq Akhtar ")</f>
        <v>Taufeeq Akhtar </v>
      </c>
      <c r="Q496" s="13" t="str">
        <f aca="false">IFERROR(__xludf.dummyfunction("""COMPUTED_VALUE"""),"[Code: 23899CGG] TA: 1 unit Damage Found during Sorting.")</f>
        <v>[Code: 23899CGG] TA: 1 unit Damage Found during Sorting.</v>
      </c>
      <c r="R496" s="13" t="str">
        <v>Fri,10-November-2023 ,07:41 PM</v>
      </c>
      <c r="S496" s="13" t="str">
        <v>Damaged Stock</v>
      </c>
    </row>
    <row r="497" customFormat="false" ht="15.75" hidden="false" customHeight="false" outlineLevel="0" collapsed="false">
      <c r="A497" s="13" t="str">
        <f aca="false">IFERROR(__xludf.dummyfunction("""COMPUTED_VALUE"""),"Metro DC Faisalabad")</f>
        <v>Metro DC Faisalabad</v>
      </c>
      <c r="B497" s="13" t="str">
        <f aca="false">IFERROR(__xludf.dummyfunction("""COMPUTED_VALUE"""),"f4a7c642-7555-4dfd-8198-642b8dbed45d")</f>
        <v>f4a7c642-7555-4dfd-8198-642b8dbed45d</v>
      </c>
      <c r="C497" s="13" t="str">
        <f aca="false">IFERROR(__xludf.dummyfunction("""COMPUTED_VALUE"""),"Bonus tristar yellow surf 1kg Rs230")</f>
        <v>Bonus tristar yellow surf 1kg Rs230</v>
      </c>
      <c r="D497" s="13" t="str">
        <f aca="false">IFERROR(__xludf.dummyfunction("""COMPUTED_VALUE"""),"Bonus Surf")</f>
        <v>Bonus Surf</v>
      </c>
      <c r="E497" s="13" t="str">
        <f aca="false">IFERROR(__xludf.dummyfunction("""COMPUTED_VALUE"""),"Surf, Bleach")</f>
        <v>Surf, Bleach</v>
      </c>
      <c r="F497" s="11" t="n">
        <f aca="false">IFERROR(__xludf.dummyfunction("""COMPUTED_VALUE"""),45240)</f>
        <v>45240</v>
      </c>
      <c r="G497" s="12" t="n">
        <f aca="false">IFERROR(__xludf.dummyfunction("""COMPUTED_VALUE"""),0.831255300925198)</f>
        <v>0.8312553009</v>
      </c>
      <c r="H497" s="13" t="str">
        <f aca="false">IFERROR(__xludf.dummyfunction("""COMPUTED_VALUE"""),"damaged stock")</f>
        <v>damaged stock</v>
      </c>
      <c r="I497" s="13" t="n">
        <f aca="false">IFERROR(__xludf.dummyfunction("""COMPUTED_VALUE"""),2)</f>
        <v>2</v>
      </c>
      <c r="J497" s="13" t="n">
        <f aca="false">IFERROR(__xludf.dummyfunction("""COMPUTED_VALUE"""),210.36)</f>
        <v>210.36</v>
      </c>
      <c r="K497" s="13" t="n">
        <f aca="false">IFERROR(__xludf.dummyfunction("""COMPUTED_VALUE"""),420.72)</f>
        <v>420.72</v>
      </c>
      <c r="L497" s="13" t="str">
        <f aca="false">IFERROR(__xludf.dummyfunction("""COMPUTED_VALUE"""),"[Code: 578ACEFG]  TA: 2 unit Damage Found during display. (seal sy open hain )")</f>
        <v>[Code: 578ACEFG]  TA: 2 unit Damage Found during display. (seal sy open hain )</v>
      </c>
      <c r="M497" s="13" t="str">
        <f aca="false">IFERROR(__xludf.dummyfunction("""COMPUTED_VALUE"""),"578ACEFG")</f>
        <v>578ACEFG</v>
      </c>
      <c r="N497" s="13"/>
      <c r="O497" s="13" t="str">
        <f aca="false">IFERROR(__xludf.dummyfunction("""COMPUTED_VALUE"""),"taufeeq.akhtar@tajir-app.com")</f>
        <v>taufeeq.akhtar@tajir-app.com</v>
      </c>
      <c r="P497" s="13" t="str">
        <f aca="false">IFERROR(__xludf.dummyfunction("""COMPUTED_VALUE"""),"Taufeeq Akhtar ")</f>
        <v>Taufeeq Akhtar </v>
      </c>
      <c r="Q497" s="13" t="str">
        <f aca="false">IFERROR(__xludf.dummyfunction("""COMPUTED_VALUE"""),"[Code: 578ACEFG]  TA: 2 unit Damage Found during display. (seal sy open hain )")</f>
        <v>[Code: 578ACEFG]  TA: 2 unit Damage Found during display. (seal sy open hain )</v>
      </c>
      <c r="R497" s="13" t="str">
        <v>Fri,10-November-2023 ,07:57 PM</v>
      </c>
      <c r="S497" s="13" t="str">
        <v>Damaged Stock</v>
      </c>
    </row>
    <row r="498" customFormat="false" ht="15.75" hidden="false" customHeight="false" outlineLevel="0" collapsed="false">
      <c r="A498" s="13" t="str">
        <f aca="false">IFERROR(__xludf.dummyfunction("""COMPUTED_VALUE"""),"Metro DC Faisalabad")</f>
        <v>Metro DC Faisalabad</v>
      </c>
      <c r="B498" s="13" t="str">
        <f aca="false">IFERROR(__xludf.dummyfunction("""COMPUTED_VALUE"""),"f5d0fa7a-c3e6-4b73-a02d-50506e9dd23b")</f>
        <v>f5d0fa7a-c3e6-4b73-a02d-50506e9dd23b</v>
      </c>
      <c r="C498" s="13" t="str">
        <f aca="false">IFERROR(__xludf.dummyfunction("""COMPUTED_VALUE"""),"Ultra Pure Surf 1kg Rs350")</f>
        <v>Ultra Pure Surf 1kg Rs350</v>
      </c>
      <c r="D498" s="13" t="str">
        <f aca="false">IFERROR(__xludf.dummyfunction("""COMPUTED_VALUE"""),"Ultra Pure")</f>
        <v>Ultra Pure</v>
      </c>
      <c r="E498" s="13" t="str">
        <f aca="false">IFERROR(__xludf.dummyfunction("""COMPUTED_VALUE"""),"Surf, Bleach")</f>
        <v>Surf, Bleach</v>
      </c>
      <c r="F498" s="11" t="n">
        <f aca="false">IFERROR(__xludf.dummyfunction("""COMPUTED_VALUE"""),45240)</f>
        <v>45240</v>
      </c>
      <c r="G498" s="12" t="n">
        <f aca="false">IFERROR(__xludf.dummyfunction("""COMPUTED_VALUE"""),0.839452129630875)</f>
        <v>0.8394521296</v>
      </c>
      <c r="H498" s="13" t="str">
        <f aca="false">IFERROR(__xludf.dummyfunction("""COMPUTED_VALUE"""),"damaged stock")</f>
        <v>damaged stock</v>
      </c>
      <c r="I498" s="13" t="n">
        <f aca="false">IFERROR(__xludf.dummyfunction("""COMPUTED_VALUE"""),1)</f>
        <v>1</v>
      </c>
      <c r="J498" s="13" t="n">
        <f aca="false">IFERROR(__xludf.dummyfunction("""COMPUTED_VALUE"""),189)</f>
        <v>189</v>
      </c>
      <c r="K498" s="13" t="n">
        <f aca="false">IFERROR(__xludf.dummyfunction("""COMPUTED_VALUE"""),189)</f>
        <v>189</v>
      </c>
      <c r="L498" s="13" t="str">
        <f aca="false">IFERROR(__xludf.dummyfunction("""COMPUTED_VALUE"""),"[Code: 4666ADEJ]  TA: 1unit Damage Found during display. (seal sy open hain )")</f>
        <v>[Code: 4666ADEJ]  TA: 1unit Damage Found during display. (seal sy open hain )</v>
      </c>
      <c r="M498" s="13" t="str">
        <f aca="false">IFERROR(__xludf.dummyfunction("""COMPUTED_VALUE"""),"4666ADEJ")</f>
        <v>4666ADEJ</v>
      </c>
      <c r="N498" s="13"/>
      <c r="O498" s="13" t="str">
        <f aca="false">IFERROR(__xludf.dummyfunction("""COMPUTED_VALUE"""),"taufeeq.akhtar@tajir-app.com")</f>
        <v>taufeeq.akhtar@tajir-app.com</v>
      </c>
      <c r="P498" s="13" t="str">
        <f aca="false">IFERROR(__xludf.dummyfunction("""COMPUTED_VALUE"""),"Taufeeq Akhtar ")</f>
        <v>Taufeeq Akhtar </v>
      </c>
      <c r="Q498" s="13" t="str">
        <f aca="false">IFERROR(__xludf.dummyfunction("""COMPUTED_VALUE"""),"[Code: 4666ADEJ]  TA: 1unit Damage Found during display. (seal sy open hain )")</f>
        <v>[Code: 4666ADEJ]  TA: 1unit Damage Found during display. (seal sy open hain )</v>
      </c>
      <c r="R498" s="13" t="str">
        <v>Fri,10-November-2023 ,08:08 PM</v>
      </c>
      <c r="S498" s="13" t="str">
        <v>Damaged Stock</v>
      </c>
    </row>
    <row r="499" customFormat="false" ht="15.75" hidden="false" customHeight="false" outlineLevel="0" collapsed="false">
      <c r="A499" s="13" t="str">
        <f aca="false">IFERROR(__xludf.dummyfunction("""COMPUTED_VALUE"""),"Metro DC Faisalabad")</f>
        <v>Metro DC Faisalabad</v>
      </c>
      <c r="B499" s="13" t="str">
        <f aca="false">IFERROR(__xludf.dummyfunction("""COMPUTED_VALUE"""),"31763cb5-175e-49fe-8888-5294f63f243b")</f>
        <v>31763cb5-175e-49fe-8888-5294f63f243b</v>
      </c>
      <c r="C499" s="13" t="str">
        <f aca="false">IFERROR(__xludf.dummyfunction("""COMPUTED_VALUE"""),"Softmints Ice Cool Chewy Mints 100pcs Rs2")</f>
        <v>Softmints Ice Cool Chewy Mints 100pcs Rs2</v>
      </c>
      <c r="D499" s="13" t="str">
        <f aca="false">IFERROR(__xludf.dummyfunction("""COMPUTED_VALUE"""),"Cadbury")</f>
        <v>Cadbury</v>
      </c>
      <c r="E499" s="13" t="str">
        <f aca="false">IFERROR(__xludf.dummyfunction("""COMPUTED_VALUE"""),"Confectionary")</f>
        <v>Confectionary</v>
      </c>
      <c r="F499" s="11" t="n">
        <f aca="false">IFERROR(__xludf.dummyfunction("""COMPUTED_VALUE"""),45241)</f>
        <v>45241</v>
      </c>
      <c r="G499" s="12" t="n">
        <f aca="false">IFERROR(__xludf.dummyfunction("""COMPUTED_VALUE"""),0.930902407408663)</f>
        <v>0.9309024074</v>
      </c>
      <c r="H499" s="13" t="str">
        <f aca="false">IFERROR(__xludf.dummyfunction("""COMPUTED_VALUE"""),"damaged stock")</f>
        <v>damaged stock</v>
      </c>
      <c r="I499" s="13" t="n">
        <f aca="false">IFERROR(__xludf.dummyfunction("""COMPUTED_VALUE"""),2)</f>
        <v>2</v>
      </c>
      <c r="J499" s="13" t="n">
        <f aca="false">IFERROR(__xludf.dummyfunction("""COMPUTED_VALUE"""),173.74)</f>
        <v>173.74</v>
      </c>
      <c r="K499" s="13" t="n">
        <f aca="false">IFERROR(__xludf.dummyfunction("""COMPUTED_VALUE"""),347.48)</f>
        <v>347.48</v>
      </c>
      <c r="L499" s="13" t="str">
        <f aca="false">IFERROR(__xludf.dummyfunction("""COMPUTED_VALUE"""),"[Code: 334AABCD] TA: found damaged from box during display...")</f>
        <v>[Code: 334AABCD] TA: found damaged from box during display...</v>
      </c>
      <c r="M499" s="13" t="str">
        <f aca="false">IFERROR(__xludf.dummyfunction("""COMPUTED_VALUE"""),"334AABCD")</f>
        <v>334AABCD</v>
      </c>
      <c r="N499" s="13"/>
      <c r="O499" s="13" t="str">
        <f aca="false">IFERROR(__xludf.dummyfunction("""COMPUTED_VALUE"""),"taufeeq.akhtar@tajir-app.com")</f>
        <v>taufeeq.akhtar@tajir-app.com</v>
      </c>
      <c r="P499" s="13" t="str">
        <f aca="false">IFERROR(__xludf.dummyfunction("""COMPUTED_VALUE"""),"Taufeeq Akhtar ")</f>
        <v>Taufeeq Akhtar </v>
      </c>
      <c r="Q499" s="13" t="str">
        <f aca="false">IFERROR(__xludf.dummyfunction("""COMPUTED_VALUE"""),"[Code: 334AABCD] TA: found damaged from box during display...")</f>
        <v>[Code: 334AABCD] TA: found damaged from box during display...</v>
      </c>
      <c r="R499" s="13" t="str">
        <v>Sat,11-November-2023 ,10:20 PM</v>
      </c>
      <c r="S499" s="13" t="str">
        <v>Damaged Stock</v>
      </c>
    </row>
    <row r="500" customFormat="false" ht="15.75" hidden="false" customHeight="false" outlineLevel="0" collapsed="false">
      <c r="A500" s="13" t="str">
        <f aca="false">IFERROR(__xludf.dummyfunction("""COMPUTED_VALUE"""),"Metro DC Faisalabad")</f>
        <v>Metro DC Faisalabad</v>
      </c>
      <c r="B500" s="13" t="str">
        <f aca="false">IFERROR(__xludf.dummyfunction("""COMPUTED_VALUE"""),"caa0e387-9f68-407e-84d3-2cbf5010bda9")</f>
        <v>caa0e387-9f68-407e-84d3-2cbf5010bda9</v>
      </c>
      <c r="C500" s="13" t="str">
        <f aca="false">IFERROR(__xludf.dummyfunction("""COMPUTED_VALUE"""),"Sunsilk Hairfall Shampoo x16 bundle 7ml Rs10")</f>
        <v>Sunsilk Hairfall Shampoo x16 bundle 7ml Rs10</v>
      </c>
      <c r="D500" s="13" t="str">
        <f aca="false">IFERROR(__xludf.dummyfunction("""COMPUTED_VALUE"""),"Sunsilk")</f>
        <v>Sunsilk</v>
      </c>
      <c r="E500" s="13" t="str">
        <f aca="false">IFERROR(__xludf.dummyfunction("""COMPUTED_VALUE"""),"Shampoo")</f>
        <v>Shampoo</v>
      </c>
      <c r="F500" s="11" t="n">
        <f aca="false">IFERROR(__xludf.dummyfunction("""COMPUTED_VALUE"""),45242)</f>
        <v>45242</v>
      </c>
      <c r="G500" s="12" t="n">
        <f aca="false">IFERROR(__xludf.dummyfunction("""COMPUTED_VALUE"""),0.918799467593229)</f>
        <v>0.9187994676</v>
      </c>
      <c r="H500" s="13" t="str">
        <f aca="false">IFERROR(__xludf.dummyfunction("""COMPUTED_VALUE"""),"damaged stock")</f>
        <v>damaged stock</v>
      </c>
      <c r="I500" s="13" t="n">
        <f aca="false">IFERROR(__xludf.dummyfunction("""COMPUTED_VALUE"""),1)</f>
        <v>1</v>
      </c>
      <c r="J500" s="13" t="n">
        <f aca="false">IFERROR(__xludf.dummyfunction("""COMPUTED_VALUE"""),142)</f>
        <v>142</v>
      </c>
      <c r="K500" s="13" t="n">
        <f aca="false">IFERROR(__xludf.dummyfunction("""COMPUTED_VALUE"""),142)</f>
        <v>142</v>
      </c>
      <c r="L500" s="13" t="str">
        <f aca="false">IFERROR(__xludf.dummyfunction("""COMPUTED_VALUE"""),"[Code: 3CDEEFHJ] TA; 1unit damage found during display")</f>
        <v>[Code: 3CDEEFHJ] TA; 1unit damage found during display</v>
      </c>
      <c r="M500" s="13" t="str">
        <f aca="false">IFERROR(__xludf.dummyfunction("""COMPUTED_VALUE"""),"3CDEEFHJ")</f>
        <v>3CDEEFHJ</v>
      </c>
      <c r="N500" s="13"/>
      <c r="O500" s="13" t="str">
        <f aca="false">IFERROR(__xludf.dummyfunction("""COMPUTED_VALUE"""),"taufeeq.akhtar@tajir-app.com")</f>
        <v>taufeeq.akhtar@tajir-app.com</v>
      </c>
      <c r="P500" s="13" t="str">
        <f aca="false">IFERROR(__xludf.dummyfunction("""COMPUTED_VALUE"""),"Taufeeq Akhtar ")</f>
        <v>Taufeeq Akhtar </v>
      </c>
      <c r="Q500" s="13" t="str">
        <f aca="false">IFERROR(__xludf.dummyfunction("""COMPUTED_VALUE"""),"[Code: 3CDEEFHJ] TA; 1unit damage found during display")</f>
        <v>[Code: 3CDEEFHJ] TA; 1unit damage found during display</v>
      </c>
      <c r="R500" s="13" t="str">
        <v>Sun,12-November-2023 ,10:03 PM</v>
      </c>
      <c r="S500" s="13" t="str">
        <v>Damaged Stock</v>
      </c>
    </row>
    <row r="501" customFormat="false" ht="15.75" hidden="false" customHeight="false" outlineLevel="0" collapsed="false">
      <c r="A501" s="13" t="str">
        <f aca="false">IFERROR(__xludf.dummyfunction("""COMPUTED_VALUE"""),"Metro DC Faisalabad")</f>
        <v>Metro DC Faisalabad</v>
      </c>
      <c r="B501" s="13" t="str">
        <f aca="false">IFERROR(__xludf.dummyfunction("""COMPUTED_VALUE"""),"63888977-140e-48ab-be06-54a2810ec1fe")</f>
        <v>63888977-140e-48ab-be06-54a2810ec1fe</v>
      </c>
      <c r="C501" s="13" t="str">
        <f aca="false">IFERROR(__xludf.dummyfunction("""COMPUTED_VALUE"""),"Anne French Hair Removing Cream Rose 14g Rs35")</f>
        <v>Anne French Hair Removing Cream Rose 14g Rs35</v>
      </c>
      <c r="D501" s="13" t="str">
        <f aca="false">IFERROR(__xludf.dummyfunction("""COMPUTED_VALUE"""),"Anne French")</f>
        <v>Anne French</v>
      </c>
      <c r="E501" s="13" t="str">
        <f aca="false">IFERROR(__xludf.dummyfunction("""COMPUTED_VALUE"""),"Personal Care")</f>
        <v>Personal Care</v>
      </c>
      <c r="F501" s="11" t="n">
        <f aca="false">IFERROR(__xludf.dummyfunction("""COMPUTED_VALUE"""),45242)</f>
        <v>45242</v>
      </c>
      <c r="G501" s="12" t="n">
        <f aca="false">IFERROR(__xludf.dummyfunction("""COMPUTED_VALUE"""),0.919949930554833)</f>
        <v>0.9199499306</v>
      </c>
      <c r="H501" s="13" t="str">
        <f aca="false">IFERROR(__xludf.dummyfunction("""COMPUTED_VALUE"""),"damaged stock")</f>
        <v>damaged stock</v>
      </c>
      <c r="I501" s="13" t="n">
        <f aca="false">IFERROR(__xludf.dummyfunction("""COMPUTED_VALUE"""),1)</f>
        <v>1</v>
      </c>
      <c r="J501" s="13" t="n">
        <f aca="false">IFERROR(__xludf.dummyfunction("""COMPUTED_VALUE"""),33.35)</f>
        <v>33.35</v>
      </c>
      <c r="K501" s="13" t="n">
        <f aca="false">IFERROR(__xludf.dummyfunction("""COMPUTED_VALUE"""),33.35)</f>
        <v>33.35</v>
      </c>
      <c r="L501" s="13" t="str">
        <f aca="false">IFERROR(__xludf.dummyfunction("""COMPUTED_VALUE"""),"[Code: 55566ABG] TA: 1 unit damage found during sorting")</f>
        <v>[Code: 55566ABG] TA: 1 unit damage found during sorting</v>
      </c>
      <c r="M501" s="13" t="str">
        <f aca="false">IFERROR(__xludf.dummyfunction("""COMPUTED_VALUE"""),"55566ABG")</f>
        <v>55566ABG</v>
      </c>
      <c r="N501" s="13"/>
      <c r="O501" s="13" t="str">
        <f aca="false">IFERROR(__xludf.dummyfunction("""COMPUTED_VALUE"""),"taufeeq.akhtar@tajir-app.com")</f>
        <v>taufeeq.akhtar@tajir-app.com</v>
      </c>
      <c r="P501" s="13" t="str">
        <f aca="false">IFERROR(__xludf.dummyfunction("""COMPUTED_VALUE"""),"Taufeeq Akhtar ")</f>
        <v>Taufeeq Akhtar </v>
      </c>
      <c r="Q501" s="13" t="str">
        <f aca="false">IFERROR(__xludf.dummyfunction("""COMPUTED_VALUE"""),"[Code: 55566ABG] TA: 1 unit damage found during sorting")</f>
        <v>[Code: 55566ABG] TA: 1 unit damage found during sorting</v>
      </c>
      <c r="R501" s="13" t="str">
        <v>Sun,12-November-2023 ,10:04 PM</v>
      </c>
      <c r="S501" s="13" t="str">
        <v>Damaged Stock</v>
      </c>
    </row>
    <row r="502" customFormat="false" ht="15.75" hidden="false" customHeight="false" outlineLevel="0" collapsed="false">
      <c r="A502" s="13" t="str">
        <f aca="false">IFERROR(__xludf.dummyfunction("""COMPUTED_VALUE"""),"Metro DC Faisalabad")</f>
        <v>Metro DC Faisalabad</v>
      </c>
      <c r="B502" s="13" t="str">
        <f aca="false">IFERROR(__xludf.dummyfunction("""COMPUTED_VALUE"""),"24eda97a-547d-4730-a019-073bc438fe6c")</f>
        <v>24eda97a-547d-4730-a019-073bc438fe6c</v>
      </c>
      <c r="C502" s="13" t="str">
        <f aca="false">IFERROR(__xludf.dummyfunction("""COMPUTED_VALUE"""),"Al-Munawar Special Muzafati Dates Box")</f>
        <v>Al-Munawar Special Muzafati Dates Box</v>
      </c>
      <c r="D502" s="13" t="str">
        <f aca="false">IFERROR(__xludf.dummyfunction("""COMPUTED_VALUE"""),"Al-Munawar")</f>
        <v>Al-Munawar</v>
      </c>
      <c r="E502" s="13" t="str">
        <f aca="false">IFERROR(__xludf.dummyfunction("""COMPUTED_VALUE"""),"Khajoor &amp; Pakoriyan")</f>
        <v>Khajoor &amp; Pakoriyan</v>
      </c>
      <c r="F502" s="11" t="n">
        <f aca="false">IFERROR(__xludf.dummyfunction("""COMPUTED_VALUE"""),45243)</f>
        <v>45243</v>
      </c>
      <c r="G502" s="12" t="n">
        <f aca="false">IFERROR(__xludf.dummyfunction("""COMPUTED_VALUE"""),0.88915035879559)</f>
        <v>0.8891503588</v>
      </c>
      <c r="H502" s="13" t="str">
        <f aca="false">IFERROR(__xludf.dummyfunction("""COMPUTED_VALUE"""),"damaged stock")</f>
        <v>damaged stock</v>
      </c>
      <c r="I502" s="13" t="n">
        <f aca="false">IFERROR(__xludf.dummyfunction("""COMPUTED_VALUE"""),1)</f>
        <v>1</v>
      </c>
      <c r="J502" s="13" t="n">
        <f aca="false">IFERROR(__xludf.dummyfunction("""COMPUTED_VALUE"""),420)</f>
        <v>420</v>
      </c>
      <c r="K502" s="13" t="n">
        <f aca="false">IFERROR(__xludf.dummyfunction("""COMPUTED_VALUE"""),420)</f>
        <v>420</v>
      </c>
      <c r="L502" s="13" t="str">
        <f aca="false">IFERROR(__xludf.dummyfunction("""COMPUTED_VALUE"""),"[Code: 4666CEHJ] TA; 1unit found damage due to bad quality (box ky andr sundi lgi he)")</f>
        <v>[Code: 4666CEHJ] TA; 1unit found damage due to bad quality (box ky andr sundi lgi he)</v>
      </c>
      <c r="M502" s="13" t="str">
        <f aca="false">IFERROR(__xludf.dummyfunction("""COMPUTED_VALUE"""),"4666CEHJ")</f>
        <v>4666CEHJ</v>
      </c>
      <c r="N502" s="13"/>
      <c r="O502" s="13" t="str">
        <f aca="false">IFERROR(__xludf.dummyfunction("""COMPUTED_VALUE"""),"taufeeq.akhtar@tajir-app.com")</f>
        <v>taufeeq.akhtar@tajir-app.com</v>
      </c>
      <c r="P502" s="13" t="str">
        <f aca="false">IFERROR(__xludf.dummyfunction("""COMPUTED_VALUE"""),"Taufeeq Akhtar ")</f>
        <v>Taufeeq Akhtar </v>
      </c>
      <c r="Q502" s="13" t="str">
        <f aca="false">IFERROR(__xludf.dummyfunction("""COMPUTED_VALUE"""),"[Code: 4666CEHJ] TA; 1unit found damage due to bad quality (box ky andr sundi lgi he)")</f>
        <v>[Code: 4666CEHJ] TA; 1unit found damage due to bad quality (box ky andr sundi lgi he)</v>
      </c>
      <c r="R502" s="13" t="str">
        <v>Mon,13-November-2023 ,09:20 PM</v>
      </c>
      <c r="S502" s="13" t="str">
        <v>Damaged Stock</v>
      </c>
    </row>
    <row r="503" customFormat="false" ht="15.75" hidden="false" customHeight="false" outlineLevel="0" collapsed="false">
      <c r="A503" s="13" t="str">
        <f aca="false">IFERROR(__xludf.dummyfunction("""COMPUTED_VALUE"""),"Metro DC Faisalabad")</f>
        <v>Metro DC Faisalabad</v>
      </c>
      <c r="B503" s="13" t="str">
        <f aca="false">IFERROR(__xludf.dummyfunction("""COMPUTED_VALUE"""),"8402bd3d-b067-4d0c-b197-4e5dba5a97d9")</f>
        <v>8402bd3d-b067-4d0c-b197-4e5dba5a97d9</v>
      </c>
      <c r="C503" s="13" t="str">
        <f aca="false">IFERROR(__xludf.dummyfunction("""COMPUTED_VALUE"""),"Bonus tristar yellow surf 225g Rs50")</f>
        <v>Bonus tristar yellow surf 225g Rs50</v>
      </c>
      <c r="D503" s="13" t="str">
        <f aca="false">IFERROR(__xludf.dummyfunction("""COMPUTED_VALUE"""),"Bonus Surf")</f>
        <v>Bonus Surf</v>
      </c>
      <c r="E503" s="13" t="str">
        <f aca="false">IFERROR(__xludf.dummyfunction("""COMPUTED_VALUE"""),"Surf, Bleach")</f>
        <v>Surf, Bleach</v>
      </c>
      <c r="F503" s="11" t="n">
        <f aca="false">IFERROR(__xludf.dummyfunction("""COMPUTED_VALUE"""),45244)</f>
        <v>45244</v>
      </c>
      <c r="G503" s="12" t="n">
        <f aca="false">IFERROR(__xludf.dummyfunction("""COMPUTED_VALUE"""),0.899121435184743)</f>
        <v>0.8991214352</v>
      </c>
      <c r="H503" s="13" t="str">
        <f aca="false">IFERROR(__xludf.dummyfunction("""COMPUTED_VALUE"""),"damaged stock")</f>
        <v>damaged stock</v>
      </c>
      <c r="I503" s="13" t="n">
        <f aca="false">IFERROR(__xludf.dummyfunction("""COMPUTED_VALUE"""),3)</f>
        <v>3</v>
      </c>
      <c r="J503" s="13" t="n">
        <f aca="false">IFERROR(__xludf.dummyfunction("""COMPUTED_VALUE"""),45.59)</f>
        <v>45.59</v>
      </c>
      <c r="K503" s="13" t="n">
        <f aca="false">IFERROR(__xludf.dummyfunction("""COMPUTED_VALUE"""),136.77)</f>
        <v>136.77</v>
      </c>
      <c r="L503" s="13" t="str">
        <f aca="false">IFERROR(__xludf.dummyfunction("""COMPUTED_VALUE"""),"[Code: 68ABCEJL] TA: 3unit Damage Found during Display (bag sy damage mily hain)")</f>
        <v>[Code: 68ABCEJL] TA: 3unit Damage Found during Display (bag sy damage mily hain)</v>
      </c>
      <c r="M503" s="13" t="str">
        <f aca="false">IFERROR(__xludf.dummyfunction("""COMPUTED_VALUE"""),"68ABCEJL")</f>
        <v>68ABCEJL</v>
      </c>
      <c r="N503" s="13"/>
      <c r="O503" s="13" t="str">
        <f aca="false">IFERROR(__xludf.dummyfunction("""COMPUTED_VALUE"""),"taufeeq.akhtar@tajir-app.com")</f>
        <v>taufeeq.akhtar@tajir-app.com</v>
      </c>
      <c r="P503" s="13" t="str">
        <f aca="false">IFERROR(__xludf.dummyfunction("""COMPUTED_VALUE"""),"Taufeeq Akhtar ")</f>
        <v>Taufeeq Akhtar </v>
      </c>
      <c r="Q503" s="13" t="str">
        <f aca="false">IFERROR(__xludf.dummyfunction("""COMPUTED_VALUE"""),"[Code: 68ABCEJL] TA: 3unit Damage Found during Display (bag sy damage mily hain)")</f>
        <v>[Code: 68ABCEJL] TA: 3unit Damage Found during Display (bag sy damage mily hain)</v>
      </c>
      <c r="R503" s="13" t="str">
        <v>Tue,14-November-2023 ,09:34 PM</v>
      </c>
      <c r="S503" s="13" t="str">
        <v>Damaged Stock</v>
      </c>
    </row>
    <row r="504" customFormat="false" ht="15.75" hidden="false" customHeight="false" outlineLevel="0" collapsed="false">
      <c r="A504" s="13" t="str">
        <f aca="false">IFERROR(__xludf.dummyfunction("""COMPUTED_VALUE"""),"Metro DC Faisalabad")</f>
        <v>Metro DC Faisalabad</v>
      </c>
      <c r="B504" s="13" t="str">
        <f aca="false">IFERROR(__xludf.dummyfunction("""COMPUTED_VALUE"""),"c72c27ef-ae66-44e4-a637-35674a58a114")</f>
        <v>c72c27ef-ae66-44e4-a637-35674a58a114</v>
      </c>
      <c r="C504" s="13" t="str">
        <f aca="false">IFERROR(__xludf.dummyfunction("""COMPUTED_VALUE"""),"Super Crisp Mix Nimko Spicy Family Pack Rs50 30g")</f>
        <v>Super Crisp Mix Nimko Spicy Family Pack Rs50 30g</v>
      </c>
      <c r="D504" s="13" t="str">
        <f aca="false">IFERROR(__xludf.dummyfunction("""COMPUTED_VALUE"""),"Super Crisp")</f>
        <v>Super Crisp</v>
      </c>
      <c r="E504" s="13" t="str">
        <f aca="false">IFERROR(__xludf.dummyfunction("""COMPUTED_VALUE"""),"Snacks")</f>
        <v>Snacks</v>
      </c>
      <c r="F504" s="11" t="n">
        <f aca="false">IFERROR(__xludf.dummyfunction("""COMPUTED_VALUE"""),45245)</f>
        <v>45245</v>
      </c>
      <c r="G504" s="12" t="n">
        <f aca="false">IFERROR(__xludf.dummyfunction("""COMPUTED_VALUE"""),0.534916296296334)</f>
        <v>0.5349162963</v>
      </c>
      <c r="H504" s="13" t="str">
        <f aca="false">IFERROR(__xludf.dummyfunction("""COMPUTED_VALUE"""),"damaged stock")</f>
        <v>damaged stock</v>
      </c>
      <c r="I504" s="13" t="n">
        <f aca="false">IFERROR(__xludf.dummyfunction("""COMPUTED_VALUE"""),24)</f>
        <v>24</v>
      </c>
      <c r="J504" s="13" t="n">
        <f aca="false">IFERROR(__xludf.dummyfunction("""COMPUTED_VALUE"""),40.42)</f>
        <v>40.42</v>
      </c>
      <c r="K504" s="13" t="n">
        <f aca="false">IFERROR(__xludf.dummyfunction("""COMPUTED_VALUE"""),970.08)</f>
        <v>970.08</v>
      </c>
      <c r="L504" s="13" t="str">
        <f aca="false">IFERROR(__xludf.dummyfunction("""COMPUTED_VALUE"""),"[Code: 3578ADDD] 1 ctn having 24 units but when open found 19 units")</f>
        <v>[Code: 3578ADDD] 1 ctn having 24 units but when open found 19 units</v>
      </c>
      <c r="M504" s="13" t="str">
        <f aca="false">IFERROR(__xludf.dummyfunction("""COMPUTED_VALUE"""),"3578ADDD")</f>
        <v>3578ADDD</v>
      </c>
      <c r="N504" s="13"/>
      <c r="O504" s="13" t="str">
        <f aca="false">IFERROR(__xludf.dummyfunction("""COMPUTED_VALUE"""),"ali.raza@tajir-app.com")</f>
        <v>ali.raza@tajir-app.com</v>
      </c>
      <c r="P504" s="13" t="str">
        <f aca="false">IFERROR(__xludf.dummyfunction("""COMPUTED_VALUE"""),"Ali Raza ")</f>
        <v>Ali Raza </v>
      </c>
      <c r="Q504" s="13" t="str">
        <f aca="false">IFERROR(__xludf.dummyfunction("""COMPUTED_VALUE"""),"[Code: 3578ADDD] 1 ctn having 24 units but when open found 19 units")</f>
        <v>[Code: 3578ADDD] 1 ctn having 24 units but when open found 19 units</v>
      </c>
      <c r="R504" s="13" t="str">
        <v>Wed,15-November-2023 ,12:50 PM</v>
      </c>
      <c r="S504" s="13" t="str">
        <v>Damaged Stock</v>
      </c>
    </row>
    <row r="505" customFormat="false" ht="15.75" hidden="false" customHeight="false" outlineLevel="0" collapsed="false">
      <c r="A505" s="13" t="str">
        <f aca="false">IFERROR(__xludf.dummyfunction("""COMPUTED_VALUE"""),"Metro DC Faisalabad")</f>
        <v>Metro DC Faisalabad</v>
      </c>
      <c r="B505" s="13" t="str">
        <f aca="false">IFERROR(__xludf.dummyfunction("""COMPUTED_VALUE"""),"89d464f6-022a-41b2-8847-e5d6f1123566")</f>
        <v>89d464f6-022a-41b2-8847-e5d6f1123566</v>
      </c>
      <c r="C505" s="13" t="str">
        <f aca="false">IFERROR(__xludf.dummyfunction("""COMPUTED_VALUE"""),"Guard Long Grain Rice 1kg Rs225")</f>
        <v>Guard Long Grain Rice 1kg Rs225</v>
      </c>
      <c r="D505" s="13" t="str">
        <f aca="false">IFERROR(__xludf.dummyfunction("""COMPUTED_VALUE"""),"Guard Agri")</f>
        <v>Guard Agri</v>
      </c>
      <c r="E505" s="13" t="str">
        <f aca="false">IFERROR(__xludf.dummyfunction("""COMPUTED_VALUE"""),"Rice")</f>
        <v>Rice</v>
      </c>
      <c r="F505" s="11" t="n">
        <f aca="false">IFERROR(__xludf.dummyfunction("""COMPUTED_VALUE"""),45245)</f>
        <v>45245</v>
      </c>
      <c r="G505" s="12" t="n">
        <f aca="false">IFERROR(__xludf.dummyfunction("""COMPUTED_VALUE"""),0.912500046294841)</f>
        <v>0.9125000463</v>
      </c>
      <c r="H505" s="13" t="str">
        <f aca="false">IFERROR(__xludf.dummyfunction("""COMPUTED_VALUE"""),"damaged stock")</f>
        <v>damaged stock</v>
      </c>
      <c r="I505" s="13" t="n">
        <f aca="false">IFERROR(__xludf.dummyfunction("""COMPUTED_VALUE"""),173)</f>
        <v>173</v>
      </c>
      <c r="J505" s="13" t="n">
        <f aca="false">IFERROR(__xludf.dummyfunction("""COMPUTED_VALUE"""),191.67)</f>
        <v>191.67</v>
      </c>
      <c r="K505" s="13" t="n">
        <f aca="false">IFERROR(__xludf.dummyfunction("""COMPUTED_VALUE"""),33158.91)</f>
        <v>33158.91</v>
      </c>
      <c r="L505" s="13" t="str">
        <f aca="false">IFERROR(__xludf.dummyfunction("""COMPUTED_VALUE"""),"[Code: 66666ACG] TA: Quality bohot ziada kharab hay..(susri lagi hay) ")</f>
        <v>[Code: 66666ACG] TA: Quality bohot ziada kharab hay..(susri lagi hay) </v>
      </c>
      <c r="M505" s="13" t="str">
        <f aca="false">IFERROR(__xludf.dummyfunction("""COMPUTED_VALUE"""),"66666ACG")</f>
        <v>66666ACG</v>
      </c>
      <c r="N505" s="13"/>
      <c r="O505" s="13" t="str">
        <f aca="false">IFERROR(__xludf.dummyfunction("""COMPUTED_VALUE"""),"taufeeq.akhtar@tajir-app.com")</f>
        <v>taufeeq.akhtar@tajir-app.com</v>
      </c>
      <c r="P505" s="13" t="str">
        <f aca="false">IFERROR(__xludf.dummyfunction("""COMPUTED_VALUE"""),"Taufeeq Akhtar ")</f>
        <v>Taufeeq Akhtar </v>
      </c>
      <c r="Q505" s="13" t="str">
        <f aca="false">IFERROR(__xludf.dummyfunction("""COMPUTED_VALUE"""),"[Code: 66666ACG] TA: Quality bohot ziada kharab hay..(susri lagi hay) ")</f>
        <v>[Code: 66666ACG] TA: Quality bohot ziada kharab hay..(susri lagi hay) </v>
      </c>
      <c r="R505" s="13" t="str">
        <v>Wed,15-November-2023 ,09:54 PM</v>
      </c>
      <c r="S505" s="13" t="str">
        <v>Damaged Stock</v>
      </c>
    </row>
    <row r="506" customFormat="false" ht="15.75" hidden="false" customHeight="false" outlineLevel="0" collapsed="false">
      <c r="A506" s="13" t="str">
        <f aca="false">IFERROR(__xludf.dummyfunction("""COMPUTED_VALUE"""),"Metro DC Faisalabad")</f>
        <v>Metro DC Faisalabad</v>
      </c>
      <c r="B506" s="13" t="str">
        <f aca="false">IFERROR(__xludf.dummyfunction("""COMPUTED_VALUE"""),"8caa7e2b-bd86-4e77-b9b4-ee4bf18f6ba8")</f>
        <v>8caa7e2b-bd86-4e77-b9b4-ee4bf18f6ba8</v>
      </c>
      <c r="C506" s="13" t="str">
        <f aca="false">IFERROR(__xludf.dummyfunction("""COMPUTED_VALUE"""),"Jan Peach 1L")</f>
        <v>Jan Peach 1L</v>
      </c>
      <c r="D506" s="13" t="str">
        <f aca="false">IFERROR(__xludf.dummyfunction("""COMPUTED_VALUE"""),"Jan")</f>
        <v>Jan</v>
      </c>
      <c r="E506" s="13" t="str">
        <f aca="false">IFERROR(__xludf.dummyfunction("""COMPUTED_VALUE"""),"Juice, Syrup, Squash")</f>
        <v>Juice, Syrup, Squash</v>
      </c>
      <c r="F506" s="11" t="n">
        <f aca="false">IFERROR(__xludf.dummyfunction("""COMPUTED_VALUE"""),45247)</f>
        <v>45247</v>
      </c>
      <c r="G506" s="12" t="n">
        <f aca="false">IFERROR(__xludf.dummyfunction("""COMPUTED_VALUE"""),0.734780138888997)</f>
        <v>0.7347801389</v>
      </c>
      <c r="H506" s="13" t="str">
        <f aca="false">IFERROR(__xludf.dummyfunction("""COMPUTED_VALUE"""),"damaged stock")</f>
        <v>damaged stock</v>
      </c>
      <c r="I506" s="13" t="n">
        <f aca="false">IFERROR(__xludf.dummyfunction("""COMPUTED_VALUE"""),1)</f>
        <v>1</v>
      </c>
      <c r="J506" s="13" t="n">
        <f aca="false">IFERROR(__xludf.dummyfunction("""COMPUTED_VALUE"""),130.83)</f>
        <v>130.83</v>
      </c>
      <c r="K506" s="13" t="n">
        <f aca="false">IFERROR(__xludf.dummyfunction("""COMPUTED_VALUE"""),130.83)</f>
        <v>130.83</v>
      </c>
      <c r="L506" s="13" t="str">
        <f aca="false">IFERROR(__xludf.dummyfunction("""COMPUTED_VALUE"""),"[Code: 2378BCCG] TA: 1unit damage found during sorting ")</f>
        <v>[Code: 2378BCCG] TA: 1unit damage found during sorting </v>
      </c>
      <c r="M506" s="13" t="str">
        <f aca="false">IFERROR(__xludf.dummyfunction("""COMPUTED_VALUE"""),"2378BCCG")</f>
        <v>2378BCCG</v>
      </c>
      <c r="N506" s="13"/>
      <c r="O506" s="13" t="str">
        <f aca="false">IFERROR(__xludf.dummyfunction("""COMPUTED_VALUE"""),"taufeeq.akhtar@tajir-app.com")</f>
        <v>taufeeq.akhtar@tajir-app.com</v>
      </c>
      <c r="P506" s="13" t="str">
        <f aca="false">IFERROR(__xludf.dummyfunction("""COMPUTED_VALUE"""),"Taufeeq Akhtar ")</f>
        <v>Taufeeq Akhtar </v>
      </c>
      <c r="Q506" s="13" t="str">
        <f aca="false">IFERROR(__xludf.dummyfunction("""COMPUTED_VALUE"""),"[Code: 2378BCCG] TA: 1unit damage found during sorting ")</f>
        <v>[Code: 2378BCCG] TA: 1unit damage found during sorting </v>
      </c>
      <c r="R506" s="13" t="str">
        <v>Fri,17-November-2023 ,05:38 PM</v>
      </c>
      <c r="S506" s="13" t="str">
        <v>Damaged Stock</v>
      </c>
    </row>
    <row r="507" customFormat="false" ht="15.75" hidden="false" customHeight="false" outlineLevel="0" collapsed="false">
      <c r="A507" s="13" t="str">
        <f aca="false">IFERROR(__xludf.dummyfunction("""COMPUTED_VALUE"""),"Metro DC Faisalabad")</f>
        <v>Metro DC Faisalabad</v>
      </c>
      <c r="B507" s="13" t="str">
        <f aca="false">IFERROR(__xludf.dummyfunction("""COMPUTED_VALUE"""),"2078dcd4-3c88-45e1-bc7b-363dde84c6e8")</f>
        <v>2078dcd4-3c88-45e1-bc7b-363dde84c6e8</v>
      </c>
      <c r="C507" s="13" t="str">
        <f aca="false">IFERROR(__xludf.dummyfunction("""COMPUTED_VALUE"""),"Special Wooden Phool Jharoo")</f>
        <v>Special Wooden Phool Jharoo</v>
      </c>
      <c r="D507" s="13" t="str">
        <f aca="false">IFERROR(__xludf.dummyfunction("""COMPUTED_VALUE"""),"Jharoo")</f>
        <v>Jharoo</v>
      </c>
      <c r="E507" s="13" t="str">
        <f aca="false">IFERROR(__xludf.dummyfunction("""COMPUTED_VALUE"""),"Home Care")</f>
        <v>Home Care</v>
      </c>
      <c r="F507" s="11" t="n">
        <f aca="false">IFERROR(__xludf.dummyfunction("""COMPUTED_VALUE"""),45247)</f>
        <v>45247</v>
      </c>
      <c r="G507" s="12" t="n">
        <f aca="false">IFERROR(__xludf.dummyfunction("""COMPUTED_VALUE"""),0.792575381945689)</f>
        <v>0.7925753819</v>
      </c>
      <c r="H507" s="13" t="str">
        <f aca="false">IFERROR(__xludf.dummyfunction("""COMPUTED_VALUE"""),"damaged stock")</f>
        <v>damaged stock</v>
      </c>
      <c r="I507" s="13" t="n">
        <f aca="false">IFERROR(__xludf.dummyfunction("""COMPUTED_VALUE"""),1)</f>
        <v>1</v>
      </c>
      <c r="J507" s="13" t="n">
        <f aca="false">IFERROR(__xludf.dummyfunction("""COMPUTED_VALUE"""),135)</f>
        <v>135</v>
      </c>
      <c r="K507" s="13" t="n">
        <f aca="false">IFERROR(__xludf.dummyfunction("""COMPUTED_VALUE"""),135)</f>
        <v>135</v>
      </c>
      <c r="L507" s="13" t="str">
        <f aca="false">IFERROR(__xludf.dummyfunction("""COMPUTED_VALUE"""),"[Code: 456ABGGJ]  TA: 1unit damage found during sorting ")</f>
        <v>[Code: 456ABGGJ]  TA: 1unit damage found during sorting </v>
      </c>
      <c r="M507" s="13" t="str">
        <f aca="false">IFERROR(__xludf.dummyfunction("""COMPUTED_VALUE"""),"456ABGGJ")</f>
        <v>456ABGGJ</v>
      </c>
      <c r="N507" s="13"/>
      <c r="O507" s="13" t="str">
        <f aca="false">IFERROR(__xludf.dummyfunction("""COMPUTED_VALUE"""),"taufeeq.akhtar@tajir-app.com")</f>
        <v>taufeeq.akhtar@tajir-app.com</v>
      </c>
      <c r="P507" s="13" t="str">
        <f aca="false">IFERROR(__xludf.dummyfunction("""COMPUTED_VALUE"""),"Taufeeq Akhtar ")</f>
        <v>Taufeeq Akhtar </v>
      </c>
      <c r="Q507" s="13" t="str">
        <f aca="false">IFERROR(__xludf.dummyfunction("""COMPUTED_VALUE"""),"[Code: 456ABGGJ]  TA: 1unit damage found during sorting ")</f>
        <v>[Code: 456ABGGJ]  TA: 1unit damage found during sorting </v>
      </c>
      <c r="R507" s="13" t="str">
        <v>Fri,17-November-2023 ,07:01 PM</v>
      </c>
      <c r="S507" s="13" t="str">
        <v>Damaged Stock</v>
      </c>
    </row>
    <row r="508" customFormat="false" ht="15.75" hidden="false" customHeight="false" outlineLevel="0" collapsed="false">
      <c r="A508" s="13" t="str">
        <f aca="false">IFERROR(__xludf.dummyfunction("""COMPUTED_VALUE"""),"Metro DC Faisalabad")</f>
        <v>Metro DC Faisalabad</v>
      </c>
      <c r="B508" s="13" t="str">
        <f aca="false">IFERROR(__xludf.dummyfunction("""COMPUTED_VALUE"""),"ae3c4d47-c25a-4d8a-91fe-7e939d3514ad")</f>
        <v>ae3c4d47-c25a-4d8a-91fe-7e939d3514ad</v>
      </c>
      <c r="C508" s="13" t="str">
        <f aca="false">IFERROR(__xludf.dummyfunction("""COMPUTED_VALUE"""),"Sunsilk Stunning Black Shine Shampoo x16 bundle 4.5ml")</f>
        <v>Sunsilk Stunning Black Shine Shampoo x16 bundle 4.5ml</v>
      </c>
      <c r="D508" s="13" t="str">
        <f aca="false">IFERROR(__xludf.dummyfunction("""COMPUTED_VALUE"""),"Sunsilk")</f>
        <v>Sunsilk</v>
      </c>
      <c r="E508" s="13" t="str">
        <f aca="false">IFERROR(__xludf.dummyfunction("""COMPUTED_VALUE"""),"Shampoo")</f>
        <v>Shampoo</v>
      </c>
      <c r="F508" s="11" t="n">
        <f aca="false">IFERROR(__xludf.dummyfunction("""COMPUTED_VALUE"""),45247)</f>
        <v>45247</v>
      </c>
      <c r="G508" s="12" t="n">
        <f aca="false">IFERROR(__xludf.dummyfunction("""COMPUTED_VALUE"""),0.79367392361109)</f>
        <v>0.7936739236</v>
      </c>
      <c r="H508" s="13" t="str">
        <f aca="false">IFERROR(__xludf.dummyfunction("""COMPUTED_VALUE"""),"damaged stock")</f>
        <v>damaged stock</v>
      </c>
      <c r="I508" s="13" t="n">
        <f aca="false">IFERROR(__xludf.dummyfunction("""COMPUTED_VALUE"""),1)</f>
        <v>1</v>
      </c>
      <c r="J508" s="13" t="n">
        <f aca="false">IFERROR(__xludf.dummyfunction("""COMPUTED_VALUE"""),72.92)</f>
        <v>72.92</v>
      </c>
      <c r="K508" s="13" t="n">
        <f aca="false">IFERROR(__xludf.dummyfunction("""COMPUTED_VALUE"""),72.92)</f>
        <v>72.92</v>
      </c>
      <c r="L508" s="13" t="str">
        <f aca="false">IFERROR(__xludf.dummyfunction("""COMPUTED_VALUE"""),"[Code: 3699DDGG]   TA: 1unit damage found during sorting ")</f>
        <v>[Code: 3699DDGG]   TA: 1unit damage found during sorting </v>
      </c>
      <c r="M508" s="13" t="str">
        <f aca="false">IFERROR(__xludf.dummyfunction("""COMPUTED_VALUE"""),"3699DDGG")</f>
        <v>3699DDGG</v>
      </c>
      <c r="N508" s="13"/>
      <c r="O508" s="13" t="str">
        <f aca="false">IFERROR(__xludf.dummyfunction("""COMPUTED_VALUE"""),"taufeeq.akhtar@tajir-app.com")</f>
        <v>taufeeq.akhtar@tajir-app.com</v>
      </c>
      <c r="P508" s="13" t="str">
        <f aca="false">IFERROR(__xludf.dummyfunction("""COMPUTED_VALUE"""),"Taufeeq Akhtar ")</f>
        <v>Taufeeq Akhtar </v>
      </c>
      <c r="Q508" s="13" t="str">
        <f aca="false">IFERROR(__xludf.dummyfunction("""COMPUTED_VALUE"""),"[Code: 3699DDGG]   TA: 1unit damage found during sorting ")</f>
        <v>[Code: 3699DDGG]   TA: 1unit damage found during sorting </v>
      </c>
      <c r="R508" s="13" t="str">
        <v>Fri,17-November-2023 ,07:02 PM</v>
      </c>
      <c r="S508" s="13" t="str">
        <v>Damaged Stock</v>
      </c>
    </row>
    <row r="509" customFormat="false" ht="15.75" hidden="false" customHeight="false" outlineLevel="0" collapsed="false">
      <c r="A509" s="13" t="str">
        <f aca="false">IFERROR(__xludf.dummyfunction("""COMPUTED_VALUE"""),"Metro DC Faisalabad")</f>
        <v>Metro DC Faisalabad</v>
      </c>
      <c r="B509" s="13" t="str">
        <f aca="false">IFERROR(__xludf.dummyfunction("""COMPUTED_VALUE"""),"65650175-df92-4ef5-ae18-f525df57d160")</f>
        <v>65650175-df92-4ef5-ae18-f525df57d160</v>
      </c>
      <c r="C509" s="13" t="str">
        <f aca="false">IFERROR(__xludf.dummyfunction("""COMPUTED_VALUE"""),"Coca Cola plastic 500ml (Half Liter)")</f>
        <v>Coca Cola plastic 500ml (Half Liter)</v>
      </c>
      <c r="D509" s="13" t="str">
        <f aca="false">IFERROR(__xludf.dummyfunction("""COMPUTED_VALUE"""),"Coca Cola")</f>
        <v>Coca Cola</v>
      </c>
      <c r="E509" s="13" t="str">
        <f aca="false">IFERROR(__xludf.dummyfunction("""COMPUTED_VALUE"""),"Beverages")</f>
        <v>Beverages</v>
      </c>
      <c r="F509" s="11" t="n">
        <f aca="false">IFERROR(__xludf.dummyfunction("""COMPUTED_VALUE"""),45248)</f>
        <v>45248</v>
      </c>
      <c r="G509" s="12" t="n">
        <f aca="false">IFERROR(__xludf.dummyfunction("""COMPUTED_VALUE"""),0.902701678239587)</f>
        <v>0.9027016782</v>
      </c>
      <c r="H509" s="13" t="str">
        <f aca="false">IFERROR(__xludf.dummyfunction("""COMPUTED_VALUE"""),"damaged stock")</f>
        <v>damaged stock</v>
      </c>
      <c r="I509" s="13" t="n">
        <f aca="false">IFERROR(__xludf.dummyfunction("""COMPUTED_VALUE"""),1)</f>
        <v>1</v>
      </c>
      <c r="J509" s="13" t="n">
        <f aca="false">IFERROR(__xludf.dummyfunction("""COMPUTED_VALUE"""),905.36)</f>
        <v>905.36</v>
      </c>
      <c r="K509" s="13" t="n">
        <f aca="false">IFERROR(__xludf.dummyfunction("""COMPUTED_VALUE"""),905.36)</f>
        <v>905.36</v>
      </c>
      <c r="L509" s="13" t="str">
        <f aca="false">IFERROR(__xludf.dummyfunction("""COMPUTED_VALUE"""),"[Code: 235678GH] TA: Found damaged during sorting.")</f>
        <v>[Code: 235678GH] TA: Found damaged during sorting.</v>
      </c>
      <c r="M509" s="13" t="str">
        <f aca="false">IFERROR(__xludf.dummyfunction("""COMPUTED_VALUE"""),"235678GH")</f>
        <v>235678GH</v>
      </c>
      <c r="N509" s="13"/>
      <c r="O509" s="13" t="str">
        <f aca="false">IFERROR(__xludf.dummyfunction("""COMPUTED_VALUE"""),"taufeeq.akhtar@tajir-app.com")</f>
        <v>taufeeq.akhtar@tajir-app.com</v>
      </c>
      <c r="P509" s="13" t="str">
        <f aca="false">IFERROR(__xludf.dummyfunction("""COMPUTED_VALUE"""),"Taufeeq Akhtar ")</f>
        <v>Taufeeq Akhtar </v>
      </c>
      <c r="Q509" s="13" t="str">
        <f aca="false">IFERROR(__xludf.dummyfunction("""COMPUTED_VALUE"""),"[Code: 235678GH] TA: Found damaged during sorting.")</f>
        <v>[Code: 235678GH] TA: Found damaged during sorting.</v>
      </c>
      <c r="R509" s="13" t="str">
        <v>Sat,18-November-2023 ,09:39 PM</v>
      </c>
      <c r="S509" s="13" t="str">
        <v>Damaged Stock</v>
      </c>
    </row>
    <row r="510" customFormat="false" ht="15.75" hidden="false" customHeight="false" outlineLevel="0" collapsed="false">
      <c r="A510" s="13" t="str">
        <f aca="false">IFERROR(__xludf.dummyfunction("""COMPUTED_VALUE"""),"Metro DC Faisalabad")</f>
        <v>Metro DC Faisalabad</v>
      </c>
      <c r="B510" s="13" t="str">
        <f aca="false">IFERROR(__xludf.dummyfunction("""COMPUTED_VALUE"""),"f72d2fbe-547e-4e3d-a70a-9912b5922254")</f>
        <v>f72d2fbe-547e-4e3d-a70a-9912b5922254</v>
      </c>
      <c r="C510" s="13" t="str">
        <f aca="false">IFERROR(__xludf.dummyfunction("""COMPUTED_VALUE"""),"Sunlight Pink Clean and Jasmine Fresh 700g Rs199")</f>
        <v>Sunlight Pink Clean and Jasmine Fresh 700g Rs199</v>
      </c>
      <c r="D510" s="13" t="str">
        <f aca="false">IFERROR(__xludf.dummyfunction("""COMPUTED_VALUE"""),"Sunlight")</f>
        <v>Sunlight</v>
      </c>
      <c r="E510" s="13" t="str">
        <f aca="false">IFERROR(__xludf.dummyfunction("""COMPUTED_VALUE"""),"Surf, Bleach")</f>
        <v>Surf, Bleach</v>
      </c>
      <c r="F510" s="11" t="n">
        <f aca="false">IFERROR(__xludf.dummyfunction("""COMPUTED_VALUE"""),45248)</f>
        <v>45248</v>
      </c>
      <c r="G510" s="12" t="n">
        <f aca="false">IFERROR(__xludf.dummyfunction("""COMPUTED_VALUE"""),0.955661226851383)</f>
        <v>0.9556612269</v>
      </c>
      <c r="H510" s="13" t="str">
        <f aca="false">IFERROR(__xludf.dummyfunction("""COMPUTED_VALUE"""),"damaged stock")</f>
        <v>damaged stock</v>
      </c>
      <c r="I510" s="13" t="n">
        <f aca="false">IFERROR(__xludf.dummyfunction("""COMPUTED_VALUE"""),1)</f>
        <v>1</v>
      </c>
      <c r="J510" s="13" t="n">
        <f aca="false">IFERROR(__xludf.dummyfunction("""COMPUTED_VALUE"""),180.2)</f>
        <v>180.2</v>
      </c>
      <c r="K510" s="13" t="n">
        <f aca="false">IFERROR(__xludf.dummyfunction("""COMPUTED_VALUE"""),180.2)</f>
        <v>180.2</v>
      </c>
      <c r="L510" s="13" t="str">
        <f aca="false">IFERROR(__xludf.dummyfunction("""COMPUTED_VALUE"""),"[Code: 278CDEJN] TA: 1unit damage found during display.")</f>
        <v>[Code: 278CDEJN] TA: 1unit damage found during display.</v>
      </c>
      <c r="M510" s="13" t="str">
        <f aca="false">IFERROR(__xludf.dummyfunction("""COMPUTED_VALUE"""),"278CDEJN")</f>
        <v>278CDEJN</v>
      </c>
      <c r="N510" s="13"/>
      <c r="O510" s="13" t="str">
        <f aca="false">IFERROR(__xludf.dummyfunction("""COMPUTED_VALUE"""),"taufeeq.akhtar@tajir-app.com")</f>
        <v>taufeeq.akhtar@tajir-app.com</v>
      </c>
      <c r="P510" s="13" t="str">
        <f aca="false">IFERROR(__xludf.dummyfunction("""COMPUTED_VALUE"""),"Taufeeq Akhtar ")</f>
        <v>Taufeeq Akhtar </v>
      </c>
      <c r="Q510" s="13" t="str">
        <f aca="false">IFERROR(__xludf.dummyfunction("""COMPUTED_VALUE"""),"[Code: 278CDEJN] TA: 1unit damage found during display.")</f>
        <v>[Code: 278CDEJN] TA: 1unit damage found during display.</v>
      </c>
      <c r="R510" s="13" t="str">
        <v>Sat,18-November-2023 ,10:56 PM</v>
      </c>
      <c r="S510" s="13" t="str">
        <v>Damaged Stock</v>
      </c>
    </row>
    <row r="511" customFormat="false" ht="15.75" hidden="false" customHeight="false" outlineLevel="0" collapsed="false">
      <c r="A511" s="13" t="str">
        <f aca="false">IFERROR(__xludf.dummyfunction("""COMPUTED_VALUE"""),"Metro DC Faisalabad")</f>
        <v>Metro DC Faisalabad</v>
      </c>
      <c r="B511" s="13" t="str">
        <f aca="false">IFERROR(__xludf.dummyfunction("""COMPUTED_VALUE"""),"2734a39b-c21a-48c0-b552-50dfa9bff187")</f>
        <v>2734a39b-c21a-48c0-b552-50dfa9bff187</v>
      </c>
      <c r="C511" s="13" t="str">
        <f aca="false">IFERROR(__xludf.dummyfunction("""COMPUTED_VALUE"""),"Swadi Zeera 1kg")</f>
        <v>Swadi Zeera 1kg</v>
      </c>
      <c r="D511" s="13" t="str">
        <f aca="false">IFERROR(__xludf.dummyfunction("""COMPUTED_VALUE"""),"Swadi")</f>
        <v>Swadi</v>
      </c>
      <c r="E511" s="13" t="str">
        <f aca="false">IFERROR(__xludf.dummyfunction("""COMPUTED_VALUE"""),"Spices")</f>
        <v>Spices</v>
      </c>
      <c r="F511" s="11" t="n">
        <f aca="false">IFERROR(__xludf.dummyfunction("""COMPUTED_VALUE"""),45249)</f>
        <v>45249</v>
      </c>
      <c r="G511" s="12" t="n">
        <f aca="false">IFERROR(__xludf.dummyfunction("""COMPUTED_VALUE"""),0.557481111111957)</f>
        <v>0.5574811111</v>
      </c>
      <c r="H511" s="13" t="str">
        <f aca="false">IFERROR(__xludf.dummyfunction("""COMPUTED_VALUE"""),"damaged stock")</f>
        <v>damaged stock</v>
      </c>
      <c r="I511" s="13" t="n">
        <f aca="false">IFERROR(__xludf.dummyfunction("""COMPUTED_VALUE"""),7)</f>
        <v>7</v>
      </c>
      <c r="J511" s="13" t="n">
        <f aca="false">IFERROR(__xludf.dummyfunction("""COMPUTED_VALUE"""),2425)</f>
        <v>2425</v>
      </c>
      <c r="K511" s="13" t="n">
        <f aca="false">IFERROR(__xludf.dummyfunction("""COMPUTED_VALUE"""),16975)</f>
        <v>16975</v>
      </c>
      <c r="L511" s="13" t="str">
        <f aca="false">IFERROR(__xludf.dummyfunction("""COMPUTED_VALUE"""),"[Code: 445688CF] 7 units found quality issue.")</f>
        <v>[Code: 445688CF] 7 units found quality issue.</v>
      </c>
      <c r="M511" s="13" t="str">
        <f aca="false">IFERROR(__xludf.dummyfunction("""COMPUTED_VALUE"""),"445688CF")</f>
        <v>445688CF</v>
      </c>
      <c r="N511" s="13"/>
      <c r="O511" s="13" t="str">
        <f aca="false">IFERROR(__xludf.dummyfunction("""COMPUTED_VALUE"""),"ali.raza@tajir-app.com")</f>
        <v>ali.raza@tajir-app.com</v>
      </c>
      <c r="P511" s="13" t="str">
        <f aca="false">IFERROR(__xludf.dummyfunction("""COMPUTED_VALUE"""),"Ali Raza ")</f>
        <v>Ali Raza </v>
      </c>
      <c r="Q511" s="13" t="str">
        <f aca="false">IFERROR(__xludf.dummyfunction("""COMPUTED_VALUE"""),"[Code: 445688CF] 7 units found quality issue.")</f>
        <v>[Code: 445688CF] 7 units found quality issue.</v>
      </c>
      <c r="R511" s="13" t="str">
        <v>Sun,19-November-2023 ,01:22 PM</v>
      </c>
      <c r="S511" s="13" t="str">
        <v>Damaged Stock</v>
      </c>
    </row>
    <row r="512" customFormat="false" ht="15.75" hidden="false" customHeight="false" outlineLevel="0" collapsed="false">
      <c r="A512" s="13" t="str">
        <f aca="false">IFERROR(__xludf.dummyfunction("""COMPUTED_VALUE"""),"Metro DC Faisalabad")</f>
        <v>Metro DC Faisalabad</v>
      </c>
      <c r="B512" s="13" t="str">
        <f aca="false">IFERROR(__xludf.dummyfunction("""COMPUTED_VALUE"""),"00faca46-8c0b-46d0-bd19-1c2cff790a83")</f>
        <v>00faca46-8c0b-46d0-bd19-1c2cff790a83</v>
      </c>
      <c r="C512" s="13" t="str">
        <f aca="false">IFERROR(__xludf.dummyfunction("""COMPUTED_VALUE"""),"Ultra Pure Bleach 300ml Rs 80")</f>
        <v>Ultra Pure Bleach 300ml Rs 80</v>
      </c>
      <c r="D512" s="13" t="str">
        <f aca="false">IFERROR(__xludf.dummyfunction("""COMPUTED_VALUE"""),"Ultra Pure")</f>
        <v>Ultra Pure</v>
      </c>
      <c r="E512" s="13" t="str">
        <f aca="false">IFERROR(__xludf.dummyfunction("""COMPUTED_VALUE"""),"Surf, Bleach")</f>
        <v>Surf, Bleach</v>
      </c>
      <c r="F512" s="11" t="n">
        <f aca="false">IFERROR(__xludf.dummyfunction("""COMPUTED_VALUE"""),45249)</f>
        <v>45249</v>
      </c>
      <c r="G512" s="12" t="n">
        <f aca="false">IFERROR(__xludf.dummyfunction("""COMPUTED_VALUE"""),0.808860462961993)</f>
        <v>0.808860463</v>
      </c>
      <c r="H512" s="13" t="str">
        <f aca="false">IFERROR(__xludf.dummyfunction("""COMPUTED_VALUE"""),"damaged stock")</f>
        <v>damaged stock</v>
      </c>
      <c r="I512" s="13" t="n">
        <f aca="false">IFERROR(__xludf.dummyfunction("""COMPUTED_VALUE"""),1)</f>
        <v>1</v>
      </c>
      <c r="J512" s="13" t="n">
        <f aca="false">IFERROR(__xludf.dummyfunction("""COMPUTED_VALUE"""),39)</f>
        <v>39</v>
      </c>
      <c r="K512" s="13" t="n">
        <f aca="false">IFERROR(__xludf.dummyfunction("""COMPUTED_VALUE"""),39)</f>
        <v>39</v>
      </c>
      <c r="L512" s="13" t="str">
        <f aca="false">IFERROR(__xludf.dummyfunction("""COMPUTED_VALUE"""),"[Code: 2237BDEK] TA; 1unit damage found during display. (cotton sy leak mili he )")</f>
        <v>[Code: 2237BDEK] TA; 1unit damage found during display. (cotton sy leak mili he )</v>
      </c>
      <c r="M512" s="13" t="str">
        <f aca="false">IFERROR(__xludf.dummyfunction("""COMPUTED_VALUE"""),"2237BDEK")</f>
        <v>2237BDEK</v>
      </c>
      <c r="N512" s="13"/>
      <c r="O512" s="13" t="str">
        <f aca="false">IFERROR(__xludf.dummyfunction("""COMPUTED_VALUE"""),"taufeeq.akhtar@tajir-app.com")</f>
        <v>taufeeq.akhtar@tajir-app.com</v>
      </c>
      <c r="P512" s="13" t="str">
        <f aca="false">IFERROR(__xludf.dummyfunction("""COMPUTED_VALUE"""),"Taufeeq Akhtar ")</f>
        <v>Taufeeq Akhtar </v>
      </c>
      <c r="Q512" s="13" t="str">
        <f aca="false">IFERROR(__xludf.dummyfunction("""COMPUTED_VALUE"""),"[Code: 2237BDEK] TA; 1unit damage found during display. (cotton sy leak mili he )")</f>
        <v>[Code: 2237BDEK] TA; 1unit damage found during display. (cotton sy leak mili he )</v>
      </c>
      <c r="R512" s="13" t="str">
        <v>Sun,19-November-2023 ,07:24 PM</v>
      </c>
      <c r="S512" s="13" t="str">
        <v>Damaged Stock</v>
      </c>
    </row>
    <row r="513" customFormat="false" ht="15.75" hidden="false" customHeight="false" outlineLevel="0" collapsed="false">
      <c r="A513" s="13" t="str">
        <f aca="false">IFERROR(__xludf.dummyfunction("""COMPUTED_VALUE"""),"Metro DC Faisalabad")</f>
        <v>Metro DC Faisalabad</v>
      </c>
      <c r="B513" s="13" t="str">
        <f aca="false">IFERROR(__xludf.dummyfunction("""COMPUTED_VALUE"""),"ae3c4d47-c25a-4d8a-91fe-7e939d3514ad")</f>
        <v>ae3c4d47-c25a-4d8a-91fe-7e939d3514ad</v>
      </c>
      <c r="C513" s="13" t="str">
        <f aca="false">IFERROR(__xludf.dummyfunction("""COMPUTED_VALUE"""),"Sunsilk Stunning Black Shine Shampoo x16 bundle 4.5ml")</f>
        <v>Sunsilk Stunning Black Shine Shampoo x16 bundle 4.5ml</v>
      </c>
      <c r="D513" s="13" t="str">
        <f aca="false">IFERROR(__xludf.dummyfunction("""COMPUTED_VALUE"""),"Sunsilk")</f>
        <v>Sunsilk</v>
      </c>
      <c r="E513" s="13" t="str">
        <f aca="false">IFERROR(__xludf.dummyfunction("""COMPUTED_VALUE"""),"Shampoo")</f>
        <v>Shampoo</v>
      </c>
      <c r="F513" s="11" t="n">
        <f aca="false">IFERROR(__xludf.dummyfunction("""COMPUTED_VALUE"""),45249)</f>
        <v>45249</v>
      </c>
      <c r="G513" s="12" t="n">
        <f aca="false">IFERROR(__xludf.dummyfunction("""COMPUTED_VALUE"""),0.878024467592981)</f>
        <v>0.8780244676</v>
      </c>
      <c r="H513" s="13" t="str">
        <f aca="false">IFERROR(__xludf.dummyfunction("""COMPUTED_VALUE"""),"damaged stock")</f>
        <v>damaged stock</v>
      </c>
      <c r="I513" s="13" t="n">
        <f aca="false">IFERROR(__xludf.dummyfunction("""COMPUTED_VALUE"""),4)</f>
        <v>4</v>
      </c>
      <c r="J513" s="13" t="n">
        <f aca="false">IFERROR(__xludf.dummyfunction("""COMPUTED_VALUE"""),72.92)</f>
        <v>72.92</v>
      </c>
      <c r="K513" s="13" t="n">
        <f aca="false">IFERROR(__xludf.dummyfunction("""COMPUTED_VALUE"""),291.68)</f>
        <v>291.68</v>
      </c>
      <c r="L513" s="13" t="str">
        <f aca="false">IFERROR(__xludf.dummyfunction("""COMPUTED_VALUE"""),"[Code: 34559ABC]  TA; 4unit damage found during display. ( cotton sy leak mile hain )")</f>
        <v>[Code: 34559ABC]  TA; 4unit damage found during display. ( cotton sy leak mile hain )</v>
      </c>
      <c r="M513" s="13" t="str">
        <f aca="false">IFERROR(__xludf.dummyfunction("""COMPUTED_VALUE"""),"34559ABC")</f>
        <v>34559ABC</v>
      </c>
      <c r="N513" s="13"/>
      <c r="O513" s="13" t="str">
        <f aca="false">IFERROR(__xludf.dummyfunction("""COMPUTED_VALUE"""),"taufeeq.akhtar@tajir-app.com")</f>
        <v>taufeeq.akhtar@tajir-app.com</v>
      </c>
      <c r="P513" s="13" t="str">
        <f aca="false">IFERROR(__xludf.dummyfunction("""COMPUTED_VALUE"""),"Taufeeq Akhtar ")</f>
        <v>Taufeeq Akhtar </v>
      </c>
      <c r="Q513" s="13" t="str">
        <f aca="false">IFERROR(__xludf.dummyfunction("""COMPUTED_VALUE"""),"[Code: 34559ABC]  TA; 4unit damage found during display. ( cotton sy leak mile hain )")</f>
        <v>[Code: 34559ABC]  TA; 4unit damage found during display. ( cotton sy leak mile hain )</v>
      </c>
      <c r="R513" s="13" t="str">
        <v>Sun,19-November-2023 ,09:04 PM</v>
      </c>
      <c r="S513" s="13" t="str">
        <v>Damaged Stock</v>
      </c>
    </row>
    <row r="514" customFormat="false" ht="15.75" hidden="false" customHeight="false" outlineLevel="0" collapsed="false">
      <c r="A514" s="13" t="str">
        <f aca="false">IFERROR(__xludf.dummyfunction("""COMPUTED_VALUE"""),"Metro DC Faisalabad")</f>
        <v>Metro DC Faisalabad</v>
      </c>
      <c r="B514" s="13" t="str">
        <f aca="false">IFERROR(__xludf.dummyfunction("""COMPUTED_VALUE"""),"caa0e387-9f68-407e-84d3-2cbf5010bda9")</f>
        <v>caa0e387-9f68-407e-84d3-2cbf5010bda9</v>
      </c>
      <c r="C514" s="13" t="str">
        <f aca="false">IFERROR(__xludf.dummyfunction("""COMPUTED_VALUE"""),"Sunsilk Hairfall Shampoo x16 bundle 7ml Rs10")</f>
        <v>Sunsilk Hairfall Shampoo x16 bundle 7ml Rs10</v>
      </c>
      <c r="D514" s="13" t="str">
        <f aca="false">IFERROR(__xludf.dummyfunction("""COMPUTED_VALUE"""),"Sunsilk")</f>
        <v>Sunsilk</v>
      </c>
      <c r="E514" s="13" t="str">
        <f aca="false">IFERROR(__xludf.dummyfunction("""COMPUTED_VALUE"""),"Shampoo")</f>
        <v>Shampoo</v>
      </c>
      <c r="F514" s="11" t="n">
        <f aca="false">IFERROR(__xludf.dummyfunction("""COMPUTED_VALUE"""),45249)</f>
        <v>45249</v>
      </c>
      <c r="G514" s="12" t="n">
        <f aca="false">IFERROR(__xludf.dummyfunction("""COMPUTED_VALUE"""),0.881474386573093)</f>
        <v>0.8814743866</v>
      </c>
      <c r="H514" s="13" t="str">
        <f aca="false">IFERROR(__xludf.dummyfunction("""COMPUTED_VALUE"""),"damaged stock")</f>
        <v>damaged stock</v>
      </c>
      <c r="I514" s="13" t="n">
        <f aca="false">IFERROR(__xludf.dummyfunction("""COMPUTED_VALUE"""),1)</f>
        <v>1</v>
      </c>
      <c r="J514" s="13" t="n">
        <f aca="false">IFERROR(__xludf.dummyfunction("""COMPUTED_VALUE"""),142)</f>
        <v>142</v>
      </c>
      <c r="K514" s="13" t="n">
        <f aca="false">IFERROR(__xludf.dummyfunction("""COMPUTED_VALUE"""),142)</f>
        <v>142</v>
      </c>
      <c r="L514" s="13" t="str">
        <f aca="false">IFERROR(__xludf.dummyfunction("""COMPUTED_VALUE"""),"[Code: 2458ABBD]   TA: 1unit damage found during sorting ")</f>
        <v>[Code: 2458ABBD]   TA: 1unit damage found during sorting </v>
      </c>
      <c r="M514" s="13" t="str">
        <f aca="false">IFERROR(__xludf.dummyfunction("""COMPUTED_VALUE"""),"2458ABBD")</f>
        <v>2458ABBD</v>
      </c>
      <c r="N514" s="13"/>
      <c r="O514" s="13" t="str">
        <f aca="false">IFERROR(__xludf.dummyfunction("""COMPUTED_VALUE"""),"taufeeq.akhtar@tajir-app.com")</f>
        <v>taufeeq.akhtar@tajir-app.com</v>
      </c>
      <c r="P514" s="13" t="str">
        <f aca="false">IFERROR(__xludf.dummyfunction("""COMPUTED_VALUE"""),"Taufeeq Akhtar ")</f>
        <v>Taufeeq Akhtar </v>
      </c>
      <c r="Q514" s="13" t="str">
        <f aca="false">IFERROR(__xludf.dummyfunction("""COMPUTED_VALUE"""),"[Code: 2458ABBD]   TA: 1unit damage found during sorting ")</f>
        <v>[Code: 2458ABBD]   TA: 1unit damage found during sorting </v>
      </c>
      <c r="R514" s="13" t="str">
        <v>Sun,19-November-2023 ,09:09 PM</v>
      </c>
      <c r="S514" s="13" t="str">
        <v>Damaged Stock</v>
      </c>
    </row>
    <row r="515" customFormat="false" ht="15.75" hidden="false" customHeight="false" outlineLevel="0" collapsed="false">
      <c r="A515" s="13" t="str">
        <f aca="false">IFERROR(__xludf.dummyfunction("""COMPUTED_VALUE"""),"Metro DC Faisalabad")</f>
        <v>Metro DC Faisalabad</v>
      </c>
      <c r="B515" s="13" t="str">
        <f aca="false">IFERROR(__xludf.dummyfunction("""COMPUTED_VALUE"""),"3c97c06d-a3d4-4f5b-b694-2b2023aefe1d")</f>
        <v>3c97c06d-a3d4-4f5b-b694-2b2023aefe1d</v>
      </c>
      <c r="C515" s="13" t="str">
        <f aca="false">IFERROR(__xludf.dummyfunction("""COMPUTED_VALUE"""),"Bio Amla Praima Hair Colour Dark brown 43")</f>
        <v>Bio Amla Praima Hair Colour Dark brown 43</v>
      </c>
      <c r="D515" s="13" t="str">
        <f aca="false">IFERROR(__xludf.dummyfunction("""COMPUTED_VALUE"""),"Bio Amla")</f>
        <v>Bio Amla</v>
      </c>
      <c r="E515" s="13" t="str">
        <f aca="false">IFERROR(__xludf.dummyfunction("""COMPUTED_VALUE"""),"Personal Care")</f>
        <v>Personal Care</v>
      </c>
      <c r="F515" s="11" t="n">
        <f aca="false">IFERROR(__xludf.dummyfunction("""COMPUTED_VALUE"""),45250)</f>
        <v>45250</v>
      </c>
      <c r="G515" s="12" t="n">
        <f aca="false">IFERROR(__xludf.dummyfunction("""COMPUTED_VALUE"""),0.917904548611715)</f>
        <v>0.9179045486</v>
      </c>
      <c r="H515" s="13" t="str">
        <f aca="false">IFERROR(__xludf.dummyfunction("""COMPUTED_VALUE"""),"damaged stock")</f>
        <v>damaged stock</v>
      </c>
      <c r="I515" s="13" t="n">
        <f aca="false">IFERROR(__xludf.dummyfunction("""COMPUTED_VALUE"""),1)</f>
        <v>1</v>
      </c>
      <c r="J515" s="13" t="n">
        <f aca="false">IFERROR(__xludf.dummyfunction("""COMPUTED_VALUE"""),45)</f>
        <v>45</v>
      </c>
      <c r="K515" s="13" t="n">
        <f aca="false">IFERROR(__xludf.dummyfunction("""COMPUTED_VALUE"""),45)</f>
        <v>45</v>
      </c>
      <c r="L515" s="13" t="str">
        <f aca="false">IFERROR(__xludf.dummyfunction("""COMPUTED_VALUE"""),"[Code: 35679ACD] TA: box may say damaged nikla.")</f>
        <v>[Code: 35679ACD] TA: box may say damaged nikla.</v>
      </c>
      <c r="M515" s="13" t="str">
        <f aca="false">IFERROR(__xludf.dummyfunction("""COMPUTED_VALUE"""),"35679ACD")</f>
        <v>35679ACD</v>
      </c>
      <c r="N515" s="13"/>
      <c r="O515" s="13" t="str">
        <f aca="false">IFERROR(__xludf.dummyfunction("""COMPUTED_VALUE"""),"taufeeq.akhtar@tajir-app.com")</f>
        <v>taufeeq.akhtar@tajir-app.com</v>
      </c>
      <c r="P515" s="13" t="str">
        <f aca="false">IFERROR(__xludf.dummyfunction("""COMPUTED_VALUE"""),"Taufeeq Akhtar ")</f>
        <v>Taufeeq Akhtar </v>
      </c>
      <c r="Q515" s="13" t="str">
        <f aca="false">IFERROR(__xludf.dummyfunction("""COMPUTED_VALUE"""),"[Code: 35679ACD] TA: box may say damaged nikla.")</f>
        <v>[Code: 35679ACD] TA: box may say damaged nikla.</v>
      </c>
      <c r="R515" s="13" t="str">
        <v>Mon,20-November-2023 ,10:01 PM</v>
      </c>
      <c r="S515" s="13" t="str">
        <v>Damaged Stock</v>
      </c>
    </row>
    <row r="516" customFormat="false" ht="15.75" hidden="false" customHeight="false" outlineLevel="0" collapsed="false">
      <c r="F516" s="11"/>
      <c r="G516" s="12"/>
      <c r="R516" s="13" t="str">
        <v/>
      </c>
      <c r="S516" s="13" t="str">
        <v/>
      </c>
    </row>
    <row r="517" customFormat="false" ht="15.75" hidden="false" customHeight="false" outlineLevel="0" collapsed="false">
      <c r="F517" s="11"/>
      <c r="G517" s="12"/>
      <c r="R517" s="13" t="str">
        <v/>
      </c>
      <c r="S517" s="13" t="str">
        <v/>
      </c>
    </row>
    <row r="518" customFormat="false" ht="15.75" hidden="false" customHeight="false" outlineLevel="0" collapsed="false">
      <c r="F518" s="11"/>
      <c r="G518" s="12"/>
      <c r="R518" s="13" t="str">
        <v/>
      </c>
      <c r="S518" s="13" t="str">
        <v/>
      </c>
    </row>
    <row r="519" customFormat="false" ht="15.75" hidden="false" customHeight="false" outlineLevel="0" collapsed="false">
      <c r="F519" s="11"/>
      <c r="G519" s="12"/>
      <c r="R519" s="13" t="str">
        <v/>
      </c>
      <c r="S519" s="13" t="str">
        <v/>
      </c>
    </row>
    <row r="520" customFormat="false" ht="15.75" hidden="false" customHeight="false" outlineLevel="0" collapsed="false">
      <c r="F520" s="11"/>
      <c r="G520" s="12"/>
      <c r="R520" s="13" t="str">
        <v/>
      </c>
      <c r="S520" s="13" t="str">
        <v/>
      </c>
    </row>
    <row r="521" customFormat="false" ht="15.75" hidden="false" customHeight="false" outlineLevel="0" collapsed="false">
      <c r="F521" s="11"/>
      <c r="G521" s="12"/>
      <c r="R521" s="13" t="str">
        <v/>
      </c>
      <c r="S521" s="13" t="str">
        <v/>
      </c>
    </row>
    <row r="522" customFormat="false" ht="15.75" hidden="false" customHeight="false" outlineLevel="0" collapsed="false">
      <c r="F522" s="11"/>
      <c r="G522" s="12"/>
      <c r="R522" s="13" t="str">
        <v/>
      </c>
      <c r="S522" s="13" t="str">
        <v/>
      </c>
    </row>
    <row r="523" customFormat="false" ht="15.75" hidden="false" customHeight="false" outlineLevel="0" collapsed="false">
      <c r="F523" s="11"/>
      <c r="G523" s="12"/>
      <c r="R523" s="13" t="str">
        <v/>
      </c>
      <c r="S523" s="13" t="str">
        <v/>
      </c>
    </row>
    <row r="524" customFormat="false" ht="15.75" hidden="false" customHeight="false" outlineLevel="0" collapsed="false">
      <c r="F524" s="11"/>
      <c r="G524" s="12"/>
      <c r="R524" s="13" t="str">
        <v/>
      </c>
      <c r="S524" s="13" t="str">
        <v/>
      </c>
    </row>
    <row r="525" customFormat="false" ht="15.75" hidden="false" customHeight="false" outlineLevel="0" collapsed="false">
      <c r="F525" s="11"/>
      <c r="G525" s="12"/>
      <c r="R525" s="13" t="str">
        <v/>
      </c>
      <c r="S525" s="13" t="str">
        <v/>
      </c>
    </row>
    <row r="526" customFormat="false" ht="15.75" hidden="false" customHeight="false" outlineLevel="0" collapsed="false">
      <c r="F526" s="11"/>
      <c r="G526" s="12"/>
      <c r="R526" s="13" t="str">
        <v/>
      </c>
      <c r="S526" s="13" t="str">
        <v/>
      </c>
    </row>
    <row r="527" customFormat="false" ht="15.75" hidden="false" customHeight="false" outlineLevel="0" collapsed="false">
      <c r="F527" s="11"/>
      <c r="G527" s="12"/>
      <c r="R527" s="13" t="str">
        <v/>
      </c>
      <c r="S527" s="13" t="str">
        <v/>
      </c>
    </row>
    <row r="528" customFormat="false" ht="15.75" hidden="false" customHeight="false" outlineLevel="0" collapsed="false">
      <c r="F528" s="11"/>
      <c r="G528" s="12"/>
      <c r="R528" s="13" t="str">
        <v/>
      </c>
      <c r="S528" s="13" t="str">
        <v/>
      </c>
    </row>
    <row r="529" customFormat="false" ht="15.75" hidden="false" customHeight="false" outlineLevel="0" collapsed="false">
      <c r="F529" s="11"/>
      <c r="G529" s="12"/>
      <c r="R529" s="13" t="str">
        <v/>
      </c>
      <c r="S529" s="13" t="str">
        <v/>
      </c>
    </row>
    <row r="530" customFormat="false" ht="15.75" hidden="false" customHeight="false" outlineLevel="0" collapsed="false">
      <c r="F530" s="11"/>
      <c r="G530" s="12"/>
      <c r="R530" s="13" t="str">
        <v/>
      </c>
      <c r="S530" s="13" t="str">
        <v/>
      </c>
    </row>
    <row r="531" customFormat="false" ht="15.75" hidden="false" customHeight="false" outlineLevel="0" collapsed="false">
      <c r="F531" s="11"/>
      <c r="G531" s="12"/>
      <c r="R531" s="13" t="str">
        <v/>
      </c>
      <c r="S531" s="13" t="str">
        <v/>
      </c>
    </row>
    <row r="532" customFormat="false" ht="15.75" hidden="false" customHeight="false" outlineLevel="0" collapsed="false">
      <c r="F532" s="11"/>
      <c r="G532" s="12"/>
      <c r="R532" s="13" t="str">
        <v/>
      </c>
      <c r="S532" s="13" t="str">
        <v/>
      </c>
    </row>
    <row r="533" customFormat="false" ht="15.75" hidden="false" customHeight="false" outlineLevel="0" collapsed="false">
      <c r="F533" s="11"/>
      <c r="G533" s="12"/>
      <c r="R533" s="13" t="str">
        <v/>
      </c>
      <c r="S533" s="13" t="str">
        <v/>
      </c>
    </row>
    <row r="534" customFormat="false" ht="15.75" hidden="false" customHeight="false" outlineLevel="0" collapsed="false">
      <c r="F534" s="11"/>
      <c r="G534" s="12"/>
      <c r="R534" s="13" t="str">
        <v/>
      </c>
      <c r="S534" s="13" t="str">
        <v/>
      </c>
    </row>
    <row r="535" customFormat="false" ht="15.75" hidden="false" customHeight="false" outlineLevel="0" collapsed="false">
      <c r="F535" s="11"/>
      <c r="G535" s="12"/>
      <c r="R535" s="13" t="str">
        <v/>
      </c>
      <c r="S535" s="13" t="str">
        <v/>
      </c>
    </row>
    <row r="536" customFormat="false" ht="15.75" hidden="false" customHeight="false" outlineLevel="0" collapsed="false">
      <c r="F536" s="11"/>
      <c r="G536" s="12"/>
      <c r="R536" s="13" t="str">
        <v/>
      </c>
      <c r="S536" s="13" t="str">
        <v/>
      </c>
    </row>
    <row r="537" customFormat="false" ht="15.75" hidden="false" customHeight="false" outlineLevel="0" collapsed="false">
      <c r="F537" s="11"/>
      <c r="G537" s="12"/>
      <c r="R537" s="13" t="str">
        <v/>
      </c>
      <c r="S537" s="13" t="str">
        <v/>
      </c>
    </row>
    <row r="538" customFormat="false" ht="15.75" hidden="false" customHeight="false" outlineLevel="0" collapsed="false">
      <c r="F538" s="11"/>
      <c r="G538" s="12"/>
      <c r="R538" s="13" t="str">
        <v/>
      </c>
      <c r="S538" s="13" t="str">
        <v/>
      </c>
    </row>
    <row r="539" customFormat="false" ht="15.75" hidden="false" customHeight="false" outlineLevel="0" collapsed="false">
      <c r="F539" s="11"/>
      <c r="G539" s="12"/>
      <c r="R539" s="13" t="str">
        <v/>
      </c>
      <c r="S539" s="13" t="str">
        <v/>
      </c>
    </row>
    <row r="540" customFormat="false" ht="15.75" hidden="false" customHeight="false" outlineLevel="0" collapsed="false">
      <c r="F540" s="11"/>
      <c r="G540" s="12"/>
      <c r="R540" s="13" t="str">
        <v/>
      </c>
      <c r="S540" s="13" t="str">
        <v/>
      </c>
    </row>
    <row r="541" customFormat="false" ht="15.75" hidden="false" customHeight="false" outlineLevel="0" collapsed="false">
      <c r="F541" s="11"/>
      <c r="G541" s="12"/>
      <c r="R541" s="13" t="str">
        <v/>
      </c>
      <c r="S541" s="13" t="str">
        <v/>
      </c>
    </row>
    <row r="542" customFormat="false" ht="15.75" hidden="false" customHeight="false" outlineLevel="0" collapsed="false">
      <c r="F542" s="11"/>
      <c r="G542" s="12"/>
      <c r="R542" s="13" t="str">
        <v/>
      </c>
      <c r="S542" s="13" t="str">
        <v/>
      </c>
    </row>
    <row r="543" customFormat="false" ht="15.75" hidden="false" customHeight="false" outlineLevel="0" collapsed="false">
      <c r="F543" s="11"/>
      <c r="G543" s="12"/>
      <c r="R543" s="13" t="str">
        <v/>
      </c>
      <c r="S543" s="13" t="str">
        <v/>
      </c>
    </row>
    <row r="544" customFormat="false" ht="15.75" hidden="false" customHeight="false" outlineLevel="0" collapsed="false">
      <c r="F544" s="11"/>
      <c r="G544" s="12"/>
      <c r="R544" s="13" t="str">
        <v/>
      </c>
      <c r="S544" s="13" t="str">
        <v/>
      </c>
    </row>
    <row r="545" customFormat="false" ht="15.75" hidden="false" customHeight="false" outlineLevel="0" collapsed="false">
      <c r="F545" s="11"/>
      <c r="G545" s="12"/>
      <c r="R545" s="13" t="str">
        <v/>
      </c>
      <c r="S545" s="13" t="str">
        <v/>
      </c>
    </row>
    <row r="546" customFormat="false" ht="15.75" hidden="false" customHeight="false" outlineLevel="0" collapsed="false">
      <c r="F546" s="11"/>
      <c r="G546" s="12"/>
      <c r="R546" s="13" t="str">
        <v/>
      </c>
      <c r="S546" s="13" t="str">
        <v/>
      </c>
    </row>
    <row r="547" customFormat="false" ht="15.75" hidden="false" customHeight="false" outlineLevel="0" collapsed="false">
      <c r="F547" s="11"/>
      <c r="G547" s="12"/>
      <c r="R547" s="13" t="str">
        <v/>
      </c>
      <c r="S547" s="13" t="str">
        <v/>
      </c>
    </row>
    <row r="548" customFormat="false" ht="15.75" hidden="false" customHeight="false" outlineLevel="0" collapsed="false">
      <c r="F548" s="11"/>
      <c r="G548" s="12"/>
      <c r="R548" s="13" t="str">
        <v/>
      </c>
      <c r="S548" s="13" t="str">
        <v/>
      </c>
    </row>
    <row r="549" customFormat="false" ht="15.75" hidden="false" customHeight="false" outlineLevel="0" collapsed="false">
      <c r="F549" s="11"/>
      <c r="G549" s="12"/>
      <c r="R549" s="13" t="str">
        <v/>
      </c>
      <c r="S549" s="13" t="str">
        <v/>
      </c>
    </row>
    <row r="550" customFormat="false" ht="15.75" hidden="false" customHeight="false" outlineLevel="0" collapsed="false">
      <c r="F550" s="11"/>
      <c r="G550" s="12"/>
      <c r="R550" s="13" t="str">
        <v/>
      </c>
      <c r="S550" s="13" t="str">
        <v/>
      </c>
    </row>
    <row r="551" customFormat="false" ht="15.75" hidden="false" customHeight="false" outlineLevel="0" collapsed="false">
      <c r="F551" s="11"/>
      <c r="G551" s="12"/>
      <c r="R551" s="13" t="str">
        <v/>
      </c>
      <c r="S551" s="13" t="str">
        <v/>
      </c>
    </row>
    <row r="552" customFormat="false" ht="15.75" hidden="false" customHeight="false" outlineLevel="0" collapsed="false">
      <c r="F552" s="11"/>
      <c r="G552" s="12"/>
      <c r="R552" s="13" t="str">
        <v/>
      </c>
      <c r="S552" s="13" t="str">
        <v/>
      </c>
    </row>
    <row r="553" customFormat="false" ht="15.75" hidden="false" customHeight="false" outlineLevel="0" collapsed="false">
      <c r="F553" s="11"/>
      <c r="G553" s="12"/>
      <c r="R553" s="13" t="str">
        <v/>
      </c>
      <c r="S553" s="13" t="str">
        <v/>
      </c>
    </row>
    <row r="554" customFormat="false" ht="15.75" hidden="false" customHeight="false" outlineLevel="0" collapsed="false">
      <c r="F554" s="11"/>
      <c r="G554" s="12"/>
      <c r="R554" s="13" t="str">
        <v/>
      </c>
      <c r="S554" s="13" t="str">
        <v/>
      </c>
    </row>
    <row r="555" customFormat="false" ht="15.75" hidden="false" customHeight="false" outlineLevel="0" collapsed="false">
      <c r="F555" s="11"/>
      <c r="G555" s="12"/>
      <c r="R555" s="13" t="str">
        <v/>
      </c>
      <c r="S555" s="13" t="str">
        <v/>
      </c>
    </row>
    <row r="556" customFormat="false" ht="15.75" hidden="false" customHeight="false" outlineLevel="0" collapsed="false">
      <c r="F556" s="11"/>
      <c r="G556" s="12"/>
      <c r="R556" s="13" t="str">
        <v/>
      </c>
      <c r="S556" s="13" t="str">
        <v/>
      </c>
    </row>
    <row r="557" customFormat="false" ht="15.75" hidden="false" customHeight="false" outlineLevel="0" collapsed="false">
      <c r="F557" s="11"/>
      <c r="G557" s="12"/>
      <c r="R557" s="13" t="str">
        <v/>
      </c>
      <c r="S557" s="13" t="str">
        <v/>
      </c>
    </row>
    <row r="558" customFormat="false" ht="15.75" hidden="false" customHeight="false" outlineLevel="0" collapsed="false">
      <c r="F558" s="11"/>
      <c r="G558" s="12"/>
      <c r="R558" s="13" t="str">
        <v/>
      </c>
      <c r="S558" s="13" t="str">
        <v/>
      </c>
    </row>
    <row r="559" customFormat="false" ht="15.75" hidden="false" customHeight="false" outlineLevel="0" collapsed="false">
      <c r="F559" s="11"/>
      <c r="G559" s="12"/>
      <c r="R559" s="13" t="str">
        <v/>
      </c>
      <c r="S559" s="13" t="str">
        <v/>
      </c>
    </row>
    <row r="560" customFormat="false" ht="15.75" hidden="false" customHeight="false" outlineLevel="0" collapsed="false">
      <c r="F560" s="11"/>
      <c r="G560" s="12"/>
      <c r="R560" s="13" t="str">
        <v/>
      </c>
      <c r="S560" s="13" t="str">
        <v/>
      </c>
    </row>
    <row r="561" customFormat="false" ht="15.75" hidden="false" customHeight="false" outlineLevel="0" collapsed="false">
      <c r="F561" s="11"/>
      <c r="G561" s="12"/>
      <c r="R561" s="13" t="str">
        <v/>
      </c>
      <c r="S561" s="13" t="str">
        <v/>
      </c>
    </row>
    <row r="562" customFormat="false" ht="15.75" hidden="false" customHeight="false" outlineLevel="0" collapsed="false">
      <c r="F562" s="11"/>
      <c r="G562" s="12"/>
      <c r="R562" s="13" t="str">
        <v/>
      </c>
      <c r="S562" s="13" t="str">
        <v/>
      </c>
    </row>
    <row r="563" customFormat="false" ht="15.75" hidden="false" customHeight="false" outlineLevel="0" collapsed="false">
      <c r="F563" s="11"/>
      <c r="G563" s="12"/>
      <c r="R563" s="13" t="str">
        <v/>
      </c>
      <c r="S563" s="13" t="str">
        <v/>
      </c>
    </row>
    <row r="564" customFormat="false" ht="15.75" hidden="false" customHeight="false" outlineLevel="0" collapsed="false">
      <c r="F564" s="11"/>
      <c r="G564" s="12"/>
      <c r="R564" s="13" t="str">
        <v/>
      </c>
      <c r="S564" s="13" t="str">
        <v/>
      </c>
    </row>
    <row r="565" customFormat="false" ht="15.75" hidden="false" customHeight="false" outlineLevel="0" collapsed="false">
      <c r="F565" s="11"/>
      <c r="G565" s="12"/>
      <c r="R565" s="13" t="str">
        <v/>
      </c>
      <c r="S565" s="13" t="str">
        <v/>
      </c>
    </row>
    <row r="566" customFormat="false" ht="15.75" hidden="false" customHeight="false" outlineLevel="0" collapsed="false">
      <c r="F566" s="11"/>
      <c r="G566" s="12"/>
      <c r="R566" s="13" t="str">
        <v/>
      </c>
      <c r="S566" s="13" t="str">
        <v/>
      </c>
    </row>
    <row r="567" customFormat="false" ht="15.75" hidden="false" customHeight="false" outlineLevel="0" collapsed="false">
      <c r="F567" s="11"/>
      <c r="G567" s="12"/>
      <c r="R567" s="13" t="str">
        <v/>
      </c>
      <c r="S567" s="13" t="str">
        <v/>
      </c>
    </row>
    <row r="568" customFormat="false" ht="15.75" hidden="false" customHeight="false" outlineLevel="0" collapsed="false">
      <c r="F568" s="11"/>
      <c r="G568" s="12"/>
      <c r="R568" s="13" t="str">
        <v/>
      </c>
      <c r="S568" s="13" t="str">
        <v/>
      </c>
    </row>
    <row r="569" customFormat="false" ht="15.75" hidden="false" customHeight="false" outlineLevel="0" collapsed="false">
      <c r="F569" s="11"/>
      <c r="G569" s="12"/>
      <c r="R569" s="13" t="str">
        <v/>
      </c>
      <c r="S569" s="13" t="str">
        <v/>
      </c>
    </row>
    <row r="570" customFormat="false" ht="15.75" hidden="false" customHeight="false" outlineLevel="0" collapsed="false">
      <c r="F570" s="11"/>
      <c r="G570" s="12"/>
      <c r="R570" s="13" t="str">
        <v/>
      </c>
      <c r="S570" s="13" t="str">
        <v/>
      </c>
    </row>
    <row r="571" customFormat="false" ht="15.75" hidden="false" customHeight="false" outlineLevel="0" collapsed="false">
      <c r="F571" s="11"/>
      <c r="G571" s="12"/>
      <c r="R571" s="13" t="str">
        <v/>
      </c>
      <c r="S571" s="13" t="str">
        <v/>
      </c>
    </row>
    <row r="572" customFormat="false" ht="15.75" hidden="false" customHeight="false" outlineLevel="0" collapsed="false">
      <c r="F572" s="11"/>
      <c r="G572" s="12"/>
      <c r="R572" s="13" t="str">
        <v/>
      </c>
      <c r="S572" s="13" t="str">
        <v/>
      </c>
    </row>
    <row r="573" customFormat="false" ht="15.75" hidden="false" customHeight="false" outlineLevel="0" collapsed="false">
      <c r="F573" s="11"/>
      <c r="G573" s="12"/>
      <c r="R573" s="13" t="str">
        <v/>
      </c>
      <c r="S573" s="13" t="str">
        <v/>
      </c>
    </row>
    <row r="574" customFormat="false" ht="15.75" hidden="false" customHeight="false" outlineLevel="0" collapsed="false">
      <c r="F574" s="11"/>
      <c r="G574" s="12"/>
      <c r="R574" s="13" t="str">
        <v/>
      </c>
      <c r="S574" s="13" t="str">
        <v/>
      </c>
    </row>
    <row r="575" customFormat="false" ht="15.75" hidden="false" customHeight="false" outlineLevel="0" collapsed="false">
      <c r="F575" s="11"/>
      <c r="G575" s="12"/>
      <c r="R575" s="13" t="str">
        <v/>
      </c>
      <c r="S575" s="13" t="str">
        <v/>
      </c>
    </row>
    <row r="576" customFormat="false" ht="15.75" hidden="false" customHeight="false" outlineLevel="0" collapsed="false">
      <c r="F576" s="11"/>
      <c r="G576" s="12"/>
      <c r="R576" s="13" t="str">
        <v/>
      </c>
      <c r="S576" s="13" t="str">
        <v/>
      </c>
    </row>
    <row r="577" customFormat="false" ht="15.75" hidden="false" customHeight="false" outlineLevel="0" collapsed="false">
      <c r="F577" s="11"/>
      <c r="G577" s="12"/>
      <c r="R577" s="13" t="str">
        <v/>
      </c>
      <c r="S577" s="13" t="str">
        <v/>
      </c>
    </row>
    <row r="578" customFormat="false" ht="15.75" hidden="false" customHeight="false" outlineLevel="0" collapsed="false">
      <c r="F578" s="11"/>
      <c r="G578" s="12"/>
      <c r="R578" s="13" t="str">
        <v/>
      </c>
      <c r="S578" s="13" t="str">
        <v/>
      </c>
    </row>
    <row r="579" customFormat="false" ht="15.75" hidden="false" customHeight="false" outlineLevel="0" collapsed="false">
      <c r="F579" s="11"/>
      <c r="G579" s="12"/>
      <c r="R579" s="13" t="str">
        <v/>
      </c>
      <c r="S579" s="13" t="str">
        <v/>
      </c>
    </row>
    <row r="580" customFormat="false" ht="15.75" hidden="false" customHeight="false" outlineLevel="0" collapsed="false">
      <c r="F580" s="11"/>
      <c r="G580" s="12"/>
      <c r="R580" s="13" t="str">
        <v/>
      </c>
      <c r="S580" s="13" t="str">
        <v/>
      </c>
    </row>
    <row r="581" customFormat="false" ht="15.75" hidden="false" customHeight="false" outlineLevel="0" collapsed="false">
      <c r="F581" s="11"/>
      <c r="G581" s="12"/>
      <c r="R581" s="13" t="str">
        <v/>
      </c>
      <c r="S581" s="13" t="str">
        <v/>
      </c>
    </row>
    <row r="582" customFormat="false" ht="15.75" hidden="false" customHeight="false" outlineLevel="0" collapsed="false">
      <c r="F582" s="11"/>
      <c r="G582" s="12"/>
      <c r="R582" s="13" t="str">
        <v/>
      </c>
      <c r="S582" s="13" t="str">
        <v/>
      </c>
    </row>
    <row r="583" customFormat="false" ht="15.75" hidden="false" customHeight="false" outlineLevel="0" collapsed="false">
      <c r="F583" s="11"/>
      <c r="G583" s="12"/>
      <c r="R583" s="13" t="str">
        <v/>
      </c>
      <c r="S583" s="13" t="str">
        <v/>
      </c>
    </row>
    <row r="584" customFormat="false" ht="15.75" hidden="false" customHeight="false" outlineLevel="0" collapsed="false">
      <c r="F584" s="11"/>
      <c r="G584" s="12"/>
      <c r="R584" s="13" t="str">
        <v/>
      </c>
      <c r="S584" s="13" t="str">
        <v/>
      </c>
    </row>
    <row r="585" customFormat="false" ht="15.75" hidden="false" customHeight="false" outlineLevel="0" collapsed="false">
      <c r="F585" s="11"/>
      <c r="G585" s="12"/>
      <c r="R585" s="13" t="str">
        <v/>
      </c>
      <c r="S585" s="13" t="str">
        <v/>
      </c>
    </row>
    <row r="586" customFormat="false" ht="15.75" hidden="false" customHeight="false" outlineLevel="0" collapsed="false">
      <c r="F586" s="11"/>
      <c r="G586" s="12"/>
      <c r="R586" s="13" t="str">
        <v/>
      </c>
      <c r="S586" s="13" t="str">
        <v/>
      </c>
    </row>
    <row r="587" customFormat="false" ht="15.75" hidden="false" customHeight="false" outlineLevel="0" collapsed="false">
      <c r="F587" s="11"/>
      <c r="G587" s="12"/>
      <c r="R587" s="13" t="str">
        <v/>
      </c>
      <c r="S587" s="13" t="str">
        <v/>
      </c>
    </row>
    <row r="588" customFormat="false" ht="15.75" hidden="false" customHeight="false" outlineLevel="0" collapsed="false">
      <c r="F588" s="11"/>
      <c r="G588" s="12"/>
      <c r="R588" s="13" t="str">
        <v/>
      </c>
      <c r="S588" s="13" t="str">
        <v/>
      </c>
    </row>
    <row r="589" customFormat="false" ht="15.75" hidden="false" customHeight="false" outlineLevel="0" collapsed="false">
      <c r="F589" s="11"/>
      <c r="G589" s="12"/>
      <c r="R589" s="13" t="str">
        <v/>
      </c>
      <c r="S589" s="13" t="str">
        <v/>
      </c>
    </row>
    <row r="590" customFormat="false" ht="15.75" hidden="false" customHeight="false" outlineLevel="0" collapsed="false">
      <c r="F590" s="11"/>
      <c r="G590" s="12"/>
      <c r="R590" s="13" t="str">
        <v/>
      </c>
      <c r="S590" s="13" t="str">
        <v/>
      </c>
    </row>
    <row r="591" customFormat="false" ht="15.75" hidden="false" customHeight="false" outlineLevel="0" collapsed="false">
      <c r="F591" s="11"/>
      <c r="G591" s="12"/>
      <c r="R591" s="13" t="str">
        <v/>
      </c>
      <c r="S591" s="13" t="str">
        <v/>
      </c>
    </row>
    <row r="592" customFormat="false" ht="15.75" hidden="false" customHeight="false" outlineLevel="0" collapsed="false">
      <c r="F592" s="11"/>
      <c r="G592" s="12"/>
      <c r="R592" s="13" t="str">
        <v/>
      </c>
      <c r="S592" s="13" t="str">
        <v/>
      </c>
    </row>
    <row r="593" customFormat="false" ht="15.75" hidden="false" customHeight="false" outlineLevel="0" collapsed="false">
      <c r="F593" s="11"/>
      <c r="G593" s="12"/>
      <c r="R593" s="13" t="str">
        <v/>
      </c>
      <c r="S593" s="13" t="str">
        <v/>
      </c>
    </row>
    <row r="594" customFormat="false" ht="15.75" hidden="false" customHeight="false" outlineLevel="0" collapsed="false">
      <c r="F594" s="11"/>
      <c r="G594" s="12"/>
      <c r="R594" s="13" t="str">
        <v/>
      </c>
      <c r="S594" s="13" t="str">
        <v/>
      </c>
    </row>
    <row r="595" customFormat="false" ht="15.75" hidden="false" customHeight="false" outlineLevel="0" collapsed="false">
      <c r="F595" s="11"/>
      <c r="G595" s="12"/>
      <c r="R595" s="13" t="str">
        <v/>
      </c>
      <c r="S595" s="13" t="str">
        <v/>
      </c>
    </row>
    <row r="596" customFormat="false" ht="15.75" hidden="false" customHeight="false" outlineLevel="0" collapsed="false">
      <c r="F596" s="11"/>
      <c r="G596" s="12"/>
      <c r="R596" s="13" t="str">
        <v/>
      </c>
      <c r="S596" s="13" t="str">
        <v/>
      </c>
    </row>
    <row r="597" customFormat="false" ht="15.75" hidden="false" customHeight="false" outlineLevel="0" collapsed="false">
      <c r="F597" s="11"/>
      <c r="G597" s="12"/>
      <c r="R597" s="13" t="str">
        <v/>
      </c>
      <c r="S597" s="13" t="str">
        <v/>
      </c>
    </row>
    <row r="598" customFormat="false" ht="15.75" hidden="false" customHeight="false" outlineLevel="0" collapsed="false">
      <c r="F598" s="11"/>
      <c r="G598" s="12"/>
      <c r="R598" s="13" t="str">
        <v/>
      </c>
      <c r="S598" s="13" t="str">
        <v/>
      </c>
    </row>
    <row r="599" customFormat="false" ht="15.75" hidden="false" customHeight="false" outlineLevel="0" collapsed="false">
      <c r="F599" s="11"/>
      <c r="G599" s="12"/>
      <c r="R599" s="13" t="str">
        <v/>
      </c>
      <c r="S599" s="13" t="str">
        <v/>
      </c>
    </row>
    <row r="600" customFormat="false" ht="15.75" hidden="false" customHeight="false" outlineLevel="0" collapsed="false">
      <c r="F600" s="11"/>
      <c r="G600" s="12"/>
      <c r="R600" s="13" t="str">
        <v/>
      </c>
      <c r="S600" s="13" t="str">
        <v/>
      </c>
    </row>
    <row r="601" customFormat="false" ht="15.75" hidden="false" customHeight="false" outlineLevel="0" collapsed="false">
      <c r="F601" s="11"/>
      <c r="G601" s="12"/>
      <c r="R601" s="13" t="str">
        <v/>
      </c>
      <c r="S601" s="13" t="str">
        <v/>
      </c>
    </row>
    <row r="602" customFormat="false" ht="15.75" hidden="false" customHeight="false" outlineLevel="0" collapsed="false">
      <c r="F602" s="11"/>
      <c r="G602" s="12"/>
      <c r="R602" s="13" t="str">
        <v/>
      </c>
      <c r="S602" s="13" t="str">
        <v/>
      </c>
    </row>
    <row r="603" customFormat="false" ht="15.75" hidden="false" customHeight="false" outlineLevel="0" collapsed="false">
      <c r="F603" s="11"/>
      <c r="G603" s="12"/>
      <c r="R603" s="13" t="str">
        <v/>
      </c>
      <c r="S603" s="13" t="str">
        <v/>
      </c>
    </row>
    <row r="604" customFormat="false" ht="15.75" hidden="false" customHeight="false" outlineLevel="0" collapsed="false">
      <c r="F604" s="11"/>
      <c r="G604" s="12"/>
      <c r="R604" s="13" t="str">
        <v/>
      </c>
      <c r="S604" s="13" t="str">
        <v/>
      </c>
    </row>
    <row r="605" customFormat="false" ht="15.75" hidden="false" customHeight="false" outlineLevel="0" collapsed="false">
      <c r="F605" s="11"/>
      <c r="G605" s="12"/>
      <c r="R605" s="13" t="str">
        <v/>
      </c>
      <c r="S605" s="13" t="str">
        <v/>
      </c>
    </row>
    <row r="606" customFormat="false" ht="15.75" hidden="false" customHeight="false" outlineLevel="0" collapsed="false">
      <c r="F606" s="11"/>
      <c r="G606" s="12"/>
      <c r="R606" s="13" t="str">
        <v/>
      </c>
      <c r="S606" s="13" t="str">
        <v/>
      </c>
    </row>
    <row r="607" customFormat="false" ht="15.75" hidden="false" customHeight="false" outlineLevel="0" collapsed="false">
      <c r="F607" s="11"/>
      <c r="G607" s="12"/>
      <c r="R607" s="13" t="str">
        <v/>
      </c>
      <c r="S607" s="13" t="str">
        <v/>
      </c>
    </row>
    <row r="608" customFormat="false" ht="15.75" hidden="false" customHeight="false" outlineLevel="0" collapsed="false">
      <c r="F608" s="11"/>
      <c r="G608" s="12"/>
      <c r="R608" s="13" t="str">
        <v/>
      </c>
      <c r="S608" s="13" t="str">
        <v/>
      </c>
    </row>
    <row r="609" customFormat="false" ht="15.75" hidden="false" customHeight="false" outlineLevel="0" collapsed="false">
      <c r="F609" s="11"/>
      <c r="G609" s="12"/>
      <c r="R609" s="13" t="str">
        <v/>
      </c>
      <c r="S609" s="13" t="str">
        <v/>
      </c>
    </row>
    <row r="610" customFormat="false" ht="15.75" hidden="false" customHeight="false" outlineLevel="0" collapsed="false">
      <c r="F610" s="11"/>
      <c r="G610" s="12"/>
      <c r="R610" s="13" t="str">
        <v/>
      </c>
      <c r="S610" s="13" t="str">
        <v/>
      </c>
    </row>
    <row r="611" customFormat="false" ht="15.75" hidden="false" customHeight="false" outlineLevel="0" collapsed="false">
      <c r="F611" s="11"/>
      <c r="G611" s="12"/>
      <c r="R611" s="13" t="str">
        <v/>
      </c>
      <c r="S611" s="13" t="str">
        <v/>
      </c>
    </row>
    <row r="612" customFormat="false" ht="15.75" hidden="false" customHeight="false" outlineLevel="0" collapsed="false">
      <c r="F612" s="11"/>
      <c r="G612" s="12"/>
      <c r="R612" s="13" t="str">
        <v/>
      </c>
      <c r="S612" s="13" t="str">
        <v/>
      </c>
    </row>
    <row r="613" customFormat="false" ht="15.75" hidden="false" customHeight="false" outlineLevel="0" collapsed="false">
      <c r="F613" s="11"/>
      <c r="G613" s="12"/>
      <c r="R613" s="13" t="str">
        <v/>
      </c>
      <c r="S613" s="13" t="str">
        <v/>
      </c>
    </row>
    <row r="614" customFormat="false" ht="15.75" hidden="false" customHeight="false" outlineLevel="0" collapsed="false">
      <c r="F614" s="11"/>
      <c r="G614" s="12"/>
      <c r="R614" s="13" t="str">
        <v/>
      </c>
      <c r="S614" s="13" t="str">
        <v/>
      </c>
    </row>
    <row r="615" customFormat="false" ht="15.75" hidden="false" customHeight="false" outlineLevel="0" collapsed="false">
      <c r="F615" s="11"/>
      <c r="G615" s="12"/>
      <c r="R615" s="13" t="str">
        <v/>
      </c>
      <c r="S615" s="13" t="str">
        <v/>
      </c>
    </row>
    <row r="616" customFormat="false" ht="15.75" hidden="false" customHeight="false" outlineLevel="0" collapsed="false">
      <c r="F616" s="11"/>
      <c r="G616" s="12"/>
      <c r="R616" s="13" t="str">
        <v/>
      </c>
      <c r="S616" s="13" t="str">
        <v/>
      </c>
    </row>
    <row r="617" customFormat="false" ht="15.75" hidden="false" customHeight="false" outlineLevel="0" collapsed="false">
      <c r="F617" s="11"/>
      <c r="G617" s="12"/>
      <c r="R617" s="13" t="str">
        <v/>
      </c>
      <c r="S617" s="13" t="str">
        <v/>
      </c>
    </row>
    <row r="618" customFormat="false" ht="15.75" hidden="false" customHeight="false" outlineLevel="0" collapsed="false">
      <c r="F618" s="11"/>
      <c r="G618" s="12"/>
      <c r="R618" s="13" t="str">
        <v/>
      </c>
      <c r="S618" s="13" t="str">
        <v/>
      </c>
    </row>
    <row r="619" customFormat="false" ht="15.75" hidden="false" customHeight="false" outlineLevel="0" collapsed="false">
      <c r="F619" s="11"/>
      <c r="G619" s="12"/>
      <c r="R619" s="13" t="str">
        <v/>
      </c>
      <c r="S619" s="13" t="str">
        <v/>
      </c>
    </row>
    <row r="620" customFormat="false" ht="15.75" hidden="false" customHeight="false" outlineLevel="0" collapsed="false">
      <c r="F620" s="11"/>
      <c r="G620" s="12"/>
      <c r="R620" s="13" t="str">
        <v/>
      </c>
      <c r="S620" s="13" t="str">
        <v/>
      </c>
    </row>
    <row r="621" customFormat="false" ht="15.75" hidden="false" customHeight="false" outlineLevel="0" collapsed="false">
      <c r="F621" s="11"/>
      <c r="G621" s="12"/>
      <c r="R621" s="13" t="str">
        <v/>
      </c>
      <c r="S621" s="13" t="str">
        <v/>
      </c>
    </row>
    <row r="622" customFormat="false" ht="15.75" hidden="false" customHeight="false" outlineLevel="0" collapsed="false">
      <c r="F622" s="11"/>
      <c r="G622" s="12"/>
      <c r="R622" s="13" t="str">
        <v/>
      </c>
      <c r="S622" s="13" t="str">
        <v/>
      </c>
    </row>
    <row r="623" customFormat="false" ht="15.75" hidden="false" customHeight="false" outlineLevel="0" collapsed="false">
      <c r="F623" s="11"/>
      <c r="G623" s="12"/>
      <c r="R623" s="13" t="str">
        <v/>
      </c>
      <c r="S623" s="13" t="str">
        <v/>
      </c>
    </row>
    <row r="624" customFormat="false" ht="15.75" hidden="false" customHeight="false" outlineLevel="0" collapsed="false">
      <c r="F624" s="11"/>
      <c r="G624" s="12"/>
      <c r="R624" s="13" t="str">
        <v/>
      </c>
      <c r="S624" s="13" t="str">
        <v/>
      </c>
    </row>
    <row r="625" customFormat="false" ht="15.75" hidden="false" customHeight="false" outlineLevel="0" collapsed="false">
      <c r="F625" s="11"/>
      <c r="G625" s="12"/>
      <c r="R625" s="13" t="str">
        <v/>
      </c>
      <c r="S625" s="13" t="str">
        <v/>
      </c>
    </row>
    <row r="626" customFormat="false" ht="15.75" hidden="false" customHeight="false" outlineLevel="0" collapsed="false">
      <c r="F626" s="11"/>
      <c r="G626" s="12"/>
      <c r="R626" s="13" t="str">
        <v/>
      </c>
      <c r="S626" s="13" t="str">
        <v/>
      </c>
    </row>
    <row r="627" customFormat="false" ht="15.75" hidden="false" customHeight="false" outlineLevel="0" collapsed="false">
      <c r="F627" s="11"/>
      <c r="G627" s="12"/>
      <c r="R627" s="13" t="str">
        <v/>
      </c>
      <c r="S627" s="13" t="str">
        <v/>
      </c>
    </row>
    <row r="628" customFormat="false" ht="15.75" hidden="false" customHeight="false" outlineLevel="0" collapsed="false">
      <c r="F628" s="11"/>
      <c r="G628" s="12"/>
      <c r="R628" s="13" t="str">
        <v/>
      </c>
      <c r="S628" s="13" t="str">
        <v/>
      </c>
    </row>
    <row r="629" customFormat="false" ht="15.75" hidden="false" customHeight="false" outlineLevel="0" collapsed="false">
      <c r="F629" s="11"/>
      <c r="G629" s="12"/>
      <c r="R629" s="13" t="str">
        <v/>
      </c>
      <c r="S629" s="13" t="str">
        <v/>
      </c>
    </row>
    <row r="630" customFormat="false" ht="15.75" hidden="false" customHeight="false" outlineLevel="0" collapsed="false">
      <c r="F630" s="11"/>
      <c r="G630" s="12"/>
      <c r="R630" s="13" t="str">
        <v/>
      </c>
      <c r="S630" s="13" t="str">
        <v/>
      </c>
    </row>
    <row r="631" customFormat="false" ht="15.75" hidden="false" customHeight="false" outlineLevel="0" collapsed="false">
      <c r="F631" s="11"/>
      <c r="G631" s="12"/>
      <c r="R631" s="13" t="str">
        <v/>
      </c>
      <c r="S631" s="13" t="str">
        <v/>
      </c>
    </row>
    <row r="632" customFormat="false" ht="15.75" hidden="false" customHeight="false" outlineLevel="0" collapsed="false">
      <c r="F632" s="11"/>
      <c r="G632" s="12"/>
      <c r="R632" s="13" t="str">
        <v/>
      </c>
      <c r="S632" s="13" t="str">
        <v/>
      </c>
    </row>
    <row r="633" customFormat="false" ht="15.75" hidden="false" customHeight="false" outlineLevel="0" collapsed="false">
      <c r="F633" s="11"/>
      <c r="G633" s="12"/>
      <c r="R633" s="13" t="str">
        <v/>
      </c>
      <c r="S633" s="13" t="str">
        <v/>
      </c>
    </row>
    <row r="634" customFormat="false" ht="15.75" hidden="false" customHeight="false" outlineLevel="0" collapsed="false">
      <c r="F634" s="11"/>
      <c r="G634" s="12"/>
      <c r="R634" s="13" t="str">
        <v/>
      </c>
      <c r="S634" s="13" t="str">
        <v/>
      </c>
    </row>
    <row r="635" customFormat="false" ht="15.75" hidden="false" customHeight="false" outlineLevel="0" collapsed="false">
      <c r="F635" s="11"/>
      <c r="G635" s="12"/>
      <c r="R635" s="13" t="str">
        <v/>
      </c>
      <c r="S635" s="13" t="str">
        <v/>
      </c>
    </row>
    <row r="636" customFormat="false" ht="15.75" hidden="false" customHeight="false" outlineLevel="0" collapsed="false">
      <c r="F636" s="11"/>
      <c r="G636" s="12"/>
      <c r="R636" s="13" t="str">
        <v/>
      </c>
      <c r="S636" s="13" t="str">
        <v/>
      </c>
    </row>
    <row r="637" customFormat="false" ht="15.75" hidden="false" customHeight="false" outlineLevel="0" collapsed="false">
      <c r="F637" s="11"/>
      <c r="G637" s="12"/>
      <c r="R637" s="13" t="str">
        <v/>
      </c>
      <c r="S637" s="13" t="str">
        <v/>
      </c>
    </row>
    <row r="638" customFormat="false" ht="15.75" hidden="false" customHeight="false" outlineLevel="0" collapsed="false">
      <c r="F638" s="11"/>
      <c r="G638" s="12"/>
      <c r="R638" s="13" t="str">
        <v/>
      </c>
      <c r="S638" s="13" t="str">
        <v/>
      </c>
    </row>
    <row r="639" customFormat="false" ht="15.75" hidden="false" customHeight="false" outlineLevel="0" collapsed="false">
      <c r="F639" s="11"/>
      <c r="G639" s="12"/>
      <c r="R639" s="13" t="str">
        <v/>
      </c>
      <c r="S639" s="13" t="str">
        <v/>
      </c>
    </row>
    <row r="640" customFormat="false" ht="15.75" hidden="false" customHeight="false" outlineLevel="0" collapsed="false">
      <c r="F640" s="11"/>
      <c r="G640" s="12"/>
      <c r="R640" s="13" t="str">
        <v/>
      </c>
      <c r="S640" s="13" t="str">
        <v/>
      </c>
    </row>
    <row r="641" customFormat="false" ht="15.75" hidden="false" customHeight="false" outlineLevel="0" collapsed="false">
      <c r="F641" s="11"/>
      <c r="G641" s="12"/>
      <c r="R641" s="13" t="str">
        <v/>
      </c>
      <c r="S641" s="13" t="str">
        <v/>
      </c>
    </row>
    <row r="642" customFormat="false" ht="15.75" hidden="false" customHeight="false" outlineLevel="0" collapsed="false">
      <c r="F642" s="11"/>
      <c r="G642" s="12"/>
      <c r="R642" s="13" t="str">
        <v/>
      </c>
      <c r="S642" s="13" t="str">
        <v/>
      </c>
    </row>
    <row r="643" customFormat="false" ht="15.75" hidden="false" customHeight="false" outlineLevel="0" collapsed="false">
      <c r="F643" s="11"/>
      <c r="G643" s="12"/>
      <c r="R643" s="13" t="str">
        <v/>
      </c>
      <c r="S643" s="13" t="str">
        <v/>
      </c>
    </row>
    <row r="644" customFormat="false" ht="15.75" hidden="false" customHeight="false" outlineLevel="0" collapsed="false">
      <c r="F644" s="11"/>
      <c r="G644" s="12"/>
      <c r="R644" s="13" t="str">
        <v/>
      </c>
      <c r="S644" s="13" t="str">
        <v/>
      </c>
    </row>
    <row r="645" customFormat="false" ht="15.75" hidden="false" customHeight="false" outlineLevel="0" collapsed="false">
      <c r="F645" s="11"/>
      <c r="G645" s="12"/>
      <c r="R645" s="13" t="str">
        <v/>
      </c>
      <c r="S645" s="13" t="str">
        <v/>
      </c>
    </row>
    <row r="646" customFormat="false" ht="15.75" hidden="false" customHeight="false" outlineLevel="0" collapsed="false">
      <c r="F646" s="11"/>
      <c r="G646" s="12"/>
      <c r="R646" s="13" t="str">
        <v/>
      </c>
      <c r="S646" s="13" t="str">
        <v/>
      </c>
    </row>
    <row r="647" customFormat="false" ht="15.75" hidden="false" customHeight="false" outlineLevel="0" collapsed="false">
      <c r="F647" s="11"/>
      <c r="G647" s="12"/>
      <c r="R647" s="13" t="str">
        <v/>
      </c>
      <c r="S647" s="13" t="str">
        <v/>
      </c>
    </row>
    <row r="648" customFormat="false" ht="15.75" hidden="false" customHeight="false" outlineLevel="0" collapsed="false">
      <c r="F648" s="11"/>
      <c r="G648" s="12"/>
      <c r="R648" s="13" t="str">
        <v/>
      </c>
      <c r="S648" s="13" t="str">
        <v/>
      </c>
    </row>
    <row r="649" customFormat="false" ht="15.75" hidden="false" customHeight="false" outlineLevel="0" collapsed="false">
      <c r="F649" s="11"/>
      <c r="G649" s="12"/>
      <c r="R649" s="13" t="str">
        <v/>
      </c>
      <c r="S649" s="13" t="str">
        <v/>
      </c>
    </row>
    <row r="650" customFormat="false" ht="15.75" hidden="false" customHeight="false" outlineLevel="0" collapsed="false">
      <c r="F650" s="11"/>
      <c r="G650" s="12"/>
      <c r="R650" s="13" t="str">
        <v/>
      </c>
      <c r="S650" s="13" t="str">
        <v/>
      </c>
    </row>
    <row r="651" customFormat="false" ht="15.75" hidden="false" customHeight="false" outlineLevel="0" collapsed="false">
      <c r="F651" s="11"/>
      <c r="G651" s="12"/>
      <c r="R651" s="13" t="str">
        <v/>
      </c>
      <c r="S651" s="13" t="str">
        <v/>
      </c>
    </row>
    <row r="652" customFormat="false" ht="15.75" hidden="false" customHeight="false" outlineLevel="0" collapsed="false">
      <c r="F652" s="11"/>
      <c r="G652" s="12"/>
      <c r="R652" s="13" t="str">
        <v/>
      </c>
      <c r="S652" s="13" t="str">
        <v/>
      </c>
    </row>
    <row r="653" customFormat="false" ht="15.75" hidden="false" customHeight="false" outlineLevel="0" collapsed="false">
      <c r="F653" s="11"/>
      <c r="G653" s="12"/>
      <c r="R653" s="13" t="str">
        <v/>
      </c>
      <c r="S653" s="13" t="str">
        <v/>
      </c>
    </row>
    <row r="654" customFormat="false" ht="15.75" hidden="false" customHeight="false" outlineLevel="0" collapsed="false">
      <c r="F654" s="11"/>
      <c r="G654" s="12"/>
      <c r="R654" s="13" t="str">
        <v/>
      </c>
      <c r="S654" s="13" t="str">
        <v/>
      </c>
    </row>
    <row r="655" customFormat="false" ht="15.75" hidden="false" customHeight="false" outlineLevel="0" collapsed="false">
      <c r="F655" s="11"/>
      <c r="G655" s="12"/>
      <c r="R655" s="13" t="str">
        <v/>
      </c>
      <c r="S655" s="13" t="str">
        <v/>
      </c>
    </row>
    <row r="656" customFormat="false" ht="15.75" hidden="false" customHeight="false" outlineLevel="0" collapsed="false">
      <c r="F656" s="11"/>
      <c r="G656" s="12"/>
      <c r="R656" s="13" t="str">
        <v/>
      </c>
      <c r="S656" s="13" t="str">
        <v/>
      </c>
    </row>
    <row r="657" customFormat="false" ht="15.75" hidden="false" customHeight="false" outlineLevel="0" collapsed="false">
      <c r="F657" s="11"/>
      <c r="G657" s="12"/>
      <c r="R657" s="13" t="str">
        <v/>
      </c>
      <c r="S657" s="13" t="str">
        <v/>
      </c>
    </row>
    <row r="658" customFormat="false" ht="15.75" hidden="false" customHeight="false" outlineLevel="0" collapsed="false">
      <c r="F658" s="11"/>
      <c r="G658" s="12"/>
      <c r="R658" s="13" t="str">
        <v/>
      </c>
      <c r="S658" s="13" t="str">
        <v/>
      </c>
    </row>
    <row r="659" customFormat="false" ht="15.75" hidden="false" customHeight="false" outlineLevel="0" collapsed="false">
      <c r="F659" s="11"/>
      <c r="G659" s="12"/>
      <c r="R659" s="13" t="str">
        <v/>
      </c>
      <c r="S659" s="13" t="str">
        <v/>
      </c>
    </row>
    <row r="660" customFormat="false" ht="15.75" hidden="false" customHeight="false" outlineLevel="0" collapsed="false">
      <c r="F660" s="11"/>
      <c r="G660" s="12"/>
      <c r="R660" s="13" t="str">
        <v/>
      </c>
      <c r="S660" s="13" t="str">
        <v/>
      </c>
    </row>
    <row r="661" customFormat="false" ht="15.75" hidden="false" customHeight="false" outlineLevel="0" collapsed="false">
      <c r="F661" s="11"/>
      <c r="G661" s="12"/>
      <c r="R661" s="13" t="str">
        <v/>
      </c>
      <c r="S661" s="13" t="str">
        <v/>
      </c>
    </row>
    <row r="662" customFormat="false" ht="15.75" hidden="false" customHeight="false" outlineLevel="0" collapsed="false">
      <c r="F662" s="11"/>
      <c r="G662" s="12"/>
      <c r="R662" s="13" t="str">
        <v/>
      </c>
      <c r="S662" s="13" t="str">
        <v/>
      </c>
    </row>
    <row r="663" customFormat="false" ht="15.75" hidden="false" customHeight="false" outlineLevel="0" collapsed="false">
      <c r="F663" s="11"/>
      <c r="G663" s="12"/>
      <c r="R663" s="13" t="str">
        <v/>
      </c>
      <c r="S663" s="13" t="str">
        <v/>
      </c>
    </row>
    <row r="664" customFormat="false" ht="15.75" hidden="false" customHeight="false" outlineLevel="0" collapsed="false">
      <c r="F664" s="11"/>
      <c r="G664" s="12"/>
      <c r="R664" s="13" t="str">
        <v/>
      </c>
      <c r="S664" s="13" t="str">
        <v/>
      </c>
    </row>
    <row r="665" customFormat="false" ht="15.75" hidden="false" customHeight="false" outlineLevel="0" collapsed="false">
      <c r="F665" s="11"/>
      <c r="G665" s="12"/>
      <c r="R665" s="13" t="str">
        <v/>
      </c>
      <c r="S665" s="13" t="str">
        <v/>
      </c>
    </row>
    <row r="666" customFormat="false" ht="15.75" hidden="false" customHeight="false" outlineLevel="0" collapsed="false">
      <c r="F666" s="11"/>
      <c r="G666" s="12"/>
      <c r="R666" s="13" t="str">
        <v/>
      </c>
      <c r="S666" s="13" t="str">
        <v/>
      </c>
    </row>
    <row r="667" customFormat="false" ht="15.75" hidden="false" customHeight="false" outlineLevel="0" collapsed="false">
      <c r="F667" s="11"/>
      <c r="G667" s="12"/>
      <c r="R667" s="13" t="str">
        <v/>
      </c>
      <c r="S667" s="13" t="str">
        <v/>
      </c>
    </row>
    <row r="668" customFormat="false" ht="15.75" hidden="false" customHeight="false" outlineLevel="0" collapsed="false">
      <c r="F668" s="11"/>
      <c r="G668" s="12"/>
      <c r="R668" s="13" t="str">
        <v/>
      </c>
      <c r="S668" s="13" t="str">
        <v/>
      </c>
    </row>
    <row r="669" customFormat="false" ht="15.75" hidden="false" customHeight="false" outlineLevel="0" collapsed="false">
      <c r="F669" s="11"/>
      <c r="G669" s="12"/>
      <c r="R669" s="13" t="str">
        <v/>
      </c>
      <c r="S669" s="13" t="str">
        <v/>
      </c>
    </row>
    <row r="670" customFormat="false" ht="15.75" hidden="false" customHeight="false" outlineLevel="0" collapsed="false">
      <c r="F670" s="11"/>
      <c r="G670" s="12"/>
      <c r="R670" s="13" t="str">
        <v/>
      </c>
      <c r="S670" s="13" t="str">
        <v/>
      </c>
    </row>
    <row r="671" customFormat="false" ht="15.75" hidden="false" customHeight="false" outlineLevel="0" collapsed="false">
      <c r="F671" s="11"/>
      <c r="G671" s="12"/>
      <c r="R671" s="13" t="str">
        <v/>
      </c>
      <c r="S671" s="13" t="str">
        <v/>
      </c>
    </row>
    <row r="672" customFormat="false" ht="15.75" hidden="false" customHeight="false" outlineLevel="0" collapsed="false">
      <c r="F672" s="11"/>
      <c r="G672" s="12"/>
      <c r="R672" s="13" t="str">
        <v/>
      </c>
      <c r="S672" s="13" t="str">
        <v/>
      </c>
    </row>
    <row r="673" customFormat="false" ht="15.75" hidden="false" customHeight="false" outlineLevel="0" collapsed="false">
      <c r="F673" s="11"/>
      <c r="G673" s="12"/>
      <c r="R673" s="13" t="str">
        <v/>
      </c>
      <c r="S673" s="13" t="str">
        <v/>
      </c>
    </row>
    <row r="674" customFormat="false" ht="15.75" hidden="false" customHeight="false" outlineLevel="0" collapsed="false">
      <c r="F674" s="11"/>
      <c r="G674" s="12"/>
      <c r="R674" s="13" t="str">
        <v/>
      </c>
      <c r="S674" s="13" t="str">
        <v/>
      </c>
    </row>
    <row r="675" customFormat="false" ht="15.75" hidden="false" customHeight="false" outlineLevel="0" collapsed="false">
      <c r="F675" s="11"/>
      <c r="G675" s="12"/>
      <c r="R675" s="13" t="str">
        <v/>
      </c>
      <c r="S675" s="13" t="str">
        <v/>
      </c>
    </row>
    <row r="676" customFormat="false" ht="15.75" hidden="false" customHeight="false" outlineLevel="0" collapsed="false">
      <c r="F676" s="11"/>
      <c r="G676" s="12"/>
      <c r="R676" s="13" t="str">
        <v/>
      </c>
      <c r="S676" s="13" t="str">
        <v/>
      </c>
    </row>
    <row r="677" customFormat="false" ht="15.75" hidden="false" customHeight="false" outlineLevel="0" collapsed="false">
      <c r="F677" s="11"/>
      <c r="G677" s="12"/>
      <c r="R677" s="13" t="str">
        <v/>
      </c>
      <c r="S677" s="13" t="str">
        <v/>
      </c>
    </row>
    <row r="678" customFormat="false" ht="15.75" hidden="false" customHeight="false" outlineLevel="0" collapsed="false">
      <c r="F678" s="11"/>
      <c r="G678" s="12"/>
      <c r="R678" s="13" t="str">
        <v/>
      </c>
      <c r="S678" s="13" t="str">
        <v/>
      </c>
    </row>
    <row r="679" customFormat="false" ht="15.75" hidden="false" customHeight="false" outlineLevel="0" collapsed="false">
      <c r="F679" s="11"/>
      <c r="G679" s="12"/>
      <c r="R679" s="13" t="str">
        <v/>
      </c>
      <c r="S679" s="13" t="str">
        <v/>
      </c>
    </row>
    <row r="680" customFormat="false" ht="15.75" hidden="false" customHeight="false" outlineLevel="0" collapsed="false">
      <c r="F680" s="11"/>
      <c r="G680" s="12"/>
      <c r="R680" s="13" t="str">
        <v/>
      </c>
      <c r="S680" s="13" t="str">
        <v/>
      </c>
    </row>
    <row r="681" customFormat="false" ht="15.75" hidden="false" customHeight="false" outlineLevel="0" collapsed="false">
      <c r="F681" s="11"/>
      <c r="G681" s="12"/>
      <c r="R681" s="13" t="str">
        <v/>
      </c>
      <c r="S681" s="13" t="str">
        <v/>
      </c>
    </row>
    <row r="682" customFormat="false" ht="15.75" hidden="false" customHeight="false" outlineLevel="0" collapsed="false">
      <c r="F682" s="11"/>
      <c r="G682" s="12"/>
      <c r="R682" s="13" t="str">
        <v/>
      </c>
      <c r="S682" s="13" t="str">
        <v/>
      </c>
    </row>
    <row r="683" customFormat="false" ht="15.75" hidden="false" customHeight="false" outlineLevel="0" collapsed="false">
      <c r="F683" s="11"/>
      <c r="G683" s="12"/>
      <c r="R683" s="13" t="str">
        <v/>
      </c>
      <c r="S683" s="13" t="str">
        <v/>
      </c>
    </row>
    <row r="684" customFormat="false" ht="15.75" hidden="false" customHeight="false" outlineLevel="0" collapsed="false">
      <c r="F684" s="11"/>
      <c r="G684" s="12"/>
      <c r="R684" s="13" t="str">
        <v/>
      </c>
      <c r="S684" s="13" t="str">
        <v/>
      </c>
    </row>
    <row r="685" customFormat="false" ht="15.75" hidden="false" customHeight="false" outlineLevel="0" collapsed="false">
      <c r="F685" s="11"/>
      <c r="G685" s="12"/>
      <c r="R685" s="13" t="str">
        <v/>
      </c>
      <c r="S685" s="13" t="str">
        <v/>
      </c>
    </row>
    <row r="686" customFormat="false" ht="15.75" hidden="false" customHeight="false" outlineLevel="0" collapsed="false">
      <c r="F686" s="11"/>
      <c r="G686" s="12"/>
      <c r="R686" s="13" t="str">
        <v/>
      </c>
      <c r="S686" s="13" t="str">
        <v/>
      </c>
    </row>
    <row r="687" customFormat="false" ht="15.75" hidden="false" customHeight="false" outlineLevel="0" collapsed="false">
      <c r="F687" s="11"/>
      <c r="G687" s="12"/>
      <c r="R687" s="13" t="str">
        <v/>
      </c>
      <c r="S687" s="13" t="str">
        <v/>
      </c>
    </row>
    <row r="688" customFormat="false" ht="15.75" hidden="false" customHeight="false" outlineLevel="0" collapsed="false">
      <c r="F688" s="11"/>
      <c r="G688" s="12"/>
      <c r="R688" s="13" t="str">
        <v/>
      </c>
      <c r="S688" s="13" t="str">
        <v/>
      </c>
    </row>
    <row r="689" customFormat="false" ht="15.75" hidden="false" customHeight="false" outlineLevel="0" collapsed="false">
      <c r="F689" s="11"/>
      <c r="G689" s="12"/>
      <c r="R689" s="13" t="str">
        <v/>
      </c>
      <c r="S689" s="13" t="str">
        <v/>
      </c>
    </row>
    <row r="690" customFormat="false" ht="15.75" hidden="false" customHeight="false" outlineLevel="0" collapsed="false">
      <c r="F690" s="11"/>
      <c r="G690" s="12"/>
      <c r="R690" s="13" t="str">
        <v/>
      </c>
      <c r="S690" s="13" t="str">
        <v/>
      </c>
    </row>
    <row r="691" customFormat="false" ht="15.75" hidden="false" customHeight="false" outlineLevel="0" collapsed="false">
      <c r="F691" s="11"/>
      <c r="G691" s="12"/>
      <c r="R691" s="13" t="str">
        <v/>
      </c>
      <c r="S691" s="13" t="str">
        <v/>
      </c>
    </row>
    <row r="692" customFormat="false" ht="15.75" hidden="false" customHeight="false" outlineLevel="0" collapsed="false">
      <c r="F692" s="11"/>
      <c r="G692" s="12"/>
      <c r="R692" s="13" t="str">
        <v/>
      </c>
      <c r="S692" s="13" t="str">
        <v/>
      </c>
    </row>
    <row r="693" customFormat="false" ht="15.75" hidden="false" customHeight="false" outlineLevel="0" collapsed="false">
      <c r="F693" s="11"/>
      <c r="G693" s="12"/>
      <c r="R693" s="13" t="str">
        <v/>
      </c>
      <c r="S693" s="13" t="str">
        <v/>
      </c>
    </row>
    <row r="694" customFormat="false" ht="15.75" hidden="false" customHeight="false" outlineLevel="0" collapsed="false">
      <c r="F694" s="11"/>
      <c r="G694" s="12"/>
      <c r="R694" s="13" t="str">
        <v/>
      </c>
      <c r="S694" s="13" t="str">
        <v/>
      </c>
    </row>
    <row r="695" customFormat="false" ht="15.75" hidden="false" customHeight="false" outlineLevel="0" collapsed="false">
      <c r="F695" s="11"/>
      <c r="G695" s="12"/>
      <c r="R695" s="13" t="str">
        <v/>
      </c>
      <c r="S695" s="13" t="str">
        <v/>
      </c>
    </row>
    <row r="696" customFormat="false" ht="15.75" hidden="false" customHeight="false" outlineLevel="0" collapsed="false">
      <c r="F696" s="11"/>
      <c r="G696" s="12"/>
      <c r="R696" s="13" t="str">
        <v/>
      </c>
      <c r="S696" s="13" t="str">
        <v/>
      </c>
    </row>
    <row r="697" customFormat="false" ht="15.75" hidden="false" customHeight="false" outlineLevel="0" collapsed="false">
      <c r="F697" s="11"/>
      <c r="G697" s="12"/>
      <c r="R697" s="13" t="str">
        <v/>
      </c>
      <c r="S697" s="13" t="str">
        <v/>
      </c>
    </row>
    <row r="698" customFormat="false" ht="15.75" hidden="false" customHeight="false" outlineLevel="0" collapsed="false">
      <c r="F698" s="11"/>
      <c r="G698" s="12"/>
      <c r="R698" s="13" t="str">
        <v/>
      </c>
      <c r="S698" s="13" t="str">
        <v/>
      </c>
    </row>
    <row r="699" customFormat="false" ht="15.75" hidden="false" customHeight="false" outlineLevel="0" collapsed="false">
      <c r="F699" s="11"/>
      <c r="G699" s="12"/>
      <c r="R699" s="13" t="str">
        <v/>
      </c>
      <c r="S699" s="13" t="str">
        <v/>
      </c>
    </row>
    <row r="700" customFormat="false" ht="15.75" hidden="false" customHeight="false" outlineLevel="0" collapsed="false">
      <c r="F700" s="11"/>
      <c r="G700" s="12"/>
      <c r="R700" s="13" t="str">
        <v/>
      </c>
      <c r="S700" s="13" t="str">
        <v/>
      </c>
    </row>
    <row r="701" customFormat="false" ht="15.75" hidden="false" customHeight="false" outlineLevel="0" collapsed="false">
      <c r="F701" s="11"/>
      <c r="G701" s="12"/>
      <c r="R701" s="13" t="str">
        <v/>
      </c>
      <c r="S701" s="13" t="str">
        <v/>
      </c>
    </row>
    <row r="702" customFormat="false" ht="15.75" hidden="false" customHeight="false" outlineLevel="0" collapsed="false">
      <c r="F702" s="11"/>
      <c r="G702" s="12"/>
      <c r="R702" s="13" t="str">
        <v/>
      </c>
      <c r="S702" s="13" t="str">
        <v/>
      </c>
    </row>
    <row r="703" customFormat="false" ht="15.75" hidden="false" customHeight="false" outlineLevel="0" collapsed="false">
      <c r="F703" s="11"/>
      <c r="G703" s="12"/>
      <c r="R703" s="13" t="str">
        <v/>
      </c>
      <c r="S703" s="13" t="str">
        <v/>
      </c>
    </row>
    <row r="704" customFormat="false" ht="15.75" hidden="false" customHeight="false" outlineLevel="0" collapsed="false">
      <c r="F704" s="11"/>
      <c r="G704" s="12"/>
      <c r="R704" s="13" t="str">
        <v/>
      </c>
      <c r="S704" s="13" t="str">
        <v/>
      </c>
    </row>
    <row r="705" customFormat="false" ht="15.75" hidden="false" customHeight="false" outlineLevel="0" collapsed="false">
      <c r="F705" s="11"/>
      <c r="G705" s="12"/>
      <c r="R705" s="13" t="str">
        <v/>
      </c>
      <c r="S705" s="13" t="str">
        <v/>
      </c>
    </row>
    <row r="706" customFormat="false" ht="15.75" hidden="false" customHeight="false" outlineLevel="0" collapsed="false">
      <c r="F706" s="11"/>
      <c r="G706" s="12"/>
      <c r="R706" s="13" t="str">
        <v/>
      </c>
      <c r="S706" s="13" t="str">
        <v/>
      </c>
    </row>
    <row r="707" customFormat="false" ht="15.75" hidden="false" customHeight="false" outlineLevel="0" collapsed="false">
      <c r="F707" s="11"/>
      <c r="G707" s="12"/>
      <c r="R707" s="13" t="str">
        <v/>
      </c>
      <c r="S707" s="13" t="str">
        <v/>
      </c>
    </row>
    <row r="708" customFormat="false" ht="15.75" hidden="false" customHeight="false" outlineLevel="0" collapsed="false">
      <c r="F708" s="11"/>
      <c r="G708" s="12"/>
      <c r="R708" s="13" t="str">
        <v/>
      </c>
      <c r="S708" s="13" t="str">
        <v/>
      </c>
    </row>
    <row r="709" customFormat="false" ht="15.75" hidden="false" customHeight="false" outlineLevel="0" collapsed="false">
      <c r="F709" s="11"/>
      <c r="G709" s="12"/>
      <c r="R709" s="13" t="str">
        <v/>
      </c>
      <c r="S709" s="13" t="str">
        <v/>
      </c>
    </row>
    <row r="710" customFormat="false" ht="15.75" hidden="false" customHeight="false" outlineLevel="0" collapsed="false">
      <c r="F710" s="11"/>
      <c r="G710" s="12"/>
      <c r="R710" s="13" t="str">
        <v/>
      </c>
      <c r="S710" s="13" t="str">
        <v/>
      </c>
    </row>
    <row r="711" customFormat="false" ht="15.75" hidden="false" customHeight="false" outlineLevel="0" collapsed="false">
      <c r="F711" s="11"/>
      <c r="G711" s="12"/>
      <c r="R711" s="13" t="str">
        <v/>
      </c>
      <c r="S711" s="13" t="str">
        <v/>
      </c>
    </row>
    <row r="712" customFormat="false" ht="15.75" hidden="false" customHeight="false" outlineLevel="0" collapsed="false">
      <c r="F712" s="11"/>
      <c r="G712" s="12"/>
      <c r="R712" s="13" t="str">
        <v/>
      </c>
      <c r="S712" s="13" t="str">
        <v/>
      </c>
    </row>
    <row r="713" customFormat="false" ht="15.75" hidden="false" customHeight="false" outlineLevel="0" collapsed="false">
      <c r="F713" s="11"/>
      <c r="G713" s="12"/>
      <c r="R713" s="13" t="str">
        <v/>
      </c>
      <c r="S713" s="13" t="str">
        <v/>
      </c>
    </row>
    <row r="714" customFormat="false" ht="15.75" hidden="false" customHeight="false" outlineLevel="0" collapsed="false">
      <c r="F714" s="11"/>
      <c r="G714" s="12"/>
      <c r="R714" s="13" t="str">
        <v/>
      </c>
      <c r="S714" s="13" t="str">
        <v/>
      </c>
    </row>
    <row r="715" customFormat="false" ht="15.75" hidden="false" customHeight="false" outlineLevel="0" collapsed="false">
      <c r="F715" s="11"/>
      <c r="G715" s="12"/>
      <c r="R715" s="13" t="str">
        <v/>
      </c>
      <c r="S715" s="13" t="str">
        <v/>
      </c>
    </row>
    <row r="716" customFormat="false" ht="15.75" hidden="false" customHeight="false" outlineLevel="0" collapsed="false">
      <c r="F716" s="11"/>
      <c r="G716" s="12"/>
      <c r="R716" s="13" t="str">
        <v/>
      </c>
      <c r="S716" s="13" t="str">
        <v/>
      </c>
    </row>
    <row r="717" customFormat="false" ht="15.75" hidden="false" customHeight="false" outlineLevel="0" collapsed="false">
      <c r="F717" s="11"/>
      <c r="G717" s="12"/>
      <c r="R717" s="13" t="str">
        <v/>
      </c>
      <c r="S717" s="13" t="str">
        <v/>
      </c>
    </row>
    <row r="718" customFormat="false" ht="15.75" hidden="false" customHeight="false" outlineLevel="0" collapsed="false">
      <c r="F718" s="11"/>
      <c r="G718" s="12"/>
      <c r="R718" s="13" t="str">
        <v/>
      </c>
      <c r="S718" s="13" t="str">
        <v/>
      </c>
    </row>
    <row r="719" customFormat="false" ht="15.75" hidden="false" customHeight="false" outlineLevel="0" collapsed="false">
      <c r="F719" s="11"/>
      <c r="G719" s="12"/>
      <c r="R719" s="13" t="str">
        <v/>
      </c>
      <c r="S719" s="13" t="str">
        <v/>
      </c>
    </row>
    <row r="720" customFormat="false" ht="15.75" hidden="false" customHeight="false" outlineLevel="0" collapsed="false">
      <c r="F720" s="11"/>
      <c r="G720" s="12"/>
      <c r="R720" s="13" t="str">
        <v/>
      </c>
      <c r="S720" s="13" t="str">
        <v/>
      </c>
    </row>
    <row r="721" customFormat="false" ht="15.75" hidden="false" customHeight="false" outlineLevel="0" collapsed="false">
      <c r="F721" s="11"/>
      <c r="G721" s="12"/>
      <c r="R721" s="13" t="str">
        <v/>
      </c>
      <c r="S721" s="13" t="str">
        <v/>
      </c>
    </row>
    <row r="722" customFormat="false" ht="15.75" hidden="false" customHeight="false" outlineLevel="0" collapsed="false">
      <c r="F722" s="11"/>
      <c r="G722" s="12"/>
      <c r="R722" s="13" t="str">
        <v/>
      </c>
      <c r="S722" s="13" t="str">
        <v/>
      </c>
    </row>
    <row r="723" customFormat="false" ht="15.75" hidden="false" customHeight="false" outlineLevel="0" collapsed="false">
      <c r="F723" s="11"/>
      <c r="G723" s="12"/>
      <c r="R723" s="13" t="str">
        <v/>
      </c>
      <c r="S723" s="13" t="str">
        <v/>
      </c>
    </row>
    <row r="724" customFormat="false" ht="15.75" hidden="false" customHeight="false" outlineLevel="0" collapsed="false">
      <c r="F724" s="11"/>
      <c r="G724" s="12"/>
      <c r="R724" s="13" t="str">
        <v/>
      </c>
      <c r="S724" s="13" t="str">
        <v/>
      </c>
    </row>
    <row r="725" customFormat="false" ht="15.75" hidden="false" customHeight="false" outlineLevel="0" collapsed="false">
      <c r="F725" s="11"/>
      <c r="G725" s="12"/>
      <c r="R725" s="13" t="str">
        <v/>
      </c>
      <c r="S725" s="13" t="str">
        <v/>
      </c>
    </row>
    <row r="726" customFormat="false" ht="15.75" hidden="false" customHeight="false" outlineLevel="0" collapsed="false">
      <c r="F726" s="11"/>
      <c r="G726" s="12"/>
      <c r="R726" s="13" t="str">
        <v/>
      </c>
      <c r="S726" s="13" t="str">
        <v/>
      </c>
    </row>
    <row r="727" customFormat="false" ht="15.75" hidden="false" customHeight="false" outlineLevel="0" collapsed="false">
      <c r="F727" s="11"/>
      <c r="G727" s="12"/>
      <c r="R727" s="13" t="str">
        <v/>
      </c>
      <c r="S727" s="13" t="str">
        <v/>
      </c>
    </row>
    <row r="728" customFormat="false" ht="15.75" hidden="false" customHeight="false" outlineLevel="0" collapsed="false">
      <c r="F728" s="11"/>
      <c r="G728" s="12"/>
      <c r="R728" s="13" t="str">
        <v/>
      </c>
      <c r="S728" s="13" t="str">
        <v/>
      </c>
    </row>
    <row r="729" customFormat="false" ht="15.75" hidden="false" customHeight="false" outlineLevel="0" collapsed="false">
      <c r="F729" s="11"/>
      <c r="G729" s="12"/>
      <c r="R729" s="13" t="str">
        <v/>
      </c>
      <c r="S729" s="13" t="str">
        <v/>
      </c>
    </row>
    <row r="730" customFormat="false" ht="15.75" hidden="false" customHeight="false" outlineLevel="0" collapsed="false">
      <c r="F730" s="11"/>
      <c r="G730" s="12"/>
      <c r="R730" s="13" t="str">
        <v/>
      </c>
      <c r="S730" s="13" t="str">
        <v/>
      </c>
    </row>
    <row r="731" customFormat="false" ht="15.75" hidden="false" customHeight="false" outlineLevel="0" collapsed="false">
      <c r="F731" s="11"/>
      <c r="G731" s="12"/>
      <c r="R731" s="13" t="str">
        <v/>
      </c>
      <c r="S731" s="13" t="str">
        <v/>
      </c>
    </row>
    <row r="732" customFormat="false" ht="15.75" hidden="false" customHeight="false" outlineLevel="0" collapsed="false">
      <c r="F732" s="11"/>
      <c r="G732" s="12"/>
      <c r="R732" s="13" t="str">
        <v/>
      </c>
      <c r="S732" s="13" t="str">
        <v/>
      </c>
    </row>
    <row r="733" customFormat="false" ht="15.75" hidden="false" customHeight="false" outlineLevel="0" collapsed="false">
      <c r="F733" s="11"/>
      <c r="G733" s="12"/>
      <c r="R733" s="13" t="str">
        <v/>
      </c>
      <c r="S733" s="13" t="str">
        <v/>
      </c>
    </row>
    <row r="734" customFormat="false" ht="15.75" hidden="false" customHeight="false" outlineLevel="0" collapsed="false">
      <c r="F734" s="11"/>
      <c r="G734" s="12"/>
      <c r="R734" s="13" t="str">
        <v/>
      </c>
      <c r="S734" s="13" t="str">
        <v/>
      </c>
    </row>
    <row r="735" customFormat="false" ht="15.75" hidden="false" customHeight="false" outlineLevel="0" collapsed="false">
      <c r="F735" s="11"/>
      <c r="G735" s="12"/>
      <c r="R735" s="13" t="str">
        <v/>
      </c>
      <c r="S735" s="13" t="str">
        <v/>
      </c>
    </row>
    <row r="736" customFormat="false" ht="15.75" hidden="false" customHeight="false" outlineLevel="0" collapsed="false">
      <c r="F736" s="11"/>
      <c r="G736" s="12"/>
      <c r="R736" s="13" t="str">
        <v/>
      </c>
      <c r="S736" s="13" t="str">
        <v/>
      </c>
    </row>
    <row r="737" customFormat="false" ht="15.75" hidden="false" customHeight="false" outlineLevel="0" collapsed="false">
      <c r="F737" s="11"/>
      <c r="G737" s="12"/>
      <c r="R737" s="13" t="str">
        <v/>
      </c>
      <c r="S737" s="13" t="str">
        <v/>
      </c>
    </row>
    <row r="738" customFormat="false" ht="15.75" hidden="false" customHeight="false" outlineLevel="0" collapsed="false">
      <c r="F738" s="11"/>
      <c r="G738" s="12"/>
      <c r="R738" s="13" t="str">
        <v/>
      </c>
      <c r="S738" s="13" t="str">
        <v/>
      </c>
    </row>
    <row r="739" customFormat="false" ht="15.75" hidden="false" customHeight="false" outlineLevel="0" collapsed="false">
      <c r="F739" s="11"/>
      <c r="G739" s="12"/>
      <c r="R739" s="13" t="str">
        <v/>
      </c>
      <c r="S739" s="13" t="str">
        <v/>
      </c>
    </row>
    <row r="740" customFormat="false" ht="15.75" hidden="false" customHeight="false" outlineLevel="0" collapsed="false">
      <c r="F740" s="11"/>
      <c r="G740" s="12"/>
      <c r="R740" s="13" t="str">
        <v/>
      </c>
      <c r="S740" s="13" t="str">
        <v/>
      </c>
    </row>
    <row r="741" customFormat="false" ht="15.75" hidden="false" customHeight="false" outlineLevel="0" collapsed="false">
      <c r="F741" s="11"/>
      <c r="G741" s="12"/>
      <c r="R741" s="13" t="str">
        <v/>
      </c>
      <c r="S741" s="13" t="str">
        <v/>
      </c>
    </row>
    <row r="742" customFormat="false" ht="15.75" hidden="false" customHeight="false" outlineLevel="0" collapsed="false">
      <c r="F742" s="11"/>
      <c r="G742" s="12"/>
      <c r="R742" s="13" t="str">
        <v/>
      </c>
      <c r="S742" s="13" t="str">
        <v/>
      </c>
    </row>
    <row r="743" customFormat="false" ht="15.75" hidden="false" customHeight="false" outlineLevel="0" collapsed="false">
      <c r="F743" s="11"/>
      <c r="G743" s="12"/>
      <c r="R743" s="13" t="str">
        <v/>
      </c>
      <c r="S743" s="13" t="str">
        <v/>
      </c>
    </row>
    <row r="744" customFormat="false" ht="15.75" hidden="false" customHeight="false" outlineLevel="0" collapsed="false">
      <c r="F744" s="11"/>
      <c r="G744" s="12"/>
      <c r="R744" s="13" t="str">
        <v/>
      </c>
      <c r="S744" s="13" t="str">
        <v/>
      </c>
    </row>
    <row r="745" customFormat="false" ht="15.75" hidden="false" customHeight="false" outlineLevel="0" collapsed="false">
      <c r="F745" s="11"/>
      <c r="G745" s="12"/>
      <c r="R745" s="13" t="str">
        <v/>
      </c>
      <c r="S745" s="13" t="str">
        <v/>
      </c>
    </row>
    <row r="746" customFormat="false" ht="15.75" hidden="false" customHeight="false" outlineLevel="0" collapsed="false">
      <c r="F746" s="11"/>
      <c r="G746" s="12"/>
      <c r="R746" s="13" t="str">
        <v/>
      </c>
      <c r="S746" s="13" t="str">
        <v/>
      </c>
    </row>
    <row r="747" customFormat="false" ht="15.75" hidden="false" customHeight="false" outlineLevel="0" collapsed="false">
      <c r="F747" s="11"/>
      <c r="G747" s="12"/>
      <c r="R747" s="13" t="str">
        <v/>
      </c>
      <c r="S747" s="13" t="str">
        <v/>
      </c>
    </row>
    <row r="748" customFormat="false" ht="15.75" hidden="false" customHeight="false" outlineLevel="0" collapsed="false">
      <c r="F748" s="11"/>
      <c r="G748" s="12"/>
      <c r="R748" s="13" t="str">
        <v/>
      </c>
      <c r="S748" s="13" t="str">
        <v/>
      </c>
    </row>
    <row r="749" customFormat="false" ht="15.75" hidden="false" customHeight="false" outlineLevel="0" collapsed="false">
      <c r="F749" s="11"/>
      <c r="G749" s="12"/>
      <c r="R749" s="13" t="str">
        <v/>
      </c>
      <c r="S749" s="13" t="str">
        <v/>
      </c>
    </row>
    <row r="750" customFormat="false" ht="15.75" hidden="false" customHeight="false" outlineLevel="0" collapsed="false">
      <c r="F750" s="11"/>
      <c r="G750" s="12"/>
      <c r="R750" s="13" t="str">
        <v/>
      </c>
      <c r="S750" s="13" t="str">
        <v/>
      </c>
    </row>
    <row r="751" customFormat="false" ht="15.75" hidden="false" customHeight="false" outlineLevel="0" collapsed="false">
      <c r="F751" s="11"/>
      <c r="G751" s="12"/>
      <c r="R751" s="13" t="str">
        <v/>
      </c>
      <c r="S751" s="13" t="str">
        <v/>
      </c>
    </row>
    <row r="752" customFormat="false" ht="15.75" hidden="false" customHeight="false" outlineLevel="0" collapsed="false">
      <c r="F752" s="11"/>
      <c r="G752" s="12"/>
      <c r="R752" s="13" t="str">
        <v/>
      </c>
      <c r="S752" s="13" t="str">
        <v/>
      </c>
    </row>
    <row r="753" customFormat="false" ht="15.75" hidden="false" customHeight="false" outlineLevel="0" collapsed="false">
      <c r="F753" s="11"/>
      <c r="G753" s="12"/>
      <c r="R753" s="13" t="str">
        <v/>
      </c>
      <c r="S753" s="13" t="str">
        <v/>
      </c>
    </row>
    <row r="754" customFormat="false" ht="15.75" hidden="false" customHeight="false" outlineLevel="0" collapsed="false">
      <c r="F754" s="11"/>
      <c r="G754" s="12"/>
      <c r="R754" s="13" t="str">
        <v/>
      </c>
      <c r="S754" s="13" t="str">
        <v/>
      </c>
    </row>
    <row r="755" customFormat="false" ht="15.75" hidden="false" customHeight="false" outlineLevel="0" collapsed="false">
      <c r="F755" s="11"/>
      <c r="G755" s="12"/>
      <c r="R755" s="13" t="str">
        <v/>
      </c>
      <c r="S755" s="13" t="str">
        <v/>
      </c>
    </row>
    <row r="756" customFormat="false" ht="15.75" hidden="false" customHeight="false" outlineLevel="0" collapsed="false">
      <c r="F756" s="11"/>
      <c r="G756" s="12"/>
      <c r="R756" s="13" t="str">
        <v/>
      </c>
      <c r="S756" s="13" t="str">
        <v/>
      </c>
    </row>
    <row r="757" customFormat="false" ht="15.75" hidden="false" customHeight="false" outlineLevel="0" collapsed="false">
      <c r="F757" s="11"/>
      <c r="G757" s="12"/>
      <c r="R757" s="13" t="str">
        <v/>
      </c>
      <c r="S757" s="13" t="str">
        <v/>
      </c>
    </row>
    <row r="758" customFormat="false" ht="15.75" hidden="false" customHeight="false" outlineLevel="0" collapsed="false">
      <c r="F758" s="11"/>
      <c r="G758" s="12"/>
      <c r="R758" s="13" t="str">
        <v/>
      </c>
      <c r="S758" s="13" t="str">
        <v/>
      </c>
    </row>
    <row r="759" customFormat="false" ht="15.75" hidden="false" customHeight="false" outlineLevel="0" collapsed="false">
      <c r="F759" s="11"/>
      <c r="G759" s="12"/>
      <c r="R759" s="13" t="str">
        <v/>
      </c>
      <c r="S759" s="13" t="str">
        <v/>
      </c>
    </row>
    <row r="760" customFormat="false" ht="15.75" hidden="false" customHeight="false" outlineLevel="0" collapsed="false">
      <c r="F760" s="11"/>
      <c r="G760" s="12"/>
      <c r="R760" s="13" t="str">
        <v/>
      </c>
      <c r="S760" s="13" t="str">
        <v/>
      </c>
    </row>
    <row r="761" customFormat="false" ht="15.75" hidden="false" customHeight="false" outlineLevel="0" collapsed="false">
      <c r="F761" s="11"/>
      <c r="G761" s="12"/>
      <c r="R761" s="13" t="str">
        <v/>
      </c>
      <c r="S761" s="13" t="str">
        <v/>
      </c>
    </row>
    <row r="762" customFormat="false" ht="15.75" hidden="false" customHeight="false" outlineLevel="0" collapsed="false">
      <c r="F762" s="11"/>
      <c r="G762" s="12"/>
      <c r="R762" s="13" t="str">
        <v/>
      </c>
      <c r="S762" s="13" t="str">
        <v/>
      </c>
    </row>
    <row r="763" customFormat="false" ht="15.75" hidden="false" customHeight="false" outlineLevel="0" collapsed="false">
      <c r="F763" s="11"/>
      <c r="G763" s="12"/>
      <c r="R763" s="13" t="str">
        <v/>
      </c>
      <c r="S763" s="13" t="str">
        <v/>
      </c>
    </row>
    <row r="764" customFormat="false" ht="15.75" hidden="false" customHeight="false" outlineLevel="0" collapsed="false">
      <c r="F764" s="11"/>
      <c r="G764" s="12"/>
      <c r="R764" s="13" t="str">
        <v/>
      </c>
      <c r="S764" s="13" t="str">
        <v/>
      </c>
    </row>
    <row r="765" customFormat="false" ht="15.75" hidden="false" customHeight="false" outlineLevel="0" collapsed="false">
      <c r="F765" s="11"/>
      <c r="G765" s="12"/>
      <c r="R765" s="13" t="str">
        <v/>
      </c>
      <c r="S765" s="13" t="str">
        <v/>
      </c>
    </row>
    <row r="766" customFormat="false" ht="15.75" hidden="false" customHeight="false" outlineLevel="0" collapsed="false">
      <c r="F766" s="11"/>
      <c r="G766" s="12"/>
      <c r="R766" s="13" t="str">
        <v/>
      </c>
      <c r="S766" s="13" t="str">
        <v/>
      </c>
    </row>
    <row r="767" customFormat="false" ht="15.75" hidden="false" customHeight="false" outlineLevel="0" collapsed="false">
      <c r="F767" s="11"/>
      <c r="G767" s="12"/>
      <c r="R767" s="13" t="str">
        <v/>
      </c>
      <c r="S767" s="13" t="str">
        <v/>
      </c>
    </row>
    <row r="768" customFormat="false" ht="15.75" hidden="false" customHeight="false" outlineLevel="0" collapsed="false">
      <c r="F768" s="11"/>
      <c r="G768" s="12"/>
      <c r="R768" s="13" t="str">
        <v/>
      </c>
      <c r="S768" s="13" t="str">
        <v/>
      </c>
    </row>
    <row r="769" customFormat="false" ht="15.75" hidden="false" customHeight="false" outlineLevel="0" collapsed="false">
      <c r="F769" s="11"/>
      <c r="G769" s="12"/>
      <c r="R769" s="13" t="str">
        <v/>
      </c>
      <c r="S769" s="13" t="str">
        <v/>
      </c>
    </row>
    <row r="770" customFormat="false" ht="15.75" hidden="false" customHeight="false" outlineLevel="0" collapsed="false">
      <c r="F770" s="11"/>
      <c r="G770" s="12"/>
      <c r="R770" s="13" t="str">
        <v/>
      </c>
      <c r="S770" s="13" t="str">
        <v/>
      </c>
    </row>
    <row r="771" customFormat="false" ht="15.75" hidden="false" customHeight="false" outlineLevel="0" collapsed="false">
      <c r="F771" s="11"/>
      <c r="G771" s="12"/>
      <c r="R771" s="13" t="str">
        <v/>
      </c>
      <c r="S771" s="13" t="str">
        <v/>
      </c>
    </row>
    <row r="772" customFormat="false" ht="15.75" hidden="false" customHeight="false" outlineLevel="0" collapsed="false">
      <c r="F772" s="11"/>
      <c r="G772" s="12"/>
      <c r="R772" s="13" t="str">
        <v/>
      </c>
      <c r="S772" s="13" t="str">
        <v/>
      </c>
    </row>
    <row r="773" customFormat="false" ht="15.75" hidden="false" customHeight="false" outlineLevel="0" collapsed="false">
      <c r="F773" s="11"/>
      <c r="G773" s="12"/>
      <c r="R773" s="13" t="str">
        <v/>
      </c>
      <c r="S773" s="13" t="str">
        <v/>
      </c>
    </row>
    <row r="774" customFormat="false" ht="15.75" hidden="false" customHeight="false" outlineLevel="0" collapsed="false">
      <c r="F774" s="11"/>
      <c r="G774" s="12"/>
      <c r="R774" s="13" t="str">
        <v/>
      </c>
      <c r="S774" s="13" t="str">
        <v/>
      </c>
    </row>
    <row r="775" customFormat="false" ht="15.75" hidden="false" customHeight="false" outlineLevel="0" collapsed="false">
      <c r="F775" s="11"/>
      <c r="G775" s="12"/>
      <c r="R775" s="13" t="str">
        <v/>
      </c>
      <c r="S775" s="13" t="str">
        <v/>
      </c>
    </row>
    <row r="776" customFormat="false" ht="15.75" hidden="false" customHeight="false" outlineLevel="0" collapsed="false">
      <c r="F776" s="11"/>
      <c r="G776" s="12"/>
      <c r="R776" s="13" t="str">
        <v/>
      </c>
      <c r="S776" s="13" t="str">
        <v/>
      </c>
    </row>
    <row r="777" customFormat="false" ht="15.75" hidden="false" customHeight="false" outlineLevel="0" collapsed="false">
      <c r="F777" s="11"/>
      <c r="G777" s="12"/>
      <c r="R777" s="13" t="str">
        <v/>
      </c>
      <c r="S777" s="13" t="str">
        <v/>
      </c>
    </row>
    <row r="778" customFormat="false" ht="15.75" hidden="false" customHeight="false" outlineLevel="0" collapsed="false">
      <c r="F778" s="11"/>
      <c r="G778" s="12"/>
      <c r="R778" s="13" t="str">
        <v/>
      </c>
      <c r="S778" s="13" t="str">
        <v/>
      </c>
    </row>
    <row r="779" customFormat="false" ht="15.75" hidden="false" customHeight="false" outlineLevel="0" collapsed="false">
      <c r="F779" s="11"/>
      <c r="G779" s="12"/>
      <c r="R779" s="13" t="str">
        <v/>
      </c>
      <c r="S779" s="13" t="str">
        <v/>
      </c>
    </row>
    <row r="780" customFormat="false" ht="15.75" hidden="false" customHeight="false" outlineLevel="0" collapsed="false">
      <c r="F780" s="11"/>
      <c r="G780" s="12"/>
      <c r="R780" s="13" t="str">
        <v/>
      </c>
      <c r="S780" s="13" t="str">
        <v/>
      </c>
    </row>
    <row r="781" customFormat="false" ht="15.75" hidden="false" customHeight="false" outlineLevel="0" collapsed="false">
      <c r="F781" s="11"/>
      <c r="G781" s="12"/>
      <c r="R781" s="13" t="str">
        <v/>
      </c>
      <c r="S781" s="13" t="str">
        <v/>
      </c>
    </row>
    <row r="782" customFormat="false" ht="15.75" hidden="false" customHeight="false" outlineLevel="0" collapsed="false">
      <c r="F782" s="11"/>
      <c r="G782" s="12"/>
      <c r="R782" s="13" t="str">
        <v/>
      </c>
      <c r="S782" s="13" t="str">
        <v/>
      </c>
    </row>
    <row r="783" customFormat="false" ht="15.75" hidden="false" customHeight="false" outlineLevel="0" collapsed="false">
      <c r="F783" s="11"/>
      <c r="G783" s="12"/>
      <c r="R783" s="13" t="str">
        <v/>
      </c>
      <c r="S783" s="13" t="str">
        <v/>
      </c>
    </row>
    <row r="784" customFormat="false" ht="15.75" hidden="false" customHeight="false" outlineLevel="0" collapsed="false">
      <c r="F784" s="11"/>
      <c r="G784" s="12"/>
      <c r="R784" s="13" t="str">
        <v/>
      </c>
      <c r="S784" s="13" t="str">
        <v/>
      </c>
    </row>
    <row r="785" customFormat="false" ht="15.75" hidden="false" customHeight="false" outlineLevel="0" collapsed="false">
      <c r="F785" s="11"/>
      <c r="G785" s="12"/>
      <c r="R785" s="13" t="str">
        <v/>
      </c>
      <c r="S785" s="13" t="str">
        <v/>
      </c>
    </row>
    <row r="786" customFormat="false" ht="15.75" hidden="false" customHeight="false" outlineLevel="0" collapsed="false">
      <c r="F786" s="11"/>
      <c r="G786" s="12"/>
      <c r="R786" s="13" t="str">
        <v/>
      </c>
      <c r="S786" s="13" t="str">
        <v/>
      </c>
    </row>
    <row r="787" customFormat="false" ht="15.75" hidden="false" customHeight="false" outlineLevel="0" collapsed="false">
      <c r="F787" s="11"/>
      <c r="G787" s="12"/>
      <c r="R787" s="13" t="str">
        <v/>
      </c>
      <c r="S787" s="13" t="str">
        <v/>
      </c>
    </row>
    <row r="788" customFormat="false" ht="15.75" hidden="false" customHeight="false" outlineLevel="0" collapsed="false">
      <c r="F788" s="11"/>
      <c r="G788" s="12"/>
      <c r="R788" s="13" t="str">
        <v/>
      </c>
      <c r="S788" s="13" t="str">
        <v/>
      </c>
    </row>
    <row r="789" customFormat="false" ht="15.75" hidden="false" customHeight="false" outlineLevel="0" collapsed="false">
      <c r="F789" s="11"/>
      <c r="G789" s="12"/>
      <c r="R789" s="13" t="str">
        <v/>
      </c>
      <c r="S789" s="13" t="str">
        <v/>
      </c>
    </row>
    <row r="790" customFormat="false" ht="15.75" hidden="false" customHeight="false" outlineLevel="0" collapsed="false">
      <c r="F790" s="11"/>
      <c r="G790" s="12"/>
      <c r="R790" s="13" t="str">
        <v/>
      </c>
      <c r="S790" s="13" t="str">
        <v/>
      </c>
    </row>
    <row r="791" customFormat="false" ht="15.75" hidden="false" customHeight="false" outlineLevel="0" collapsed="false">
      <c r="F791" s="11"/>
      <c r="G791" s="12"/>
      <c r="R791" s="13" t="str">
        <v/>
      </c>
      <c r="S791" s="13" t="str">
        <v/>
      </c>
    </row>
    <row r="792" customFormat="false" ht="15.75" hidden="false" customHeight="false" outlineLevel="0" collapsed="false">
      <c r="F792" s="11"/>
      <c r="G792" s="12"/>
      <c r="R792" s="13" t="str">
        <v/>
      </c>
      <c r="S792" s="13" t="str">
        <v/>
      </c>
    </row>
    <row r="793" customFormat="false" ht="15.75" hidden="false" customHeight="false" outlineLevel="0" collapsed="false">
      <c r="F793" s="11"/>
      <c r="G793" s="12"/>
      <c r="R793" s="13" t="str">
        <v/>
      </c>
      <c r="S793" s="13" t="str">
        <v/>
      </c>
    </row>
    <row r="794" customFormat="false" ht="15.75" hidden="false" customHeight="false" outlineLevel="0" collapsed="false">
      <c r="F794" s="11"/>
      <c r="G794" s="12"/>
      <c r="R794" s="13" t="str">
        <v/>
      </c>
      <c r="S794" s="13" t="str">
        <v/>
      </c>
    </row>
    <row r="795" customFormat="false" ht="15.75" hidden="false" customHeight="false" outlineLevel="0" collapsed="false">
      <c r="F795" s="11"/>
      <c r="G795" s="12"/>
      <c r="R795" s="13" t="str">
        <v/>
      </c>
      <c r="S795" s="13" t="str">
        <v/>
      </c>
    </row>
    <row r="796" customFormat="false" ht="15.75" hidden="false" customHeight="false" outlineLevel="0" collapsed="false">
      <c r="F796" s="11"/>
      <c r="G796" s="12"/>
      <c r="R796" s="13" t="str">
        <v/>
      </c>
      <c r="S796" s="13" t="str">
        <v/>
      </c>
    </row>
    <row r="797" customFormat="false" ht="15.75" hidden="false" customHeight="false" outlineLevel="0" collapsed="false">
      <c r="F797" s="11"/>
      <c r="G797" s="12"/>
      <c r="R797" s="13" t="str">
        <v/>
      </c>
      <c r="S797" s="13" t="str">
        <v/>
      </c>
    </row>
    <row r="798" customFormat="false" ht="15.75" hidden="false" customHeight="false" outlineLevel="0" collapsed="false">
      <c r="F798" s="11"/>
      <c r="G798" s="12"/>
      <c r="R798" s="13" t="str">
        <v/>
      </c>
      <c r="S798" s="13" t="str">
        <v/>
      </c>
    </row>
    <row r="799" customFormat="false" ht="15.75" hidden="false" customHeight="false" outlineLevel="0" collapsed="false">
      <c r="F799" s="11"/>
      <c r="G799" s="12"/>
      <c r="R799" s="13" t="str">
        <v/>
      </c>
      <c r="S799" s="13" t="str">
        <v/>
      </c>
    </row>
    <row r="800" customFormat="false" ht="15.75" hidden="false" customHeight="false" outlineLevel="0" collapsed="false">
      <c r="F800" s="11"/>
      <c r="G800" s="12"/>
      <c r="R800" s="13" t="str">
        <v/>
      </c>
      <c r="S800" s="13" t="str">
        <v/>
      </c>
    </row>
    <row r="801" customFormat="false" ht="15.75" hidden="false" customHeight="false" outlineLevel="0" collapsed="false">
      <c r="F801" s="11"/>
      <c r="G801" s="12"/>
      <c r="R801" s="13" t="str">
        <v/>
      </c>
      <c r="S801" s="13" t="str">
        <v/>
      </c>
    </row>
    <row r="802" customFormat="false" ht="15.75" hidden="false" customHeight="false" outlineLevel="0" collapsed="false">
      <c r="F802" s="11"/>
      <c r="G802" s="12"/>
      <c r="R802" s="13" t="str">
        <v/>
      </c>
      <c r="S802" s="13" t="str">
        <v/>
      </c>
    </row>
    <row r="803" customFormat="false" ht="15.75" hidden="false" customHeight="false" outlineLevel="0" collapsed="false">
      <c r="F803" s="11"/>
      <c r="G803" s="12"/>
      <c r="R803" s="13" t="str">
        <v/>
      </c>
      <c r="S803" s="13" t="str">
        <v/>
      </c>
    </row>
    <row r="804" customFormat="false" ht="15.75" hidden="false" customHeight="false" outlineLevel="0" collapsed="false">
      <c r="F804" s="11"/>
      <c r="G804" s="12"/>
      <c r="R804" s="13" t="str">
        <v/>
      </c>
      <c r="S804" s="13" t="str">
        <v/>
      </c>
    </row>
    <row r="805" customFormat="false" ht="15.75" hidden="false" customHeight="false" outlineLevel="0" collapsed="false">
      <c r="F805" s="11"/>
      <c r="G805" s="12"/>
      <c r="R805" s="13" t="str">
        <v/>
      </c>
      <c r="S805" s="13" t="str">
        <v/>
      </c>
    </row>
    <row r="806" customFormat="false" ht="15.75" hidden="false" customHeight="false" outlineLevel="0" collapsed="false">
      <c r="F806" s="11"/>
      <c r="G806" s="12"/>
      <c r="R806" s="13" t="str">
        <v/>
      </c>
      <c r="S806" s="13" t="str">
        <v/>
      </c>
    </row>
    <row r="807" customFormat="false" ht="15.75" hidden="false" customHeight="false" outlineLevel="0" collapsed="false">
      <c r="F807" s="11"/>
      <c r="G807" s="12"/>
      <c r="R807" s="13" t="str">
        <v/>
      </c>
      <c r="S807" s="13" t="str">
        <v/>
      </c>
    </row>
    <row r="808" customFormat="false" ht="15.75" hidden="false" customHeight="false" outlineLevel="0" collapsed="false">
      <c r="F808" s="11"/>
      <c r="G808" s="12"/>
      <c r="R808" s="13" t="str">
        <v/>
      </c>
      <c r="S808" s="13" t="str">
        <v/>
      </c>
    </row>
    <row r="809" customFormat="false" ht="15.75" hidden="false" customHeight="false" outlineLevel="0" collapsed="false">
      <c r="F809" s="11"/>
      <c r="G809" s="12"/>
      <c r="R809" s="13" t="str">
        <v/>
      </c>
      <c r="S809" s="13" t="str">
        <v/>
      </c>
    </row>
    <row r="810" customFormat="false" ht="15.75" hidden="false" customHeight="false" outlineLevel="0" collapsed="false">
      <c r="F810" s="11"/>
      <c r="G810" s="12"/>
      <c r="R810" s="13" t="str">
        <v/>
      </c>
      <c r="S810" s="13" t="str">
        <v/>
      </c>
    </row>
    <row r="811" customFormat="false" ht="15.75" hidden="false" customHeight="false" outlineLevel="0" collapsed="false">
      <c r="F811" s="11"/>
      <c r="G811" s="12"/>
      <c r="R811" s="13" t="str">
        <v/>
      </c>
      <c r="S811" s="13" t="str">
        <v/>
      </c>
    </row>
    <row r="812" customFormat="false" ht="15.75" hidden="false" customHeight="false" outlineLevel="0" collapsed="false">
      <c r="F812" s="11"/>
      <c r="G812" s="12"/>
      <c r="R812" s="13" t="str">
        <v/>
      </c>
      <c r="S812" s="13" t="str">
        <v/>
      </c>
    </row>
    <row r="813" customFormat="false" ht="15.75" hidden="false" customHeight="false" outlineLevel="0" collapsed="false">
      <c r="F813" s="11"/>
      <c r="G813" s="12"/>
      <c r="R813" s="13" t="str">
        <v/>
      </c>
      <c r="S813" s="13" t="str">
        <v/>
      </c>
    </row>
    <row r="814" customFormat="false" ht="15.75" hidden="false" customHeight="false" outlineLevel="0" collapsed="false">
      <c r="F814" s="11"/>
      <c r="G814" s="12"/>
      <c r="R814" s="13" t="str">
        <v/>
      </c>
      <c r="S814" s="13" t="str">
        <v/>
      </c>
    </row>
    <row r="815" customFormat="false" ht="15.75" hidden="false" customHeight="false" outlineLevel="0" collapsed="false">
      <c r="F815" s="11"/>
      <c r="G815" s="12"/>
      <c r="R815" s="13" t="str">
        <v/>
      </c>
      <c r="S815" s="13" t="str">
        <v/>
      </c>
    </row>
    <row r="816" customFormat="false" ht="15.75" hidden="false" customHeight="false" outlineLevel="0" collapsed="false">
      <c r="F816" s="11"/>
      <c r="G816" s="12"/>
      <c r="R816" s="13" t="str">
        <v/>
      </c>
      <c r="S816" s="13" t="str">
        <v/>
      </c>
    </row>
    <row r="817" customFormat="false" ht="15.75" hidden="false" customHeight="false" outlineLevel="0" collapsed="false">
      <c r="F817" s="11"/>
      <c r="G817" s="12"/>
      <c r="R817" s="13" t="str">
        <v/>
      </c>
      <c r="S817" s="13" t="str">
        <v/>
      </c>
    </row>
    <row r="818" customFormat="false" ht="15.75" hidden="false" customHeight="false" outlineLevel="0" collapsed="false">
      <c r="F818" s="11"/>
      <c r="G818" s="12"/>
      <c r="R818" s="13" t="str">
        <v/>
      </c>
      <c r="S818" s="13" t="str">
        <v/>
      </c>
    </row>
    <row r="819" customFormat="false" ht="15.75" hidden="false" customHeight="false" outlineLevel="0" collapsed="false">
      <c r="F819" s="11"/>
      <c r="G819" s="12"/>
      <c r="R819" s="13" t="str">
        <v/>
      </c>
      <c r="S819" s="13" t="str">
        <v/>
      </c>
    </row>
    <row r="820" customFormat="false" ht="15.75" hidden="false" customHeight="false" outlineLevel="0" collapsed="false">
      <c r="F820" s="11"/>
      <c r="G820" s="12"/>
      <c r="R820" s="13" t="str">
        <v/>
      </c>
      <c r="S820" s="13" t="str">
        <v/>
      </c>
    </row>
    <row r="821" customFormat="false" ht="15.75" hidden="false" customHeight="false" outlineLevel="0" collapsed="false">
      <c r="F821" s="11"/>
      <c r="G821" s="12"/>
      <c r="R821" s="13" t="str">
        <v/>
      </c>
      <c r="S821" s="13" t="str">
        <v/>
      </c>
    </row>
    <row r="822" customFormat="false" ht="15.75" hidden="false" customHeight="false" outlineLevel="0" collapsed="false">
      <c r="F822" s="11"/>
      <c r="G822" s="12"/>
      <c r="R822" s="13" t="str">
        <v/>
      </c>
      <c r="S822" s="13" t="str">
        <v/>
      </c>
    </row>
    <row r="823" customFormat="false" ht="15.75" hidden="false" customHeight="false" outlineLevel="0" collapsed="false">
      <c r="F823" s="11"/>
      <c r="G823" s="12"/>
      <c r="R823" s="13" t="str">
        <v/>
      </c>
      <c r="S823" s="13" t="str">
        <v/>
      </c>
    </row>
    <row r="824" customFormat="false" ht="15.75" hidden="false" customHeight="false" outlineLevel="0" collapsed="false">
      <c r="F824" s="11"/>
      <c r="G824" s="12"/>
      <c r="R824" s="13" t="str">
        <v/>
      </c>
      <c r="S824" s="13" t="str">
        <v/>
      </c>
    </row>
    <row r="825" customFormat="false" ht="15.75" hidden="false" customHeight="false" outlineLevel="0" collapsed="false">
      <c r="F825" s="11"/>
      <c r="G825" s="12"/>
      <c r="R825" s="13" t="str">
        <v/>
      </c>
      <c r="S825" s="13" t="str">
        <v/>
      </c>
    </row>
    <row r="826" customFormat="false" ht="15.75" hidden="false" customHeight="false" outlineLevel="0" collapsed="false">
      <c r="F826" s="11"/>
      <c r="G826" s="12"/>
      <c r="R826" s="13" t="str">
        <v/>
      </c>
      <c r="S826" s="13" t="str">
        <v/>
      </c>
    </row>
    <row r="827" customFormat="false" ht="15.75" hidden="false" customHeight="false" outlineLevel="0" collapsed="false">
      <c r="F827" s="11"/>
      <c r="G827" s="12"/>
      <c r="R827" s="13" t="str">
        <v/>
      </c>
      <c r="S827" s="13" t="str">
        <v/>
      </c>
    </row>
    <row r="828" customFormat="false" ht="15.75" hidden="false" customHeight="false" outlineLevel="0" collapsed="false">
      <c r="F828" s="11"/>
      <c r="G828" s="12"/>
      <c r="R828" s="13" t="str">
        <v/>
      </c>
      <c r="S828" s="13" t="str">
        <v/>
      </c>
    </row>
    <row r="829" customFormat="false" ht="15.75" hidden="false" customHeight="false" outlineLevel="0" collapsed="false">
      <c r="F829" s="11"/>
      <c r="G829" s="12"/>
      <c r="R829" s="13" t="str">
        <v/>
      </c>
      <c r="S829" s="13" t="str">
        <v/>
      </c>
    </row>
    <row r="830" customFormat="false" ht="15.75" hidden="false" customHeight="false" outlineLevel="0" collapsed="false">
      <c r="F830" s="11"/>
      <c r="G830" s="12"/>
      <c r="R830" s="13" t="str">
        <v/>
      </c>
      <c r="S830" s="13" t="str">
        <v/>
      </c>
    </row>
    <row r="831" customFormat="false" ht="15.75" hidden="false" customHeight="false" outlineLevel="0" collapsed="false">
      <c r="F831" s="11"/>
      <c r="G831" s="12"/>
      <c r="R831" s="13" t="str">
        <v/>
      </c>
      <c r="S831" s="13" t="str">
        <v/>
      </c>
    </row>
    <row r="832" customFormat="false" ht="15.75" hidden="false" customHeight="false" outlineLevel="0" collapsed="false">
      <c r="F832" s="11"/>
      <c r="G832" s="12"/>
      <c r="R832" s="13" t="str">
        <v/>
      </c>
      <c r="S832" s="13" t="str">
        <v/>
      </c>
    </row>
    <row r="833" customFormat="false" ht="15.75" hidden="false" customHeight="false" outlineLevel="0" collapsed="false">
      <c r="F833" s="11"/>
      <c r="G833" s="12"/>
      <c r="R833" s="13" t="str">
        <v/>
      </c>
      <c r="S833" s="13" t="str">
        <v/>
      </c>
    </row>
    <row r="834" customFormat="false" ht="15.75" hidden="false" customHeight="false" outlineLevel="0" collapsed="false">
      <c r="F834" s="11"/>
      <c r="G834" s="12"/>
      <c r="R834" s="13" t="str">
        <v/>
      </c>
      <c r="S834" s="13" t="str">
        <v/>
      </c>
    </row>
    <row r="835" customFormat="false" ht="15.75" hidden="false" customHeight="false" outlineLevel="0" collapsed="false">
      <c r="F835" s="11"/>
      <c r="G835" s="12"/>
      <c r="R835" s="13" t="str">
        <v/>
      </c>
      <c r="S835" s="13" t="str">
        <v/>
      </c>
    </row>
    <row r="836" customFormat="false" ht="15.75" hidden="false" customHeight="false" outlineLevel="0" collapsed="false">
      <c r="F836" s="11"/>
      <c r="G836" s="12"/>
      <c r="R836" s="13" t="str">
        <v/>
      </c>
      <c r="S836" s="13" t="str">
        <v/>
      </c>
    </row>
    <row r="837" customFormat="false" ht="15.75" hidden="false" customHeight="false" outlineLevel="0" collapsed="false">
      <c r="F837" s="11"/>
      <c r="G837" s="12"/>
      <c r="R837" s="13" t="str">
        <v/>
      </c>
      <c r="S837" s="13" t="str">
        <v/>
      </c>
    </row>
    <row r="838" customFormat="false" ht="15.75" hidden="false" customHeight="false" outlineLevel="0" collapsed="false">
      <c r="F838" s="11"/>
      <c r="G838" s="12"/>
      <c r="R838" s="13" t="str">
        <v/>
      </c>
      <c r="S838" s="13" t="str">
        <v/>
      </c>
    </row>
    <row r="839" customFormat="false" ht="15.75" hidden="false" customHeight="false" outlineLevel="0" collapsed="false">
      <c r="F839" s="11"/>
      <c r="G839" s="12"/>
      <c r="R839" s="13" t="str">
        <v/>
      </c>
      <c r="S839" s="13" t="str">
        <v/>
      </c>
    </row>
    <row r="840" customFormat="false" ht="15.75" hidden="false" customHeight="false" outlineLevel="0" collapsed="false">
      <c r="F840" s="11"/>
      <c r="G840" s="12"/>
      <c r="R840" s="13" t="str">
        <v/>
      </c>
      <c r="S840" s="13" t="str">
        <v/>
      </c>
    </row>
    <row r="841" customFormat="false" ht="15.75" hidden="false" customHeight="false" outlineLevel="0" collapsed="false">
      <c r="F841" s="11"/>
      <c r="G841" s="12"/>
      <c r="R841" s="13" t="str">
        <v/>
      </c>
      <c r="S841" s="13" t="str">
        <v/>
      </c>
    </row>
    <row r="842" customFormat="false" ht="15.75" hidden="false" customHeight="false" outlineLevel="0" collapsed="false">
      <c r="F842" s="11"/>
      <c r="G842" s="12"/>
      <c r="R842" s="13" t="str">
        <v/>
      </c>
      <c r="S842" s="13" t="str">
        <v/>
      </c>
    </row>
    <row r="843" customFormat="false" ht="15.75" hidden="false" customHeight="false" outlineLevel="0" collapsed="false">
      <c r="F843" s="11"/>
      <c r="G843" s="12"/>
      <c r="R843" s="13" t="str">
        <v/>
      </c>
      <c r="S843" s="13" t="str">
        <v/>
      </c>
    </row>
    <row r="844" customFormat="false" ht="15.75" hidden="false" customHeight="false" outlineLevel="0" collapsed="false">
      <c r="F844" s="11"/>
      <c r="G844" s="12"/>
      <c r="R844" s="13" t="str">
        <v/>
      </c>
      <c r="S844" s="13" t="str">
        <v/>
      </c>
    </row>
    <row r="845" customFormat="false" ht="15.75" hidden="false" customHeight="false" outlineLevel="0" collapsed="false">
      <c r="F845" s="11"/>
      <c r="G845" s="12"/>
      <c r="R845" s="13" t="str">
        <v/>
      </c>
      <c r="S845" s="13" t="str">
        <v/>
      </c>
    </row>
    <row r="846" customFormat="false" ht="15.75" hidden="false" customHeight="false" outlineLevel="0" collapsed="false">
      <c r="F846" s="11"/>
      <c r="G846" s="12"/>
      <c r="R846" s="13" t="str">
        <v/>
      </c>
      <c r="S846" s="13" t="str">
        <v/>
      </c>
    </row>
    <row r="847" customFormat="false" ht="15.75" hidden="false" customHeight="false" outlineLevel="0" collapsed="false">
      <c r="F847" s="11"/>
      <c r="G847" s="12"/>
      <c r="R847" s="13" t="str">
        <v/>
      </c>
      <c r="S847" s="13" t="str">
        <v/>
      </c>
    </row>
    <row r="848" customFormat="false" ht="15.75" hidden="false" customHeight="false" outlineLevel="0" collapsed="false">
      <c r="F848" s="11"/>
      <c r="G848" s="12"/>
      <c r="R848" s="13" t="str">
        <v/>
      </c>
      <c r="S848" s="13" t="str">
        <v/>
      </c>
    </row>
    <row r="849" customFormat="false" ht="15.75" hidden="false" customHeight="false" outlineLevel="0" collapsed="false">
      <c r="F849" s="11"/>
      <c r="G849" s="12"/>
      <c r="R849" s="13" t="str">
        <v/>
      </c>
      <c r="S849" s="13" t="str">
        <v/>
      </c>
    </row>
    <row r="850" customFormat="false" ht="15.75" hidden="false" customHeight="false" outlineLevel="0" collapsed="false">
      <c r="F850" s="11"/>
      <c r="G850" s="12"/>
      <c r="R850" s="13" t="str">
        <v/>
      </c>
      <c r="S850" s="13" t="str">
        <v/>
      </c>
    </row>
    <row r="851" customFormat="false" ht="15.75" hidden="false" customHeight="false" outlineLevel="0" collapsed="false">
      <c r="F851" s="11"/>
      <c r="G851" s="12"/>
      <c r="R851" s="13" t="str">
        <v/>
      </c>
      <c r="S851" s="13" t="str">
        <v/>
      </c>
    </row>
    <row r="852" customFormat="false" ht="15.75" hidden="false" customHeight="false" outlineLevel="0" collapsed="false">
      <c r="F852" s="11"/>
      <c r="G852" s="12"/>
      <c r="R852" s="13" t="str">
        <v/>
      </c>
      <c r="S852" s="13" t="str">
        <v/>
      </c>
    </row>
    <row r="853" customFormat="false" ht="15.75" hidden="false" customHeight="false" outlineLevel="0" collapsed="false">
      <c r="F853" s="11"/>
      <c r="G853" s="12"/>
      <c r="R853" s="13" t="str">
        <v/>
      </c>
      <c r="S853" s="13" t="str">
        <v/>
      </c>
    </row>
    <row r="854" customFormat="false" ht="15.75" hidden="false" customHeight="false" outlineLevel="0" collapsed="false">
      <c r="F854" s="11"/>
      <c r="G854" s="12"/>
      <c r="R854" s="13" t="str">
        <v/>
      </c>
      <c r="S854" s="13" t="str">
        <v/>
      </c>
    </row>
    <row r="855" customFormat="false" ht="15.75" hidden="false" customHeight="false" outlineLevel="0" collapsed="false">
      <c r="F855" s="11"/>
      <c r="G855" s="12"/>
      <c r="R855" s="13" t="str">
        <v/>
      </c>
      <c r="S855" s="13" t="str">
        <v/>
      </c>
    </row>
    <row r="856" customFormat="false" ht="15.75" hidden="false" customHeight="false" outlineLevel="0" collapsed="false">
      <c r="F856" s="11"/>
      <c r="G856" s="12"/>
      <c r="R856" s="13" t="str">
        <v/>
      </c>
      <c r="S856" s="13" t="str">
        <v/>
      </c>
    </row>
    <row r="857" customFormat="false" ht="15.75" hidden="false" customHeight="false" outlineLevel="0" collapsed="false">
      <c r="F857" s="11"/>
      <c r="G857" s="12"/>
      <c r="R857" s="13" t="str">
        <v/>
      </c>
      <c r="S857" s="13" t="str">
        <v/>
      </c>
    </row>
    <row r="858" customFormat="false" ht="15.75" hidden="false" customHeight="false" outlineLevel="0" collapsed="false">
      <c r="F858" s="11"/>
      <c r="G858" s="12"/>
      <c r="R858" s="13" t="str">
        <v/>
      </c>
      <c r="S858" s="13" t="str">
        <v/>
      </c>
    </row>
    <row r="859" customFormat="false" ht="15.75" hidden="false" customHeight="false" outlineLevel="0" collapsed="false">
      <c r="F859" s="11"/>
      <c r="G859" s="12"/>
      <c r="R859" s="13" t="str">
        <v/>
      </c>
      <c r="S859" s="13" t="str">
        <v/>
      </c>
    </row>
    <row r="860" customFormat="false" ht="15.75" hidden="false" customHeight="false" outlineLevel="0" collapsed="false">
      <c r="F860" s="11"/>
      <c r="G860" s="12"/>
      <c r="R860" s="13" t="str">
        <v/>
      </c>
      <c r="S860" s="13" t="str">
        <v/>
      </c>
    </row>
    <row r="861" customFormat="false" ht="15.75" hidden="false" customHeight="false" outlineLevel="0" collapsed="false">
      <c r="F861" s="11"/>
      <c r="G861" s="12"/>
      <c r="R861" s="13" t="str">
        <v/>
      </c>
      <c r="S861" s="13" t="str">
        <v/>
      </c>
    </row>
    <row r="862" customFormat="false" ht="15.75" hidden="false" customHeight="false" outlineLevel="0" collapsed="false">
      <c r="F862" s="11"/>
      <c r="G862" s="12"/>
      <c r="R862" s="13" t="str">
        <v/>
      </c>
      <c r="S862" s="13" t="str">
        <v/>
      </c>
    </row>
    <row r="863" customFormat="false" ht="15.75" hidden="false" customHeight="false" outlineLevel="0" collapsed="false">
      <c r="F863" s="11"/>
      <c r="G863" s="12"/>
      <c r="R863" s="13" t="str">
        <v/>
      </c>
      <c r="S863" s="13" t="str">
        <v/>
      </c>
    </row>
    <row r="864" customFormat="false" ht="15.75" hidden="false" customHeight="false" outlineLevel="0" collapsed="false">
      <c r="F864" s="11"/>
      <c r="G864" s="12"/>
      <c r="R864" s="13" t="str">
        <v/>
      </c>
      <c r="S864" s="13" t="str">
        <v/>
      </c>
    </row>
    <row r="865" customFormat="false" ht="15.75" hidden="false" customHeight="false" outlineLevel="0" collapsed="false">
      <c r="F865" s="11"/>
      <c r="G865" s="12"/>
      <c r="R865" s="13" t="str">
        <v/>
      </c>
      <c r="S865" s="13" t="str">
        <v/>
      </c>
    </row>
    <row r="866" customFormat="false" ht="15.75" hidden="false" customHeight="false" outlineLevel="0" collapsed="false">
      <c r="F866" s="11"/>
      <c r="G866" s="12"/>
      <c r="R866" s="13" t="str">
        <v/>
      </c>
      <c r="S866" s="13" t="str">
        <v/>
      </c>
    </row>
    <row r="867" customFormat="false" ht="15.75" hidden="false" customHeight="false" outlineLevel="0" collapsed="false">
      <c r="F867" s="11"/>
      <c r="G867" s="12"/>
      <c r="R867" s="13" t="str">
        <v/>
      </c>
      <c r="S867" s="13" t="str">
        <v/>
      </c>
    </row>
    <row r="868" customFormat="false" ht="15.75" hidden="false" customHeight="false" outlineLevel="0" collapsed="false">
      <c r="F868" s="11"/>
      <c r="G868" s="12"/>
      <c r="R868" s="13" t="str">
        <v/>
      </c>
      <c r="S868" s="13" t="str">
        <v/>
      </c>
    </row>
    <row r="869" customFormat="false" ht="15.75" hidden="false" customHeight="false" outlineLevel="0" collapsed="false">
      <c r="F869" s="11"/>
      <c r="G869" s="12"/>
      <c r="R869" s="13" t="str">
        <v/>
      </c>
      <c r="S869" s="13" t="str">
        <v/>
      </c>
    </row>
    <row r="870" customFormat="false" ht="15.75" hidden="false" customHeight="false" outlineLevel="0" collapsed="false">
      <c r="F870" s="11"/>
      <c r="G870" s="12"/>
      <c r="R870" s="13" t="str">
        <v/>
      </c>
      <c r="S870" s="13" t="str">
        <v/>
      </c>
    </row>
    <row r="871" customFormat="false" ht="15.75" hidden="false" customHeight="false" outlineLevel="0" collapsed="false">
      <c r="F871" s="11"/>
      <c r="G871" s="12"/>
      <c r="R871" s="13" t="str">
        <v/>
      </c>
      <c r="S871" s="13" t="str">
        <v/>
      </c>
    </row>
    <row r="872" customFormat="false" ht="15.75" hidden="false" customHeight="false" outlineLevel="0" collapsed="false">
      <c r="F872" s="11"/>
      <c r="G872" s="12"/>
      <c r="R872" s="13" t="str">
        <v/>
      </c>
      <c r="S872" s="13" t="str">
        <v/>
      </c>
    </row>
    <row r="873" customFormat="false" ht="15.75" hidden="false" customHeight="false" outlineLevel="0" collapsed="false">
      <c r="F873" s="11"/>
      <c r="G873" s="12"/>
      <c r="R873" s="13" t="str">
        <v/>
      </c>
      <c r="S873" s="13" t="str">
        <v/>
      </c>
    </row>
    <row r="874" customFormat="false" ht="15.75" hidden="false" customHeight="false" outlineLevel="0" collapsed="false">
      <c r="F874" s="11"/>
      <c r="G874" s="12"/>
      <c r="R874" s="13" t="str">
        <v/>
      </c>
      <c r="S874" s="13" t="str">
        <v/>
      </c>
    </row>
    <row r="875" customFormat="false" ht="15.75" hidden="false" customHeight="false" outlineLevel="0" collapsed="false">
      <c r="F875" s="11"/>
      <c r="G875" s="12"/>
      <c r="R875" s="13" t="str">
        <v/>
      </c>
      <c r="S875" s="13" t="str">
        <v/>
      </c>
    </row>
    <row r="876" customFormat="false" ht="15.75" hidden="false" customHeight="false" outlineLevel="0" collapsed="false">
      <c r="F876" s="11"/>
      <c r="G876" s="12"/>
      <c r="R876" s="13" t="str">
        <v/>
      </c>
      <c r="S876" s="13" t="str">
        <v/>
      </c>
    </row>
    <row r="877" customFormat="false" ht="15.75" hidden="false" customHeight="false" outlineLevel="0" collapsed="false">
      <c r="F877" s="11"/>
      <c r="G877" s="12"/>
      <c r="R877" s="13" t="str">
        <v/>
      </c>
      <c r="S877" s="13" t="str">
        <v/>
      </c>
    </row>
    <row r="878" customFormat="false" ht="15.75" hidden="false" customHeight="false" outlineLevel="0" collapsed="false">
      <c r="F878" s="11"/>
      <c r="G878" s="12"/>
      <c r="R878" s="13" t="str">
        <v/>
      </c>
      <c r="S878" s="13" t="str">
        <v/>
      </c>
    </row>
    <row r="879" customFormat="false" ht="15.75" hidden="false" customHeight="false" outlineLevel="0" collapsed="false">
      <c r="F879" s="11"/>
      <c r="G879" s="12"/>
      <c r="R879" s="13" t="str">
        <v/>
      </c>
      <c r="S879" s="13" t="str">
        <v/>
      </c>
    </row>
    <row r="880" customFormat="false" ht="15.75" hidden="false" customHeight="false" outlineLevel="0" collapsed="false">
      <c r="F880" s="11"/>
      <c r="G880" s="12"/>
      <c r="R880" s="13" t="str">
        <v/>
      </c>
      <c r="S880" s="13" t="str">
        <v/>
      </c>
    </row>
    <row r="881" customFormat="false" ht="15.75" hidden="false" customHeight="false" outlineLevel="0" collapsed="false">
      <c r="F881" s="11"/>
      <c r="G881" s="12"/>
      <c r="R881" s="13" t="str">
        <v/>
      </c>
      <c r="S881" s="13" t="str">
        <v/>
      </c>
    </row>
    <row r="882" customFormat="false" ht="15.75" hidden="false" customHeight="false" outlineLevel="0" collapsed="false">
      <c r="F882" s="11"/>
      <c r="G882" s="12"/>
      <c r="R882" s="13" t="str">
        <v/>
      </c>
      <c r="S882" s="13" t="str">
        <v/>
      </c>
    </row>
    <row r="883" customFormat="false" ht="15.75" hidden="false" customHeight="false" outlineLevel="0" collapsed="false">
      <c r="F883" s="11"/>
      <c r="G883" s="12"/>
      <c r="R883" s="13" t="str">
        <v/>
      </c>
      <c r="S883" s="13" t="str">
        <v/>
      </c>
    </row>
    <row r="884" customFormat="false" ht="15.75" hidden="false" customHeight="false" outlineLevel="0" collapsed="false">
      <c r="F884" s="11"/>
      <c r="G884" s="12"/>
      <c r="R884" s="13" t="str">
        <v/>
      </c>
      <c r="S884" s="13" t="str">
        <v/>
      </c>
    </row>
    <row r="885" customFormat="false" ht="15.75" hidden="false" customHeight="false" outlineLevel="0" collapsed="false">
      <c r="F885" s="11"/>
      <c r="G885" s="12"/>
      <c r="R885" s="13" t="str">
        <v/>
      </c>
      <c r="S885" s="13" t="str">
        <v/>
      </c>
    </row>
    <row r="886" customFormat="false" ht="15.75" hidden="false" customHeight="false" outlineLevel="0" collapsed="false">
      <c r="F886" s="11"/>
      <c r="G886" s="12"/>
      <c r="R886" s="13" t="str">
        <v/>
      </c>
      <c r="S886" s="13" t="str">
        <v/>
      </c>
    </row>
    <row r="887" customFormat="false" ht="15.75" hidden="false" customHeight="false" outlineLevel="0" collapsed="false">
      <c r="F887" s="11"/>
      <c r="G887" s="12"/>
      <c r="R887" s="13" t="str">
        <v/>
      </c>
      <c r="S887" s="13" t="str">
        <v/>
      </c>
    </row>
    <row r="888" customFormat="false" ht="15.75" hidden="false" customHeight="false" outlineLevel="0" collapsed="false">
      <c r="F888" s="11"/>
      <c r="G888" s="12"/>
      <c r="R888" s="13" t="str">
        <v/>
      </c>
      <c r="S888" s="13" t="str">
        <v/>
      </c>
    </row>
    <row r="889" customFormat="false" ht="15.75" hidden="false" customHeight="false" outlineLevel="0" collapsed="false">
      <c r="F889" s="11"/>
      <c r="G889" s="12"/>
      <c r="R889" s="13" t="str">
        <v/>
      </c>
      <c r="S889" s="13" t="str">
        <v/>
      </c>
    </row>
    <row r="890" customFormat="false" ht="15.75" hidden="false" customHeight="false" outlineLevel="0" collapsed="false">
      <c r="F890" s="11"/>
      <c r="G890" s="12"/>
      <c r="R890" s="13" t="str">
        <v/>
      </c>
      <c r="S890" s="13" t="str">
        <v/>
      </c>
    </row>
    <row r="891" customFormat="false" ht="15.75" hidden="false" customHeight="false" outlineLevel="0" collapsed="false">
      <c r="F891" s="11"/>
      <c r="G891" s="12"/>
      <c r="R891" s="13" t="str">
        <v/>
      </c>
      <c r="S891" s="13" t="str">
        <v/>
      </c>
    </row>
    <row r="892" customFormat="false" ht="15.75" hidden="false" customHeight="false" outlineLevel="0" collapsed="false">
      <c r="F892" s="11"/>
      <c r="G892" s="12"/>
      <c r="R892" s="13" t="str">
        <v/>
      </c>
      <c r="S892" s="13" t="str">
        <v/>
      </c>
    </row>
    <row r="893" customFormat="false" ht="15.75" hidden="false" customHeight="false" outlineLevel="0" collapsed="false">
      <c r="F893" s="11"/>
      <c r="G893" s="12"/>
      <c r="R893" s="13" t="str">
        <v/>
      </c>
      <c r="S893" s="13" t="str">
        <v/>
      </c>
    </row>
    <row r="894" customFormat="false" ht="15.75" hidden="false" customHeight="false" outlineLevel="0" collapsed="false">
      <c r="F894" s="11"/>
      <c r="G894" s="12"/>
      <c r="R894" s="13" t="str">
        <v/>
      </c>
      <c r="S894" s="13" t="str">
        <v/>
      </c>
    </row>
    <row r="895" customFormat="false" ht="15.75" hidden="false" customHeight="false" outlineLevel="0" collapsed="false">
      <c r="F895" s="11"/>
      <c r="G895" s="12"/>
      <c r="R895" s="13" t="str">
        <v/>
      </c>
      <c r="S895" s="13" t="str">
        <v/>
      </c>
    </row>
    <row r="896" customFormat="false" ht="15.75" hidden="false" customHeight="false" outlineLevel="0" collapsed="false">
      <c r="F896" s="11"/>
      <c r="G896" s="12"/>
      <c r="R896" s="13" t="str">
        <v/>
      </c>
      <c r="S896" s="13" t="str">
        <v/>
      </c>
    </row>
    <row r="897" customFormat="false" ht="15.75" hidden="false" customHeight="false" outlineLevel="0" collapsed="false">
      <c r="F897" s="11"/>
      <c r="G897" s="12"/>
      <c r="R897" s="13" t="str">
        <v/>
      </c>
      <c r="S897" s="13" t="str">
        <v/>
      </c>
    </row>
    <row r="898" customFormat="false" ht="15.75" hidden="false" customHeight="false" outlineLevel="0" collapsed="false">
      <c r="F898" s="11"/>
      <c r="G898" s="12"/>
      <c r="R898" s="13" t="str">
        <v/>
      </c>
      <c r="S898" s="13" t="str">
        <v/>
      </c>
    </row>
    <row r="899" customFormat="false" ht="15.75" hidden="false" customHeight="false" outlineLevel="0" collapsed="false">
      <c r="F899" s="11"/>
      <c r="G899" s="12"/>
      <c r="R899" s="13" t="str">
        <v/>
      </c>
      <c r="S899" s="13" t="str">
        <v/>
      </c>
    </row>
    <row r="900" customFormat="false" ht="15.75" hidden="false" customHeight="false" outlineLevel="0" collapsed="false">
      <c r="F900" s="11"/>
      <c r="G900" s="12"/>
      <c r="R900" s="13" t="str">
        <v/>
      </c>
      <c r="S900" s="13" t="str">
        <v/>
      </c>
    </row>
    <row r="901" customFormat="false" ht="15.75" hidden="false" customHeight="false" outlineLevel="0" collapsed="false">
      <c r="F901" s="11"/>
      <c r="G901" s="12"/>
      <c r="R901" s="13" t="str">
        <v/>
      </c>
      <c r="S901" s="13" t="str">
        <v/>
      </c>
    </row>
    <row r="902" customFormat="false" ht="15.75" hidden="false" customHeight="false" outlineLevel="0" collapsed="false">
      <c r="F902" s="11"/>
      <c r="G902" s="12"/>
      <c r="R902" s="13" t="str">
        <v/>
      </c>
      <c r="S902" s="13" t="str">
        <v/>
      </c>
    </row>
    <row r="903" customFormat="false" ht="15.75" hidden="false" customHeight="false" outlineLevel="0" collapsed="false">
      <c r="F903" s="11"/>
      <c r="G903" s="12"/>
      <c r="R903" s="13" t="str">
        <v/>
      </c>
      <c r="S903" s="13" t="str">
        <v/>
      </c>
    </row>
    <row r="904" customFormat="false" ht="15.75" hidden="false" customHeight="false" outlineLevel="0" collapsed="false">
      <c r="F904" s="11"/>
      <c r="G904" s="12"/>
      <c r="R904" s="13" t="str">
        <v/>
      </c>
      <c r="S904" s="13" t="str">
        <v/>
      </c>
    </row>
    <row r="905" customFormat="false" ht="15.75" hidden="false" customHeight="false" outlineLevel="0" collapsed="false">
      <c r="F905" s="11"/>
      <c r="G905" s="12"/>
      <c r="R905" s="13" t="str">
        <v/>
      </c>
      <c r="S905" s="13" t="str">
        <v/>
      </c>
    </row>
    <row r="906" customFormat="false" ht="15.75" hidden="false" customHeight="false" outlineLevel="0" collapsed="false">
      <c r="F906" s="11"/>
      <c r="G906" s="12"/>
      <c r="R906" s="13" t="str">
        <v/>
      </c>
      <c r="S906" s="13" t="str">
        <v/>
      </c>
    </row>
    <row r="907" customFormat="false" ht="15.75" hidden="false" customHeight="false" outlineLevel="0" collapsed="false">
      <c r="F907" s="11"/>
      <c r="G907" s="12"/>
      <c r="R907" s="13" t="str">
        <v/>
      </c>
      <c r="S907" s="13" t="str">
        <v/>
      </c>
    </row>
    <row r="908" customFormat="false" ht="15.75" hidden="false" customHeight="false" outlineLevel="0" collapsed="false">
      <c r="F908" s="11"/>
      <c r="G908" s="12"/>
      <c r="R908" s="13" t="str">
        <v/>
      </c>
      <c r="S908" s="13" t="str">
        <v/>
      </c>
    </row>
    <row r="909" customFormat="false" ht="15.75" hidden="false" customHeight="false" outlineLevel="0" collapsed="false">
      <c r="F909" s="11"/>
      <c r="G909" s="12"/>
      <c r="R909" s="13" t="str">
        <v/>
      </c>
      <c r="S909" s="13" t="str">
        <v/>
      </c>
    </row>
    <row r="910" customFormat="false" ht="15.75" hidden="false" customHeight="false" outlineLevel="0" collapsed="false">
      <c r="F910" s="11"/>
      <c r="G910" s="12"/>
      <c r="R910" s="13" t="str">
        <v/>
      </c>
      <c r="S910" s="13" t="str">
        <v/>
      </c>
    </row>
    <row r="911" customFormat="false" ht="15.75" hidden="false" customHeight="false" outlineLevel="0" collapsed="false">
      <c r="F911" s="11"/>
      <c r="G911" s="12"/>
      <c r="R911" s="13" t="str">
        <v/>
      </c>
      <c r="S911" s="13" t="str">
        <v/>
      </c>
    </row>
    <row r="912" customFormat="false" ht="15.75" hidden="false" customHeight="false" outlineLevel="0" collapsed="false">
      <c r="F912" s="11"/>
      <c r="G912" s="12"/>
      <c r="R912" s="13" t="str">
        <v/>
      </c>
      <c r="S912" s="13" t="str">
        <v/>
      </c>
    </row>
    <row r="913" customFormat="false" ht="15.75" hidden="false" customHeight="false" outlineLevel="0" collapsed="false">
      <c r="F913" s="11"/>
      <c r="G913" s="12"/>
      <c r="R913" s="13" t="str">
        <v/>
      </c>
      <c r="S913" s="13" t="str">
        <v/>
      </c>
    </row>
    <row r="914" customFormat="false" ht="15.75" hidden="false" customHeight="false" outlineLevel="0" collapsed="false">
      <c r="F914" s="11"/>
      <c r="G914" s="12"/>
      <c r="R914" s="13" t="str">
        <v/>
      </c>
      <c r="S914" s="13" t="str">
        <v/>
      </c>
    </row>
    <row r="915" customFormat="false" ht="15.75" hidden="false" customHeight="false" outlineLevel="0" collapsed="false">
      <c r="F915" s="11"/>
      <c r="G915" s="12"/>
      <c r="R915" s="13" t="str">
        <v/>
      </c>
      <c r="S915" s="13" t="str">
        <v/>
      </c>
    </row>
    <row r="916" customFormat="false" ht="15.75" hidden="false" customHeight="false" outlineLevel="0" collapsed="false">
      <c r="F916" s="11"/>
      <c r="G916" s="12"/>
      <c r="R916" s="13" t="str">
        <v/>
      </c>
      <c r="S916" s="13" t="str">
        <v/>
      </c>
    </row>
    <row r="917" customFormat="false" ht="15.75" hidden="false" customHeight="false" outlineLevel="0" collapsed="false">
      <c r="F917" s="11"/>
      <c r="G917" s="12"/>
      <c r="R917" s="13" t="str">
        <v/>
      </c>
      <c r="S917" s="13" t="str">
        <v/>
      </c>
    </row>
    <row r="918" customFormat="false" ht="15.75" hidden="false" customHeight="false" outlineLevel="0" collapsed="false">
      <c r="F918" s="11"/>
      <c r="G918" s="12"/>
      <c r="R918" s="13" t="str">
        <v/>
      </c>
      <c r="S918" s="13" t="str">
        <v/>
      </c>
    </row>
    <row r="919" customFormat="false" ht="15.75" hidden="false" customHeight="false" outlineLevel="0" collapsed="false">
      <c r="F919" s="11"/>
      <c r="G919" s="12"/>
      <c r="R919" s="13" t="str">
        <v/>
      </c>
      <c r="S919" s="13" t="str">
        <v/>
      </c>
    </row>
    <row r="920" customFormat="false" ht="15.75" hidden="false" customHeight="false" outlineLevel="0" collapsed="false">
      <c r="F920" s="11"/>
      <c r="G920" s="12"/>
      <c r="R920" s="13" t="str">
        <v/>
      </c>
      <c r="S920" s="13" t="str">
        <v/>
      </c>
    </row>
    <row r="921" customFormat="false" ht="15.75" hidden="false" customHeight="false" outlineLevel="0" collapsed="false">
      <c r="F921" s="11"/>
      <c r="G921" s="12"/>
      <c r="R921" s="13" t="str">
        <v/>
      </c>
      <c r="S921" s="13" t="str">
        <v/>
      </c>
    </row>
    <row r="922" customFormat="false" ht="15.75" hidden="false" customHeight="false" outlineLevel="0" collapsed="false">
      <c r="F922" s="11"/>
      <c r="G922" s="12"/>
      <c r="R922" s="13" t="str">
        <v/>
      </c>
      <c r="S922" s="13" t="str">
        <v/>
      </c>
    </row>
    <row r="923" customFormat="false" ht="15.75" hidden="false" customHeight="false" outlineLevel="0" collapsed="false">
      <c r="F923" s="11"/>
      <c r="G923" s="12"/>
      <c r="R923" s="13" t="str">
        <v/>
      </c>
      <c r="S923" s="13" t="str">
        <v/>
      </c>
    </row>
    <row r="924" customFormat="false" ht="15.75" hidden="false" customHeight="false" outlineLevel="0" collapsed="false">
      <c r="F924" s="11"/>
      <c r="G924" s="12"/>
      <c r="R924" s="13" t="str">
        <v/>
      </c>
      <c r="S924" s="13" t="str">
        <v/>
      </c>
    </row>
    <row r="925" customFormat="false" ht="15.75" hidden="false" customHeight="false" outlineLevel="0" collapsed="false">
      <c r="F925" s="11"/>
      <c r="G925" s="12"/>
      <c r="R925" s="13" t="str">
        <v/>
      </c>
      <c r="S925" s="13" t="str">
        <v/>
      </c>
    </row>
    <row r="926" customFormat="false" ht="15.75" hidden="false" customHeight="false" outlineLevel="0" collapsed="false">
      <c r="F926" s="11"/>
      <c r="G926" s="12"/>
      <c r="R926" s="13" t="str">
        <v/>
      </c>
      <c r="S926" s="13" t="str">
        <v/>
      </c>
    </row>
    <row r="927" customFormat="false" ht="15.75" hidden="false" customHeight="false" outlineLevel="0" collapsed="false">
      <c r="F927" s="11"/>
      <c r="G927" s="12"/>
      <c r="R927" s="13" t="str">
        <v/>
      </c>
      <c r="S927" s="13" t="str">
        <v/>
      </c>
    </row>
    <row r="928" customFormat="false" ht="15.75" hidden="false" customHeight="false" outlineLevel="0" collapsed="false">
      <c r="F928" s="11"/>
      <c r="G928" s="12"/>
      <c r="R928" s="13" t="str">
        <v/>
      </c>
      <c r="S928" s="13" t="str">
        <v/>
      </c>
    </row>
    <row r="929" customFormat="false" ht="15.75" hidden="false" customHeight="false" outlineLevel="0" collapsed="false">
      <c r="F929" s="11"/>
      <c r="G929" s="12"/>
      <c r="R929" s="13" t="str">
        <v/>
      </c>
      <c r="S929" s="13" t="str">
        <v/>
      </c>
    </row>
    <row r="930" customFormat="false" ht="15.75" hidden="false" customHeight="false" outlineLevel="0" collapsed="false">
      <c r="F930" s="11"/>
      <c r="G930" s="12"/>
      <c r="R930" s="13" t="str">
        <v/>
      </c>
      <c r="S930" s="13" t="str">
        <v/>
      </c>
    </row>
    <row r="931" customFormat="false" ht="15.75" hidden="false" customHeight="false" outlineLevel="0" collapsed="false">
      <c r="F931" s="11"/>
      <c r="G931" s="12"/>
      <c r="R931" s="13" t="str">
        <v/>
      </c>
      <c r="S931" s="13" t="str">
        <v/>
      </c>
    </row>
    <row r="932" customFormat="false" ht="15.75" hidden="false" customHeight="false" outlineLevel="0" collapsed="false">
      <c r="F932" s="11"/>
      <c r="G932" s="12"/>
      <c r="R932" s="13" t="str">
        <v/>
      </c>
      <c r="S932" s="13" t="str">
        <v/>
      </c>
    </row>
    <row r="933" customFormat="false" ht="15.75" hidden="false" customHeight="false" outlineLevel="0" collapsed="false">
      <c r="F933" s="11"/>
      <c r="G933" s="12"/>
      <c r="R933" s="13" t="str">
        <v/>
      </c>
      <c r="S933" s="13" t="str">
        <v/>
      </c>
    </row>
    <row r="934" customFormat="false" ht="15.75" hidden="false" customHeight="false" outlineLevel="0" collapsed="false">
      <c r="F934" s="11"/>
      <c r="G934" s="12"/>
      <c r="R934" s="13" t="str">
        <v/>
      </c>
      <c r="S934" s="13" t="str">
        <v/>
      </c>
    </row>
    <row r="935" customFormat="false" ht="15.75" hidden="false" customHeight="false" outlineLevel="0" collapsed="false">
      <c r="F935" s="11"/>
      <c r="G935" s="12"/>
      <c r="R935" s="13" t="str">
        <v/>
      </c>
      <c r="S935" s="13" t="str">
        <v/>
      </c>
    </row>
    <row r="936" customFormat="false" ht="15.75" hidden="false" customHeight="false" outlineLevel="0" collapsed="false">
      <c r="F936" s="11"/>
      <c r="G936" s="12"/>
      <c r="R936" s="13" t="str">
        <v/>
      </c>
      <c r="S936" s="13" t="str">
        <v/>
      </c>
    </row>
    <row r="937" customFormat="false" ht="15.75" hidden="false" customHeight="false" outlineLevel="0" collapsed="false">
      <c r="F937" s="11"/>
      <c r="G937" s="12"/>
      <c r="R937" s="13" t="str">
        <v/>
      </c>
      <c r="S937" s="13" t="str">
        <v/>
      </c>
    </row>
    <row r="938" customFormat="false" ht="15.75" hidden="false" customHeight="false" outlineLevel="0" collapsed="false">
      <c r="F938" s="11"/>
      <c r="G938" s="12"/>
      <c r="R938" s="13" t="str">
        <v/>
      </c>
      <c r="S938" s="13" t="str">
        <v/>
      </c>
    </row>
    <row r="939" customFormat="false" ht="15.75" hidden="false" customHeight="false" outlineLevel="0" collapsed="false">
      <c r="F939" s="11"/>
      <c r="G939" s="12"/>
      <c r="R939" s="13" t="str">
        <v/>
      </c>
      <c r="S939" s="13" t="str">
        <v/>
      </c>
    </row>
    <row r="940" customFormat="false" ht="15.75" hidden="false" customHeight="false" outlineLevel="0" collapsed="false">
      <c r="F940" s="11"/>
      <c r="G940" s="12"/>
      <c r="R940" s="13" t="str">
        <v/>
      </c>
      <c r="S940" s="13" t="str">
        <v/>
      </c>
    </row>
    <row r="941" customFormat="false" ht="15.75" hidden="false" customHeight="false" outlineLevel="0" collapsed="false">
      <c r="F941" s="11"/>
      <c r="G941" s="12"/>
      <c r="R941" s="13" t="str">
        <v/>
      </c>
      <c r="S941" s="13" t="str">
        <v/>
      </c>
    </row>
    <row r="942" customFormat="false" ht="15.75" hidden="false" customHeight="false" outlineLevel="0" collapsed="false">
      <c r="F942" s="11"/>
      <c r="G942" s="12"/>
      <c r="R942" s="13" t="str">
        <v/>
      </c>
      <c r="S942" s="13" t="str">
        <v/>
      </c>
    </row>
    <row r="943" customFormat="false" ht="15.75" hidden="false" customHeight="false" outlineLevel="0" collapsed="false">
      <c r="F943" s="11"/>
      <c r="G943" s="12"/>
      <c r="R943" s="13" t="str">
        <v/>
      </c>
      <c r="S943" s="13" t="str">
        <v/>
      </c>
    </row>
    <row r="944" customFormat="false" ht="15.75" hidden="false" customHeight="false" outlineLevel="0" collapsed="false">
      <c r="F944" s="11"/>
      <c r="G944" s="12"/>
      <c r="R944" s="13" t="str">
        <v/>
      </c>
      <c r="S944" s="13" t="str">
        <v/>
      </c>
    </row>
    <row r="945" customFormat="false" ht="15.75" hidden="false" customHeight="false" outlineLevel="0" collapsed="false">
      <c r="F945" s="11"/>
      <c r="G945" s="12"/>
      <c r="R945" s="13" t="str">
        <v/>
      </c>
      <c r="S945" s="13" t="str">
        <v/>
      </c>
    </row>
    <row r="946" customFormat="false" ht="15.75" hidden="false" customHeight="false" outlineLevel="0" collapsed="false">
      <c r="F946" s="11"/>
      <c r="G946" s="12"/>
      <c r="R946" s="13" t="str">
        <v/>
      </c>
      <c r="S946" s="13" t="str">
        <v/>
      </c>
    </row>
    <row r="947" customFormat="false" ht="15.75" hidden="false" customHeight="false" outlineLevel="0" collapsed="false">
      <c r="F947" s="11"/>
      <c r="G947" s="12"/>
      <c r="R947" s="13" t="str">
        <v/>
      </c>
      <c r="S947" s="13" t="str">
        <v/>
      </c>
    </row>
    <row r="948" customFormat="false" ht="15.75" hidden="false" customHeight="false" outlineLevel="0" collapsed="false">
      <c r="F948" s="11"/>
      <c r="G948" s="12"/>
      <c r="R948" s="13" t="str">
        <v/>
      </c>
      <c r="S948" s="13" t="str">
        <v/>
      </c>
    </row>
    <row r="949" customFormat="false" ht="15.75" hidden="false" customHeight="false" outlineLevel="0" collapsed="false">
      <c r="F949" s="11"/>
      <c r="G949" s="12"/>
      <c r="R949" s="13" t="str">
        <v/>
      </c>
      <c r="S949" s="13" t="str">
        <v/>
      </c>
    </row>
    <row r="950" customFormat="false" ht="15.75" hidden="false" customHeight="false" outlineLevel="0" collapsed="false">
      <c r="F950" s="11"/>
      <c r="G950" s="12"/>
      <c r="R950" s="13" t="str">
        <v/>
      </c>
      <c r="S950" s="13" t="str">
        <v/>
      </c>
    </row>
    <row r="951" customFormat="false" ht="15.75" hidden="false" customHeight="false" outlineLevel="0" collapsed="false">
      <c r="F951" s="11"/>
      <c r="G951" s="12"/>
      <c r="R951" s="13" t="str">
        <v/>
      </c>
      <c r="S951" s="13" t="str">
        <v/>
      </c>
    </row>
    <row r="952" customFormat="false" ht="15.75" hidden="false" customHeight="false" outlineLevel="0" collapsed="false">
      <c r="F952" s="11"/>
      <c r="G952" s="12"/>
      <c r="R952" s="13" t="str">
        <v/>
      </c>
      <c r="S952" s="13" t="str">
        <v/>
      </c>
    </row>
    <row r="953" customFormat="false" ht="15.75" hidden="false" customHeight="false" outlineLevel="0" collapsed="false">
      <c r="F953" s="11"/>
      <c r="G953" s="12"/>
      <c r="R953" s="13" t="str">
        <v/>
      </c>
      <c r="S953" s="13" t="str">
        <v/>
      </c>
    </row>
    <row r="954" customFormat="false" ht="15.75" hidden="false" customHeight="false" outlineLevel="0" collapsed="false">
      <c r="F954" s="11"/>
      <c r="G954" s="12"/>
      <c r="R954" s="13" t="str">
        <v/>
      </c>
      <c r="S954" s="13" t="str">
        <v/>
      </c>
    </row>
    <row r="955" customFormat="false" ht="15.75" hidden="false" customHeight="false" outlineLevel="0" collapsed="false">
      <c r="F955" s="11"/>
      <c r="G955" s="12"/>
      <c r="R955" s="13" t="str">
        <v/>
      </c>
      <c r="S955" s="13" t="str">
        <v/>
      </c>
    </row>
    <row r="956" customFormat="false" ht="15.75" hidden="false" customHeight="false" outlineLevel="0" collapsed="false">
      <c r="F956" s="11"/>
      <c r="G956" s="12"/>
      <c r="R956" s="13" t="str">
        <v/>
      </c>
      <c r="S956" s="13" t="str">
        <v/>
      </c>
    </row>
    <row r="957" customFormat="false" ht="15.75" hidden="false" customHeight="false" outlineLevel="0" collapsed="false">
      <c r="F957" s="11"/>
      <c r="G957" s="12"/>
      <c r="R957" s="13" t="str">
        <v/>
      </c>
      <c r="S957" s="13" t="str">
        <v/>
      </c>
    </row>
    <row r="958" customFormat="false" ht="15.75" hidden="false" customHeight="false" outlineLevel="0" collapsed="false">
      <c r="F958" s="11"/>
      <c r="G958" s="12"/>
      <c r="R958" s="13" t="str">
        <v/>
      </c>
      <c r="S958" s="13" t="str">
        <v/>
      </c>
    </row>
    <row r="959" customFormat="false" ht="15.75" hidden="false" customHeight="false" outlineLevel="0" collapsed="false">
      <c r="F959" s="11"/>
      <c r="G959" s="12"/>
      <c r="R959" s="13" t="str">
        <v/>
      </c>
      <c r="S959" s="13" t="str">
        <v/>
      </c>
    </row>
    <row r="960" customFormat="false" ht="15.75" hidden="false" customHeight="false" outlineLevel="0" collapsed="false">
      <c r="F960" s="11"/>
      <c r="G960" s="12"/>
      <c r="R960" s="13" t="str">
        <v/>
      </c>
      <c r="S960" s="13" t="str">
        <v/>
      </c>
    </row>
    <row r="961" customFormat="false" ht="15.75" hidden="false" customHeight="false" outlineLevel="0" collapsed="false">
      <c r="F961" s="11"/>
      <c r="G961" s="12"/>
      <c r="R961" s="13" t="str">
        <v/>
      </c>
      <c r="S961" s="13" t="str">
        <v/>
      </c>
    </row>
    <row r="962" customFormat="false" ht="15.75" hidden="false" customHeight="false" outlineLevel="0" collapsed="false">
      <c r="F962" s="11"/>
      <c r="G962" s="12"/>
      <c r="R962" s="13" t="str">
        <v/>
      </c>
      <c r="S962" s="13" t="str">
        <v/>
      </c>
    </row>
    <row r="963" customFormat="false" ht="15.75" hidden="false" customHeight="false" outlineLevel="0" collapsed="false">
      <c r="F963" s="11"/>
      <c r="G963" s="12"/>
      <c r="R963" s="13" t="str">
        <v/>
      </c>
      <c r="S963" s="13" t="str">
        <v/>
      </c>
    </row>
    <row r="964" customFormat="false" ht="15.75" hidden="false" customHeight="false" outlineLevel="0" collapsed="false">
      <c r="F964" s="11"/>
      <c r="G964" s="12"/>
      <c r="R964" s="13" t="str">
        <v/>
      </c>
      <c r="S964" s="13" t="str">
        <v/>
      </c>
    </row>
    <row r="965" customFormat="false" ht="15.75" hidden="false" customHeight="false" outlineLevel="0" collapsed="false">
      <c r="F965" s="11"/>
      <c r="G965" s="12"/>
      <c r="R965" s="13" t="str">
        <v/>
      </c>
      <c r="S965" s="13" t="str">
        <v/>
      </c>
    </row>
    <row r="966" customFormat="false" ht="15.75" hidden="false" customHeight="false" outlineLevel="0" collapsed="false">
      <c r="F966" s="11"/>
      <c r="G966" s="12"/>
      <c r="R966" s="13" t="str">
        <v/>
      </c>
      <c r="S966" s="13" t="str">
        <v/>
      </c>
    </row>
    <row r="967" customFormat="false" ht="15.75" hidden="false" customHeight="false" outlineLevel="0" collapsed="false">
      <c r="F967" s="11"/>
      <c r="G967" s="12"/>
      <c r="R967" s="13" t="str">
        <v/>
      </c>
      <c r="S967" s="13" t="str">
        <v/>
      </c>
    </row>
    <row r="968" customFormat="false" ht="15.75" hidden="false" customHeight="false" outlineLevel="0" collapsed="false">
      <c r="F968" s="11"/>
      <c r="G968" s="12"/>
      <c r="R968" s="13" t="str">
        <v/>
      </c>
      <c r="S968" s="13" t="str">
        <v/>
      </c>
    </row>
    <row r="969" customFormat="false" ht="15.75" hidden="false" customHeight="false" outlineLevel="0" collapsed="false">
      <c r="F969" s="11"/>
      <c r="G969" s="12"/>
      <c r="R969" s="13" t="str">
        <v/>
      </c>
      <c r="S969" s="13" t="str">
        <v/>
      </c>
    </row>
    <row r="970" customFormat="false" ht="15.75" hidden="false" customHeight="false" outlineLevel="0" collapsed="false">
      <c r="F970" s="11"/>
      <c r="G970" s="12"/>
      <c r="R970" s="13" t="str">
        <v/>
      </c>
      <c r="S970" s="13" t="str">
        <v/>
      </c>
    </row>
    <row r="971" customFormat="false" ht="15.75" hidden="false" customHeight="false" outlineLevel="0" collapsed="false">
      <c r="F971" s="11"/>
      <c r="G971" s="12"/>
      <c r="R971" s="13" t="str">
        <v/>
      </c>
      <c r="S971" s="13" t="str">
        <v/>
      </c>
    </row>
    <row r="972" customFormat="false" ht="15.75" hidden="false" customHeight="false" outlineLevel="0" collapsed="false">
      <c r="F972" s="11"/>
      <c r="G972" s="12"/>
      <c r="R972" s="13" t="str">
        <v/>
      </c>
      <c r="S972" s="13" t="str">
        <v/>
      </c>
    </row>
    <row r="973" customFormat="false" ht="15.75" hidden="false" customHeight="false" outlineLevel="0" collapsed="false">
      <c r="F973" s="11"/>
      <c r="G973" s="12"/>
      <c r="R973" s="13" t="str">
        <v/>
      </c>
      <c r="S973" s="13" t="str">
        <v/>
      </c>
    </row>
    <row r="974" customFormat="false" ht="15.75" hidden="false" customHeight="false" outlineLevel="0" collapsed="false">
      <c r="F974" s="11"/>
      <c r="G974" s="12"/>
      <c r="R974" s="13" t="str">
        <v/>
      </c>
      <c r="S974" s="13" t="str">
        <v/>
      </c>
    </row>
    <row r="975" customFormat="false" ht="15.75" hidden="false" customHeight="false" outlineLevel="0" collapsed="false">
      <c r="F975" s="11"/>
      <c r="G975" s="12"/>
      <c r="R975" s="13" t="str">
        <v/>
      </c>
      <c r="S975" s="13" t="str">
        <v/>
      </c>
    </row>
    <row r="976" customFormat="false" ht="15.75" hidden="false" customHeight="false" outlineLevel="0" collapsed="false">
      <c r="F976" s="11"/>
      <c r="G976" s="12"/>
      <c r="R976" s="13" t="str">
        <v/>
      </c>
      <c r="S976" s="13" t="str">
        <v/>
      </c>
    </row>
    <row r="977" customFormat="false" ht="15.75" hidden="false" customHeight="false" outlineLevel="0" collapsed="false">
      <c r="F977" s="11"/>
      <c r="G977" s="12"/>
      <c r="R977" s="13" t="str">
        <v/>
      </c>
      <c r="S977" s="13" t="str">
        <v/>
      </c>
    </row>
    <row r="978" customFormat="false" ht="15.75" hidden="false" customHeight="false" outlineLevel="0" collapsed="false">
      <c r="F978" s="11"/>
      <c r="G978" s="12"/>
      <c r="R978" s="13" t="str">
        <v/>
      </c>
      <c r="S978" s="13" t="str">
        <v/>
      </c>
    </row>
    <row r="979" customFormat="false" ht="15.75" hidden="false" customHeight="false" outlineLevel="0" collapsed="false">
      <c r="F979" s="11"/>
      <c r="G979" s="12"/>
      <c r="R979" s="13" t="str">
        <v/>
      </c>
      <c r="S979" s="13" t="str">
        <v/>
      </c>
    </row>
    <row r="980" customFormat="false" ht="15.75" hidden="false" customHeight="false" outlineLevel="0" collapsed="false">
      <c r="F980" s="11"/>
      <c r="G980" s="12"/>
      <c r="R980" s="13" t="str">
        <v/>
      </c>
      <c r="S980" s="13" t="str">
        <v/>
      </c>
    </row>
    <row r="981" customFormat="false" ht="15.75" hidden="false" customHeight="false" outlineLevel="0" collapsed="false">
      <c r="F981" s="11"/>
      <c r="G981" s="12"/>
      <c r="R981" s="13" t="str">
        <v/>
      </c>
      <c r="S981" s="13" t="str">
        <v/>
      </c>
    </row>
    <row r="982" customFormat="false" ht="15.75" hidden="false" customHeight="false" outlineLevel="0" collapsed="false">
      <c r="F982" s="11"/>
      <c r="G982" s="12"/>
      <c r="R982" s="13" t="str">
        <v/>
      </c>
      <c r="S982" s="13" t="str">
        <v/>
      </c>
    </row>
    <row r="983" customFormat="false" ht="15.75" hidden="false" customHeight="false" outlineLevel="0" collapsed="false">
      <c r="F983" s="11"/>
      <c r="G983" s="12"/>
      <c r="R983" s="13" t="str">
        <v/>
      </c>
      <c r="S983" s="13" t="str">
        <v/>
      </c>
    </row>
    <row r="984" customFormat="false" ht="15.75" hidden="false" customHeight="false" outlineLevel="0" collapsed="false">
      <c r="F984" s="11"/>
      <c r="G984" s="12"/>
      <c r="R984" s="13" t="str">
        <v/>
      </c>
      <c r="S984" s="13" t="str">
        <v/>
      </c>
    </row>
    <row r="985" customFormat="false" ht="15.75" hidden="false" customHeight="false" outlineLevel="0" collapsed="false">
      <c r="F985" s="11"/>
      <c r="G985" s="12"/>
      <c r="R985" s="13" t="str">
        <v/>
      </c>
      <c r="S985" s="13" t="str">
        <v/>
      </c>
    </row>
    <row r="986" customFormat="false" ht="15.75" hidden="false" customHeight="false" outlineLevel="0" collapsed="false">
      <c r="F986" s="11"/>
      <c r="G986" s="12"/>
      <c r="R986" s="13" t="str">
        <v/>
      </c>
      <c r="S986" s="13" t="str">
        <v/>
      </c>
    </row>
    <row r="987" customFormat="false" ht="15.75" hidden="false" customHeight="false" outlineLevel="0" collapsed="false">
      <c r="F987" s="11"/>
      <c r="G987" s="12"/>
      <c r="R987" s="13" t="str">
        <v/>
      </c>
      <c r="S987" s="13" t="str">
        <v/>
      </c>
    </row>
    <row r="988" customFormat="false" ht="15.75" hidden="false" customHeight="false" outlineLevel="0" collapsed="false">
      <c r="F988" s="11"/>
      <c r="G988" s="12"/>
      <c r="R988" s="13" t="str">
        <v/>
      </c>
      <c r="S988" s="13" t="str">
        <v/>
      </c>
    </row>
    <row r="989" customFormat="false" ht="15.75" hidden="false" customHeight="false" outlineLevel="0" collapsed="false">
      <c r="F989" s="11"/>
      <c r="G989" s="12"/>
      <c r="R989" s="13" t="str">
        <v/>
      </c>
      <c r="S989" s="13" t="str">
        <v/>
      </c>
    </row>
    <row r="990" customFormat="false" ht="15.75" hidden="false" customHeight="false" outlineLevel="0" collapsed="false">
      <c r="F990" s="11"/>
      <c r="G990" s="12"/>
      <c r="R990" s="13" t="str">
        <v/>
      </c>
      <c r="S990" s="13" t="str">
        <v/>
      </c>
    </row>
    <row r="991" customFormat="false" ht="15.75" hidden="false" customHeight="false" outlineLevel="0" collapsed="false">
      <c r="F991" s="11"/>
      <c r="G991" s="12"/>
      <c r="R991" s="13" t="str">
        <v/>
      </c>
      <c r="S991" s="13" t="str">
        <v/>
      </c>
    </row>
    <row r="992" customFormat="false" ht="15.75" hidden="false" customHeight="false" outlineLevel="0" collapsed="false">
      <c r="F992" s="11"/>
      <c r="G992" s="12"/>
      <c r="R992" s="13" t="str">
        <v/>
      </c>
      <c r="S992" s="13" t="str">
        <v/>
      </c>
    </row>
    <row r="993" customFormat="false" ht="15.75" hidden="false" customHeight="false" outlineLevel="0" collapsed="false">
      <c r="F993" s="11"/>
      <c r="G993" s="12"/>
      <c r="R993" s="13" t="str">
        <v/>
      </c>
      <c r="S993" s="13" t="str">
        <v/>
      </c>
    </row>
    <row r="994" customFormat="false" ht="15.75" hidden="false" customHeight="false" outlineLevel="0" collapsed="false">
      <c r="F994" s="11"/>
      <c r="G994" s="12"/>
      <c r="R994" s="13" t="str">
        <v/>
      </c>
      <c r="S994" s="13" t="str">
        <v/>
      </c>
    </row>
    <row r="995" customFormat="false" ht="15.75" hidden="false" customHeight="false" outlineLevel="0" collapsed="false">
      <c r="F995" s="11"/>
      <c r="G995" s="12"/>
      <c r="R995" s="13" t="str">
        <v/>
      </c>
      <c r="S995" s="13" t="str">
        <v/>
      </c>
    </row>
    <row r="996" customFormat="false" ht="15.75" hidden="false" customHeight="false" outlineLevel="0" collapsed="false">
      <c r="F996" s="11"/>
      <c r="G996" s="12"/>
      <c r="R996" s="13" t="str">
        <v/>
      </c>
      <c r="S996" s="13" t="str">
        <v/>
      </c>
    </row>
    <row r="997" customFormat="false" ht="15.75" hidden="false" customHeight="false" outlineLevel="0" collapsed="false">
      <c r="F997" s="11"/>
      <c r="G997" s="12"/>
      <c r="R997" s="13" t="str">
        <v/>
      </c>
      <c r="S997" s="13" t="str">
        <v/>
      </c>
    </row>
    <row r="998" customFormat="false" ht="15.75" hidden="false" customHeight="false" outlineLevel="0" collapsed="false">
      <c r="F998" s="11"/>
      <c r="G998" s="12"/>
      <c r="R998" s="13" t="str">
        <v/>
      </c>
      <c r="S998" s="13" t="str">
        <v/>
      </c>
    </row>
    <row r="999" customFormat="false" ht="15.75" hidden="false" customHeight="false" outlineLevel="0" collapsed="false">
      <c r="F999" s="11"/>
      <c r="G999" s="12"/>
      <c r="R999" s="13" t="str">
        <v/>
      </c>
      <c r="S999" s="13" t="str">
        <v/>
      </c>
    </row>
    <row r="1000" customFormat="false" ht="15.75" hidden="false" customHeight="false" outlineLevel="0" collapsed="false">
      <c r="F1000" s="11"/>
      <c r="G1000" s="12"/>
      <c r="R1000" s="13" t="str">
        <v/>
      </c>
      <c r="S1000" s="13" t="str">
        <v/>
      </c>
    </row>
    <row r="1001" customFormat="false" ht="15.75" hidden="false" customHeight="false" outlineLevel="0" collapsed="false">
      <c r="F1001" s="11"/>
      <c r="G1001" s="12"/>
      <c r="R1001" s="13" t="str">
        <v/>
      </c>
      <c r="S1001" s="13" t="str">
        <v/>
      </c>
    </row>
    <row r="1002" customFormat="false" ht="15.75" hidden="false" customHeight="false" outlineLevel="0" collapsed="false">
      <c r="F1002" s="11"/>
      <c r="G1002" s="12"/>
      <c r="R1002" s="13" t="str">
        <v/>
      </c>
      <c r="S1002" s="13" t="str">
        <v/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0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true" outlineLevel="0" max="1" min="1" style="0" width="17.38"/>
    <col collapsed="false" customWidth="false" hidden="true" outlineLevel="0" max="4" min="2" style="0" width="12.63"/>
    <col collapsed="false" customWidth="true" hidden="false" outlineLevel="0" max="5" min="5" style="0" width="3.25"/>
    <col collapsed="false" customWidth="true" hidden="false" outlineLevel="0" max="6" min="6" style="0" width="19.76"/>
    <col collapsed="false" customWidth="true" hidden="false" outlineLevel="0" max="10" min="10" style="0" width="3.37"/>
    <col collapsed="false" customWidth="true" hidden="false" outlineLevel="0" max="11" min="11" style="0" width="19.76"/>
    <col collapsed="false" customWidth="true" hidden="false" outlineLevel="0" max="14" min="14" style="0" width="4.25"/>
    <col collapsed="false" customWidth="true" hidden="false" outlineLevel="0" max="21" min="21" style="0" width="3.37"/>
  </cols>
  <sheetData>
    <row r="1" customFormat="false" ht="15.75" hidden="false" customHeight="false" outlineLevel="0" collapsed="false">
      <c r="A1" s="21" t="s">
        <v>2161</v>
      </c>
      <c r="E1" s="22"/>
      <c r="F1" s="21" t="s">
        <v>2162</v>
      </c>
      <c r="J1" s="22"/>
      <c r="K1" s="21" t="s">
        <v>2163</v>
      </c>
      <c r="N1" s="22"/>
      <c r="U1" s="22"/>
    </row>
    <row r="2" customFormat="false" ht="15.75" hidden="false" customHeight="false" outlineLevel="0" collapsed="false">
      <c r="A2" s="14" t="s">
        <v>2164</v>
      </c>
      <c r="B2" s="14" t="s">
        <v>2165</v>
      </c>
      <c r="C2" s="14" t="s">
        <v>2166</v>
      </c>
      <c r="D2" s="14" t="s">
        <v>2167</v>
      </c>
      <c r="E2" s="22"/>
      <c r="F2" s="14" t="s">
        <v>2164</v>
      </c>
      <c r="G2" s="14" t="s">
        <v>2168</v>
      </c>
      <c r="H2" s="14" t="s">
        <v>2166</v>
      </c>
      <c r="I2" s="14" t="s">
        <v>2167</v>
      </c>
      <c r="J2" s="23"/>
      <c r="K2" s="14" t="s">
        <v>2164</v>
      </c>
      <c r="L2" s="14" t="s">
        <v>2169</v>
      </c>
      <c r="M2" s="14" t="s">
        <v>2166</v>
      </c>
      <c r="N2" s="23"/>
      <c r="O2" s="14"/>
      <c r="P2" s="14"/>
      <c r="Q2" s="14"/>
      <c r="R2" s="14"/>
      <c r="S2" s="14"/>
      <c r="T2" s="14"/>
      <c r="U2" s="22"/>
    </row>
    <row r="3" customFormat="false" ht="15.75" hidden="false" customHeight="false" outlineLevel="0" collapsed="false">
      <c r="A3" s="16" t="s">
        <v>2170</v>
      </c>
      <c r="B3" s="13" t="s">
        <v>89</v>
      </c>
      <c r="C3" s="13" t="n">
        <v>1</v>
      </c>
      <c r="D3" s="13" t="n">
        <v>530</v>
      </c>
      <c r="E3" s="22"/>
      <c r="F3" s="16" t="s">
        <v>2170</v>
      </c>
      <c r="G3" s="13" t="s">
        <v>96</v>
      </c>
      <c r="H3" s="13" t="n">
        <v>11</v>
      </c>
      <c r="I3" s="13" t="n">
        <v>2027.71</v>
      </c>
      <c r="J3" s="22"/>
      <c r="K3" s="16" t="s">
        <v>2170</v>
      </c>
      <c r="L3" s="13" t="s">
        <v>2171</v>
      </c>
      <c r="M3" s="13" t="n">
        <v>16</v>
      </c>
      <c r="N3" s="22"/>
      <c r="U3" s="22"/>
    </row>
    <row r="4" customFormat="false" ht="15.75" hidden="false" customHeight="false" outlineLevel="0" collapsed="false">
      <c r="A4" s="13"/>
      <c r="B4" s="13" t="s">
        <v>80</v>
      </c>
      <c r="C4" s="13" t="n">
        <v>1</v>
      </c>
      <c r="D4" s="13" t="n">
        <v>150</v>
      </c>
      <c r="E4" s="22"/>
      <c r="F4" s="13"/>
      <c r="G4" s="13" t="s">
        <v>122</v>
      </c>
      <c r="H4" s="13" t="n">
        <v>2</v>
      </c>
      <c r="I4" s="13" t="n">
        <v>341.19</v>
      </c>
      <c r="J4" s="22"/>
      <c r="K4" s="13"/>
      <c r="L4" s="13" t="s">
        <v>2172</v>
      </c>
      <c r="M4" s="13" t="n">
        <v>2</v>
      </c>
      <c r="N4" s="22"/>
      <c r="U4" s="22"/>
    </row>
    <row r="5" customFormat="false" ht="15.75" hidden="false" customHeight="false" outlineLevel="0" collapsed="false">
      <c r="A5" s="13" t="s">
        <v>2173</v>
      </c>
      <c r="B5" s="13"/>
      <c r="C5" s="13" t="n">
        <v>2</v>
      </c>
      <c r="D5" s="13" t="n">
        <v>680</v>
      </c>
      <c r="E5" s="22"/>
      <c r="F5" s="13"/>
      <c r="G5" s="13" t="s">
        <v>28</v>
      </c>
      <c r="H5" s="13" t="n">
        <v>2</v>
      </c>
      <c r="I5" s="13" t="n">
        <v>886.3</v>
      </c>
      <c r="J5" s="22"/>
      <c r="K5" s="13"/>
      <c r="L5" s="13" t="s">
        <v>2174</v>
      </c>
      <c r="M5" s="13" t="n">
        <v>1</v>
      </c>
      <c r="N5" s="22"/>
      <c r="U5" s="22"/>
    </row>
    <row r="6" customFormat="false" ht="15.75" hidden="false" customHeight="false" outlineLevel="0" collapsed="false">
      <c r="A6" s="16" t="s">
        <v>2175</v>
      </c>
      <c r="B6" s="13" t="s">
        <v>80</v>
      </c>
      <c r="C6" s="13" t="n">
        <v>3</v>
      </c>
      <c r="D6" s="13" t="n">
        <v>2250</v>
      </c>
      <c r="E6" s="22"/>
      <c r="F6" s="13"/>
      <c r="G6" s="13" t="s">
        <v>231</v>
      </c>
      <c r="H6" s="13" t="n">
        <v>1</v>
      </c>
      <c r="I6" s="13" t="n">
        <v>467.21</v>
      </c>
      <c r="J6" s="22"/>
      <c r="K6" s="13" t="s">
        <v>2173</v>
      </c>
      <c r="L6" s="13"/>
      <c r="M6" s="13" t="n">
        <v>19</v>
      </c>
      <c r="N6" s="22"/>
      <c r="U6" s="22"/>
    </row>
    <row r="7" customFormat="false" ht="15.75" hidden="false" customHeight="false" outlineLevel="0" collapsed="false">
      <c r="A7" s="13" t="s">
        <v>2176</v>
      </c>
      <c r="B7" s="13"/>
      <c r="C7" s="13" t="n">
        <v>3</v>
      </c>
      <c r="D7" s="13" t="n">
        <v>2250</v>
      </c>
      <c r="E7" s="22"/>
      <c r="F7" s="13"/>
      <c r="G7" s="13" t="s">
        <v>107</v>
      </c>
      <c r="H7" s="13" t="n">
        <v>1</v>
      </c>
      <c r="I7" s="13" t="n">
        <v>844.56</v>
      </c>
      <c r="J7" s="22"/>
      <c r="K7" s="16" t="s">
        <v>2175</v>
      </c>
      <c r="L7" s="13" t="s">
        <v>2171</v>
      </c>
      <c r="M7" s="13" t="n">
        <v>37</v>
      </c>
      <c r="N7" s="22"/>
      <c r="U7" s="22"/>
    </row>
    <row r="8" customFormat="false" ht="15.75" hidden="false" customHeight="false" outlineLevel="0" collapsed="false">
      <c r="A8" s="16" t="s">
        <v>2177</v>
      </c>
      <c r="B8" s="13" t="s">
        <v>89</v>
      </c>
      <c r="C8" s="13" t="n">
        <v>1</v>
      </c>
      <c r="D8" s="13" t="n">
        <v>800</v>
      </c>
      <c r="E8" s="22"/>
      <c r="F8" s="13"/>
      <c r="G8" s="13" t="s">
        <v>90</v>
      </c>
      <c r="H8" s="13" t="n">
        <v>1</v>
      </c>
      <c r="I8" s="13" t="n">
        <v>530</v>
      </c>
      <c r="J8" s="22"/>
      <c r="K8" s="13"/>
      <c r="L8" s="13" t="s">
        <v>2174</v>
      </c>
      <c r="M8" s="13" t="n">
        <v>4</v>
      </c>
      <c r="N8" s="22"/>
      <c r="U8" s="22"/>
    </row>
    <row r="9" customFormat="false" ht="15.75" hidden="false" customHeight="false" outlineLevel="0" collapsed="false">
      <c r="A9" s="13" t="s">
        <v>2178</v>
      </c>
      <c r="B9" s="13"/>
      <c r="C9" s="13" t="n">
        <v>1</v>
      </c>
      <c r="D9" s="13" t="n">
        <v>800</v>
      </c>
      <c r="E9" s="22"/>
      <c r="F9" s="13"/>
      <c r="G9" s="13" t="s">
        <v>66</v>
      </c>
      <c r="H9" s="13" t="n">
        <v>1</v>
      </c>
      <c r="I9" s="13" t="n">
        <v>52.5</v>
      </c>
      <c r="J9" s="22"/>
      <c r="K9" s="13"/>
      <c r="L9" s="13" t="s">
        <v>2172</v>
      </c>
      <c r="M9" s="13" t="n">
        <v>2</v>
      </c>
      <c r="N9" s="22"/>
      <c r="U9" s="22"/>
    </row>
    <row r="10" customFormat="false" ht="15.75" hidden="false" customHeight="false" outlineLevel="0" collapsed="false">
      <c r="A10" s="16" t="s">
        <v>2179</v>
      </c>
      <c r="B10" s="13" t="s">
        <v>89</v>
      </c>
      <c r="C10" s="13" t="n">
        <v>1</v>
      </c>
      <c r="D10" s="13" t="n">
        <v>800</v>
      </c>
      <c r="E10" s="22"/>
      <c r="F10" s="13" t="s">
        <v>2173</v>
      </c>
      <c r="G10" s="13"/>
      <c r="H10" s="13" t="n">
        <v>19</v>
      </c>
      <c r="I10" s="13" t="n">
        <v>5149.47</v>
      </c>
      <c r="J10" s="22"/>
      <c r="K10" s="13" t="s">
        <v>2176</v>
      </c>
      <c r="L10" s="13"/>
      <c r="M10" s="13" t="n">
        <v>43</v>
      </c>
      <c r="N10" s="22"/>
      <c r="U10" s="22"/>
    </row>
    <row r="11" customFormat="false" ht="15.75" hidden="false" customHeight="false" outlineLevel="0" collapsed="false">
      <c r="A11" s="13"/>
      <c r="B11" s="13" t="s">
        <v>80</v>
      </c>
      <c r="C11" s="13" t="n">
        <v>1</v>
      </c>
      <c r="D11" s="13" t="n">
        <v>170</v>
      </c>
      <c r="E11" s="22"/>
      <c r="F11" s="16" t="s">
        <v>2175</v>
      </c>
      <c r="G11" s="13" t="s">
        <v>96</v>
      </c>
      <c r="H11" s="13" t="n">
        <v>22</v>
      </c>
      <c r="I11" s="13" t="n">
        <v>3221.02</v>
      </c>
      <c r="J11" s="22"/>
      <c r="K11" s="16" t="s">
        <v>2177</v>
      </c>
      <c r="L11" s="13" t="s">
        <v>2171</v>
      </c>
      <c r="M11" s="13" t="n">
        <v>24</v>
      </c>
      <c r="N11" s="22"/>
      <c r="U11" s="22"/>
    </row>
    <row r="12" customFormat="false" ht="15.75" hidden="false" customHeight="false" outlineLevel="0" collapsed="false">
      <c r="A12" s="13" t="s">
        <v>2180</v>
      </c>
      <c r="B12" s="13"/>
      <c r="C12" s="13" t="n">
        <v>2</v>
      </c>
      <c r="D12" s="13" t="n">
        <v>970</v>
      </c>
      <c r="E12" s="22"/>
      <c r="F12" s="13"/>
      <c r="G12" s="13" t="s">
        <v>28</v>
      </c>
      <c r="H12" s="13" t="n">
        <v>8</v>
      </c>
      <c r="I12" s="13" t="n">
        <v>7504.2</v>
      </c>
      <c r="J12" s="22"/>
      <c r="K12" s="13"/>
      <c r="L12" s="13" t="s">
        <v>2172</v>
      </c>
      <c r="M12" s="13" t="n">
        <v>8</v>
      </c>
      <c r="N12" s="22"/>
      <c r="U12" s="22"/>
    </row>
    <row r="13" customFormat="false" ht="15.75" hidden="false" customHeight="false" outlineLevel="0" collapsed="false">
      <c r="A13" s="16" t="s">
        <v>2181</v>
      </c>
      <c r="B13" s="13" t="s">
        <v>89</v>
      </c>
      <c r="C13" s="13" t="n">
        <v>3</v>
      </c>
      <c r="D13" s="13" t="n">
        <v>29335</v>
      </c>
      <c r="E13" s="22"/>
      <c r="F13" s="13"/>
      <c r="G13" s="13" t="s">
        <v>231</v>
      </c>
      <c r="H13" s="13" t="n">
        <v>5</v>
      </c>
      <c r="I13" s="13" t="n">
        <v>1184.81</v>
      </c>
      <c r="J13" s="22"/>
      <c r="K13" s="13" t="s">
        <v>2178</v>
      </c>
      <c r="L13" s="13"/>
      <c r="M13" s="13" t="n">
        <v>32</v>
      </c>
      <c r="N13" s="22"/>
      <c r="U13" s="22"/>
    </row>
    <row r="14" customFormat="false" ht="15.75" hidden="false" customHeight="false" outlineLevel="0" collapsed="false">
      <c r="A14" s="13" t="s">
        <v>2182</v>
      </c>
      <c r="B14" s="13"/>
      <c r="C14" s="13" t="n">
        <v>3</v>
      </c>
      <c r="D14" s="13" t="n">
        <v>29335</v>
      </c>
      <c r="E14" s="22"/>
      <c r="F14" s="13" t="s">
        <v>2176</v>
      </c>
      <c r="G14" s="13"/>
      <c r="H14" s="13" t="n">
        <v>35</v>
      </c>
      <c r="I14" s="13" t="n">
        <v>11910.03</v>
      </c>
      <c r="J14" s="22"/>
      <c r="K14" s="16" t="s">
        <v>2179</v>
      </c>
      <c r="L14" s="13" t="s">
        <v>2171</v>
      </c>
      <c r="M14" s="13" t="n">
        <v>41</v>
      </c>
      <c r="N14" s="22"/>
      <c r="U14" s="22"/>
    </row>
    <row r="15" customFormat="false" ht="15.75" hidden="false" customHeight="false" outlineLevel="0" collapsed="false">
      <c r="A15" s="16" t="s">
        <v>2183</v>
      </c>
      <c r="B15" s="13" t="s">
        <v>89</v>
      </c>
      <c r="C15" s="13" t="n">
        <v>2</v>
      </c>
      <c r="D15" s="13" t="n">
        <v>31290</v>
      </c>
      <c r="E15" s="22"/>
      <c r="F15" s="16" t="s">
        <v>2177</v>
      </c>
      <c r="G15" s="13" t="s">
        <v>96</v>
      </c>
      <c r="H15" s="13" t="n">
        <v>6</v>
      </c>
      <c r="I15" s="13" t="n">
        <v>1831.65</v>
      </c>
      <c r="J15" s="22"/>
      <c r="K15" s="13"/>
      <c r="L15" s="13" t="s">
        <v>2172</v>
      </c>
      <c r="M15" s="13" t="n">
        <v>10</v>
      </c>
      <c r="N15" s="22"/>
      <c r="U15" s="22"/>
    </row>
    <row r="16" customFormat="false" ht="15.75" hidden="false" customHeight="false" outlineLevel="0" collapsed="false">
      <c r="A16" s="13"/>
      <c r="B16" s="13" t="s">
        <v>80</v>
      </c>
      <c r="C16" s="13" t="n">
        <v>1</v>
      </c>
      <c r="D16" s="13" t="n">
        <v>175</v>
      </c>
      <c r="E16" s="22"/>
      <c r="F16" s="13"/>
      <c r="G16" s="13" t="s">
        <v>28</v>
      </c>
      <c r="H16" s="13" t="n">
        <v>5</v>
      </c>
      <c r="I16" s="13" t="n">
        <v>8574</v>
      </c>
      <c r="J16" s="22"/>
      <c r="K16" s="13"/>
      <c r="L16" s="13" t="s">
        <v>2174</v>
      </c>
      <c r="M16" s="13" t="n">
        <v>2</v>
      </c>
      <c r="N16" s="22"/>
      <c r="U16" s="22"/>
    </row>
    <row r="17" customFormat="false" ht="15.75" hidden="false" customHeight="false" outlineLevel="0" collapsed="false">
      <c r="A17" s="13" t="s">
        <v>2184</v>
      </c>
      <c r="B17" s="13"/>
      <c r="C17" s="13" t="n">
        <v>3</v>
      </c>
      <c r="D17" s="13" t="n">
        <v>31465</v>
      </c>
      <c r="E17" s="22"/>
      <c r="F17" s="13"/>
      <c r="G17" s="13" t="s">
        <v>231</v>
      </c>
      <c r="H17" s="13" t="n">
        <v>3</v>
      </c>
      <c r="I17" s="13" t="n">
        <v>1898.5</v>
      </c>
      <c r="J17" s="22"/>
      <c r="K17" s="13" t="s">
        <v>2180</v>
      </c>
      <c r="L17" s="13"/>
      <c r="M17" s="13" t="n">
        <v>53</v>
      </c>
      <c r="N17" s="22"/>
      <c r="U17" s="22"/>
    </row>
    <row r="18" customFormat="false" ht="15.75" hidden="false" customHeight="false" outlineLevel="0" collapsed="false">
      <c r="A18" s="16" t="s">
        <v>2185</v>
      </c>
      <c r="B18" s="13" t="s">
        <v>89</v>
      </c>
      <c r="C18" s="13" t="n">
        <v>1</v>
      </c>
      <c r="D18" s="13" t="n">
        <v>320</v>
      </c>
      <c r="E18" s="22"/>
      <c r="F18" s="13"/>
      <c r="G18" s="13" t="s">
        <v>66</v>
      </c>
      <c r="H18" s="13" t="n">
        <v>1</v>
      </c>
      <c r="I18" s="13" t="n">
        <v>178.5</v>
      </c>
      <c r="J18" s="22"/>
      <c r="K18" s="16" t="s">
        <v>2186</v>
      </c>
      <c r="L18" s="13" t="s">
        <v>2171</v>
      </c>
      <c r="M18" s="13" t="n">
        <v>44</v>
      </c>
      <c r="N18" s="22"/>
      <c r="U18" s="22"/>
    </row>
    <row r="19" customFormat="false" ht="15.75" hidden="false" customHeight="false" outlineLevel="0" collapsed="false">
      <c r="A19" s="13" t="s">
        <v>2187</v>
      </c>
      <c r="B19" s="13"/>
      <c r="C19" s="13" t="n">
        <v>1</v>
      </c>
      <c r="D19" s="13" t="n">
        <v>320</v>
      </c>
      <c r="E19" s="22"/>
      <c r="F19" s="13"/>
      <c r="G19" s="13" t="s">
        <v>122</v>
      </c>
      <c r="H19" s="13" t="n">
        <v>1</v>
      </c>
      <c r="I19" s="13" t="n">
        <v>101.2</v>
      </c>
      <c r="J19" s="22"/>
      <c r="K19" s="13"/>
      <c r="L19" s="13" t="s">
        <v>2172</v>
      </c>
      <c r="M19" s="13" t="n">
        <v>9</v>
      </c>
      <c r="N19" s="22"/>
      <c r="U19" s="22"/>
    </row>
    <row r="20" customFormat="false" ht="15.75" hidden="false" customHeight="false" outlineLevel="0" collapsed="false">
      <c r="A20" s="16" t="s">
        <v>2188</v>
      </c>
      <c r="B20" s="13" t="s">
        <v>89</v>
      </c>
      <c r="C20" s="13" t="n">
        <v>1</v>
      </c>
      <c r="D20" s="13" t="n">
        <v>420</v>
      </c>
      <c r="E20" s="22"/>
      <c r="F20" s="13" t="s">
        <v>2178</v>
      </c>
      <c r="G20" s="13"/>
      <c r="H20" s="13" t="n">
        <v>16</v>
      </c>
      <c r="I20" s="13" t="n">
        <v>12583.85</v>
      </c>
      <c r="J20" s="22"/>
      <c r="K20" s="13" t="s">
        <v>2189</v>
      </c>
      <c r="L20" s="13"/>
      <c r="M20" s="13" t="n">
        <v>53</v>
      </c>
      <c r="N20" s="22"/>
      <c r="U20" s="22"/>
    </row>
    <row r="21" customFormat="false" ht="15.75" hidden="false" customHeight="false" outlineLevel="0" collapsed="false">
      <c r="A21" s="13" t="s">
        <v>2190</v>
      </c>
      <c r="B21" s="13"/>
      <c r="C21" s="13" t="n">
        <v>1</v>
      </c>
      <c r="D21" s="13" t="n">
        <v>420</v>
      </c>
      <c r="E21" s="22"/>
      <c r="F21" s="16" t="s">
        <v>2179</v>
      </c>
      <c r="G21" s="13" t="s">
        <v>28</v>
      </c>
      <c r="H21" s="13" t="n">
        <v>24</v>
      </c>
      <c r="I21" s="13" t="n">
        <v>34085.62</v>
      </c>
      <c r="J21" s="22"/>
      <c r="K21" s="16" t="s">
        <v>2181</v>
      </c>
      <c r="L21" s="13" t="s">
        <v>2171</v>
      </c>
      <c r="M21" s="13" t="n">
        <v>52</v>
      </c>
      <c r="N21" s="22"/>
      <c r="U21" s="22"/>
    </row>
    <row r="22" customFormat="false" ht="15.75" hidden="false" customHeight="false" outlineLevel="0" collapsed="false">
      <c r="A22" s="13" t="s">
        <v>2191</v>
      </c>
      <c r="B22" s="13"/>
      <c r="C22" s="13" t="n">
        <v>16</v>
      </c>
      <c r="D22" s="13" t="n">
        <v>66240</v>
      </c>
      <c r="E22" s="22"/>
      <c r="F22" s="13"/>
      <c r="G22" s="13" t="s">
        <v>96</v>
      </c>
      <c r="H22" s="13" t="n">
        <v>8</v>
      </c>
      <c r="I22" s="13" t="n">
        <v>1474.85</v>
      </c>
      <c r="J22" s="22"/>
      <c r="K22" s="13"/>
      <c r="L22" s="13" t="s">
        <v>2172</v>
      </c>
      <c r="M22" s="13" t="n">
        <v>15</v>
      </c>
      <c r="N22" s="22"/>
      <c r="U22" s="22"/>
    </row>
    <row r="23" customFormat="false" ht="15.75" hidden="false" customHeight="false" outlineLevel="0" collapsed="false">
      <c r="E23" s="22"/>
      <c r="F23" s="13"/>
      <c r="G23" s="13" t="s">
        <v>231</v>
      </c>
      <c r="H23" s="13" t="n">
        <v>3</v>
      </c>
      <c r="I23" s="13" t="n">
        <v>1866.16</v>
      </c>
      <c r="J23" s="22"/>
      <c r="K23" s="13"/>
      <c r="L23" s="13" t="s">
        <v>2174</v>
      </c>
      <c r="M23" s="13" t="n">
        <v>2</v>
      </c>
      <c r="N23" s="22"/>
      <c r="U23" s="22"/>
    </row>
    <row r="24" customFormat="false" ht="15.75" hidden="false" customHeight="false" outlineLevel="0" collapsed="false">
      <c r="E24" s="22"/>
      <c r="F24" s="13"/>
      <c r="G24" s="13" t="s">
        <v>90</v>
      </c>
      <c r="H24" s="13" t="n">
        <v>3</v>
      </c>
      <c r="I24" s="13" t="n">
        <v>2305.5</v>
      </c>
      <c r="J24" s="22"/>
      <c r="K24" s="13" t="s">
        <v>2182</v>
      </c>
      <c r="L24" s="13"/>
      <c r="M24" s="13" t="n">
        <v>69</v>
      </c>
      <c r="N24" s="22"/>
      <c r="U24" s="22"/>
    </row>
    <row r="25" customFormat="false" ht="15.75" hidden="false" customHeight="false" outlineLevel="0" collapsed="false">
      <c r="E25" s="22"/>
      <c r="F25" s="13" t="s">
        <v>2180</v>
      </c>
      <c r="G25" s="13"/>
      <c r="H25" s="13" t="n">
        <v>38</v>
      </c>
      <c r="I25" s="13" t="n">
        <v>39732.13</v>
      </c>
      <c r="J25" s="22"/>
      <c r="K25" s="16" t="s">
        <v>2183</v>
      </c>
      <c r="L25" s="13" t="s">
        <v>2171</v>
      </c>
      <c r="M25" s="13" t="n">
        <v>33</v>
      </c>
      <c r="N25" s="22"/>
      <c r="U25" s="22"/>
    </row>
    <row r="26" customFormat="false" ht="15.75" hidden="false" customHeight="false" outlineLevel="0" collapsed="false">
      <c r="E26" s="22"/>
      <c r="F26" s="16" t="s">
        <v>2186</v>
      </c>
      <c r="G26" s="13" t="s">
        <v>28</v>
      </c>
      <c r="H26" s="13" t="n">
        <v>18</v>
      </c>
      <c r="I26" s="13" t="n">
        <v>17212.6</v>
      </c>
      <c r="J26" s="22"/>
      <c r="K26" s="13"/>
      <c r="L26" s="13" t="s">
        <v>2172</v>
      </c>
      <c r="M26" s="13" t="n">
        <v>15</v>
      </c>
      <c r="N26" s="22"/>
      <c r="U26" s="22"/>
    </row>
    <row r="27" customFormat="false" ht="15.75" hidden="false" customHeight="false" outlineLevel="0" collapsed="false">
      <c r="E27" s="22"/>
      <c r="F27" s="13"/>
      <c r="G27" s="13" t="s">
        <v>96</v>
      </c>
      <c r="H27" s="13" t="n">
        <v>5</v>
      </c>
      <c r="I27" s="13" t="n">
        <v>1053.2</v>
      </c>
      <c r="J27" s="22"/>
      <c r="K27" s="13" t="s">
        <v>2184</v>
      </c>
      <c r="L27" s="13"/>
      <c r="M27" s="13" t="n">
        <v>48</v>
      </c>
      <c r="N27" s="22"/>
      <c r="U27" s="22"/>
    </row>
    <row r="28" customFormat="false" ht="15.75" hidden="false" customHeight="false" outlineLevel="0" collapsed="false">
      <c r="E28" s="22"/>
      <c r="F28" s="13"/>
      <c r="G28" s="13" t="s">
        <v>231</v>
      </c>
      <c r="H28" s="13" t="n">
        <v>5</v>
      </c>
      <c r="I28" s="13" t="n">
        <v>3255.02</v>
      </c>
      <c r="J28" s="22"/>
      <c r="K28" s="16" t="s">
        <v>2192</v>
      </c>
      <c r="L28" s="13" t="s">
        <v>2171</v>
      </c>
      <c r="M28" s="13" t="n">
        <v>47</v>
      </c>
      <c r="N28" s="22"/>
      <c r="U28" s="22"/>
    </row>
    <row r="29" customFormat="false" ht="15.75" hidden="false" customHeight="false" outlineLevel="0" collapsed="false">
      <c r="E29" s="22"/>
      <c r="F29" s="13"/>
      <c r="G29" s="13" t="s">
        <v>107</v>
      </c>
      <c r="H29" s="13" t="n">
        <v>4</v>
      </c>
      <c r="I29" s="13" t="n">
        <v>544.07</v>
      </c>
      <c r="J29" s="22"/>
      <c r="K29" s="13"/>
      <c r="L29" s="13" t="s">
        <v>2172</v>
      </c>
      <c r="M29" s="13" t="n">
        <v>9</v>
      </c>
      <c r="N29" s="22"/>
      <c r="U29" s="22"/>
    </row>
    <row r="30" customFormat="false" ht="15.75" hidden="false" customHeight="false" outlineLevel="0" collapsed="false">
      <c r="E30" s="22"/>
      <c r="F30" s="13"/>
      <c r="G30" s="13" t="s">
        <v>90</v>
      </c>
      <c r="H30" s="13" t="n">
        <v>2</v>
      </c>
      <c r="I30" s="13" t="n">
        <v>812280</v>
      </c>
      <c r="J30" s="22"/>
      <c r="K30" s="13" t="s">
        <v>2193</v>
      </c>
      <c r="L30" s="13"/>
      <c r="M30" s="13" t="n">
        <v>56</v>
      </c>
      <c r="N30" s="22"/>
      <c r="U30" s="22"/>
    </row>
    <row r="31" customFormat="false" ht="15.75" hidden="false" customHeight="false" outlineLevel="0" collapsed="false">
      <c r="E31" s="22"/>
      <c r="F31" s="13"/>
      <c r="G31" s="13" t="s">
        <v>66</v>
      </c>
      <c r="H31" s="13" t="n">
        <v>1</v>
      </c>
      <c r="I31" s="13" t="n">
        <v>129.6</v>
      </c>
      <c r="J31" s="22"/>
      <c r="K31" s="16" t="s">
        <v>2185</v>
      </c>
      <c r="L31" s="13" t="s">
        <v>2171</v>
      </c>
      <c r="M31" s="13" t="n">
        <v>57</v>
      </c>
      <c r="N31" s="22"/>
      <c r="U31" s="22"/>
    </row>
    <row r="32" customFormat="false" ht="15.75" hidden="false" customHeight="false" outlineLevel="0" collapsed="false">
      <c r="E32" s="22"/>
      <c r="F32" s="13" t="s">
        <v>2189</v>
      </c>
      <c r="G32" s="13"/>
      <c r="H32" s="13" t="n">
        <v>35</v>
      </c>
      <c r="I32" s="13" t="n">
        <v>834474.49</v>
      </c>
      <c r="J32" s="22"/>
      <c r="K32" s="13"/>
      <c r="L32" s="13" t="s">
        <v>2172</v>
      </c>
      <c r="M32" s="13" t="n">
        <v>34</v>
      </c>
      <c r="N32" s="22"/>
      <c r="U32" s="22"/>
    </row>
    <row r="33" customFormat="false" ht="15.75" hidden="false" customHeight="false" outlineLevel="0" collapsed="false">
      <c r="E33" s="22"/>
      <c r="F33" s="16" t="s">
        <v>2181</v>
      </c>
      <c r="G33" s="13" t="s">
        <v>28</v>
      </c>
      <c r="H33" s="13" t="n">
        <v>21</v>
      </c>
      <c r="I33" s="13" t="n">
        <v>19422.75</v>
      </c>
      <c r="J33" s="22"/>
      <c r="K33" s="13" t="s">
        <v>2187</v>
      </c>
      <c r="L33" s="13"/>
      <c r="M33" s="13" t="n">
        <v>91</v>
      </c>
      <c r="N33" s="22"/>
      <c r="U33" s="22"/>
    </row>
    <row r="34" customFormat="false" ht="15.75" hidden="false" customHeight="false" outlineLevel="0" collapsed="false">
      <c r="E34" s="22"/>
      <c r="F34" s="13"/>
      <c r="G34" s="13" t="s">
        <v>96</v>
      </c>
      <c r="H34" s="13" t="n">
        <v>12</v>
      </c>
      <c r="I34" s="13" t="n">
        <v>3343.52</v>
      </c>
      <c r="J34" s="22"/>
      <c r="K34" s="16" t="s">
        <v>2188</v>
      </c>
      <c r="L34" s="13" t="s">
        <v>2171</v>
      </c>
      <c r="M34" s="13" t="n">
        <v>35</v>
      </c>
      <c r="N34" s="22"/>
      <c r="U34" s="22"/>
    </row>
    <row r="35" customFormat="false" ht="15.75" hidden="false" customHeight="false" outlineLevel="0" collapsed="false">
      <c r="E35" s="22"/>
      <c r="F35" s="13"/>
      <c r="G35" s="13" t="s">
        <v>107</v>
      </c>
      <c r="H35" s="13" t="n">
        <v>3</v>
      </c>
      <c r="I35" s="13" t="n">
        <v>630.83</v>
      </c>
      <c r="J35" s="22"/>
      <c r="K35" s="13"/>
      <c r="L35" s="13" t="s">
        <v>2172</v>
      </c>
      <c r="M35" s="13" t="n">
        <v>8</v>
      </c>
      <c r="N35" s="22"/>
      <c r="U35" s="22"/>
    </row>
    <row r="36" customFormat="false" ht="15.75" hidden="false" customHeight="false" outlineLevel="0" collapsed="false">
      <c r="E36" s="22"/>
      <c r="F36" s="13"/>
      <c r="G36" s="13" t="s">
        <v>90</v>
      </c>
      <c r="H36" s="13" t="n">
        <v>3</v>
      </c>
      <c r="I36" s="13" t="n">
        <v>413820</v>
      </c>
      <c r="J36" s="22"/>
      <c r="K36" s="13" t="s">
        <v>2190</v>
      </c>
      <c r="L36" s="13"/>
      <c r="M36" s="13" t="n">
        <v>43</v>
      </c>
      <c r="N36" s="22"/>
      <c r="U36" s="22"/>
    </row>
    <row r="37" customFormat="false" ht="15.75" hidden="false" customHeight="false" outlineLevel="0" collapsed="false">
      <c r="E37" s="22"/>
      <c r="F37" s="13"/>
      <c r="G37" s="13" t="s">
        <v>231</v>
      </c>
      <c r="H37" s="13" t="n">
        <v>2</v>
      </c>
      <c r="I37" s="13" t="n">
        <v>451.82</v>
      </c>
      <c r="J37" s="22"/>
      <c r="K37" s="13" t="s">
        <v>2191</v>
      </c>
      <c r="L37" s="13"/>
      <c r="M37" s="13" t="n">
        <v>507</v>
      </c>
      <c r="N37" s="22"/>
      <c r="U37" s="22"/>
    </row>
    <row r="38" customFormat="false" ht="15.75" hidden="false" customHeight="false" outlineLevel="0" collapsed="false">
      <c r="E38" s="22"/>
      <c r="F38" s="13"/>
      <c r="G38" s="13" t="s">
        <v>122</v>
      </c>
      <c r="H38" s="13" t="n">
        <v>2</v>
      </c>
      <c r="I38" s="13" t="n">
        <v>850.5</v>
      </c>
      <c r="J38" s="22"/>
      <c r="N38" s="22"/>
      <c r="U38" s="22"/>
    </row>
    <row r="39" customFormat="false" ht="15.75" hidden="false" customHeight="false" outlineLevel="0" collapsed="false">
      <c r="E39" s="22"/>
      <c r="F39" s="13"/>
      <c r="G39" s="13" t="s">
        <v>66</v>
      </c>
      <c r="H39" s="13" t="n">
        <v>1</v>
      </c>
      <c r="I39" s="13" t="n">
        <v>119.41</v>
      </c>
      <c r="J39" s="22"/>
      <c r="N39" s="22"/>
      <c r="U39" s="22"/>
    </row>
    <row r="40" customFormat="false" ht="15.75" hidden="false" customHeight="false" outlineLevel="0" collapsed="false">
      <c r="E40" s="22"/>
      <c r="F40" s="13" t="s">
        <v>2182</v>
      </c>
      <c r="G40" s="13"/>
      <c r="H40" s="13" t="n">
        <v>44</v>
      </c>
      <c r="I40" s="13" t="n">
        <v>438638.83</v>
      </c>
      <c r="J40" s="22"/>
      <c r="N40" s="22"/>
      <c r="U40" s="22"/>
    </row>
    <row r="41" customFormat="false" ht="15.75" hidden="false" customHeight="false" outlineLevel="0" collapsed="false">
      <c r="E41" s="22"/>
      <c r="F41" s="16" t="s">
        <v>2183</v>
      </c>
      <c r="G41" s="13" t="s">
        <v>28</v>
      </c>
      <c r="H41" s="13" t="n">
        <v>14</v>
      </c>
      <c r="I41" s="13" t="n">
        <v>9229.39</v>
      </c>
      <c r="J41" s="22"/>
      <c r="N41" s="22"/>
      <c r="U41" s="22"/>
    </row>
    <row r="42" customFormat="false" ht="15.75" hidden="false" customHeight="false" outlineLevel="0" collapsed="false">
      <c r="E42" s="22"/>
      <c r="F42" s="13"/>
      <c r="G42" s="13" t="s">
        <v>96</v>
      </c>
      <c r="H42" s="13" t="n">
        <v>7</v>
      </c>
      <c r="I42" s="13" t="n">
        <v>1030.49</v>
      </c>
      <c r="J42" s="22"/>
      <c r="N42" s="22"/>
      <c r="U42" s="22"/>
    </row>
    <row r="43" customFormat="false" ht="15.75" hidden="false" customHeight="false" outlineLevel="0" collapsed="false">
      <c r="E43" s="22"/>
      <c r="F43" s="13"/>
      <c r="G43" s="13" t="s">
        <v>90</v>
      </c>
      <c r="H43" s="13" t="n">
        <v>5</v>
      </c>
      <c r="I43" s="13" t="n">
        <v>144450</v>
      </c>
      <c r="J43" s="22"/>
      <c r="N43" s="22"/>
      <c r="U43" s="22"/>
    </row>
    <row r="44" customFormat="false" ht="15.75" hidden="false" customHeight="false" outlineLevel="0" collapsed="false">
      <c r="E44" s="22"/>
      <c r="F44" s="13"/>
      <c r="G44" s="13" t="s">
        <v>231</v>
      </c>
      <c r="H44" s="13" t="n">
        <v>3</v>
      </c>
      <c r="I44" s="13" t="n">
        <v>1416.73</v>
      </c>
      <c r="J44" s="22"/>
      <c r="N44" s="22"/>
      <c r="U44" s="22"/>
    </row>
    <row r="45" customFormat="false" ht="15.75" hidden="false" customHeight="false" outlineLevel="0" collapsed="false">
      <c r="E45" s="22"/>
      <c r="F45" s="13"/>
      <c r="G45" s="13" t="s">
        <v>66</v>
      </c>
      <c r="H45" s="13" t="n">
        <v>2</v>
      </c>
      <c r="I45" s="13" t="n">
        <v>24085.47</v>
      </c>
      <c r="J45" s="22"/>
      <c r="N45" s="22"/>
      <c r="U45" s="22"/>
    </row>
    <row r="46" customFormat="false" ht="15.75" hidden="false" customHeight="false" outlineLevel="0" collapsed="false">
      <c r="E46" s="22"/>
      <c r="F46" s="13" t="s">
        <v>2184</v>
      </c>
      <c r="G46" s="13"/>
      <c r="H46" s="13" t="n">
        <v>31</v>
      </c>
      <c r="I46" s="13" t="n">
        <v>180212.08</v>
      </c>
      <c r="J46" s="22"/>
      <c r="N46" s="22"/>
      <c r="U46" s="22"/>
    </row>
    <row r="47" customFormat="false" ht="15.75" hidden="false" customHeight="false" outlineLevel="0" collapsed="false">
      <c r="E47" s="22"/>
      <c r="F47" s="16" t="s">
        <v>2192</v>
      </c>
      <c r="G47" s="13" t="s">
        <v>28</v>
      </c>
      <c r="H47" s="13" t="n">
        <v>20</v>
      </c>
      <c r="I47" s="13" t="n">
        <v>13954.93</v>
      </c>
      <c r="J47" s="22"/>
      <c r="N47" s="22"/>
      <c r="U47" s="22"/>
    </row>
    <row r="48" customFormat="false" ht="15.75" hidden="false" customHeight="false" outlineLevel="0" collapsed="false">
      <c r="E48" s="22"/>
      <c r="F48" s="13"/>
      <c r="G48" s="13" t="s">
        <v>96</v>
      </c>
      <c r="H48" s="13" t="n">
        <v>8</v>
      </c>
      <c r="I48" s="13" t="n">
        <v>1452.37</v>
      </c>
      <c r="J48" s="22"/>
      <c r="N48" s="22"/>
      <c r="U48" s="22"/>
    </row>
    <row r="49" customFormat="false" ht="15.75" hidden="false" customHeight="false" outlineLevel="0" collapsed="false">
      <c r="E49" s="22"/>
      <c r="F49" s="13"/>
      <c r="G49" s="13" t="s">
        <v>90</v>
      </c>
      <c r="H49" s="13" t="n">
        <v>5</v>
      </c>
      <c r="I49" s="13" t="n">
        <v>9991.6</v>
      </c>
      <c r="J49" s="22"/>
      <c r="N49" s="22"/>
      <c r="U49" s="22"/>
    </row>
    <row r="50" customFormat="false" ht="15.75" hidden="false" customHeight="false" outlineLevel="0" collapsed="false">
      <c r="E50" s="22"/>
      <c r="F50" s="13"/>
      <c r="G50" s="13" t="s">
        <v>231</v>
      </c>
      <c r="H50" s="13" t="n">
        <v>2</v>
      </c>
      <c r="I50" s="13" t="n">
        <v>802.61</v>
      </c>
      <c r="J50" s="22"/>
      <c r="N50" s="22"/>
      <c r="U50" s="22"/>
    </row>
    <row r="51" customFormat="false" ht="15.75" hidden="false" customHeight="false" outlineLevel="0" collapsed="false">
      <c r="E51" s="22"/>
      <c r="F51" s="13"/>
      <c r="G51" s="13" t="s">
        <v>107</v>
      </c>
      <c r="H51" s="13" t="n">
        <v>1</v>
      </c>
      <c r="I51" s="13" t="n">
        <v>151.69</v>
      </c>
      <c r="J51" s="22"/>
      <c r="N51" s="22"/>
      <c r="U51" s="22"/>
    </row>
    <row r="52" customFormat="false" ht="15.75" hidden="false" customHeight="false" outlineLevel="0" collapsed="false">
      <c r="E52" s="22"/>
      <c r="F52" s="13"/>
      <c r="G52" s="13" t="s">
        <v>66</v>
      </c>
      <c r="H52" s="13" t="n">
        <v>1</v>
      </c>
      <c r="I52" s="13" t="n">
        <v>130</v>
      </c>
      <c r="J52" s="22"/>
      <c r="N52" s="22"/>
      <c r="U52" s="22"/>
    </row>
    <row r="53" customFormat="false" ht="15.75" hidden="false" customHeight="false" outlineLevel="0" collapsed="false">
      <c r="E53" s="22"/>
      <c r="F53" s="13"/>
      <c r="G53" s="13" t="s">
        <v>122</v>
      </c>
      <c r="H53" s="13" t="n">
        <v>1</v>
      </c>
      <c r="I53" s="13" t="n">
        <v>210.74</v>
      </c>
      <c r="J53" s="22"/>
      <c r="N53" s="22"/>
      <c r="U53" s="22"/>
    </row>
    <row r="54" customFormat="false" ht="15.75" hidden="false" customHeight="false" outlineLevel="0" collapsed="false">
      <c r="E54" s="22"/>
      <c r="F54" s="13" t="s">
        <v>2193</v>
      </c>
      <c r="G54" s="13"/>
      <c r="H54" s="13" t="n">
        <v>38</v>
      </c>
      <c r="I54" s="13" t="n">
        <v>26693.94</v>
      </c>
      <c r="J54" s="22"/>
      <c r="N54" s="22"/>
      <c r="U54" s="22"/>
    </row>
    <row r="55" customFormat="false" ht="15.75" hidden="false" customHeight="false" outlineLevel="0" collapsed="false">
      <c r="E55" s="22"/>
      <c r="F55" s="16" t="s">
        <v>2185</v>
      </c>
      <c r="G55" s="13" t="s">
        <v>28</v>
      </c>
      <c r="H55" s="13" t="n">
        <v>28</v>
      </c>
      <c r="I55" s="13" t="n">
        <v>29893.3</v>
      </c>
      <c r="J55" s="22"/>
      <c r="N55" s="22"/>
      <c r="U55" s="22"/>
    </row>
    <row r="56" customFormat="false" ht="15.75" hidden="false" customHeight="false" outlineLevel="0" collapsed="false">
      <c r="E56" s="22"/>
      <c r="F56" s="13"/>
      <c r="G56" s="13" t="s">
        <v>96</v>
      </c>
      <c r="H56" s="13" t="n">
        <v>10</v>
      </c>
      <c r="I56" s="13" t="n">
        <v>3646.2</v>
      </c>
      <c r="J56" s="22"/>
      <c r="N56" s="22"/>
      <c r="U56" s="22"/>
    </row>
    <row r="57" customFormat="false" ht="15.75" hidden="false" customHeight="false" outlineLevel="0" collapsed="false">
      <c r="E57" s="22"/>
      <c r="F57" s="13"/>
      <c r="G57" s="13" t="s">
        <v>90</v>
      </c>
      <c r="H57" s="13" t="n">
        <v>9</v>
      </c>
      <c r="I57" s="13" t="n">
        <v>128236</v>
      </c>
      <c r="J57" s="22"/>
      <c r="N57" s="22"/>
      <c r="U57" s="22"/>
    </row>
    <row r="58" customFormat="false" ht="15.75" hidden="false" customHeight="false" outlineLevel="0" collapsed="false">
      <c r="E58" s="22"/>
      <c r="F58" s="13"/>
      <c r="G58" s="13" t="s">
        <v>231</v>
      </c>
      <c r="H58" s="13" t="n">
        <v>3</v>
      </c>
      <c r="I58" s="13" t="n">
        <v>1364.89</v>
      </c>
      <c r="J58" s="22"/>
      <c r="N58" s="22"/>
      <c r="U58" s="22"/>
    </row>
    <row r="59" customFormat="false" ht="15.75" hidden="false" customHeight="false" outlineLevel="0" collapsed="false">
      <c r="E59" s="22"/>
      <c r="F59" s="13"/>
      <c r="G59" s="13" t="s">
        <v>66</v>
      </c>
      <c r="H59" s="13" t="n">
        <v>1</v>
      </c>
      <c r="I59" s="13" t="n">
        <v>184.25</v>
      </c>
      <c r="J59" s="22"/>
      <c r="N59" s="22"/>
      <c r="U59" s="22"/>
    </row>
    <row r="60" customFormat="false" ht="15.75" hidden="false" customHeight="false" outlineLevel="0" collapsed="false">
      <c r="E60" s="22"/>
      <c r="F60" s="13" t="s">
        <v>2187</v>
      </c>
      <c r="G60" s="13"/>
      <c r="H60" s="13" t="n">
        <v>51</v>
      </c>
      <c r="I60" s="13" t="n">
        <v>163324.64</v>
      </c>
      <c r="J60" s="22"/>
      <c r="N60" s="22"/>
      <c r="U60" s="22"/>
    </row>
    <row r="61" customFormat="false" ht="15.75" hidden="false" customHeight="false" outlineLevel="0" collapsed="false">
      <c r="E61" s="22"/>
      <c r="F61" s="16" t="s">
        <v>2188</v>
      </c>
      <c r="G61" s="13" t="s">
        <v>96</v>
      </c>
      <c r="H61" s="13" t="n">
        <v>11</v>
      </c>
      <c r="I61" s="13" t="n">
        <v>1859.19</v>
      </c>
      <c r="J61" s="22"/>
      <c r="N61" s="22"/>
      <c r="U61" s="22"/>
    </row>
    <row r="62" customFormat="false" ht="15.75" hidden="false" customHeight="false" outlineLevel="0" collapsed="false">
      <c r="E62" s="22"/>
      <c r="F62" s="13"/>
      <c r="G62" s="13" t="s">
        <v>28</v>
      </c>
      <c r="H62" s="13" t="n">
        <v>4</v>
      </c>
      <c r="I62" s="13" t="n">
        <v>3292.11</v>
      </c>
      <c r="J62" s="22"/>
      <c r="N62" s="22"/>
      <c r="U62" s="22"/>
    </row>
    <row r="63" customFormat="false" ht="15.75" hidden="false" customHeight="false" outlineLevel="0" collapsed="false">
      <c r="E63" s="22"/>
      <c r="F63" s="13"/>
      <c r="G63" s="13" t="s">
        <v>66</v>
      </c>
      <c r="H63" s="13" t="n">
        <v>1</v>
      </c>
      <c r="I63" s="13" t="n">
        <v>347.48</v>
      </c>
      <c r="J63" s="22"/>
      <c r="N63" s="22"/>
      <c r="U63" s="22"/>
    </row>
    <row r="64" customFormat="false" ht="15.75" hidden="false" customHeight="false" outlineLevel="0" collapsed="false">
      <c r="E64" s="22"/>
      <c r="F64" s="13" t="s">
        <v>2190</v>
      </c>
      <c r="G64" s="13"/>
      <c r="H64" s="13" t="n">
        <v>16</v>
      </c>
      <c r="I64" s="13" t="n">
        <v>5498.78</v>
      </c>
      <c r="J64" s="22"/>
      <c r="N64" s="22"/>
      <c r="U64" s="22"/>
    </row>
    <row r="65" customFormat="false" ht="15.75" hidden="false" customHeight="false" outlineLevel="0" collapsed="false">
      <c r="E65" s="22"/>
      <c r="F65" s="13" t="s">
        <v>2191</v>
      </c>
      <c r="G65" s="13"/>
      <c r="H65" s="13" t="n">
        <v>323</v>
      </c>
      <c r="I65" s="13" t="n">
        <v>1718218.24</v>
      </c>
      <c r="J65" s="22"/>
      <c r="N65" s="22"/>
      <c r="U65" s="22"/>
    </row>
    <row r="66" customFormat="false" ht="15.75" hidden="false" customHeight="false" outlineLevel="0" collapsed="false">
      <c r="E66" s="22"/>
      <c r="J66" s="22"/>
      <c r="N66" s="22"/>
      <c r="U66" s="22"/>
    </row>
    <row r="67" customFormat="false" ht="15.75" hidden="false" customHeight="false" outlineLevel="0" collapsed="false">
      <c r="E67" s="22"/>
      <c r="J67" s="22"/>
      <c r="N67" s="22"/>
      <c r="U67" s="22"/>
    </row>
    <row r="68" customFormat="false" ht="15.75" hidden="false" customHeight="false" outlineLevel="0" collapsed="false">
      <c r="E68" s="22"/>
      <c r="J68" s="22"/>
      <c r="N68" s="22"/>
      <c r="U68" s="22"/>
    </row>
    <row r="69" customFormat="false" ht="15.75" hidden="false" customHeight="false" outlineLevel="0" collapsed="false">
      <c r="E69" s="22"/>
      <c r="J69" s="22"/>
      <c r="N69" s="22"/>
      <c r="U69" s="22"/>
    </row>
    <row r="70" customFormat="false" ht="15.75" hidden="false" customHeight="false" outlineLevel="0" collapsed="false">
      <c r="E70" s="22"/>
      <c r="J70" s="22"/>
      <c r="N70" s="22"/>
      <c r="U70" s="22"/>
    </row>
    <row r="71" customFormat="false" ht="15.75" hidden="false" customHeight="false" outlineLevel="0" collapsed="false">
      <c r="E71" s="22"/>
      <c r="J71" s="22"/>
      <c r="N71" s="22"/>
      <c r="U71" s="22"/>
    </row>
    <row r="72" customFormat="false" ht="15.75" hidden="false" customHeight="false" outlineLevel="0" collapsed="false">
      <c r="E72" s="22"/>
      <c r="J72" s="22"/>
      <c r="N72" s="22"/>
      <c r="U72" s="22"/>
    </row>
    <row r="73" customFormat="false" ht="15.75" hidden="false" customHeight="false" outlineLevel="0" collapsed="false">
      <c r="E73" s="22"/>
      <c r="J73" s="22"/>
      <c r="N73" s="22"/>
      <c r="U73" s="22"/>
    </row>
    <row r="74" customFormat="false" ht="15.75" hidden="false" customHeight="false" outlineLevel="0" collapsed="false">
      <c r="E74" s="22"/>
      <c r="J74" s="22"/>
      <c r="N74" s="22"/>
      <c r="U74" s="22"/>
    </row>
    <row r="75" customFormat="false" ht="15.75" hidden="false" customHeight="false" outlineLevel="0" collapsed="false">
      <c r="E75" s="22"/>
      <c r="J75" s="22"/>
      <c r="N75" s="22"/>
      <c r="U75" s="22"/>
    </row>
    <row r="76" customFormat="false" ht="15.75" hidden="false" customHeight="false" outlineLevel="0" collapsed="false">
      <c r="E76" s="22"/>
      <c r="J76" s="22"/>
      <c r="N76" s="22"/>
      <c r="U76" s="22"/>
    </row>
    <row r="77" customFormat="false" ht="15.75" hidden="false" customHeight="false" outlineLevel="0" collapsed="false">
      <c r="E77" s="22"/>
      <c r="J77" s="22"/>
      <c r="N77" s="22"/>
      <c r="U77" s="22"/>
    </row>
    <row r="78" customFormat="false" ht="15.75" hidden="false" customHeight="false" outlineLevel="0" collapsed="false">
      <c r="E78" s="22"/>
      <c r="J78" s="22"/>
      <c r="N78" s="22"/>
      <c r="U78" s="22"/>
    </row>
    <row r="79" customFormat="false" ht="15.75" hidden="false" customHeight="false" outlineLevel="0" collapsed="false">
      <c r="E79" s="22"/>
      <c r="J79" s="22"/>
      <c r="N79" s="22"/>
      <c r="U79" s="22"/>
    </row>
    <row r="80" customFormat="false" ht="15.75" hidden="false" customHeight="false" outlineLevel="0" collapsed="false">
      <c r="E80" s="22"/>
      <c r="J80" s="22"/>
      <c r="N80" s="22"/>
      <c r="U80" s="22"/>
    </row>
    <row r="81" customFormat="false" ht="15.75" hidden="false" customHeight="false" outlineLevel="0" collapsed="false">
      <c r="E81" s="22"/>
      <c r="J81" s="22"/>
      <c r="N81" s="22"/>
      <c r="U81" s="22"/>
    </row>
    <row r="82" customFormat="false" ht="15.75" hidden="false" customHeight="false" outlineLevel="0" collapsed="false">
      <c r="E82" s="22"/>
      <c r="J82" s="22"/>
      <c r="N82" s="22"/>
      <c r="U82" s="22"/>
    </row>
    <row r="83" customFormat="false" ht="15.75" hidden="false" customHeight="false" outlineLevel="0" collapsed="false">
      <c r="E83" s="22"/>
      <c r="J83" s="22"/>
      <c r="N83" s="22"/>
      <c r="U83" s="22"/>
    </row>
    <row r="84" customFormat="false" ht="15.75" hidden="false" customHeight="false" outlineLevel="0" collapsed="false">
      <c r="E84" s="22"/>
      <c r="J84" s="22"/>
      <c r="N84" s="22"/>
      <c r="U84" s="22"/>
    </row>
    <row r="85" customFormat="false" ht="15.75" hidden="false" customHeight="false" outlineLevel="0" collapsed="false">
      <c r="E85" s="22"/>
      <c r="J85" s="22"/>
      <c r="N85" s="22"/>
      <c r="U85" s="22"/>
    </row>
    <row r="86" customFormat="false" ht="15.75" hidden="false" customHeight="false" outlineLevel="0" collapsed="false">
      <c r="E86" s="22"/>
      <c r="J86" s="22"/>
      <c r="N86" s="22"/>
      <c r="U86" s="22"/>
    </row>
    <row r="87" customFormat="false" ht="15.75" hidden="false" customHeight="false" outlineLevel="0" collapsed="false">
      <c r="E87" s="22"/>
      <c r="J87" s="22"/>
      <c r="N87" s="22"/>
      <c r="U87" s="22"/>
    </row>
    <row r="88" customFormat="false" ht="15.75" hidden="false" customHeight="false" outlineLevel="0" collapsed="false">
      <c r="E88" s="22"/>
      <c r="J88" s="22"/>
      <c r="N88" s="22"/>
      <c r="U88" s="22"/>
    </row>
    <row r="89" customFormat="false" ht="15.75" hidden="false" customHeight="false" outlineLevel="0" collapsed="false">
      <c r="E89" s="22"/>
      <c r="J89" s="22"/>
      <c r="N89" s="22"/>
      <c r="U89" s="22"/>
    </row>
    <row r="90" customFormat="false" ht="15.75" hidden="false" customHeight="false" outlineLevel="0" collapsed="false">
      <c r="E90" s="22"/>
      <c r="J90" s="22"/>
      <c r="N90" s="22"/>
      <c r="U90" s="22"/>
    </row>
    <row r="91" customFormat="false" ht="15.75" hidden="false" customHeight="false" outlineLevel="0" collapsed="false">
      <c r="E91" s="22"/>
      <c r="J91" s="22"/>
      <c r="N91" s="22"/>
      <c r="U91" s="22"/>
    </row>
    <row r="92" customFormat="false" ht="15.75" hidden="false" customHeight="false" outlineLevel="0" collapsed="false">
      <c r="E92" s="22"/>
      <c r="J92" s="22"/>
      <c r="N92" s="22"/>
      <c r="U92" s="22"/>
    </row>
    <row r="93" customFormat="false" ht="15.75" hidden="false" customHeight="false" outlineLevel="0" collapsed="false">
      <c r="E93" s="22"/>
      <c r="J93" s="22"/>
      <c r="N93" s="22"/>
      <c r="U93" s="22"/>
    </row>
    <row r="94" customFormat="false" ht="15.75" hidden="false" customHeight="false" outlineLevel="0" collapsed="false">
      <c r="E94" s="22"/>
      <c r="J94" s="22"/>
      <c r="N94" s="22"/>
      <c r="U94" s="22"/>
    </row>
    <row r="95" customFormat="false" ht="15.75" hidden="false" customHeight="false" outlineLevel="0" collapsed="false">
      <c r="E95" s="22"/>
      <c r="J95" s="22"/>
      <c r="N95" s="22"/>
      <c r="U95" s="22"/>
    </row>
    <row r="96" customFormat="false" ht="15.75" hidden="false" customHeight="false" outlineLevel="0" collapsed="false">
      <c r="E96" s="22"/>
      <c r="J96" s="22"/>
      <c r="N96" s="22"/>
      <c r="U96" s="22"/>
    </row>
    <row r="97" customFormat="false" ht="15.75" hidden="false" customHeight="false" outlineLevel="0" collapsed="false">
      <c r="E97" s="22"/>
      <c r="J97" s="22"/>
      <c r="N97" s="22"/>
      <c r="U97" s="22"/>
    </row>
    <row r="98" customFormat="false" ht="15.75" hidden="false" customHeight="false" outlineLevel="0" collapsed="false">
      <c r="E98" s="22"/>
      <c r="J98" s="22"/>
      <c r="N98" s="22"/>
      <c r="U98" s="22"/>
    </row>
    <row r="99" customFormat="false" ht="15.75" hidden="false" customHeight="false" outlineLevel="0" collapsed="false">
      <c r="E99" s="22"/>
      <c r="J99" s="22"/>
      <c r="N99" s="22"/>
      <c r="U99" s="22"/>
    </row>
    <row r="100" customFormat="false" ht="15.75" hidden="false" customHeight="false" outlineLevel="0" collapsed="false">
      <c r="E100" s="22"/>
      <c r="J100" s="22"/>
      <c r="N100" s="22"/>
      <c r="U100" s="22"/>
    </row>
    <row r="101" customFormat="false" ht="15.75" hidden="false" customHeight="false" outlineLevel="0" collapsed="false">
      <c r="E101" s="22"/>
      <c r="J101" s="22"/>
      <c r="N101" s="22"/>
      <c r="U101" s="22"/>
    </row>
    <row r="102" customFormat="false" ht="15.75" hidden="false" customHeight="false" outlineLevel="0" collapsed="false">
      <c r="E102" s="22"/>
      <c r="J102" s="22"/>
      <c r="N102" s="22"/>
      <c r="U102" s="22"/>
    </row>
    <row r="103" customFormat="false" ht="15.75" hidden="false" customHeight="false" outlineLevel="0" collapsed="false">
      <c r="E103" s="22"/>
      <c r="J103" s="22"/>
      <c r="N103" s="22"/>
      <c r="U103" s="22"/>
    </row>
    <row r="104" customFormat="false" ht="15.75" hidden="false" customHeight="false" outlineLevel="0" collapsed="false">
      <c r="E104" s="22"/>
      <c r="J104" s="22"/>
      <c r="N104" s="22"/>
      <c r="U104" s="22"/>
    </row>
    <row r="105" customFormat="false" ht="15.75" hidden="false" customHeight="false" outlineLevel="0" collapsed="false">
      <c r="E105" s="22"/>
      <c r="J105" s="22"/>
      <c r="N105" s="22"/>
      <c r="U105" s="22"/>
    </row>
    <row r="106" customFormat="false" ht="15.75" hidden="false" customHeight="false" outlineLevel="0" collapsed="false">
      <c r="E106" s="22"/>
      <c r="J106" s="22"/>
      <c r="N106" s="22"/>
      <c r="U106" s="22"/>
    </row>
    <row r="107" customFormat="false" ht="15.75" hidden="false" customHeight="false" outlineLevel="0" collapsed="false">
      <c r="E107" s="22"/>
      <c r="J107" s="22"/>
      <c r="N107" s="22"/>
      <c r="U107" s="22"/>
    </row>
    <row r="108" customFormat="false" ht="15.75" hidden="false" customHeight="false" outlineLevel="0" collapsed="false">
      <c r="E108" s="22"/>
      <c r="J108" s="22"/>
      <c r="N108" s="22"/>
      <c r="U108" s="22"/>
    </row>
    <row r="109" customFormat="false" ht="15.75" hidden="false" customHeight="false" outlineLevel="0" collapsed="false">
      <c r="E109" s="22"/>
      <c r="J109" s="22"/>
      <c r="N109" s="22"/>
      <c r="U109" s="22"/>
    </row>
    <row r="110" customFormat="false" ht="15.75" hidden="false" customHeight="false" outlineLevel="0" collapsed="false">
      <c r="E110" s="22"/>
      <c r="J110" s="22"/>
      <c r="N110" s="22"/>
      <c r="U110" s="22"/>
    </row>
    <row r="111" customFormat="false" ht="15.75" hidden="false" customHeight="false" outlineLevel="0" collapsed="false">
      <c r="E111" s="22"/>
      <c r="J111" s="22"/>
      <c r="N111" s="22"/>
      <c r="U111" s="22"/>
    </row>
    <row r="112" customFormat="false" ht="15.75" hidden="false" customHeight="false" outlineLevel="0" collapsed="false">
      <c r="E112" s="22"/>
      <c r="J112" s="22"/>
      <c r="N112" s="22"/>
      <c r="U112" s="22"/>
    </row>
    <row r="113" customFormat="false" ht="15.75" hidden="false" customHeight="false" outlineLevel="0" collapsed="false">
      <c r="E113" s="22"/>
      <c r="J113" s="22"/>
      <c r="N113" s="22"/>
      <c r="U113" s="22"/>
    </row>
    <row r="114" customFormat="false" ht="15.75" hidden="false" customHeight="false" outlineLevel="0" collapsed="false">
      <c r="E114" s="22"/>
      <c r="J114" s="22"/>
      <c r="N114" s="22"/>
      <c r="U114" s="22"/>
    </row>
    <row r="115" customFormat="false" ht="15.75" hidden="false" customHeight="false" outlineLevel="0" collapsed="false">
      <c r="E115" s="22"/>
      <c r="J115" s="22"/>
      <c r="N115" s="22"/>
      <c r="U115" s="22"/>
    </row>
    <row r="116" customFormat="false" ht="15.75" hidden="false" customHeight="false" outlineLevel="0" collapsed="false">
      <c r="E116" s="22"/>
      <c r="J116" s="22"/>
      <c r="N116" s="22"/>
      <c r="U116" s="22"/>
    </row>
    <row r="117" customFormat="false" ht="15.75" hidden="false" customHeight="false" outlineLevel="0" collapsed="false">
      <c r="E117" s="22"/>
      <c r="J117" s="22"/>
      <c r="N117" s="22"/>
      <c r="U117" s="22"/>
    </row>
    <row r="118" customFormat="false" ht="15.75" hidden="false" customHeight="false" outlineLevel="0" collapsed="false">
      <c r="E118" s="22"/>
      <c r="J118" s="22"/>
      <c r="N118" s="22"/>
      <c r="U118" s="22"/>
    </row>
    <row r="119" customFormat="false" ht="15.75" hidden="false" customHeight="false" outlineLevel="0" collapsed="false">
      <c r="E119" s="22"/>
      <c r="J119" s="22"/>
      <c r="N119" s="22"/>
      <c r="U119" s="22"/>
    </row>
    <row r="120" customFormat="false" ht="15.75" hidden="false" customHeight="false" outlineLevel="0" collapsed="false">
      <c r="E120" s="22"/>
      <c r="J120" s="22"/>
      <c r="N120" s="22"/>
      <c r="U120" s="22"/>
    </row>
    <row r="121" customFormat="false" ht="15.75" hidden="false" customHeight="false" outlineLevel="0" collapsed="false">
      <c r="E121" s="22"/>
      <c r="J121" s="22"/>
      <c r="N121" s="22"/>
      <c r="U121" s="22"/>
    </row>
    <row r="122" customFormat="false" ht="15.75" hidden="false" customHeight="false" outlineLevel="0" collapsed="false">
      <c r="E122" s="22"/>
      <c r="J122" s="22"/>
      <c r="N122" s="22"/>
      <c r="U122" s="22"/>
    </row>
    <row r="123" customFormat="false" ht="15.75" hidden="false" customHeight="false" outlineLevel="0" collapsed="false">
      <c r="E123" s="22"/>
      <c r="J123" s="22"/>
      <c r="N123" s="22"/>
      <c r="U123" s="22"/>
    </row>
    <row r="124" customFormat="false" ht="15.75" hidden="false" customHeight="false" outlineLevel="0" collapsed="false">
      <c r="E124" s="22"/>
      <c r="J124" s="22"/>
      <c r="N124" s="22"/>
      <c r="U124" s="22"/>
    </row>
    <row r="125" customFormat="false" ht="15.75" hidden="false" customHeight="false" outlineLevel="0" collapsed="false">
      <c r="E125" s="22"/>
      <c r="J125" s="22"/>
      <c r="N125" s="22"/>
      <c r="U125" s="22"/>
    </row>
    <row r="126" customFormat="false" ht="15.75" hidden="false" customHeight="false" outlineLevel="0" collapsed="false">
      <c r="E126" s="22"/>
      <c r="J126" s="22"/>
      <c r="N126" s="22"/>
      <c r="U126" s="22"/>
    </row>
    <row r="127" customFormat="false" ht="15.75" hidden="false" customHeight="false" outlineLevel="0" collapsed="false">
      <c r="E127" s="22"/>
      <c r="J127" s="22"/>
      <c r="N127" s="22"/>
      <c r="U127" s="22"/>
    </row>
    <row r="128" customFormat="false" ht="15.75" hidden="false" customHeight="false" outlineLevel="0" collapsed="false">
      <c r="E128" s="22"/>
      <c r="J128" s="22"/>
      <c r="N128" s="22"/>
      <c r="U128" s="22"/>
    </row>
    <row r="129" customFormat="false" ht="15.75" hidden="false" customHeight="false" outlineLevel="0" collapsed="false">
      <c r="E129" s="22"/>
      <c r="J129" s="22"/>
      <c r="N129" s="22"/>
      <c r="U129" s="22"/>
    </row>
    <row r="130" customFormat="false" ht="15.75" hidden="false" customHeight="false" outlineLevel="0" collapsed="false">
      <c r="E130" s="22"/>
      <c r="J130" s="22"/>
      <c r="N130" s="22"/>
      <c r="U130" s="22"/>
    </row>
    <row r="131" customFormat="false" ht="15.75" hidden="false" customHeight="false" outlineLevel="0" collapsed="false">
      <c r="E131" s="22"/>
      <c r="J131" s="22"/>
      <c r="N131" s="22"/>
      <c r="U131" s="22"/>
    </row>
    <row r="132" customFormat="false" ht="15.75" hidden="false" customHeight="false" outlineLevel="0" collapsed="false">
      <c r="E132" s="22"/>
      <c r="J132" s="22"/>
      <c r="N132" s="22"/>
      <c r="U132" s="22"/>
    </row>
    <row r="133" customFormat="false" ht="15.75" hidden="false" customHeight="false" outlineLevel="0" collapsed="false">
      <c r="E133" s="22"/>
      <c r="J133" s="22"/>
      <c r="N133" s="22"/>
      <c r="U133" s="22"/>
    </row>
    <row r="134" customFormat="false" ht="15.75" hidden="false" customHeight="false" outlineLevel="0" collapsed="false">
      <c r="E134" s="22"/>
      <c r="J134" s="22"/>
      <c r="N134" s="22"/>
      <c r="U134" s="22"/>
    </row>
    <row r="135" customFormat="false" ht="15.75" hidden="false" customHeight="false" outlineLevel="0" collapsed="false">
      <c r="E135" s="22"/>
      <c r="J135" s="22"/>
      <c r="N135" s="22"/>
      <c r="U135" s="22"/>
    </row>
    <row r="136" customFormat="false" ht="15.75" hidden="false" customHeight="false" outlineLevel="0" collapsed="false">
      <c r="E136" s="22"/>
      <c r="J136" s="22"/>
      <c r="N136" s="22"/>
      <c r="U136" s="22"/>
    </row>
    <row r="137" customFormat="false" ht="15.75" hidden="false" customHeight="false" outlineLevel="0" collapsed="false">
      <c r="E137" s="22"/>
      <c r="J137" s="22"/>
      <c r="N137" s="22"/>
      <c r="U137" s="22"/>
    </row>
    <row r="138" customFormat="false" ht="15.75" hidden="false" customHeight="false" outlineLevel="0" collapsed="false">
      <c r="E138" s="22"/>
      <c r="J138" s="22"/>
      <c r="N138" s="22"/>
      <c r="U138" s="22"/>
    </row>
    <row r="139" customFormat="false" ht="15.75" hidden="false" customHeight="false" outlineLevel="0" collapsed="false">
      <c r="E139" s="22"/>
      <c r="J139" s="22"/>
      <c r="N139" s="22"/>
      <c r="U139" s="22"/>
    </row>
    <row r="140" customFormat="false" ht="15.75" hidden="false" customHeight="false" outlineLevel="0" collapsed="false">
      <c r="E140" s="22"/>
      <c r="J140" s="22"/>
      <c r="N140" s="22"/>
      <c r="U140" s="22"/>
    </row>
    <row r="141" customFormat="false" ht="15.75" hidden="false" customHeight="false" outlineLevel="0" collapsed="false">
      <c r="E141" s="22"/>
      <c r="J141" s="22"/>
      <c r="N141" s="22"/>
      <c r="U141" s="22"/>
    </row>
    <row r="142" customFormat="false" ht="15.75" hidden="false" customHeight="false" outlineLevel="0" collapsed="false">
      <c r="E142" s="22"/>
      <c r="J142" s="22"/>
      <c r="N142" s="22"/>
      <c r="U142" s="22"/>
    </row>
    <row r="143" customFormat="false" ht="15.75" hidden="false" customHeight="false" outlineLevel="0" collapsed="false">
      <c r="E143" s="22"/>
      <c r="J143" s="22"/>
      <c r="N143" s="22"/>
      <c r="U143" s="22"/>
    </row>
    <row r="144" customFormat="false" ht="15.75" hidden="false" customHeight="false" outlineLevel="0" collapsed="false">
      <c r="E144" s="22"/>
      <c r="J144" s="22"/>
      <c r="N144" s="22"/>
      <c r="U144" s="22"/>
    </row>
    <row r="145" customFormat="false" ht="15.75" hidden="false" customHeight="false" outlineLevel="0" collapsed="false">
      <c r="E145" s="22"/>
      <c r="J145" s="22"/>
      <c r="N145" s="22"/>
      <c r="U145" s="22"/>
    </row>
    <row r="146" customFormat="false" ht="15.75" hidden="false" customHeight="false" outlineLevel="0" collapsed="false">
      <c r="E146" s="22"/>
      <c r="J146" s="22"/>
      <c r="N146" s="22"/>
      <c r="U146" s="22"/>
    </row>
    <row r="147" customFormat="false" ht="15.75" hidden="false" customHeight="false" outlineLevel="0" collapsed="false">
      <c r="E147" s="22"/>
      <c r="J147" s="22"/>
      <c r="N147" s="22"/>
      <c r="U147" s="22"/>
    </row>
    <row r="148" customFormat="false" ht="15.75" hidden="false" customHeight="false" outlineLevel="0" collapsed="false">
      <c r="E148" s="22"/>
      <c r="J148" s="22"/>
      <c r="N148" s="22"/>
      <c r="U148" s="22"/>
    </row>
    <row r="149" customFormat="false" ht="15.75" hidden="false" customHeight="false" outlineLevel="0" collapsed="false">
      <c r="E149" s="22"/>
      <c r="J149" s="22"/>
      <c r="N149" s="22"/>
      <c r="U149" s="22"/>
    </row>
    <row r="150" customFormat="false" ht="15.75" hidden="false" customHeight="false" outlineLevel="0" collapsed="false">
      <c r="E150" s="22"/>
      <c r="J150" s="22"/>
      <c r="N150" s="22"/>
      <c r="U150" s="22"/>
    </row>
    <row r="151" customFormat="false" ht="15.75" hidden="false" customHeight="false" outlineLevel="0" collapsed="false">
      <c r="E151" s="22"/>
      <c r="J151" s="22"/>
      <c r="N151" s="22"/>
      <c r="U151" s="22"/>
    </row>
    <row r="152" customFormat="false" ht="15.75" hidden="false" customHeight="false" outlineLevel="0" collapsed="false">
      <c r="E152" s="22"/>
      <c r="J152" s="22"/>
      <c r="N152" s="22"/>
      <c r="U152" s="22"/>
    </row>
    <row r="153" customFormat="false" ht="15.75" hidden="false" customHeight="false" outlineLevel="0" collapsed="false">
      <c r="E153" s="22"/>
      <c r="J153" s="22"/>
      <c r="N153" s="22"/>
      <c r="U153" s="22"/>
    </row>
    <row r="154" customFormat="false" ht="15.75" hidden="false" customHeight="false" outlineLevel="0" collapsed="false">
      <c r="E154" s="22"/>
      <c r="J154" s="22"/>
      <c r="N154" s="22"/>
      <c r="U154" s="22"/>
    </row>
    <row r="155" customFormat="false" ht="15.75" hidden="false" customHeight="false" outlineLevel="0" collapsed="false">
      <c r="E155" s="22"/>
      <c r="J155" s="22"/>
      <c r="N155" s="22"/>
      <c r="U155" s="22"/>
    </row>
    <row r="156" customFormat="false" ht="15.75" hidden="false" customHeight="false" outlineLevel="0" collapsed="false">
      <c r="E156" s="22"/>
      <c r="J156" s="22"/>
      <c r="N156" s="22"/>
      <c r="U156" s="22"/>
    </row>
    <row r="157" customFormat="false" ht="15.75" hidden="false" customHeight="false" outlineLevel="0" collapsed="false">
      <c r="E157" s="22"/>
      <c r="J157" s="22"/>
      <c r="N157" s="22"/>
      <c r="U157" s="22"/>
    </row>
    <row r="158" customFormat="false" ht="15.75" hidden="false" customHeight="false" outlineLevel="0" collapsed="false">
      <c r="E158" s="22"/>
      <c r="J158" s="22"/>
      <c r="N158" s="22"/>
      <c r="U158" s="22"/>
    </row>
    <row r="159" customFormat="false" ht="15.75" hidden="false" customHeight="false" outlineLevel="0" collapsed="false">
      <c r="E159" s="22"/>
      <c r="J159" s="22"/>
      <c r="N159" s="22"/>
      <c r="U159" s="22"/>
    </row>
    <row r="160" customFormat="false" ht="15.75" hidden="false" customHeight="false" outlineLevel="0" collapsed="false">
      <c r="E160" s="22"/>
      <c r="J160" s="22"/>
      <c r="N160" s="22"/>
      <c r="U160" s="22"/>
    </row>
    <row r="161" customFormat="false" ht="15.75" hidden="false" customHeight="false" outlineLevel="0" collapsed="false">
      <c r="E161" s="22"/>
      <c r="J161" s="22"/>
      <c r="N161" s="22"/>
      <c r="U161" s="22"/>
    </row>
    <row r="162" customFormat="false" ht="15.75" hidden="false" customHeight="false" outlineLevel="0" collapsed="false">
      <c r="E162" s="22"/>
      <c r="J162" s="22"/>
      <c r="N162" s="22"/>
      <c r="U162" s="22"/>
    </row>
    <row r="163" customFormat="false" ht="15.75" hidden="false" customHeight="false" outlineLevel="0" collapsed="false">
      <c r="E163" s="22"/>
      <c r="J163" s="22"/>
      <c r="N163" s="22"/>
      <c r="U163" s="22"/>
    </row>
    <row r="164" customFormat="false" ht="15.75" hidden="false" customHeight="false" outlineLevel="0" collapsed="false">
      <c r="E164" s="22"/>
      <c r="J164" s="22"/>
      <c r="N164" s="22"/>
      <c r="U164" s="22"/>
    </row>
    <row r="165" customFormat="false" ht="15.75" hidden="false" customHeight="false" outlineLevel="0" collapsed="false">
      <c r="E165" s="22"/>
      <c r="J165" s="22"/>
      <c r="N165" s="22"/>
      <c r="U165" s="22"/>
    </row>
    <row r="166" customFormat="false" ht="15.75" hidden="false" customHeight="false" outlineLevel="0" collapsed="false">
      <c r="E166" s="22"/>
      <c r="J166" s="22"/>
      <c r="N166" s="22"/>
      <c r="U166" s="22"/>
    </row>
    <row r="167" customFormat="false" ht="15.75" hidden="false" customHeight="false" outlineLevel="0" collapsed="false">
      <c r="E167" s="22"/>
      <c r="J167" s="22"/>
      <c r="N167" s="22"/>
      <c r="U167" s="22"/>
    </row>
    <row r="168" customFormat="false" ht="15.75" hidden="false" customHeight="false" outlineLevel="0" collapsed="false">
      <c r="E168" s="22"/>
      <c r="J168" s="22"/>
      <c r="N168" s="22"/>
      <c r="U168" s="22"/>
    </row>
    <row r="169" customFormat="false" ht="15.75" hidden="false" customHeight="false" outlineLevel="0" collapsed="false">
      <c r="E169" s="22"/>
      <c r="J169" s="22"/>
      <c r="N169" s="22"/>
      <c r="U169" s="22"/>
    </row>
    <row r="170" customFormat="false" ht="15.75" hidden="false" customHeight="false" outlineLevel="0" collapsed="false">
      <c r="E170" s="22"/>
      <c r="J170" s="22"/>
      <c r="N170" s="22"/>
      <c r="U170" s="22"/>
    </row>
    <row r="171" customFormat="false" ht="15.75" hidden="false" customHeight="false" outlineLevel="0" collapsed="false">
      <c r="E171" s="22"/>
      <c r="J171" s="22"/>
      <c r="N171" s="22"/>
      <c r="U171" s="22"/>
    </row>
    <row r="172" customFormat="false" ht="15.75" hidden="false" customHeight="false" outlineLevel="0" collapsed="false">
      <c r="E172" s="22"/>
      <c r="J172" s="22"/>
      <c r="N172" s="22"/>
      <c r="U172" s="22"/>
    </row>
    <row r="173" customFormat="false" ht="15.75" hidden="false" customHeight="false" outlineLevel="0" collapsed="false">
      <c r="E173" s="22"/>
      <c r="J173" s="22"/>
      <c r="N173" s="22"/>
      <c r="U173" s="22"/>
    </row>
    <row r="174" customFormat="false" ht="15.75" hidden="false" customHeight="false" outlineLevel="0" collapsed="false">
      <c r="E174" s="22"/>
      <c r="J174" s="22"/>
      <c r="N174" s="22"/>
      <c r="U174" s="22"/>
    </row>
    <row r="175" customFormat="false" ht="15.75" hidden="false" customHeight="false" outlineLevel="0" collapsed="false">
      <c r="E175" s="22"/>
      <c r="J175" s="22"/>
      <c r="N175" s="22"/>
      <c r="U175" s="22"/>
    </row>
    <row r="176" customFormat="false" ht="15.75" hidden="false" customHeight="false" outlineLevel="0" collapsed="false">
      <c r="E176" s="22"/>
      <c r="J176" s="22"/>
      <c r="N176" s="22"/>
      <c r="U176" s="22"/>
    </row>
    <row r="177" customFormat="false" ht="15.75" hidden="false" customHeight="false" outlineLevel="0" collapsed="false">
      <c r="E177" s="22"/>
      <c r="J177" s="22"/>
      <c r="N177" s="22"/>
      <c r="U177" s="22"/>
    </row>
    <row r="178" customFormat="false" ht="15.75" hidden="false" customHeight="false" outlineLevel="0" collapsed="false">
      <c r="E178" s="22"/>
      <c r="J178" s="22"/>
      <c r="N178" s="22"/>
      <c r="U178" s="22"/>
    </row>
    <row r="179" customFormat="false" ht="15.75" hidden="false" customHeight="false" outlineLevel="0" collapsed="false">
      <c r="E179" s="22"/>
      <c r="J179" s="22"/>
      <c r="N179" s="22"/>
      <c r="U179" s="22"/>
    </row>
    <row r="180" customFormat="false" ht="15.75" hidden="false" customHeight="false" outlineLevel="0" collapsed="false">
      <c r="E180" s="22"/>
      <c r="J180" s="22"/>
      <c r="N180" s="22"/>
      <c r="U180" s="22"/>
    </row>
    <row r="181" customFormat="false" ht="15.75" hidden="false" customHeight="false" outlineLevel="0" collapsed="false">
      <c r="E181" s="22"/>
      <c r="J181" s="22"/>
      <c r="N181" s="22"/>
      <c r="U181" s="22"/>
    </row>
    <row r="182" customFormat="false" ht="15.75" hidden="false" customHeight="false" outlineLevel="0" collapsed="false">
      <c r="E182" s="22"/>
      <c r="J182" s="22"/>
      <c r="N182" s="22"/>
      <c r="U182" s="22"/>
    </row>
    <row r="183" customFormat="false" ht="15.75" hidden="false" customHeight="false" outlineLevel="0" collapsed="false">
      <c r="E183" s="22"/>
      <c r="J183" s="22"/>
      <c r="N183" s="22"/>
      <c r="U183" s="22"/>
    </row>
    <row r="184" customFormat="false" ht="15.75" hidden="false" customHeight="false" outlineLevel="0" collapsed="false">
      <c r="E184" s="22"/>
      <c r="J184" s="22"/>
      <c r="N184" s="22"/>
      <c r="U184" s="22"/>
    </row>
    <row r="185" customFormat="false" ht="15.75" hidden="false" customHeight="false" outlineLevel="0" collapsed="false">
      <c r="E185" s="22"/>
      <c r="J185" s="22"/>
      <c r="N185" s="22"/>
      <c r="U185" s="22"/>
    </row>
    <row r="186" customFormat="false" ht="15.75" hidden="false" customHeight="false" outlineLevel="0" collapsed="false">
      <c r="E186" s="22"/>
      <c r="J186" s="22"/>
      <c r="N186" s="22"/>
      <c r="U186" s="22"/>
    </row>
    <row r="187" customFormat="false" ht="15.75" hidden="false" customHeight="false" outlineLevel="0" collapsed="false">
      <c r="E187" s="22"/>
      <c r="J187" s="22"/>
      <c r="N187" s="22"/>
      <c r="U187" s="22"/>
    </row>
    <row r="188" customFormat="false" ht="15.75" hidden="false" customHeight="false" outlineLevel="0" collapsed="false">
      <c r="E188" s="22"/>
      <c r="J188" s="22"/>
      <c r="N188" s="22"/>
      <c r="U188" s="22"/>
    </row>
    <row r="189" customFormat="false" ht="15.75" hidden="false" customHeight="false" outlineLevel="0" collapsed="false">
      <c r="E189" s="22"/>
      <c r="J189" s="22"/>
      <c r="N189" s="22"/>
      <c r="U189" s="22"/>
    </row>
    <row r="190" customFormat="false" ht="15.75" hidden="false" customHeight="false" outlineLevel="0" collapsed="false">
      <c r="E190" s="22"/>
      <c r="J190" s="22"/>
      <c r="N190" s="22"/>
      <c r="U190" s="22"/>
    </row>
    <row r="191" customFormat="false" ht="15.75" hidden="false" customHeight="false" outlineLevel="0" collapsed="false">
      <c r="E191" s="22"/>
      <c r="J191" s="22"/>
      <c r="N191" s="22"/>
      <c r="U191" s="22"/>
    </row>
    <row r="192" customFormat="false" ht="15.75" hidden="false" customHeight="false" outlineLevel="0" collapsed="false">
      <c r="E192" s="22"/>
      <c r="J192" s="22"/>
      <c r="N192" s="22"/>
      <c r="U192" s="22"/>
    </row>
    <row r="193" customFormat="false" ht="15.75" hidden="false" customHeight="false" outlineLevel="0" collapsed="false">
      <c r="E193" s="22"/>
      <c r="J193" s="22"/>
      <c r="N193" s="22"/>
      <c r="U193" s="22"/>
    </row>
    <row r="194" customFormat="false" ht="15.75" hidden="false" customHeight="false" outlineLevel="0" collapsed="false">
      <c r="E194" s="22"/>
      <c r="J194" s="22"/>
      <c r="N194" s="22"/>
      <c r="U194" s="22"/>
    </row>
    <row r="195" customFormat="false" ht="15.75" hidden="false" customHeight="false" outlineLevel="0" collapsed="false">
      <c r="E195" s="22"/>
      <c r="J195" s="22"/>
      <c r="N195" s="22"/>
      <c r="U195" s="22"/>
    </row>
    <row r="196" customFormat="false" ht="15.75" hidden="false" customHeight="false" outlineLevel="0" collapsed="false">
      <c r="E196" s="22"/>
      <c r="J196" s="22"/>
      <c r="N196" s="22"/>
      <c r="U196" s="22"/>
    </row>
    <row r="197" customFormat="false" ht="15.75" hidden="false" customHeight="false" outlineLevel="0" collapsed="false">
      <c r="E197" s="22"/>
      <c r="J197" s="22"/>
      <c r="N197" s="22"/>
      <c r="U197" s="22"/>
    </row>
    <row r="198" customFormat="false" ht="15.75" hidden="false" customHeight="false" outlineLevel="0" collapsed="false">
      <c r="E198" s="22"/>
      <c r="J198" s="22"/>
      <c r="N198" s="22"/>
      <c r="U198" s="22"/>
    </row>
    <row r="199" customFormat="false" ht="15.75" hidden="false" customHeight="false" outlineLevel="0" collapsed="false">
      <c r="E199" s="22"/>
      <c r="J199" s="22"/>
      <c r="N199" s="22"/>
      <c r="U199" s="22"/>
    </row>
    <row r="200" customFormat="false" ht="15.75" hidden="false" customHeight="false" outlineLevel="0" collapsed="false">
      <c r="E200" s="22"/>
      <c r="J200" s="22"/>
      <c r="N200" s="22"/>
      <c r="U200" s="22"/>
    </row>
    <row r="201" customFormat="false" ht="15.75" hidden="false" customHeight="false" outlineLevel="0" collapsed="false">
      <c r="E201" s="22"/>
      <c r="J201" s="22"/>
      <c r="N201" s="22"/>
      <c r="U201" s="22"/>
    </row>
    <row r="202" customFormat="false" ht="15.75" hidden="false" customHeight="false" outlineLevel="0" collapsed="false">
      <c r="E202" s="22"/>
      <c r="J202" s="22"/>
      <c r="N202" s="22"/>
      <c r="U202" s="22"/>
    </row>
    <row r="203" customFormat="false" ht="15.75" hidden="false" customHeight="false" outlineLevel="0" collapsed="false">
      <c r="E203" s="22"/>
      <c r="J203" s="22"/>
      <c r="N203" s="22"/>
      <c r="U203" s="22"/>
    </row>
    <row r="204" customFormat="false" ht="15.75" hidden="false" customHeight="false" outlineLevel="0" collapsed="false">
      <c r="E204" s="22"/>
      <c r="J204" s="22"/>
      <c r="N204" s="22"/>
      <c r="U204" s="22"/>
    </row>
    <row r="205" customFormat="false" ht="15.75" hidden="false" customHeight="false" outlineLevel="0" collapsed="false">
      <c r="E205" s="22"/>
      <c r="J205" s="22"/>
      <c r="N205" s="22"/>
      <c r="U205" s="22"/>
    </row>
    <row r="206" customFormat="false" ht="15.75" hidden="false" customHeight="false" outlineLevel="0" collapsed="false">
      <c r="E206" s="22"/>
      <c r="J206" s="22"/>
      <c r="N206" s="22"/>
      <c r="U206" s="22"/>
    </row>
    <row r="207" customFormat="false" ht="15.75" hidden="false" customHeight="false" outlineLevel="0" collapsed="false">
      <c r="E207" s="22"/>
      <c r="J207" s="22"/>
      <c r="N207" s="22"/>
      <c r="U207" s="22"/>
    </row>
    <row r="208" customFormat="false" ht="15.75" hidden="false" customHeight="false" outlineLevel="0" collapsed="false">
      <c r="E208" s="22"/>
      <c r="J208" s="22"/>
      <c r="N208" s="22"/>
      <c r="U208" s="22"/>
    </row>
    <row r="209" customFormat="false" ht="15.75" hidden="false" customHeight="false" outlineLevel="0" collapsed="false">
      <c r="E209" s="22"/>
      <c r="J209" s="22"/>
      <c r="N209" s="22"/>
      <c r="U209" s="22"/>
    </row>
    <row r="210" customFormat="false" ht="15.75" hidden="false" customHeight="false" outlineLevel="0" collapsed="false">
      <c r="E210" s="22"/>
      <c r="J210" s="22"/>
      <c r="N210" s="22"/>
      <c r="U210" s="22"/>
    </row>
    <row r="211" customFormat="false" ht="15.75" hidden="false" customHeight="false" outlineLevel="0" collapsed="false">
      <c r="E211" s="22"/>
      <c r="J211" s="22"/>
      <c r="N211" s="22"/>
      <c r="U211" s="22"/>
    </row>
    <row r="212" customFormat="false" ht="15.75" hidden="false" customHeight="false" outlineLevel="0" collapsed="false">
      <c r="E212" s="22"/>
      <c r="J212" s="22"/>
      <c r="N212" s="22"/>
      <c r="U212" s="22"/>
    </row>
    <row r="213" customFormat="false" ht="15.75" hidden="false" customHeight="false" outlineLevel="0" collapsed="false">
      <c r="E213" s="22"/>
      <c r="J213" s="22"/>
      <c r="N213" s="22"/>
      <c r="U213" s="22"/>
    </row>
    <row r="214" customFormat="false" ht="15.75" hidden="false" customHeight="false" outlineLevel="0" collapsed="false">
      <c r="E214" s="22"/>
      <c r="J214" s="22"/>
      <c r="N214" s="22"/>
      <c r="U214" s="22"/>
    </row>
    <row r="215" customFormat="false" ht="15.75" hidden="false" customHeight="false" outlineLevel="0" collapsed="false">
      <c r="E215" s="22"/>
      <c r="J215" s="22"/>
      <c r="N215" s="22"/>
      <c r="U215" s="22"/>
    </row>
    <row r="216" customFormat="false" ht="15.75" hidden="false" customHeight="false" outlineLevel="0" collapsed="false">
      <c r="E216" s="22"/>
      <c r="J216" s="22"/>
      <c r="N216" s="22"/>
      <c r="U216" s="22"/>
    </row>
    <row r="217" customFormat="false" ht="15.75" hidden="false" customHeight="false" outlineLevel="0" collapsed="false">
      <c r="E217" s="22"/>
      <c r="J217" s="22"/>
      <c r="N217" s="22"/>
      <c r="U217" s="22"/>
    </row>
    <row r="218" customFormat="false" ht="15.75" hidden="false" customHeight="false" outlineLevel="0" collapsed="false">
      <c r="E218" s="22"/>
      <c r="J218" s="22"/>
      <c r="N218" s="22"/>
      <c r="U218" s="22"/>
    </row>
    <row r="219" customFormat="false" ht="15.75" hidden="false" customHeight="false" outlineLevel="0" collapsed="false">
      <c r="E219" s="22"/>
      <c r="J219" s="22"/>
      <c r="N219" s="22"/>
      <c r="U219" s="22"/>
    </row>
    <row r="220" customFormat="false" ht="15.75" hidden="false" customHeight="false" outlineLevel="0" collapsed="false">
      <c r="E220" s="22"/>
      <c r="J220" s="22"/>
      <c r="N220" s="22"/>
      <c r="U220" s="22"/>
    </row>
    <row r="221" customFormat="false" ht="15.75" hidden="false" customHeight="false" outlineLevel="0" collapsed="false">
      <c r="E221" s="22"/>
      <c r="J221" s="22"/>
      <c r="N221" s="22"/>
      <c r="U221" s="22"/>
    </row>
    <row r="222" customFormat="false" ht="15.75" hidden="false" customHeight="false" outlineLevel="0" collapsed="false">
      <c r="E222" s="22"/>
      <c r="J222" s="22"/>
      <c r="N222" s="22"/>
      <c r="U222" s="22"/>
    </row>
    <row r="223" customFormat="false" ht="15.75" hidden="false" customHeight="false" outlineLevel="0" collapsed="false">
      <c r="E223" s="22"/>
      <c r="J223" s="22"/>
      <c r="N223" s="22"/>
      <c r="U223" s="22"/>
    </row>
    <row r="224" customFormat="false" ht="15.75" hidden="false" customHeight="false" outlineLevel="0" collapsed="false">
      <c r="E224" s="22"/>
      <c r="J224" s="22"/>
      <c r="N224" s="22"/>
      <c r="U224" s="22"/>
    </row>
    <row r="225" customFormat="false" ht="15.75" hidden="false" customHeight="false" outlineLevel="0" collapsed="false">
      <c r="E225" s="22"/>
      <c r="J225" s="22"/>
      <c r="N225" s="22"/>
      <c r="U225" s="22"/>
    </row>
    <row r="226" customFormat="false" ht="15.75" hidden="false" customHeight="false" outlineLevel="0" collapsed="false">
      <c r="E226" s="22"/>
      <c r="J226" s="22"/>
      <c r="N226" s="22"/>
      <c r="U226" s="22"/>
    </row>
    <row r="227" customFormat="false" ht="15.75" hidden="false" customHeight="false" outlineLevel="0" collapsed="false">
      <c r="E227" s="22"/>
      <c r="J227" s="22"/>
      <c r="N227" s="22"/>
      <c r="U227" s="22"/>
    </row>
    <row r="228" customFormat="false" ht="15.75" hidden="false" customHeight="false" outlineLevel="0" collapsed="false">
      <c r="E228" s="22"/>
      <c r="J228" s="22"/>
      <c r="N228" s="22"/>
      <c r="U228" s="22"/>
    </row>
    <row r="229" customFormat="false" ht="15.75" hidden="false" customHeight="false" outlineLevel="0" collapsed="false">
      <c r="E229" s="22"/>
      <c r="J229" s="22"/>
      <c r="N229" s="22"/>
      <c r="U229" s="22"/>
    </row>
    <row r="230" customFormat="false" ht="15.75" hidden="false" customHeight="false" outlineLevel="0" collapsed="false">
      <c r="E230" s="22"/>
      <c r="J230" s="22"/>
      <c r="N230" s="22"/>
      <c r="U230" s="22"/>
    </row>
    <row r="231" customFormat="false" ht="15.75" hidden="false" customHeight="false" outlineLevel="0" collapsed="false">
      <c r="E231" s="22"/>
      <c r="J231" s="22"/>
      <c r="N231" s="22"/>
      <c r="U231" s="22"/>
    </row>
    <row r="232" customFormat="false" ht="15.75" hidden="false" customHeight="false" outlineLevel="0" collapsed="false">
      <c r="E232" s="22"/>
      <c r="J232" s="22"/>
      <c r="N232" s="22"/>
      <c r="U232" s="22"/>
    </row>
    <row r="233" customFormat="false" ht="15.75" hidden="false" customHeight="false" outlineLevel="0" collapsed="false">
      <c r="E233" s="22"/>
      <c r="J233" s="22"/>
      <c r="N233" s="22"/>
      <c r="U233" s="22"/>
    </row>
    <row r="234" customFormat="false" ht="15.75" hidden="false" customHeight="false" outlineLevel="0" collapsed="false">
      <c r="E234" s="22"/>
      <c r="J234" s="22"/>
      <c r="N234" s="22"/>
      <c r="U234" s="22"/>
    </row>
    <row r="235" customFormat="false" ht="15.75" hidden="false" customHeight="false" outlineLevel="0" collapsed="false">
      <c r="E235" s="22"/>
      <c r="J235" s="22"/>
      <c r="N235" s="22"/>
      <c r="U235" s="22"/>
    </row>
    <row r="236" customFormat="false" ht="15.75" hidden="false" customHeight="false" outlineLevel="0" collapsed="false">
      <c r="E236" s="22"/>
      <c r="J236" s="22"/>
      <c r="N236" s="22"/>
      <c r="U236" s="22"/>
    </row>
    <row r="237" customFormat="false" ht="15.75" hidden="false" customHeight="false" outlineLevel="0" collapsed="false">
      <c r="E237" s="22"/>
      <c r="J237" s="22"/>
      <c r="N237" s="22"/>
      <c r="U237" s="22"/>
    </row>
    <row r="238" customFormat="false" ht="15.75" hidden="false" customHeight="false" outlineLevel="0" collapsed="false">
      <c r="E238" s="22"/>
      <c r="J238" s="22"/>
      <c r="N238" s="22"/>
      <c r="U238" s="22"/>
    </row>
    <row r="239" customFormat="false" ht="15.75" hidden="false" customHeight="false" outlineLevel="0" collapsed="false">
      <c r="E239" s="22"/>
      <c r="J239" s="22"/>
      <c r="N239" s="22"/>
      <c r="U239" s="22"/>
    </row>
    <row r="240" customFormat="false" ht="15.75" hidden="false" customHeight="false" outlineLevel="0" collapsed="false">
      <c r="E240" s="22"/>
      <c r="J240" s="22"/>
      <c r="N240" s="22"/>
      <c r="U240" s="22"/>
    </row>
    <row r="241" customFormat="false" ht="15.75" hidden="false" customHeight="false" outlineLevel="0" collapsed="false">
      <c r="E241" s="22"/>
      <c r="J241" s="22"/>
      <c r="N241" s="22"/>
      <c r="U241" s="22"/>
    </row>
    <row r="242" customFormat="false" ht="15.75" hidden="false" customHeight="false" outlineLevel="0" collapsed="false">
      <c r="E242" s="22"/>
      <c r="J242" s="22"/>
      <c r="N242" s="22"/>
      <c r="U242" s="22"/>
    </row>
    <row r="243" customFormat="false" ht="15.75" hidden="false" customHeight="false" outlineLevel="0" collapsed="false">
      <c r="E243" s="22"/>
      <c r="J243" s="22"/>
      <c r="N243" s="22"/>
      <c r="U243" s="22"/>
    </row>
    <row r="244" customFormat="false" ht="15.75" hidden="false" customHeight="false" outlineLevel="0" collapsed="false">
      <c r="E244" s="22"/>
      <c r="J244" s="22"/>
      <c r="N244" s="22"/>
      <c r="U244" s="22"/>
    </row>
    <row r="245" customFormat="false" ht="15.75" hidden="false" customHeight="false" outlineLevel="0" collapsed="false">
      <c r="E245" s="22"/>
      <c r="J245" s="22"/>
      <c r="N245" s="22"/>
      <c r="U245" s="22"/>
    </row>
    <row r="246" customFormat="false" ht="15.75" hidden="false" customHeight="false" outlineLevel="0" collapsed="false">
      <c r="E246" s="22"/>
      <c r="J246" s="22"/>
      <c r="N246" s="22"/>
      <c r="U246" s="22"/>
    </row>
    <row r="247" customFormat="false" ht="15.75" hidden="false" customHeight="false" outlineLevel="0" collapsed="false">
      <c r="E247" s="22"/>
      <c r="J247" s="22"/>
      <c r="N247" s="22"/>
      <c r="U247" s="22"/>
    </row>
    <row r="248" customFormat="false" ht="15.75" hidden="false" customHeight="false" outlineLevel="0" collapsed="false">
      <c r="E248" s="22"/>
      <c r="J248" s="22"/>
      <c r="N248" s="22"/>
      <c r="U248" s="22"/>
    </row>
    <row r="249" customFormat="false" ht="15.75" hidden="false" customHeight="false" outlineLevel="0" collapsed="false">
      <c r="E249" s="22"/>
      <c r="J249" s="22"/>
      <c r="N249" s="22"/>
      <c r="U249" s="22"/>
    </row>
    <row r="250" customFormat="false" ht="15.75" hidden="false" customHeight="false" outlineLevel="0" collapsed="false">
      <c r="E250" s="22"/>
      <c r="J250" s="22"/>
      <c r="N250" s="22"/>
      <c r="U250" s="22"/>
    </row>
    <row r="251" customFormat="false" ht="15.75" hidden="false" customHeight="false" outlineLevel="0" collapsed="false">
      <c r="E251" s="22"/>
      <c r="J251" s="22"/>
      <c r="N251" s="22"/>
      <c r="U251" s="22"/>
    </row>
    <row r="252" customFormat="false" ht="15.75" hidden="false" customHeight="false" outlineLevel="0" collapsed="false">
      <c r="E252" s="22"/>
      <c r="J252" s="22"/>
      <c r="N252" s="22"/>
      <c r="U252" s="22"/>
    </row>
    <row r="253" customFormat="false" ht="15.75" hidden="false" customHeight="false" outlineLevel="0" collapsed="false">
      <c r="E253" s="22"/>
      <c r="J253" s="22"/>
      <c r="N253" s="22"/>
      <c r="U253" s="22"/>
    </row>
    <row r="254" customFormat="false" ht="15.75" hidden="false" customHeight="false" outlineLevel="0" collapsed="false">
      <c r="E254" s="22"/>
      <c r="J254" s="22"/>
      <c r="N254" s="22"/>
      <c r="U254" s="22"/>
    </row>
    <row r="255" customFormat="false" ht="15.75" hidden="false" customHeight="false" outlineLevel="0" collapsed="false">
      <c r="E255" s="22"/>
      <c r="J255" s="22"/>
      <c r="N255" s="22"/>
      <c r="U255" s="22"/>
    </row>
    <row r="256" customFormat="false" ht="15.75" hidden="false" customHeight="false" outlineLevel="0" collapsed="false">
      <c r="E256" s="22"/>
      <c r="J256" s="22"/>
      <c r="N256" s="22"/>
      <c r="U256" s="22"/>
    </row>
    <row r="257" customFormat="false" ht="15.75" hidden="false" customHeight="false" outlineLevel="0" collapsed="false">
      <c r="E257" s="22"/>
      <c r="J257" s="22"/>
      <c r="N257" s="22"/>
      <c r="U257" s="22"/>
    </row>
    <row r="258" customFormat="false" ht="15.75" hidden="false" customHeight="false" outlineLevel="0" collapsed="false">
      <c r="E258" s="22"/>
      <c r="J258" s="22"/>
      <c r="N258" s="22"/>
      <c r="U258" s="22"/>
    </row>
    <row r="259" customFormat="false" ht="15.75" hidden="false" customHeight="false" outlineLevel="0" collapsed="false">
      <c r="E259" s="22"/>
      <c r="J259" s="22"/>
      <c r="N259" s="22"/>
      <c r="U259" s="22"/>
    </row>
    <row r="260" customFormat="false" ht="15.75" hidden="false" customHeight="false" outlineLevel="0" collapsed="false">
      <c r="E260" s="22"/>
      <c r="J260" s="22"/>
      <c r="N260" s="22"/>
      <c r="U260" s="22"/>
    </row>
    <row r="261" customFormat="false" ht="15.75" hidden="false" customHeight="false" outlineLevel="0" collapsed="false">
      <c r="E261" s="22"/>
      <c r="J261" s="22"/>
      <c r="N261" s="22"/>
      <c r="U261" s="22"/>
    </row>
    <row r="262" customFormat="false" ht="15.75" hidden="false" customHeight="false" outlineLevel="0" collapsed="false">
      <c r="E262" s="22"/>
      <c r="J262" s="22"/>
      <c r="N262" s="22"/>
      <c r="U262" s="22"/>
    </row>
    <row r="263" customFormat="false" ht="15.75" hidden="false" customHeight="false" outlineLevel="0" collapsed="false">
      <c r="E263" s="22"/>
      <c r="J263" s="22"/>
      <c r="N263" s="22"/>
      <c r="U263" s="22"/>
    </row>
    <row r="264" customFormat="false" ht="15.75" hidden="false" customHeight="false" outlineLevel="0" collapsed="false">
      <c r="E264" s="22"/>
      <c r="J264" s="22"/>
      <c r="N264" s="22"/>
      <c r="U264" s="22"/>
    </row>
    <row r="265" customFormat="false" ht="15.75" hidden="false" customHeight="false" outlineLevel="0" collapsed="false">
      <c r="E265" s="22"/>
      <c r="J265" s="22"/>
      <c r="N265" s="22"/>
      <c r="U265" s="22"/>
    </row>
    <row r="266" customFormat="false" ht="15.75" hidden="false" customHeight="false" outlineLevel="0" collapsed="false">
      <c r="E266" s="22"/>
      <c r="J266" s="22"/>
      <c r="N266" s="22"/>
      <c r="U266" s="22"/>
    </row>
    <row r="267" customFormat="false" ht="15.75" hidden="false" customHeight="false" outlineLevel="0" collapsed="false">
      <c r="E267" s="22"/>
      <c r="J267" s="22"/>
      <c r="N267" s="22"/>
      <c r="U267" s="22"/>
    </row>
    <row r="268" customFormat="false" ht="15.75" hidden="false" customHeight="false" outlineLevel="0" collapsed="false">
      <c r="E268" s="22"/>
      <c r="J268" s="22"/>
      <c r="N268" s="22"/>
      <c r="U268" s="22"/>
    </row>
    <row r="269" customFormat="false" ht="15.75" hidden="false" customHeight="false" outlineLevel="0" collapsed="false">
      <c r="E269" s="22"/>
      <c r="J269" s="22"/>
      <c r="N269" s="22"/>
      <c r="U269" s="22"/>
    </row>
    <row r="270" customFormat="false" ht="15.75" hidden="false" customHeight="false" outlineLevel="0" collapsed="false">
      <c r="E270" s="22"/>
      <c r="J270" s="22"/>
      <c r="N270" s="22"/>
      <c r="U270" s="22"/>
    </row>
    <row r="271" customFormat="false" ht="15.75" hidden="false" customHeight="false" outlineLevel="0" collapsed="false">
      <c r="E271" s="22"/>
      <c r="J271" s="22"/>
      <c r="N271" s="22"/>
      <c r="U271" s="22"/>
    </row>
    <row r="272" customFormat="false" ht="15.75" hidden="false" customHeight="false" outlineLevel="0" collapsed="false">
      <c r="E272" s="22"/>
      <c r="J272" s="22"/>
      <c r="N272" s="22"/>
      <c r="U272" s="22"/>
    </row>
    <row r="273" customFormat="false" ht="15.75" hidden="false" customHeight="false" outlineLevel="0" collapsed="false">
      <c r="E273" s="22"/>
      <c r="J273" s="22"/>
      <c r="N273" s="22"/>
      <c r="U273" s="22"/>
    </row>
    <row r="274" customFormat="false" ht="15.75" hidden="false" customHeight="false" outlineLevel="0" collapsed="false">
      <c r="E274" s="22"/>
      <c r="J274" s="22"/>
      <c r="N274" s="22"/>
      <c r="U274" s="22"/>
    </row>
    <row r="275" customFormat="false" ht="15.75" hidden="false" customHeight="false" outlineLevel="0" collapsed="false">
      <c r="E275" s="22"/>
      <c r="J275" s="22"/>
      <c r="N275" s="22"/>
      <c r="U275" s="22"/>
    </row>
    <row r="276" customFormat="false" ht="15.75" hidden="false" customHeight="false" outlineLevel="0" collapsed="false">
      <c r="E276" s="22"/>
      <c r="J276" s="22"/>
      <c r="N276" s="22"/>
      <c r="U276" s="22"/>
    </row>
    <row r="277" customFormat="false" ht="15.75" hidden="false" customHeight="false" outlineLevel="0" collapsed="false">
      <c r="E277" s="22"/>
      <c r="J277" s="22"/>
      <c r="N277" s="22"/>
      <c r="U277" s="22"/>
    </row>
    <row r="278" customFormat="false" ht="15.75" hidden="false" customHeight="false" outlineLevel="0" collapsed="false">
      <c r="E278" s="22"/>
      <c r="J278" s="22"/>
      <c r="N278" s="22"/>
      <c r="U278" s="22"/>
    </row>
    <row r="279" customFormat="false" ht="15.75" hidden="false" customHeight="false" outlineLevel="0" collapsed="false">
      <c r="E279" s="22"/>
      <c r="J279" s="22"/>
      <c r="N279" s="22"/>
      <c r="U279" s="22"/>
    </row>
    <row r="280" customFormat="false" ht="15.75" hidden="false" customHeight="false" outlineLevel="0" collapsed="false">
      <c r="E280" s="22"/>
      <c r="J280" s="22"/>
      <c r="N280" s="22"/>
      <c r="U280" s="22"/>
    </row>
    <row r="281" customFormat="false" ht="15.75" hidden="false" customHeight="false" outlineLevel="0" collapsed="false">
      <c r="E281" s="22"/>
      <c r="J281" s="22"/>
      <c r="N281" s="22"/>
      <c r="U281" s="22"/>
    </row>
    <row r="282" customFormat="false" ht="15.75" hidden="false" customHeight="false" outlineLevel="0" collapsed="false">
      <c r="E282" s="22"/>
      <c r="J282" s="22"/>
      <c r="N282" s="22"/>
      <c r="U282" s="22"/>
    </row>
    <row r="283" customFormat="false" ht="15.75" hidden="false" customHeight="false" outlineLevel="0" collapsed="false">
      <c r="E283" s="22"/>
      <c r="J283" s="22"/>
      <c r="N283" s="22"/>
      <c r="U283" s="22"/>
    </row>
    <row r="284" customFormat="false" ht="15.75" hidden="false" customHeight="false" outlineLevel="0" collapsed="false">
      <c r="E284" s="22"/>
      <c r="J284" s="22"/>
      <c r="N284" s="22"/>
      <c r="U284" s="22"/>
    </row>
    <row r="285" customFormat="false" ht="15.75" hidden="false" customHeight="false" outlineLevel="0" collapsed="false">
      <c r="E285" s="22"/>
      <c r="J285" s="22"/>
      <c r="N285" s="22"/>
      <c r="U285" s="22"/>
    </row>
    <row r="286" customFormat="false" ht="15.75" hidden="false" customHeight="false" outlineLevel="0" collapsed="false">
      <c r="E286" s="22"/>
      <c r="J286" s="22"/>
      <c r="N286" s="22"/>
      <c r="U286" s="22"/>
    </row>
    <row r="287" customFormat="false" ht="15.75" hidden="false" customHeight="false" outlineLevel="0" collapsed="false">
      <c r="E287" s="22"/>
      <c r="J287" s="22"/>
      <c r="N287" s="22"/>
      <c r="U287" s="22"/>
    </row>
    <row r="288" customFormat="false" ht="15.75" hidden="false" customHeight="false" outlineLevel="0" collapsed="false">
      <c r="E288" s="22"/>
      <c r="J288" s="22"/>
      <c r="N288" s="22"/>
      <c r="U288" s="22"/>
    </row>
    <row r="289" customFormat="false" ht="15.75" hidden="false" customHeight="false" outlineLevel="0" collapsed="false">
      <c r="E289" s="22"/>
      <c r="J289" s="22"/>
      <c r="N289" s="22"/>
      <c r="U289" s="22"/>
    </row>
    <row r="290" customFormat="false" ht="15.75" hidden="false" customHeight="false" outlineLevel="0" collapsed="false">
      <c r="E290" s="22"/>
      <c r="J290" s="22"/>
      <c r="N290" s="22"/>
      <c r="U290" s="22"/>
    </row>
    <row r="291" customFormat="false" ht="15.75" hidden="false" customHeight="false" outlineLevel="0" collapsed="false">
      <c r="E291" s="22"/>
      <c r="J291" s="22"/>
      <c r="N291" s="22"/>
      <c r="U291" s="22"/>
    </row>
    <row r="292" customFormat="false" ht="15.75" hidden="false" customHeight="false" outlineLevel="0" collapsed="false">
      <c r="E292" s="22"/>
      <c r="J292" s="22"/>
      <c r="N292" s="22"/>
      <c r="U292" s="22"/>
    </row>
    <row r="293" customFormat="false" ht="15.75" hidden="false" customHeight="false" outlineLevel="0" collapsed="false">
      <c r="E293" s="22"/>
      <c r="J293" s="22"/>
      <c r="N293" s="22"/>
      <c r="U293" s="22"/>
    </row>
    <row r="294" customFormat="false" ht="15.75" hidden="false" customHeight="false" outlineLevel="0" collapsed="false">
      <c r="E294" s="22"/>
      <c r="J294" s="22"/>
      <c r="N294" s="22"/>
      <c r="U294" s="22"/>
    </row>
    <row r="295" customFormat="false" ht="15.75" hidden="false" customHeight="false" outlineLevel="0" collapsed="false">
      <c r="E295" s="22"/>
      <c r="J295" s="22"/>
      <c r="N295" s="22"/>
      <c r="U295" s="22"/>
    </row>
    <row r="296" customFormat="false" ht="15.75" hidden="false" customHeight="false" outlineLevel="0" collapsed="false">
      <c r="E296" s="22"/>
      <c r="J296" s="22"/>
      <c r="N296" s="22"/>
      <c r="U296" s="22"/>
    </row>
    <row r="297" customFormat="false" ht="15.75" hidden="false" customHeight="false" outlineLevel="0" collapsed="false">
      <c r="E297" s="22"/>
      <c r="J297" s="22"/>
      <c r="N297" s="22"/>
      <c r="U297" s="22"/>
    </row>
    <row r="298" customFormat="false" ht="15.75" hidden="false" customHeight="false" outlineLevel="0" collapsed="false">
      <c r="E298" s="22"/>
      <c r="J298" s="22"/>
      <c r="N298" s="22"/>
      <c r="U298" s="22"/>
    </row>
    <row r="299" customFormat="false" ht="15.75" hidden="false" customHeight="false" outlineLevel="0" collapsed="false">
      <c r="E299" s="22"/>
      <c r="J299" s="22"/>
      <c r="N299" s="22"/>
      <c r="U299" s="22"/>
    </row>
    <row r="300" customFormat="false" ht="15.75" hidden="false" customHeight="false" outlineLevel="0" collapsed="false">
      <c r="E300" s="22"/>
      <c r="J300" s="22"/>
      <c r="N300" s="22"/>
      <c r="U300" s="22"/>
    </row>
    <row r="301" customFormat="false" ht="15.75" hidden="false" customHeight="false" outlineLevel="0" collapsed="false">
      <c r="E301" s="22"/>
      <c r="J301" s="22"/>
      <c r="N301" s="22"/>
      <c r="U301" s="22"/>
    </row>
    <row r="302" customFormat="false" ht="15.75" hidden="false" customHeight="false" outlineLevel="0" collapsed="false">
      <c r="E302" s="22"/>
      <c r="J302" s="22"/>
      <c r="N302" s="22"/>
      <c r="U302" s="22"/>
    </row>
    <row r="303" customFormat="false" ht="15.75" hidden="false" customHeight="false" outlineLevel="0" collapsed="false">
      <c r="E303" s="22"/>
      <c r="J303" s="22"/>
      <c r="N303" s="22"/>
      <c r="U303" s="22"/>
    </row>
    <row r="304" customFormat="false" ht="15.75" hidden="false" customHeight="false" outlineLevel="0" collapsed="false">
      <c r="E304" s="22"/>
      <c r="J304" s="22"/>
      <c r="N304" s="22"/>
      <c r="U304" s="22"/>
    </row>
    <row r="305" customFormat="false" ht="15.75" hidden="false" customHeight="false" outlineLevel="0" collapsed="false">
      <c r="E305" s="22"/>
      <c r="J305" s="22"/>
      <c r="N305" s="22"/>
      <c r="U305" s="22"/>
    </row>
    <row r="306" customFormat="false" ht="15.75" hidden="false" customHeight="false" outlineLevel="0" collapsed="false">
      <c r="E306" s="22"/>
      <c r="J306" s="22"/>
      <c r="N306" s="22"/>
      <c r="U306" s="22"/>
    </row>
    <row r="307" customFormat="false" ht="15.75" hidden="false" customHeight="false" outlineLevel="0" collapsed="false">
      <c r="E307" s="22"/>
      <c r="J307" s="22"/>
      <c r="N307" s="22"/>
      <c r="U307" s="22"/>
    </row>
    <row r="308" customFormat="false" ht="15.75" hidden="false" customHeight="false" outlineLevel="0" collapsed="false">
      <c r="E308" s="22"/>
      <c r="J308" s="22"/>
      <c r="N308" s="22"/>
      <c r="U308" s="22"/>
    </row>
    <row r="309" customFormat="false" ht="15.75" hidden="false" customHeight="false" outlineLevel="0" collapsed="false">
      <c r="E309" s="22"/>
      <c r="J309" s="22"/>
      <c r="N309" s="22"/>
      <c r="U309" s="22"/>
    </row>
    <row r="310" customFormat="false" ht="15.75" hidden="false" customHeight="false" outlineLevel="0" collapsed="false">
      <c r="E310" s="22"/>
      <c r="J310" s="22"/>
      <c r="N310" s="22"/>
      <c r="U310" s="22"/>
    </row>
    <row r="311" customFormat="false" ht="15.75" hidden="false" customHeight="false" outlineLevel="0" collapsed="false">
      <c r="E311" s="22"/>
      <c r="J311" s="22"/>
      <c r="N311" s="22"/>
      <c r="U311" s="22"/>
    </row>
    <row r="312" customFormat="false" ht="15.75" hidden="false" customHeight="false" outlineLevel="0" collapsed="false">
      <c r="E312" s="22"/>
      <c r="J312" s="22"/>
      <c r="N312" s="22"/>
      <c r="U312" s="22"/>
    </row>
    <row r="313" customFormat="false" ht="15.75" hidden="false" customHeight="false" outlineLevel="0" collapsed="false">
      <c r="E313" s="22"/>
      <c r="J313" s="22"/>
      <c r="N313" s="22"/>
      <c r="U313" s="22"/>
    </row>
    <row r="314" customFormat="false" ht="15.75" hidden="false" customHeight="false" outlineLevel="0" collapsed="false">
      <c r="E314" s="22"/>
      <c r="J314" s="22"/>
      <c r="N314" s="22"/>
      <c r="U314" s="22"/>
    </row>
    <row r="315" customFormat="false" ht="15.75" hidden="false" customHeight="false" outlineLevel="0" collapsed="false">
      <c r="E315" s="22"/>
      <c r="J315" s="22"/>
      <c r="N315" s="22"/>
      <c r="U315" s="22"/>
    </row>
    <row r="316" customFormat="false" ht="15.75" hidden="false" customHeight="false" outlineLevel="0" collapsed="false">
      <c r="E316" s="22"/>
      <c r="J316" s="22"/>
      <c r="N316" s="22"/>
      <c r="U316" s="22"/>
    </row>
    <row r="317" customFormat="false" ht="15.75" hidden="false" customHeight="false" outlineLevel="0" collapsed="false">
      <c r="E317" s="22"/>
      <c r="J317" s="22"/>
      <c r="N317" s="22"/>
      <c r="U317" s="22"/>
    </row>
    <row r="318" customFormat="false" ht="15.75" hidden="false" customHeight="false" outlineLevel="0" collapsed="false">
      <c r="E318" s="22"/>
      <c r="J318" s="22"/>
      <c r="N318" s="22"/>
      <c r="U318" s="22"/>
    </row>
    <row r="319" customFormat="false" ht="15.75" hidden="false" customHeight="false" outlineLevel="0" collapsed="false">
      <c r="E319" s="22"/>
      <c r="J319" s="22"/>
      <c r="N319" s="22"/>
      <c r="U319" s="22"/>
    </row>
    <row r="320" customFormat="false" ht="15.75" hidden="false" customHeight="false" outlineLevel="0" collapsed="false">
      <c r="E320" s="22"/>
      <c r="J320" s="22"/>
      <c r="N320" s="22"/>
      <c r="U320" s="22"/>
    </row>
    <row r="321" customFormat="false" ht="15.75" hidden="false" customHeight="false" outlineLevel="0" collapsed="false">
      <c r="E321" s="22"/>
      <c r="J321" s="22"/>
      <c r="N321" s="22"/>
      <c r="U321" s="22"/>
    </row>
    <row r="322" customFormat="false" ht="15.75" hidden="false" customHeight="false" outlineLevel="0" collapsed="false">
      <c r="E322" s="22"/>
      <c r="J322" s="22"/>
      <c r="N322" s="22"/>
      <c r="U322" s="22"/>
    </row>
    <row r="323" customFormat="false" ht="15.75" hidden="false" customHeight="false" outlineLevel="0" collapsed="false">
      <c r="E323" s="22"/>
      <c r="J323" s="22"/>
      <c r="N323" s="22"/>
      <c r="U323" s="22"/>
    </row>
    <row r="324" customFormat="false" ht="15.75" hidden="false" customHeight="false" outlineLevel="0" collapsed="false">
      <c r="E324" s="22"/>
      <c r="J324" s="22"/>
      <c r="N324" s="22"/>
      <c r="U324" s="22"/>
    </row>
    <row r="325" customFormat="false" ht="15.75" hidden="false" customHeight="false" outlineLevel="0" collapsed="false">
      <c r="E325" s="22"/>
      <c r="J325" s="22"/>
      <c r="N325" s="22"/>
      <c r="U325" s="22"/>
    </row>
    <row r="326" customFormat="false" ht="15.75" hidden="false" customHeight="false" outlineLevel="0" collapsed="false">
      <c r="E326" s="22"/>
      <c r="J326" s="22"/>
      <c r="N326" s="22"/>
      <c r="U326" s="22"/>
    </row>
    <row r="327" customFormat="false" ht="15.75" hidden="false" customHeight="false" outlineLevel="0" collapsed="false">
      <c r="E327" s="22"/>
      <c r="J327" s="22"/>
      <c r="N327" s="22"/>
      <c r="U327" s="22"/>
    </row>
    <row r="328" customFormat="false" ht="15.75" hidden="false" customHeight="false" outlineLevel="0" collapsed="false">
      <c r="E328" s="22"/>
      <c r="J328" s="22"/>
      <c r="N328" s="22"/>
      <c r="U328" s="22"/>
    </row>
    <row r="329" customFormat="false" ht="15.75" hidden="false" customHeight="false" outlineLevel="0" collapsed="false">
      <c r="E329" s="22"/>
      <c r="J329" s="22"/>
      <c r="N329" s="22"/>
      <c r="U329" s="22"/>
    </row>
    <row r="330" customFormat="false" ht="15.75" hidden="false" customHeight="false" outlineLevel="0" collapsed="false">
      <c r="E330" s="22"/>
      <c r="J330" s="22"/>
      <c r="N330" s="22"/>
      <c r="U330" s="22"/>
    </row>
    <row r="331" customFormat="false" ht="15.75" hidden="false" customHeight="false" outlineLevel="0" collapsed="false">
      <c r="E331" s="22"/>
      <c r="J331" s="22"/>
      <c r="N331" s="22"/>
      <c r="U331" s="22"/>
    </row>
    <row r="332" customFormat="false" ht="15.75" hidden="false" customHeight="false" outlineLevel="0" collapsed="false">
      <c r="E332" s="22"/>
      <c r="J332" s="22"/>
      <c r="N332" s="22"/>
      <c r="U332" s="22"/>
    </row>
    <row r="333" customFormat="false" ht="15.75" hidden="false" customHeight="false" outlineLevel="0" collapsed="false">
      <c r="E333" s="22"/>
      <c r="J333" s="22"/>
      <c r="N333" s="22"/>
      <c r="U333" s="22"/>
    </row>
    <row r="334" customFormat="false" ht="15.75" hidden="false" customHeight="false" outlineLevel="0" collapsed="false">
      <c r="E334" s="22"/>
      <c r="J334" s="22"/>
      <c r="N334" s="22"/>
      <c r="U334" s="22"/>
    </row>
    <row r="335" customFormat="false" ht="15.75" hidden="false" customHeight="false" outlineLevel="0" collapsed="false">
      <c r="E335" s="22"/>
      <c r="J335" s="22"/>
      <c r="N335" s="22"/>
      <c r="U335" s="22"/>
    </row>
    <row r="336" customFormat="false" ht="15.75" hidden="false" customHeight="false" outlineLevel="0" collapsed="false">
      <c r="E336" s="22"/>
      <c r="J336" s="22"/>
      <c r="N336" s="22"/>
      <c r="U336" s="22"/>
    </row>
    <row r="337" customFormat="false" ht="15.75" hidden="false" customHeight="false" outlineLevel="0" collapsed="false">
      <c r="E337" s="22"/>
      <c r="J337" s="22"/>
      <c r="N337" s="22"/>
      <c r="U337" s="22"/>
    </row>
    <row r="338" customFormat="false" ht="15.75" hidden="false" customHeight="false" outlineLevel="0" collapsed="false">
      <c r="E338" s="22"/>
      <c r="J338" s="22"/>
      <c r="N338" s="22"/>
      <c r="U338" s="22"/>
    </row>
    <row r="339" customFormat="false" ht="15.75" hidden="false" customHeight="false" outlineLevel="0" collapsed="false">
      <c r="E339" s="22"/>
      <c r="J339" s="22"/>
      <c r="N339" s="22"/>
      <c r="U339" s="22"/>
    </row>
    <row r="340" customFormat="false" ht="15.75" hidden="false" customHeight="false" outlineLevel="0" collapsed="false">
      <c r="E340" s="22"/>
      <c r="J340" s="22"/>
      <c r="N340" s="22"/>
      <c r="U340" s="22"/>
    </row>
    <row r="341" customFormat="false" ht="15.75" hidden="false" customHeight="false" outlineLevel="0" collapsed="false">
      <c r="E341" s="22"/>
      <c r="J341" s="22"/>
      <c r="N341" s="22"/>
      <c r="U341" s="22"/>
    </row>
    <row r="342" customFormat="false" ht="15.75" hidden="false" customHeight="false" outlineLevel="0" collapsed="false">
      <c r="E342" s="22"/>
      <c r="J342" s="22"/>
      <c r="N342" s="22"/>
      <c r="U342" s="22"/>
    </row>
    <row r="343" customFormat="false" ht="15.75" hidden="false" customHeight="false" outlineLevel="0" collapsed="false">
      <c r="E343" s="22"/>
      <c r="J343" s="22"/>
      <c r="N343" s="22"/>
      <c r="U343" s="22"/>
    </row>
    <row r="344" customFormat="false" ht="15.75" hidden="false" customHeight="false" outlineLevel="0" collapsed="false">
      <c r="E344" s="22"/>
      <c r="J344" s="22"/>
      <c r="N344" s="22"/>
      <c r="U344" s="22"/>
    </row>
    <row r="345" customFormat="false" ht="15.75" hidden="false" customHeight="false" outlineLevel="0" collapsed="false">
      <c r="E345" s="22"/>
      <c r="J345" s="22"/>
      <c r="N345" s="22"/>
      <c r="U345" s="22"/>
    </row>
    <row r="346" customFormat="false" ht="15.75" hidden="false" customHeight="false" outlineLevel="0" collapsed="false">
      <c r="E346" s="22"/>
      <c r="J346" s="22"/>
      <c r="N346" s="22"/>
      <c r="U346" s="22"/>
    </row>
    <row r="347" customFormat="false" ht="15.75" hidden="false" customHeight="false" outlineLevel="0" collapsed="false">
      <c r="E347" s="22"/>
      <c r="J347" s="22"/>
      <c r="N347" s="22"/>
      <c r="U347" s="22"/>
    </row>
    <row r="348" customFormat="false" ht="15.75" hidden="false" customHeight="false" outlineLevel="0" collapsed="false">
      <c r="E348" s="22"/>
      <c r="J348" s="22"/>
      <c r="N348" s="22"/>
      <c r="U348" s="22"/>
    </row>
    <row r="349" customFormat="false" ht="15.75" hidden="false" customHeight="false" outlineLevel="0" collapsed="false">
      <c r="E349" s="22"/>
      <c r="J349" s="22"/>
      <c r="N349" s="22"/>
      <c r="U349" s="22"/>
    </row>
    <row r="350" customFormat="false" ht="15.75" hidden="false" customHeight="false" outlineLevel="0" collapsed="false">
      <c r="E350" s="22"/>
      <c r="J350" s="22"/>
      <c r="N350" s="22"/>
      <c r="U350" s="22"/>
    </row>
    <row r="351" customFormat="false" ht="15.75" hidden="false" customHeight="false" outlineLevel="0" collapsed="false">
      <c r="E351" s="22"/>
      <c r="J351" s="22"/>
      <c r="N351" s="22"/>
      <c r="U351" s="22"/>
    </row>
    <row r="352" customFormat="false" ht="15.75" hidden="false" customHeight="false" outlineLevel="0" collapsed="false">
      <c r="E352" s="22"/>
      <c r="J352" s="22"/>
      <c r="N352" s="22"/>
      <c r="U352" s="22"/>
    </row>
    <row r="353" customFormat="false" ht="15.75" hidden="false" customHeight="false" outlineLevel="0" collapsed="false">
      <c r="E353" s="22"/>
      <c r="J353" s="22"/>
      <c r="N353" s="22"/>
      <c r="U353" s="22"/>
    </row>
    <row r="354" customFormat="false" ht="15.75" hidden="false" customHeight="false" outlineLevel="0" collapsed="false">
      <c r="E354" s="22"/>
      <c r="J354" s="22"/>
      <c r="N354" s="22"/>
      <c r="U354" s="22"/>
    </row>
    <row r="355" customFormat="false" ht="15.75" hidden="false" customHeight="false" outlineLevel="0" collapsed="false">
      <c r="E355" s="22"/>
      <c r="J355" s="22"/>
      <c r="N355" s="22"/>
      <c r="U355" s="22"/>
    </row>
    <row r="356" customFormat="false" ht="15.75" hidden="false" customHeight="false" outlineLevel="0" collapsed="false">
      <c r="E356" s="22"/>
      <c r="J356" s="22"/>
      <c r="N356" s="22"/>
      <c r="U356" s="22"/>
    </row>
    <row r="357" customFormat="false" ht="15.75" hidden="false" customHeight="false" outlineLevel="0" collapsed="false">
      <c r="E357" s="22"/>
      <c r="J357" s="22"/>
      <c r="N357" s="22"/>
      <c r="U357" s="22"/>
    </row>
    <row r="358" customFormat="false" ht="15.75" hidden="false" customHeight="false" outlineLevel="0" collapsed="false">
      <c r="E358" s="22"/>
      <c r="J358" s="22"/>
      <c r="N358" s="22"/>
      <c r="U358" s="22"/>
    </row>
    <row r="359" customFormat="false" ht="15.75" hidden="false" customHeight="false" outlineLevel="0" collapsed="false">
      <c r="E359" s="22"/>
      <c r="J359" s="22"/>
      <c r="N359" s="22"/>
      <c r="U359" s="22"/>
    </row>
    <row r="360" customFormat="false" ht="15.75" hidden="false" customHeight="false" outlineLevel="0" collapsed="false">
      <c r="E360" s="22"/>
      <c r="J360" s="22"/>
      <c r="N360" s="22"/>
      <c r="U360" s="22"/>
    </row>
    <row r="361" customFormat="false" ht="15.75" hidden="false" customHeight="false" outlineLevel="0" collapsed="false">
      <c r="E361" s="22"/>
      <c r="J361" s="22"/>
      <c r="N361" s="22"/>
      <c r="U361" s="22"/>
    </row>
    <row r="362" customFormat="false" ht="15.75" hidden="false" customHeight="false" outlineLevel="0" collapsed="false">
      <c r="E362" s="22"/>
      <c r="J362" s="22"/>
      <c r="N362" s="22"/>
      <c r="U362" s="22"/>
    </row>
    <row r="363" customFormat="false" ht="15.75" hidden="false" customHeight="false" outlineLevel="0" collapsed="false">
      <c r="E363" s="22"/>
      <c r="J363" s="22"/>
      <c r="N363" s="22"/>
      <c r="U363" s="22"/>
    </row>
    <row r="364" customFormat="false" ht="15.75" hidden="false" customHeight="false" outlineLevel="0" collapsed="false">
      <c r="E364" s="22"/>
      <c r="J364" s="22"/>
      <c r="N364" s="22"/>
      <c r="U364" s="22"/>
    </row>
    <row r="365" customFormat="false" ht="15.75" hidden="false" customHeight="false" outlineLevel="0" collapsed="false">
      <c r="E365" s="22"/>
      <c r="J365" s="22"/>
      <c r="N365" s="22"/>
      <c r="U365" s="22"/>
    </row>
    <row r="366" customFormat="false" ht="15.75" hidden="false" customHeight="false" outlineLevel="0" collapsed="false">
      <c r="E366" s="22"/>
      <c r="J366" s="22"/>
      <c r="N366" s="22"/>
      <c r="U366" s="22"/>
    </row>
    <row r="367" customFormat="false" ht="15.75" hidden="false" customHeight="false" outlineLevel="0" collapsed="false">
      <c r="E367" s="22"/>
      <c r="J367" s="22"/>
      <c r="N367" s="22"/>
      <c r="U367" s="22"/>
    </row>
    <row r="368" customFormat="false" ht="15.75" hidden="false" customHeight="false" outlineLevel="0" collapsed="false">
      <c r="E368" s="22"/>
      <c r="J368" s="22"/>
      <c r="N368" s="22"/>
      <c r="U368" s="22"/>
    </row>
    <row r="369" customFormat="false" ht="15.75" hidden="false" customHeight="false" outlineLevel="0" collapsed="false">
      <c r="E369" s="22"/>
      <c r="J369" s="22"/>
      <c r="N369" s="22"/>
      <c r="U369" s="22"/>
    </row>
    <row r="370" customFormat="false" ht="15.75" hidden="false" customHeight="false" outlineLevel="0" collapsed="false">
      <c r="E370" s="22"/>
      <c r="J370" s="22"/>
      <c r="N370" s="22"/>
      <c r="U370" s="22"/>
    </row>
    <row r="371" customFormat="false" ht="15.75" hidden="false" customHeight="false" outlineLevel="0" collapsed="false">
      <c r="E371" s="22"/>
      <c r="J371" s="22"/>
      <c r="N371" s="22"/>
      <c r="U371" s="22"/>
    </row>
    <row r="372" customFormat="false" ht="15.75" hidden="false" customHeight="false" outlineLevel="0" collapsed="false">
      <c r="E372" s="22"/>
      <c r="J372" s="22"/>
      <c r="N372" s="22"/>
      <c r="U372" s="22"/>
    </row>
    <row r="373" customFormat="false" ht="15.75" hidden="false" customHeight="false" outlineLevel="0" collapsed="false">
      <c r="E373" s="22"/>
      <c r="J373" s="22"/>
      <c r="N373" s="22"/>
      <c r="U373" s="22"/>
    </row>
    <row r="374" customFormat="false" ht="15.75" hidden="false" customHeight="false" outlineLevel="0" collapsed="false">
      <c r="E374" s="22"/>
      <c r="J374" s="22"/>
      <c r="N374" s="22"/>
      <c r="U374" s="22"/>
    </row>
    <row r="375" customFormat="false" ht="15.75" hidden="false" customHeight="false" outlineLevel="0" collapsed="false">
      <c r="E375" s="22"/>
      <c r="J375" s="22"/>
      <c r="N375" s="22"/>
      <c r="U375" s="22"/>
    </row>
    <row r="376" customFormat="false" ht="15.75" hidden="false" customHeight="false" outlineLevel="0" collapsed="false">
      <c r="E376" s="22"/>
      <c r="J376" s="22"/>
      <c r="N376" s="22"/>
      <c r="U376" s="22"/>
    </row>
    <row r="377" customFormat="false" ht="15.75" hidden="false" customHeight="false" outlineLevel="0" collapsed="false">
      <c r="E377" s="22"/>
      <c r="J377" s="22"/>
      <c r="N377" s="22"/>
      <c r="U377" s="22"/>
    </row>
    <row r="378" customFormat="false" ht="15.75" hidden="false" customHeight="false" outlineLevel="0" collapsed="false">
      <c r="E378" s="22"/>
      <c r="J378" s="22"/>
      <c r="N378" s="22"/>
      <c r="U378" s="22"/>
    </row>
    <row r="379" customFormat="false" ht="15.75" hidden="false" customHeight="false" outlineLevel="0" collapsed="false">
      <c r="E379" s="22"/>
      <c r="J379" s="22"/>
      <c r="N379" s="22"/>
      <c r="U379" s="22"/>
    </row>
    <row r="380" customFormat="false" ht="15.75" hidden="false" customHeight="false" outlineLevel="0" collapsed="false">
      <c r="E380" s="22"/>
      <c r="J380" s="22"/>
      <c r="N380" s="22"/>
      <c r="U380" s="22"/>
    </row>
    <row r="381" customFormat="false" ht="15.75" hidden="false" customHeight="false" outlineLevel="0" collapsed="false">
      <c r="E381" s="22"/>
      <c r="J381" s="22"/>
      <c r="N381" s="22"/>
      <c r="U381" s="22"/>
    </row>
    <row r="382" customFormat="false" ht="15.75" hidden="false" customHeight="false" outlineLevel="0" collapsed="false">
      <c r="E382" s="22"/>
      <c r="J382" s="22"/>
      <c r="N382" s="22"/>
      <c r="U382" s="22"/>
    </row>
    <row r="383" customFormat="false" ht="15.75" hidden="false" customHeight="false" outlineLevel="0" collapsed="false">
      <c r="E383" s="22"/>
      <c r="J383" s="22"/>
      <c r="N383" s="22"/>
      <c r="U383" s="22"/>
    </row>
    <row r="384" customFormat="false" ht="15.75" hidden="false" customHeight="false" outlineLevel="0" collapsed="false">
      <c r="E384" s="22"/>
      <c r="J384" s="22"/>
      <c r="N384" s="22"/>
      <c r="U384" s="22"/>
    </row>
    <row r="385" customFormat="false" ht="15.75" hidden="false" customHeight="false" outlineLevel="0" collapsed="false">
      <c r="E385" s="22"/>
      <c r="J385" s="22"/>
      <c r="N385" s="22"/>
      <c r="U385" s="22"/>
    </row>
    <row r="386" customFormat="false" ht="15.75" hidden="false" customHeight="false" outlineLevel="0" collapsed="false">
      <c r="E386" s="22"/>
      <c r="J386" s="22"/>
      <c r="N386" s="22"/>
      <c r="U386" s="22"/>
    </row>
    <row r="387" customFormat="false" ht="15.75" hidden="false" customHeight="false" outlineLevel="0" collapsed="false">
      <c r="E387" s="22"/>
      <c r="J387" s="22"/>
      <c r="N387" s="22"/>
      <c r="U387" s="22"/>
    </row>
    <row r="388" customFormat="false" ht="15.75" hidden="false" customHeight="false" outlineLevel="0" collapsed="false">
      <c r="E388" s="22"/>
      <c r="J388" s="22"/>
      <c r="N388" s="22"/>
      <c r="U388" s="22"/>
    </row>
    <row r="389" customFormat="false" ht="15.75" hidden="false" customHeight="false" outlineLevel="0" collapsed="false">
      <c r="E389" s="22"/>
      <c r="J389" s="22"/>
      <c r="N389" s="22"/>
      <c r="U389" s="22"/>
    </row>
    <row r="390" customFormat="false" ht="15.75" hidden="false" customHeight="false" outlineLevel="0" collapsed="false">
      <c r="E390" s="22"/>
      <c r="J390" s="22"/>
      <c r="N390" s="22"/>
      <c r="U390" s="22"/>
    </row>
    <row r="391" customFormat="false" ht="15.75" hidden="false" customHeight="false" outlineLevel="0" collapsed="false">
      <c r="E391" s="22"/>
      <c r="J391" s="22"/>
      <c r="N391" s="22"/>
      <c r="U391" s="22"/>
    </row>
    <row r="392" customFormat="false" ht="15.75" hidden="false" customHeight="false" outlineLevel="0" collapsed="false">
      <c r="E392" s="22"/>
      <c r="J392" s="22"/>
      <c r="N392" s="22"/>
      <c r="U392" s="22"/>
    </row>
    <row r="393" customFormat="false" ht="15.75" hidden="false" customHeight="false" outlineLevel="0" collapsed="false">
      <c r="E393" s="22"/>
      <c r="J393" s="22"/>
      <c r="N393" s="22"/>
      <c r="U393" s="22"/>
    </row>
    <row r="394" customFormat="false" ht="15.75" hidden="false" customHeight="false" outlineLevel="0" collapsed="false">
      <c r="E394" s="22"/>
      <c r="J394" s="22"/>
      <c r="N394" s="22"/>
      <c r="U394" s="22"/>
    </row>
    <row r="395" customFormat="false" ht="15.75" hidden="false" customHeight="false" outlineLevel="0" collapsed="false">
      <c r="E395" s="22"/>
      <c r="J395" s="22"/>
      <c r="N395" s="22"/>
      <c r="U395" s="22"/>
    </row>
    <row r="396" customFormat="false" ht="15.75" hidden="false" customHeight="false" outlineLevel="0" collapsed="false">
      <c r="E396" s="22"/>
      <c r="J396" s="22"/>
      <c r="N396" s="22"/>
      <c r="U396" s="22"/>
    </row>
    <row r="397" customFormat="false" ht="15.75" hidden="false" customHeight="false" outlineLevel="0" collapsed="false">
      <c r="E397" s="22"/>
      <c r="J397" s="22"/>
      <c r="N397" s="22"/>
      <c r="U397" s="22"/>
    </row>
    <row r="398" customFormat="false" ht="15.75" hidden="false" customHeight="false" outlineLevel="0" collapsed="false">
      <c r="E398" s="22"/>
      <c r="J398" s="22"/>
      <c r="N398" s="22"/>
      <c r="U398" s="22"/>
    </row>
    <row r="399" customFormat="false" ht="15.75" hidden="false" customHeight="false" outlineLevel="0" collapsed="false">
      <c r="E399" s="22"/>
      <c r="J399" s="22"/>
      <c r="N399" s="22"/>
      <c r="U399" s="22"/>
    </row>
    <row r="400" customFormat="false" ht="15.75" hidden="false" customHeight="false" outlineLevel="0" collapsed="false">
      <c r="E400" s="22"/>
      <c r="J400" s="22"/>
      <c r="N400" s="22"/>
      <c r="U400" s="22"/>
    </row>
    <row r="401" customFormat="false" ht="15.75" hidden="false" customHeight="false" outlineLevel="0" collapsed="false">
      <c r="E401" s="22"/>
      <c r="J401" s="22"/>
      <c r="N401" s="22"/>
      <c r="U401" s="22"/>
    </row>
    <row r="402" customFormat="false" ht="15.75" hidden="false" customHeight="false" outlineLevel="0" collapsed="false">
      <c r="E402" s="22"/>
      <c r="J402" s="22"/>
      <c r="N402" s="22"/>
      <c r="U402" s="22"/>
    </row>
    <row r="403" customFormat="false" ht="15.75" hidden="false" customHeight="false" outlineLevel="0" collapsed="false">
      <c r="E403" s="22"/>
      <c r="J403" s="22"/>
      <c r="N403" s="22"/>
      <c r="U403" s="22"/>
    </row>
    <row r="404" customFormat="false" ht="15.75" hidden="false" customHeight="false" outlineLevel="0" collapsed="false">
      <c r="E404" s="22"/>
      <c r="J404" s="22"/>
      <c r="N404" s="22"/>
      <c r="U404" s="22"/>
    </row>
    <row r="405" customFormat="false" ht="15.75" hidden="false" customHeight="false" outlineLevel="0" collapsed="false">
      <c r="E405" s="22"/>
      <c r="J405" s="22"/>
      <c r="N405" s="22"/>
      <c r="U405" s="22"/>
    </row>
    <row r="406" customFormat="false" ht="15.75" hidden="false" customHeight="false" outlineLevel="0" collapsed="false">
      <c r="E406" s="22"/>
      <c r="J406" s="22"/>
      <c r="N406" s="22"/>
      <c r="U406" s="22"/>
    </row>
    <row r="407" customFormat="false" ht="15.75" hidden="false" customHeight="false" outlineLevel="0" collapsed="false">
      <c r="E407" s="22"/>
      <c r="J407" s="22"/>
      <c r="N407" s="22"/>
      <c r="U407" s="22"/>
    </row>
    <row r="408" customFormat="false" ht="15.75" hidden="false" customHeight="false" outlineLevel="0" collapsed="false">
      <c r="E408" s="22"/>
      <c r="J408" s="22"/>
      <c r="N408" s="22"/>
      <c r="U408" s="22"/>
    </row>
    <row r="409" customFormat="false" ht="15.75" hidden="false" customHeight="false" outlineLevel="0" collapsed="false">
      <c r="E409" s="22"/>
      <c r="J409" s="22"/>
      <c r="N409" s="22"/>
      <c r="U409" s="22"/>
    </row>
    <row r="410" customFormat="false" ht="15.75" hidden="false" customHeight="false" outlineLevel="0" collapsed="false">
      <c r="E410" s="22"/>
      <c r="J410" s="22"/>
      <c r="N410" s="22"/>
      <c r="U410" s="22"/>
    </row>
    <row r="411" customFormat="false" ht="15.75" hidden="false" customHeight="false" outlineLevel="0" collapsed="false">
      <c r="E411" s="22"/>
      <c r="J411" s="22"/>
      <c r="N411" s="22"/>
      <c r="U411" s="22"/>
    </row>
    <row r="412" customFormat="false" ht="15.75" hidden="false" customHeight="false" outlineLevel="0" collapsed="false">
      <c r="E412" s="22"/>
      <c r="J412" s="22"/>
      <c r="N412" s="22"/>
      <c r="U412" s="22"/>
    </row>
    <row r="413" customFormat="false" ht="15.75" hidden="false" customHeight="false" outlineLevel="0" collapsed="false">
      <c r="E413" s="22"/>
      <c r="J413" s="22"/>
      <c r="N413" s="22"/>
      <c r="U413" s="22"/>
    </row>
    <row r="414" customFormat="false" ht="15.75" hidden="false" customHeight="false" outlineLevel="0" collapsed="false">
      <c r="E414" s="22"/>
      <c r="J414" s="22"/>
      <c r="N414" s="22"/>
      <c r="U414" s="22"/>
    </row>
    <row r="415" customFormat="false" ht="15.75" hidden="false" customHeight="false" outlineLevel="0" collapsed="false">
      <c r="E415" s="22"/>
      <c r="J415" s="22"/>
      <c r="N415" s="22"/>
      <c r="U415" s="22"/>
    </row>
    <row r="416" customFormat="false" ht="15.75" hidden="false" customHeight="false" outlineLevel="0" collapsed="false">
      <c r="E416" s="22"/>
      <c r="J416" s="22"/>
      <c r="N416" s="22"/>
      <c r="U416" s="22"/>
    </row>
    <row r="417" customFormat="false" ht="15.75" hidden="false" customHeight="false" outlineLevel="0" collapsed="false">
      <c r="E417" s="22"/>
      <c r="J417" s="22"/>
      <c r="N417" s="22"/>
      <c r="U417" s="22"/>
    </row>
    <row r="418" customFormat="false" ht="15.75" hidden="false" customHeight="false" outlineLevel="0" collapsed="false">
      <c r="E418" s="22"/>
      <c r="J418" s="22"/>
      <c r="N418" s="22"/>
      <c r="U418" s="22"/>
    </row>
    <row r="419" customFormat="false" ht="15.75" hidden="false" customHeight="false" outlineLevel="0" collapsed="false">
      <c r="E419" s="22"/>
      <c r="J419" s="22"/>
      <c r="N419" s="22"/>
      <c r="U419" s="22"/>
    </row>
    <row r="420" customFormat="false" ht="15.75" hidden="false" customHeight="false" outlineLevel="0" collapsed="false">
      <c r="E420" s="22"/>
      <c r="J420" s="22"/>
      <c r="N420" s="22"/>
      <c r="U420" s="22"/>
    </row>
    <row r="421" customFormat="false" ht="15.75" hidden="false" customHeight="false" outlineLevel="0" collapsed="false">
      <c r="E421" s="22"/>
      <c r="J421" s="22"/>
      <c r="N421" s="22"/>
      <c r="U421" s="22"/>
    </row>
    <row r="422" customFormat="false" ht="15.75" hidden="false" customHeight="false" outlineLevel="0" collapsed="false">
      <c r="E422" s="22"/>
      <c r="J422" s="22"/>
      <c r="N422" s="22"/>
      <c r="U422" s="22"/>
    </row>
    <row r="423" customFormat="false" ht="15.75" hidden="false" customHeight="false" outlineLevel="0" collapsed="false">
      <c r="E423" s="22"/>
      <c r="J423" s="22"/>
      <c r="N423" s="22"/>
      <c r="U423" s="22"/>
    </row>
    <row r="424" customFormat="false" ht="15.75" hidden="false" customHeight="false" outlineLevel="0" collapsed="false">
      <c r="E424" s="22"/>
      <c r="J424" s="22"/>
      <c r="N424" s="22"/>
      <c r="U424" s="22"/>
    </row>
    <row r="425" customFormat="false" ht="15.75" hidden="false" customHeight="false" outlineLevel="0" collapsed="false">
      <c r="E425" s="22"/>
      <c r="J425" s="22"/>
      <c r="N425" s="22"/>
      <c r="U425" s="22"/>
    </row>
    <row r="426" customFormat="false" ht="15.75" hidden="false" customHeight="false" outlineLevel="0" collapsed="false">
      <c r="E426" s="22"/>
      <c r="J426" s="22"/>
      <c r="N426" s="22"/>
      <c r="U426" s="22"/>
    </row>
    <row r="427" customFormat="false" ht="15.75" hidden="false" customHeight="false" outlineLevel="0" collapsed="false">
      <c r="E427" s="22"/>
      <c r="J427" s="22"/>
      <c r="N427" s="22"/>
      <c r="U427" s="22"/>
    </row>
    <row r="428" customFormat="false" ht="15.75" hidden="false" customHeight="false" outlineLevel="0" collapsed="false">
      <c r="E428" s="22"/>
      <c r="J428" s="22"/>
      <c r="N428" s="22"/>
      <c r="U428" s="22"/>
    </row>
    <row r="429" customFormat="false" ht="15.75" hidden="false" customHeight="false" outlineLevel="0" collapsed="false">
      <c r="E429" s="22"/>
      <c r="J429" s="22"/>
      <c r="N429" s="22"/>
      <c r="U429" s="22"/>
    </row>
    <row r="430" customFormat="false" ht="15.75" hidden="false" customHeight="false" outlineLevel="0" collapsed="false">
      <c r="E430" s="22"/>
      <c r="J430" s="22"/>
      <c r="N430" s="22"/>
      <c r="U430" s="22"/>
    </row>
    <row r="431" customFormat="false" ht="15.75" hidden="false" customHeight="false" outlineLevel="0" collapsed="false">
      <c r="E431" s="22"/>
      <c r="J431" s="22"/>
      <c r="N431" s="22"/>
      <c r="U431" s="22"/>
    </row>
    <row r="432" customFormat="false" ht="15.75" hidden="false" customHeight="false" outlineLevel="0" collapsed="false">
      <c r="E432" s="22"/>
      <c r="J432" s="22"/>
      <c r="N432" s="22"/>
      <c r="U432" s="22"/>
    </row>
    <row r="433" customFormat="false" ht="15.75" hidden="false" customHeight="false" outlineLevel="0" collapsed="false">
      <c r="E433" s="22"/>
      <c r="J433" s="22"/>
      <c r="N433" s="22"/>
      <c r="U433" s="22"/>
    </row>
    <row r="434" customFormat="false" ht="15.75" hidden="false" customHeight="false" outlineLevel="0" collapsed="false">
      <c r="E434" s="22"/>
      <c r="J434" s="22"/>
      <c r="N434" s="22"/>
      <c r="U434" s="22"/>
    </row>
    <row r="435" customFormat="false" ht="15.75" hidden="false" customHeight="false" outlineLevel="0" collapsed="false">
      <c r="E435" s="22"/>
      <c r="J435" s="22"/>
      <c r="N435" s="22"/>
      <c r="U435" s="22"/>
    </row>
    <row r="436" customFormat="false" ht="15.75" hidden="false" customHeight="false" outlineLevel="0" collapsed="false">
      <c r="E436" s="22"/>
      <c r="J436" s="22"/>
      <c r="N436" s="22"/>
      <c r="U436" s="22"/>
    </row>
    <row r="437" customFormat="false" ht="15.75" hidden="false" customHeight="false" outlineLevel="0" collapsed="false">
      <c r="E437" s="22"/>
      <c r="J437" s="22"/>
      <c r="N437" s="22"/>
      <c r="U437" s="22"/>
    </row>
    <row r="438" customFormat="false" ht="15.75" hidden="false" customHeight="false" outlineLevel="0" collapsed="false">
      <c r="E438" s="22"/>
      <c r="J438" s="22"/>
      <c r="N438" s="22"/>
      <c r="U438" s="22"/>
    </row>
    <row r="439" customFormat="false" ht="15.75" hidden="false" customHeight="false" outlineLevel="0" collapsed="false">
      <c r="E439" s="22"/>
      <c r="J439" s="22"/>
      <c r="N439" s="22"/>
      <c r="U439" s="22"/>
    </row>
    <row r="440" customFormat="false" ht="15.75" hidden="false" customHeight="false" outlineLevel="0" collapsed="false">
      <c r="E440" s="22"/>
      <c r="J440" s="22"/>
      <c r="N440" s="22"/>
      <c r="U440" s="22"/>
    </row>
    <row r="441" customFormat="false" ht="15.75" hidden="false" customHeight="false" outlineLevel="0" collapsed="false">
      <c r="E441" s="22"/>
      <c r="J441" s="22"/>
      <c r="N441" s="22"/>
      <c r="U441" s="22"/>
    </row>
    <row r="442" customFormat="false" ht="15.75" hidden="false" customHeight="false" outlineLevel="0" collapsed="false">
      <c r="E442" s="22"/>
      <c r="J442" s="22"/>
      <c r="N442" s="22"/>
      <c r="U442" s="22"/>
    </row>
    <row r="443" customFormat="false" ht="15.75" hidden="false" customHeight="false" outlineLevel="0" collapsed="false">
      <c r="E443" s="22"/>
      <c r="J443" s="22"/>
      <c r="N443" s="22"/>
      <c r="U443" s="22"/>
    </row>
    <row r="444" customFormat="false" ht="15.75" hidden="false" customHeight="false" outlineLevel="0" collapsed="false">
      <c r="E444" s="22"/>
      <c r="J444" s="22"/>
      <c r="N444" s="22"/>
      <c r="U444" s="22"/>
    </row>
    <row r="445" customFormat="false" ht="15.75" hidden="false" customHeight="false" outlineLevel="0" collapsed="false">
      <c r="E445" s="22"/>
      <c r="J445" s="22"/>
      <c r="N445" s="22"/>
      <c r="U445" s="22"/>
    </row>
    <row r="446" customFormat="false" ht="15.75" hidden="false" customHeight="false" outlineLevel="0" collapsed="false">
      <c r="E446" s="22"/>
      <c r="J446" s="22"/>
      <c r="N446" s="22"/>
      <c r="U446" s="22"/>
    </row>
    <row r="447" customFormat="false" ht="15.75" hidden="false" customHeight="false" outlineLevel="0" collapsed="false">
      <c r="E447" s="22"/>
      <c r="J447" s="22"/>
      <c r="N447" s="22"/>
      <c r="U447" s="22"/>
    </row>
    <row r="448" customFormat="false" ht="15.75" hidden="false" customHeight="false" outlineLevel="0" collapsed="false">
      <c r="E448" s="22"/>
      <c r="J448" s="22"/>
      <c r="N448" s="22"/>
      <c r="U448" s="22"/>
    </row>
    <row r="449" customFormat="false" ht="15.75" hidden="false" customHeight="false" outlineLevel="0" collapsed="false">
      <c r="E449" s="22"/>
      <c r="J449" s="22"/>
      <c r="N449" s="22"/>
      <c r="U449" s="22"/>
    </row>
    <row r="450" customFormat="false" ht="15.75" hidden="false" customHeight="false" outlineLevel="0" collapsed="false">
      <c r="E450" s="22"/>
      <c r="J450" s="22"/>
      <c r="N450" s="22"/>
      <c r="U450" s="22"/>
    </row>
    <row r="451" customFormat="false" ht="15.75" hidden="false" customHeight="false" outlineLevel="0" collapsed="false">
      <c r="E451" s="22"/>
      <c r="J451" s="22"/>
      <c r="N451" s="22"/>
      <c r="U451" s="22"/>
    </row>
    <row r="452" customFormat="false" ht="15.75" hidden="false" customHeight="false" outlineLevel="0" collapsed="false">
      <c r="E452" s="22"/>
      <c r="J452" s="22"/>
      <c r="N452" s="22"/>
      <c r="U452" s="22"/>
    </row>
    <row r="453" customFormat="false" ht="15.75" hidden="false" customHeight="false" outlineLevel="0" collapsed="false">
      <c r="E453" s="22"/>
      <c r="J453" s="22"/>
      <c r="N453" s="22"/>
      <c r="U453" s="22"/>
    </row>
    <row r="454" customFormat="false" ht="15.75" hidden="false" customHeight="false" outlineLevel="0" collapsed="false">
      <c r="E454" s="22"/>
      <c r="J454" s="22"/>
      <c r="N454" s="22"/>
      <c r="U454" s="22"/>
    </row>
    <row r="455" customFormat="false" ht="15.75" hidden="false" customHeight="false" outlineLevel="0" collapsed="false">
      <c r="E455" s="22"/>
      <c r="J455" s="22"/>
      <c r="N455" s="22"/>
      <c r="U455" s="22"/>
    </row>
    <row r="456" customFormat="false" ht="15.75" hidden="false" customHeight="false" outlineLevel="0" collapsed="false">
      <c r="E456" s="22"/>
      <c r="J456" s="22"/>
      <c r="N456" s="22"/>
      <c r="U456" s="22"/>
    </row>
    <row r="457" customFormat="false" ht="15.75" hidden="false" customHeight="false" outlineLevel="0" collapsed="false">
      <c r="E457" s="22"/>
      <c r="J457" s="22"/>
      <c r="N457" s="22"/>
      <c r="U457" s="22"/>
    </row>
    <row r="458" customFormat="false" ht="15.75" hidden="false" customHeight="false" outlineLevel="0" collapsed="false">
      <c r="E458" s="22"/>
      <c r="J458" s="22"/>
      <c r="N458" s="22"/>
      <c r="U458" s="22"/>
    </row>
    <row r="459" customFormat="false" ht="15.75" hidden="false" customHeight="false" outlineLevel="0" collapsed="false">
      <c r="E459" s="22"/>
      <c r="J459" s="22"/>
      <c r="N459" s="22"/>
      <c r="U459" s="22"/>
    </row>
    <row r="460" customFormat="false" ht="15.75" hidden="false" customHeight="false" outlineLevel="0" collapsed="false">
      <c r="E460" s="22"/>
      <c r="J460" s="22"/>
      <c r="N460" s="22"/>
      <c r="U460" s="22"/>
    </row>
    <row r="461" customFormat="false" ht="15.75" hidden="false" customHeight="false" outlineLevel="0" collapsed="false">
      <c r="E461" s="22"/>
      <c r="J461" s="22"/>
      <c r="N461" s="22"/>
      <c r="U461" s="22"/>
    </row>
    <row r="462" customFormat="false" ht="15.75" hidden="false" customHeight="false" outlineLevel="0" collapsed="false">
      <c r="E462" s="22"/>
      <c r="J462" s="22"/>
      <c r="N462" s="22"/>
      <c r="U462" s="22"/>
    </row>
    <row r="463" customFormat="false" ht="15.75" hidden="false" customHeight="false" outlineLevel="0" collapsed="false">
      <c r="E463" s="22"/>
      <c r="J463" s="22"/>
      <c r="N463" s="22"/>
      <c r="U463" s="22"/>
    </row>
    <row r="464" customFormat="false" ht="15.75" hidden="false" customHeight="false" outlineLevel="0" collapsed="false">
      <c r="E464" s="22"/>
      <c r="J464" s="22"/>
      <c r="N464" s="22"/>
      <c r="U464" s="22"/>
    </row>
    <row r="465" customFormat="false" ht="15.75" hidden="false" customHeight="false" outlineLevel="0" collapsed="false">
      <c r="E465" s="22"/>
      <c r="J465" s="22"/>
      <c r="N465" s="22"/>
      <c r="U465" s="22"/>
    </row>
    <row r="466" customFormat="false" ht="15.75" hidden="false" customHeight="false" outlineLevel="0" collapsed="false">
      <c r="E466" s="22"/>
      <c r="J466" s="22"/>
      <c r="N466" s="22"/>
      <c r="U466" s="22"/>
    </row>
    <row r="467" customFormat="false" ht="15.75" hidden="false" customHeight="false" outlineLevel="0" collapsed="false">
      <c r="E467" s="22"/>
      <c r="J467" s="22"/>
      <c r="N467" s="22"/>
      <c r="U467" s="22"/>
    </row>
    <row r="468" customFormat="false" ht="15.75" hidden="false" customHeight="false" outlineLevel="0" collapsed="false">
      <c r="E468" s="22"/>
      <c r="J468" s="22"/>
      <c r="N468" s="22"/>
      <c r="U468" s="22"/>
    </row>
    <row r="469" customFormat="false" ht="15.75" hidden="false" customHeight="false" outlineLevel="0" collapsed="false">
      <c r="E469" s="22"/>
      <c r="J469" s="22"/>
      <c r="N469" s="22"/>
      <c r="U469" s="22"/>
    </row>
    <row r="470" customFormat="false" ht="15.75" hidden="false" customHeight="false" outlineLevel="0" collapsed="false">
      <c r="E470" s="22"/>
      <c r="J470" s="22"/>
      <c r="N470" s="22"/>
      <c r="U470" s="22"/>
    </row>
    <row r="471" customFormat="false" ht="15.75" hidden="false" customHeight="false" outlineLevel="0" collapsed="false">
      <c r="E471" s="22"/>
      <c r="J471" s="22"/>
      <c r="N471" s="22"/>
      <c r="U471" s="22"/>
    </row>
    <row r="472" customFormat="false" ht="15.75" hidden="false" customHeight="false" outlineLevel="0" collapsed="false">
      <c r="E472" s="22"/>
      <c r="J472" s="22"/>
      <c r="N472" s="22"/>
      <c r="U472" s="22"/>
    </row>
    <row r="473" customFormat="false" ht="15.75" hidden="false" customHeight="false" outlineLevel="0" collapsed="false">
      <c r="E473" s="22"/>
      <c r="J473" s="22"/>
      <c r="N473" s="22"/>
      <c r="U473" s="22"/>
    </row>
    <row r="474" customFormat="false" ht="15.75" hidden="false" customHeight="false" outlineLevel="0" collapsed="false">
      <c r="E474" s="22"/>
      <c r="J474" s="22"/>
      <c r="N474" s="22"/>
      <c r="U474" s="22"/>
    </row>
    <row r="475" customFormat="false" ht="15.75" hidden="false" customHeight="false" outlineLevel="0" collapsed="false">
      <c r="E475" s="22"/>
      <c r="J475" s="22"/>
      <c r="N475" s="22"/>
      <c r="U475" s="22"/>
    </row>
    <row r="476" customFormat="false" ht="15.75" hidden="false" customHeight="false" outlineLevel="0" collapsed="false">
      <c r="E476" s="22"/>
      <c r="J476" s="22"/>
      <c r="N476" s="22"/>
      <c r="U476" s="22"/>
    </row>
    <row r="477" customFormat="false" ht="15.75" hidden="false" customHeight="false" outlineLevel="0" collapsed="false">
      <c r="E477" s="22"/>
      <c r="J477" s="22"/>
      <c r="N477" s="22"/>
      <c r="U477" s="22"/>
    </row>
    <row r="478" customFormat="false" ht="15.75" hidden="false" customHeight="false" outlineLevel="0" collapsed="false">
      <c r="E478" s="22"/>
      <c r="J478" s="22"/>
      <c r="N478" s="22"/>
      <c r="U478" s="22"/>
    </row>
    <row r="479" customFormat="false" ht="15.75" hidden="false" customHeight="false" outlineLevel="0" collapsed="false">
      <c r="E479" s="22"/>
      <c r="J479" s="22"/>
      <c r="N479" s="22"/>
      <c r="U479" s="22"/>
    </row>
    <row r="480" customFormat="false" ht="15.75" hidden="false" customHeight="false" outlineLevel="0" collapsed="false">
      <c r="E480" s="22"/>
      <c r="J480" s="22"/>
      <c r="N480" s="22"/>
      <c r="U480" s="22"/>
    </row>
    <row r="481" customFormat="false" ht="15.75" hidden="false" customHeight="false" outlineLevel="0" collapsed="false">
      <c r="E481" s="22"/>
      <c r="J481" s="22"/>
      <c r="N481" s="22"/>
      <c r="U481" s="22"/>
    </row>
    <row r="482" customFormat="false" ht="15.75" hidden="false" customHeight="false" outlineLevel="0" collapsed="false">
      <c r="E482" s="22"/>
      <c r="J482" s="22"/>
      <c r="N482" s="22"/>
      <c r="U482" s="22"/>
    </row>
    <row r="483" customFormat="false" ht="15.75" hidden="false" customHeight="false" outlineLevel="0" collapsed="false">
      <c r="E483" s="22"/>
      <c r="J483" s="22"/>
      <c r="N483" s="22"/>
      <c r="U483" s="22"/>
    </row>
    <row r="484" customFormat="false" ht="15.75" hidden="false" customHeight="false" outlineLevel="0" collapsed="false">
      <c r="E484" s="22"/>
      <c r="J484" s="22"/>
      <c r="N484" s="22"/>
      <c r="U484" s="22"/>
    </row>
    <row r="485" customFormat="false" ht="15.75" hidden="false" customHeight="false" outlineLevel="0" collapsed="false">
      <c r="E485" s="22"/>
      <c r="J485" s="22"/>
      <c r="N485" s="22"/>
      <c r="U485" s="22"/>
    </row>
    <row r="486" customFormat="false" ht="15.75" hidden="false" customHeight="false" outlineLevel="0" collapsed="false">
      <c r="E486" s="22"/>
      <c r="J486" s="22"/>
      <c r="N486" s="22"/>
      <c r="U486" s="22"/>
    </row>
    <row r="487" customFormat="false" ht="15.75" hidden="false" customHeight="false" outlineLevel="0" collapsed="false">
      <c r="E487" s="22"/>
      <c r="J487" s="22"/>
      <c r="N487" s="22"/>
      <c r="U487" s="22"/>
    </row>
    <row r="488" customFormat="false" ht="15.75" hidden="false" customHeight="false" outlineLevel="0" collapsed="false">
      <c r="E488" s="22"/>
      <c r="J488" s="22"/>
      <c r="N488" s="22"/>
      <c r="U488" s="22"/>
    </row>
    <row r="489" customFormat="false" ht="15.75" hidden="false" customHeight="false" outlineLevel="0" collapsed="false">
      <c r="E489" s="22"/>
      <c r="J489" s="22"/>
      <c r="N489" s="22"/>
      <c r="U489" s="22"/>
    </row>
    <row r="490" customFormat="false" ht="15.75" hidden="false" customHeight="false" outlineLevel="0" collapsed="false">
      <c r="E490" s="22"/>
      <c r="J490" s="22"/>
      <c r="N490" s="22"/>
      <c r="U490" s="22"/>
    </row>
    <row r="491" customFormat="false" ht="15.75" hidden="false" customHeight="false" outlineLevel="0" collapsed="false">
      <c r="E491" s="22"/>
      <c r="J491" s="22"/>
      <c r="N491" s="22"/>
      <c r="U491" s="22"/>
    </row>
    <row r="492" customFormat="false" ht="15.75" hidden="false" customHeight="false" outlineLevel="0" collapsed="false">
      <c r="E492" s="22"/>
      <c r="J492" s="22"/>
      <c r="N492" s="22"/>
      <c r="U492" s="22"/>
    </row>
    <row r="493" customFormat="false" ht="15.75" hidden="false" customHeight="false" outlineLevel="0" collapsed="false">
      <c r="E493" s="22"/>
      <c r="J493" s="22"/>
      <c r="N493" s="22"/>
      <c r="U493" s="22"/>
    </row>
    <row r="494" customFormat="false" ht="15.75" hidden="false" customHeight="false" outlineLevel="0" collapsed="false">
      <c r="E494" s="22"/>
      <c r="J494" s="22"/>
      <c r="N494" s="22"/>
      <c r="U494" s="22"/>
    </row>
    <row r="495" customFormat="false" ht="15.75" hidden="false" customHeight="false" outlineLevel="0" collapsed="false">
      <c r="E495" s="22"/>
      <c r="J495" s="22"/>
      <c r="N495" s="22"/>
      <c r="U495" s="22"/>
    </row>
    <row r="496" customFormat="false" ht="15.75" hidden="false" customHeight="false" outlineLevel="0" collapsed="false">
      <c r="E496" s="22"/>
      <c r="J496" s="22"/>
      <c r="N496" s="22"/>
      <c r="U496" s="22"/>
    </row>
    <row r="497" customFormat="false" ht="15.75" hidden="false" customHeight="false" outlineLevel="0" collapsed="false">
      <c r="E497" s="22"/>
      <c r="J497" s="22"/>
      <c r="N497" s="22"/>
      <c r="U497" s="22"/>
    </row>
    <row r="498" customFormat="false" ht="15.75" hidden="false" customHeight="false" outlineLevel="0" collapsed="false">
      <c r="E498" s="22"/>
      <c r="J498" s="22"/>
      <c r="N498" s="22"/>
      <c r="U498" s="22"/>
    </row>
    <row r="499" customFormat="false" ht="15.75" hidden="false" customHeight="false" outlineLevel="0" collapsed="false">
      <c r="E499" s="22"/>
      <c r="J499" s="22"/>
      <c r="N499" s="22"/>
      <c r="U499" s="22"/>
    </row>
    <row r="500" customFormat="false" ht="15.75" hidden="false" customHeight="false" outlineLevel="0" collapsed="false">
      <c r="E500" s="22"/>
      <c r="J500" s="22"/>
      <c r="N500" s="22"/>
      <c r="U500" s="22"/>
    </row>
    <row r="501" customFormat="false" ht="15.75" hidden="false" customHeight="false" outlineLevel="0" collapsed="false">
      <c r="E501" s="22"/>
      <c r="J501" s="22"/>
      <c r="N501" s="22"/>
      <c r="U501" s="22"/>
    </row>
    <row r="502" customFormat="false" ht="15.75" hidden="false" customHeight="false" outlineLevel="0" collapsed="false">
      <c r="E502" s="22"/>
      <c r="J502" s="22"/>
      <c r="N502" s="22"/>
      <c r="U502" s="22"/>
    </row>
    <row r="503" customFormat="false" ht="15.75" hidden="false" customHeight="false" outlineLevel="0" collapsed="false">
      <c r="E503" s="22"/>
      <c r="J503" s="22"/>
      <c r="N503" s="22"/>
      <c r="U503" s="22"/>
    </row>
    <row r="504" customFormat="false" ht="15.75" hidden="false" customHeight="false" outlineLevel="0" collapsed="false">
      <c r="E504" s="22"/>
      <c r="J504" s="22"/>
      <c r="N504" s="22"/>
      <c r="U504" s="22"/>
    </row>
    <row r="505" customFormat="false" ht="15.75" hidden="false" customHeight="false" outlineLevel="0" collapsed="false">
      <c r="E505" s="22"/>
      <c r="J505" s="22"/>
      <c r="N505" s="22"/>
      <c r="U505" s="22"/>
    </row>
    <row r="506" customFormat="false" ht="15.75" hidden="false" customHeight="false" outlineLevel="0" collapsed="false">
      <c r="E506" s="22"/>
      <c r="J506" s="22"/>
      <c r="N506" s="22"/>
      <c r="U506" s="22"/>
    </row>
    <row r="507" customFormat="false" ht="15.75" hidden="false" customHeight="false" outlineLevel="0" collapsed="false">
      <c r="E507" s="22"/>
      <c r="J507" s="22"/>
      <c r="N507" s="22"/>
      <c r="U507" s="22"/>
    </row>
    <row r="508" customFormat="false" ht="15.75" hidden="false" customHeight="false" outlineLevel="0" collapsed="false">
      <c r="E508" s="22"/>
      <c r="J508" s="22"/>
      <c r="N508" s="22"/>
      <c r="U508" s="22"/>
    </row>
    <row r="509" customFormat="false" ht="15.75" hidden="false" customHeight="false" outlineLevel="0" collapsed="false">
      <c r="E509" s="22"/>
      <c r="J509" s="22"/>
      <c r="N509" s="22"/>
      <c r="U509" s="22"/>
    </row>
    <row r="510" customFormat="false" ht="15.75" hidden="false" customHeight="false" outlineLevel="0" collapsed="false">
      <c r="E510" s="22"/>
      <c r="J510" s="22"/>
      <c r="N510" s="22"/>
      <c r="U510" s="22"/>
    </row>
    <row r="511" customFormat="false" ht="15.75" hidden="false" customHeight="false" outlineLevel="0" collapsed="false">
      <c r="E511" s="22"/>
      <c r="J511" s="22"/>
      <c r="N511" s="22"/>
      <c r="U511" s="22"/>
    </row>
    <row r="512" customFormat="false" ht="15.75" hidden="false" customHeight="false" outlineLevel="0" collapsed="false">
      <c r="E512" s="22"/>
      <c r="J512" s="22"/>
      <c r="N512" s="22"/>
      <c r="U512" s="22"/>
    </row>
    <row r="513" customFormat="false" ht="15.75" hidden="false" customHeight="false" outlineLevel="0" collapsed="false">
      <c r="E513" s="22"/>
      <c r="J513" s="22"/>
      <c r="N513" s="22"/>
      <c r="U513" s="22"/>
    </row>
    <row r="514" customFormat="false" ht="15.75" hidden="false" customHeight="false" outlineLevel="0" collapsed="false">
      <c r="E514" s="22"/>
      <c r="J514" s="22"/>
      <c r="N514" s="22"/>
      <c r="U514" s="22"/>
    </row>
    <row r="515" customFormat="false" ht="15.75" hidden="false" customHeight="false" outlineLevel="0" collapsed="false">
      <c r="E515" s="22"/>
      <c r="J515" s="22"/>
      <c r="N515" s="22"/>
      <c r="U515" s="22"/>
    </row>
    <row r="516" customFormat="false" ht="15.75" hidden="false" customHeight="false" outlineLevel="0" collapsed="false">
      <c r="E516" s="22"/>
      <c r="J516" s="22"/>
      <c r="N516" s="22"/>
      <c r="U516" s="22"/>
    </row>
    <row r="517" customFormat="false" ht="15.75" hidden="false" customHeight="false" outlineLevel="0" collapsed="false">
      <c r="E517" s="22"/>
      <c r="J517" s="22"/>
      <c r="N517" s="22"/>
      <c r="U517" s="22"/>
    </row>
    <row r="518" customFormat="false" ht="15.75" hidden="false" customHeight="false" outlineLevel="0" collapsed="false">
      <c r="E518" s="22"/>
      <c r="J518" s="22"/>
      <c r="N518" s="22"/>
      <c r="U518" s="22"/>
    </row>
    <row r="519" customFormat="false" ht="15.75" hidden="false" customHeight="false" outlineLevel="0" collapsed="false">
      <c r="E519" s="22"/>
      <c r="J519" s="22"/>
      <c r="N519" s="22"/>
      <c r="U519" s="22"/>
    </row>
    <row r="520" customFormat="false" ht="15.75" hidden="false" customHeight="false" outlineLevel="0" collapsed="false">
      <c r="E520" s="22"/>
      <c r="J520" s="22"/>
      <c r="N520" s="22"/>
      <c r="U520" s="22"/>
    </row>
    <row r="521" customFormat="false" ht="15.75" hidden="false" customHeight="false" outlineLevel="0" collapsed="false">
      <c r="E521" s="22"/>
      <c r="J521" s="22"/>
      <c r="N521" s="22"/>
      <c r="U521" s="22"/>
    </row>
    <row r="522" customFormat="false" ht="15.75" hidden="false" customHeight="false" outlineLevel="0" collapsed="false">
      <c r="E522" s="22"/>
      <c r="J522" s="22"/>
      <c r="N522" s="22"/>
      <c r="U522" s="22"/>
    </row>
    <row r="523" customFormat="false" ht="15.75" hidden="false" customHeight="false" outlineLevel="0" collapsed="false">
      <c r="E523" s="22"/>
      <c r="J523" s="22"/>
      <c r="N523" s="22"/>
      <c r="U523" s="22"/>
    </row>
    <row r="524" customFormat="false" ht="15.75" hidden="false" customHeight="false" outlineLevel="0" collapsed="false">
      <c r="E524" s="22"/>
      <c r="J524" s="22"/>
      <c r="N524" s="22"/>
      <c r="U524" s="22"/>
    </row>
    <row r="525" customFormat="false" ht="15.75" hidden="false" customHeight="false" outlineLevel="0" collapsed="false">
      <c r="E525" s="22"/>
      <c r="J525" s="22"/>
      <c r="N525" s="22"/>
      <c r="U525" s="22"/>
    </row>
    <row r="526" customFormat="false" ht="15.75" hidden="false" customHeight="false" outlineLevel="0" collapsed="false">
      <c r="E526" s="22"/>
      <c r="J526" s="22"/>
      <c r="N526" s="22"/>
      <c r="U526" s="22"/>
    </row>
    <row r="527" customFormat="false" ht="15.75" hidden="false" customHeight="false" outlineLevel="0" collapsed="false">
      <c r="E527" s="22"/>
      <c r="J527" s="22"/>
      <c r="N527" s="22"/>
      <c r="U527" s="22"/>
    </row>
    <row r="528" customFormat="false" ht="15.75" hidden="false" customHeight="false" outlineLevel="0" collapsed="false">
      <c r="E528" s="22"/>
      <c r="J528" s="22"/>
      <c r="N528" s="22"/>
      <c r="U528" s="22"/>
    </row>
    <row r="529" customFormat="false" ht="15.75" hidden="false" customHeight="false" outlineLevel="0" collapsed="false">
      <c r="E529" s="22"/>
      <c r="J529" s="22"/>
      <c r="N529" s="22"/>
      <c r="U529" s="22"/>
    </row>
    <row r="530" customFormat="false" ht="15.75" hidden="false" customHeight="false" outlineLevel="0" collapsed="false">
      <c r="E530" s="22"/>
      <c r="J530" s="22"/>
      <c r="N530" s="22"/>
      <c r="U530" s="22"/>
    </row>
    <row r="531" customFormat="false" ht="15.75" hidden="false" customHeight="false" outlineLevel="0" collapsed="false">
      <c r="E531" s="22"/>
      <c r="J531" s="22"/>
      <c r="N531" s="22"/>
      <c r="U531" s="22"/>
    </row>
    <row r="532" customFormat="false" ht="15.75" hidden="false" customHeight="false" outlineLevel="0" collapsed="false">
      <c r="E532" s="22"/>
      <c r="J532" s="22"/>
      <c r="N532" s="22"/>
      <c r="U532" s="22"/>
    </row>
    <row r="533" customFormat="false" ht="15.75" hidden="false" customHeight="false" outlineLevel="0" collapsed="false">
      <c r="E533" s="22"/>
      <c r="J533" s="22"/>
      <c r="N533" s="22"/>
      <c r="U533" s="22"/>
    </row>
    <row r="534" customFormat="false" ht="15.75" hidden="false" customHeight="false" outlineLevel="0" collapsed="false">
      <c r="E534" s="22"/>
      <c r="J534" s="22"/>
      <c r="N534" s="22"/>
      <c r="U534" s="22"/>
    </row>
    <row r="535" customFormat="false" ht="15.75" hidden="false" customHeight="false" outlineLevel="0" collapsed="false">
      <c r="E535" s="22"/>
      <c r="J535" s="22"/>
      <c r="N535" s="22"/>
      <c r="U535" s="22"/>
    </row>
    <row r="536" customFormat="false" ht="15.75" hidden="false" customHeight="false" outlineLevel="0" collapsed="false">
      <c r="E536" s="22"/>
      <c r="J536" s="22"/>
      <c r="N536" s="22"/>
      <c r="U536" s="22"/>
    </row>
    <row r="537" customFormat="false" ht="15.75" hidden="false" customHeight="false" outlineLevel="0" collapsed="false">
      <c r="E537" s="22"/>
      <c r="J537" s="22"/>
      <c r="N537" s="22"/>
      <c r="U537" s="22"/>
    </row>
    <row r="538" customFormat="false" ht="15.75" hidden="false" customHeight="false" outlineLevel="0" collapsed="false">
      <c r="E538" s="22"/>
      <c r="J538" s="22"/>
      <c r="N538" s="22"/>
      <c r="U538" s="22"/>
    </row>
    <row r="539" customFormat="false" ht="15.75" hidden="false" customHeight="false" outlineLevel="0" collapsed="false">
      <c r="E539" s="22"/>
      <c r="J539" s="22"/>
      <c r="N539" s="22"/>
      <c r="U539" s="22"/>
    </row>
    <row r="540" customFormat="false" ht="15.75" hidden="false" customHeight="false" outlineLevel="0" collapsed="false">
      <c r="E540" s="22"/>
      <c r="J540" s="22"/>
      <c r="N540" s="22"/>
      <c r="U540" s="22"/>
    </row>
    <row r="541" customFormat="false" ht="15.75" hidden="false" customHeight="false" outlineLevel="0" collapsed="false">
      <c r="E541" s="22"/>
      <c r="J541" s="22"/>
      <c r="N541" s="22"/>
      <c r="U541" s="22"/>
    </row>
    <row r="542" customFormat="false" ht="15.75" hidden="false" customHeight="false" outlineLevel="0" collapsed="false">
      <c r="E542" s="22"/>
      <c r="J542" s="22"/>
      <c r="N542" s="22"/>
      <c r="U542" s="22"/>
    </row>
    <row r="543" customFormat="false" ht="15.75" hidden="false" customHeight="false" outlineLevel="0" collapsed="false">
      <c r="E543" s="22"/>
      <c r="J543" s="22"/>
      <c r="N543" s="22"/>
      <c r="U543" s="22"/>
    </row>
    <row r="544" customFormat="false" ht="15.75" hidden="false" customHeight="false" outlineLevel="0" collapsed="false">
      <c r="E544" s="22"/>
      <c r="J544" s="22"/>
      <c r="N544" s="22"/>
      <c r="U544" s="22"/>
    </row>
    <row r="545" customFormat="false" ht="15.75" hidden="false" customHeight="false" outlineLevel="0" collapsed="false">
      <c r="E545" s="22"/>
      <c r="J545" s="22"/>
      <c r="N545" s="22"/>
      <c r="U545" s="22"/>
    </row>
    <row r="546" customFormat="false" ht="15.75" hidden="false" customHeight="false" outlineLevel="0" collapsed="false">
      <c r="E546" s="22"/>
      <c r="J546" s="22"/>
      <c r="N546" s="22"/>
      <c r="U546" s="22"/>
    </row>
    <row r="547" customFormat="false" ht="15.75" hidden="false" customHeight="false" outlineLevel="0" collapsed="false">
      <c r="E547" s="22"/>
      <c r="J547" s="22"/>
      <c r="N547" s="22"/>
      <c r="U547" s="22"/>
    </row>
    <row r="548" customFormat="false" ht="15.75" hidden="false" customHeight="false" outlineLevel="0" collapsed="false">
      <c r="E548" s="22"/>
      <c r="J548" s="22"/>
      <c r="N548" s="22"/>
      <c r="U548" s="22"/>
    </row>
    <row r="549" customFormat="false" ht="15.75" hidden="false" customHeight="false" outlineLevel="0" collapsed="false">
      <c r="E549" s="22"/>
      <c r="J549" s="22"/>
      <c r="N549" s="22"/>
      <c r="U549" s="22"/>
    </row>
    <row r="550" customFormat="false" ht="15.75" hidden="false" customHeight="false" outlineLevel="0" collapsed="false">
      <c r="E550" s="22"/>
      <c r="J550" s="22"/>
      <c r="N550" s="22"/>
      <c r="U550" s="22"/>
    </row>
    <row r="551" customFormat="false" ht="15.75" hidden="false" customHeight="false" outlineLevel="0" collapsed="false">
      <c r="E551" s="22"/>
      <c r="J551" s="22"/>
      <c r="N551" s="22"/>
      <c r="U551" s="22"/>
    </row>
    <row r="552" customFormat="false" ht="15.75" hidden="false" customHeight="false" outlineLevel="0" collapsed="false">
      <c r="E552" s="22"/>
      <c r="J552" s="22"/>
      <c r="N552" s="22"/>
      <c r="U552" s="22"/>
    </row>
    <row r="553" customFormat="false" ht="15.75" hidden="false" customHeight="false" outlineLevel="0" collapsed="false">
      <c r="E553" s="22"/>
      <c r="J553" s="22"/>
      <c r="N553" s="22"/>
      <c r="U553" s="22"/>
    </row>
    <row r="554" customFormat="false" ht="15.75" hidden="false" customHeight="false" outlineLevel="0" collapsed="false">
      <c r="E554" s="22"/>
      <c r="J554" s="22"/>
      <c r="N554" s="22"/>
      <c r="U554" s="22"/>
    </row>
    <row r="555" customFormat="false" ht="15.75" hidden="false" customHeight="false" outlineLevel="0" collapsed="false">
      <c r="E555" s="22"/>
      <c r="J555" s="22"/>
      <c r="N555" s="22"/>
      <c r="U555" s="22"/>
    </row>
    <row r="556" customFormat="false" ht="15.75" hidden="false" customHeight="false" outlineLevel="0" collapsed="false">
      <c r="E556" s="22"/>
      <c r="J556" s="22"/>
      <c r="N556" s="22"/>
      <c r="U556" s="22"/>
    </row>
    <row r="557" customFormat="false" ht="15.75" hidden="false" customHeight="false" outlineLevel="0" collapsed="false">
      <c r="E557" s="22"/>
      <c r="J557" s="22"/>
      <c r="N557" s="22"/>
      <c r="U557" s="22"/>
    </row>
    <row r="558" customFormat="false" ht="15.75" hidden="false" customHeight="false" outlineLevel="0" collapsed="false">
      <c r="E558" s="22"/>
      <c r="J558" s="22"/>
      <c r="N558" s="22"/>
      <c r="U558" s="22"/>
    </row>
    <row r="559" customFormat="false" ht="15.75" hidden="false" customHeight="false" outlineLevel="0" collapsed="false">
      <c r="E559" s="22"/>
      <c r="J559" s="22"/>
      <c r="N559" s="22"/>
      <c r="U559" s="22"/>
    </row>
    <row r="560" customFormat="false" ht="15.75" hidden="false" customHeight="false" outlineLevel="0" collapsed="false">
      <c r="E560" s="22"/>
      <c r="J560" s="22"/>
      <c r="N560" s="22"/>
      <c r="U560" s="22"/>
    </row>
    <row r="561" customFormat="false" ht="15.75" hidden="false" customHeight="false" outlineLevel="0" collapsed="false">
      <c r="E561" s="22"/>
      <c r="J561" s="22"/>
      <c r="N561" s="22"/>
      <c r="U561" s="22"/>
    </row>
    <row r="562" customFormat="false" ht="15.75" hidden="false" customHeight="false" outlineLevel="0" collapsed="false">
      <c r="E562" s="22"/>
      <c r="J562" s="22"/>
      <c r="N562" s="22"/>
      <c r="U562" s="22"/>
    </row>
    <row r="563" customFormat="false" ht="15.75" hidden="false" customHeight="false" outlineLevel="0" collapsed="false">
      <c r="E563" s="22"/>
      <c r="J563" s="22"/>
      <c r="N563" s="22"/>
      <c r="U563" s="22"/>
    </row>
    <row r="564" customFormat="false" ht="15.75" hidden="false" customHeight="false" outlineLevel="0" collapsed="false">
      <c r="E564" s="22"/>
      <c r="J564" s="22"/>
      <c r="N564" s="22"/>
      <c r="U564" s="22"/>
    </row>
    <row r="565" customFormat="false" ht="15.75" hidden="false" customHeight="false" outlineLevel="0" collapsed="false">
      <c r="E565" s="22"/>
      <c r="J565" s="22"/>
      <c r="N565" s="22"/>
      <c r="U565" s="22"/>
    </row>
    <row r="566" customFormat="false" ht="15.75" hidden="false" customHeight="false" outlineLevel="0" collapsed="false">
      <c r="E566" s="22"/>
      <c r="J566" s="22"/>
      <c r="N566" s="22"/>
      <c r="U566" s="22"/>
    </row>
    <row r="567" customFormat="false" ht="15.75" hidden="false" customHeight="false" outlineLevel="0" collapsed="false">
      <c r="E567" s="22"/>
      <c r="J567" s="22"/>
      <c r="N567" s="22"/>
      <c r="U567" s="22"/>
    </row>
    <row r="568" customFormat="false" ht="15.75" hidden="false" customHeight="false" outlineLevel="0" collapsed="false">
      <c r="E568" s="22"/>
      <c r="J568" s="22"/>
      <c r="N568" s="22"/>
      <c r="U568" s="22"/>
    </row>
    <row r="569" customFormat="false" ht="15.75" hidden="false" customHeight="false" outlineLevel="0" collapsed="false">
      <c r="E569" s="22"/>
      <c r="J569" s="22"/>
      <c r="N569" s="22"/>
      <c r="U569" s="22"/>
    </row>
    <row r="570" customFormat="false" ht="15.75" hidden="false" customHeight="false" outlineLevel="0" collapsed="false">
      <c r="E570" s="22"/>
      <c r="J570" s="22"/>
      <c r="N570" s="22"/>
      <c r="U570" s="22"/>
    </row>
    <row r="571" customFormat="false" ht="15.75" hidden="false" customHeight="false" outlineLevel="0" collapsed="false">
      <c r="E571" s="22"/>
      <c r="J571" s="22"/>
      <c r="N571" s="22"/>
      <c r="U571" s="22"/>
    </row>
    <row r="572" customFormat="false" ht="15.75" hidden="false" customHeight="false" outlineLevel="0" collapsed="false">
      <c r="E572" s="22"/>
      <c r="J572" s="22"/>
      <c r="N572" s="22"/>
      <c r="U572" s="22"/>
    </row>
    <row r="573" customFormat="false" ht="15.75" hidden="false" customHeight="false" outlineLevel="0" collapsed="false">
      <c r="E573" s="22"/>
      <c r="J573" s="22"/>
      <c r="N573" s="22"/>
      <c r="U573" s="22"/>
    </row>
    <row r="574" customFormat="false" ht="15.75" hidden="false" customHeight="false" outlineLevel="0" collapsed="false">
      <c r="E574" s="22"/>
      <c r="J574" s="22"/>
      <c r="N574" s="22"/>
      <c r="U574" s="22"/>
    </row>
    <row r="575" customFormat="false" ht="15.75" hidden="false" customHeight="false" outlineLevel="0" collapsed="false">
      <c r="E575" s="22"/>
      <c r="J575" s="22"/>
      <c r="N575" s="22"/>
      <c r="U575" s="22"/>
    </row>
    <row r="576" customFormat="false" ht="15.75" hidden="false" customHeight="false" outlineLevel="0" collapsed="false">
      <c r="E576" s="22"/>
      <c r="J576" s="22"/>
      <c r="N576" s="22"/>
      <c r="U576" s="22"/>
    </row>
    <row r="577" customFormat="false" ht="15.75" hidden="false" customHeight="false" outlineLevel="0" collapsed="false">
      <c r="E577" s="22"/>
      <c r="J577" s="22"/>
      <c r="N577" s="22"/>
      <c r="U577" s="22"/>
    </row>
    <row r="578" customFormat="false" ht="15.75" hidden="false" customHeight="false" outlineLevel="0" collapsed="false">
      <c r="E578" s="22"/>
      <c r="J578" s="22"/>
      <c r="N578" s="22"/>
      <c r="U578" s="22"/>
    </row>
    <row r="579" customFormat="false" ht="15.75" hidden="false" customHeight="false" outlineLevel="0" collapsed="false">
      <c r="E579" s="22"/>
      <c r="J579" s="22"/>
      <c r="N579" s="22"/>
      <c r="U579" s="22"/>
    </row>
    <row r="580" customFormat="false" ht="15.75" hidden="false" customHeight="false" outlineLevel="0" collapsed="false">
      <c r="E580" s="22"/>
      <c r="J580" s="22"/>
      <c r="N580" s="22"/>
      <c r="U580" s="22"/>
    </row>
    <row r="581" customFormat="false" ht="15.75" hidden="false" customHeight="false" outlineLevel="0" collapsed="false">
      <c r="E581" s="22"/>
      <c r="J581" s="22"/>
      <c r="N581" s="22"/>
      <c r="U581" s="22"/>
    </row>
    <row r="582" customFormat="false" ht="15.75" hidden="false" customHeight="false" outlineLevel="0" collapsed="false">
      <c r="E582" s="22"/>
      <c r="J582" s="22"/>
      <c r="N582" s="22"/>
      <c r="U582" s="22"/>
    </row>
    <row r="583" customFormat="false" ht="15.75" hidden="false" customHeight="false" outlineLevel="0" collapsed="false">
      <c r="E583" s="22"/>
      <c r="J583" s="22"/>
      <c r="N583" s="22"/>
      <c r="U583" s="22"/>
    </row>
    <row r="584" customFormat="false" ht="15.75" hidden="false" customHeight="false" outlineLevel="0" collapsed="false">
      <c r="E584" s="22"/>
      <c r="J584" s="22"/>
      <c r="N584" s="22"/>
      <c r="U584" s="22"/>
    </row>
    <row r="585" customFormat="false" ht="15.75" hidden="false" customHeight="false" outlineLevel="0" collapsed="false">
      <c r="E585" s="22"/>
      <c r="J585" s="22"/>
      <c r="N585" s="22"/>
      <c r="U585" s="22"/>
    </row>
    <row r="586" customFormat="false" ht="15.75" hidden="false" customHeight="false" outlineLevel="0" collapsed="false">
      <c r="E586" s="22"/>
      <c r="J586" s="22"/>
      <c r="N586" s="22"/>
      <c r="U586" s="22"/>
    </row>
    <row r="587" customFormat="false" ht="15.75" hidden="false" customHeight="false" outlineLevel="0" collapsed="false">
      <c r="E587" s="22"/>
      <c r="J587" s="22"/>
      <c r="N587" s="22"/>
      <c r="U587" s="22"/>
    </row>
    <row r="588" customFormat="false" ht="15.75" hidden="false" customHeight="false" outlineLevel="0" collapsed="false">
      <c r="E588" s="22"/>
      <c r="J588" s="22"/>
      <c r="N588" s="22"/>
      <c r="U588" s="22"/>
    </row>
    <row r="589" customFormat="false" ht="15.75" hidden="false" customHeight="false" outlineLevel="0" collapsed="false">
      <c r="E589" s="22"/>
      <c r="J589" s="22"/>
      <c r="N589" s="22"/>
      <c r="U589" s="22"/>
    </row>
    <row r="590" customFormat="false" ht="15.75" hidden="false" customHeight="false" outlineLevel="0" collapsed="false">
      <c r="E590" s="22"/>
      <c r="J590" s="22"/>
      <c r="N590" s="22"/>
      <c r="U590" s="22"/>
    </row>
    <row r="591" customFormat="false" ht="15.75" hidden="false" customHeight="false" outlineLevel="0" collapsed="false">
      <c r="E591" s="22"/>
      <c r="J591" s="22"/>
      <c r="N591" s="22"/>
      <c r="U591" s="22"/>
    </row>
    <row r="592" customFormat="false" ht="15.75" hidden="false" customHeight="false" outlineLevel="0" collapsed="false">
      <c r="E592" s="22"/>
      <c r="J592" s="22"/>
      <c r="N592" s="22"/>
      <c r="U592" s="22"/>
    </row>
    <row r="593" customFormat="false" ht="15.75" hidden="false" customHeight="false" outlineLevel="0" collapsed="false">
      <c r="E593" s="22"/>
      <c r="J593" s="22"/>
      <c r="N593" s="22"/>
      <c r="U593" s="22"/>
    </row>
    <row r="594" customFormat="false" ht="15.75" hidden="false" customHeight="false" outlineLevel="0" collapsed="false">
      <c r="E594" s="22"/>
      <c r="J594" s="22"/>
      <c r="N594" s="22"/>
      <c r="U594" s="22"/>
    </row>
    <row r="595" customFormat="false" ht="15.75" hidden="false" customHeight="false" outlineLevel="0" collapsed="false">
      <c r="E595" s="22"/>
      <c r="J595" s="22"/>
      <c r="N595" s="22"/>
      <c r="U595" s="22"/>
    </row>
    <row r="596" customFormat="false" ht="15.75" hidden="false" customHeight="false" outlineLevel="0" collapsed="false">
      <c r="E596" s="22"/>
      <c r="J596" s="22"/>
      <c r="N596" s="22"/>
      <c r="U596" s="22"/>
    </row>
    <row r="597" customFormat="false" ht="15.75" hidden="false" customHeight="false" outlineLevel="0" collapsed="false">
      <c r="E597" s="22"/>
      <c r="J597" s="22"/>
      <c r="N597" s="22"/>
      <c r="U597" s="22"/>
    </row>
    <row r="598" customFormat="false" ht="15.75" hidden="false" customHeight="false" outlineLevel="0" collapsed="false">
      <c r="E598" s="22"/>
      <c r="J598" s="22"/>
      <c r="N598" s="22"/>
      <c r="U598" s="22"/>
    </row>
    <row r="599" customFormat="false" ht="15.75" hidden="false" customHeight="false" outlineLevel="0" collapsed="false">
      <c r="E599" s="22"/>
      <c r="J599" s="22"/>
      <c r="N599" s="22"/>
      <c r="U599" s="22"/>
    </row>
    <row r="600" customFormat="false" ht="15.75" hidden="false" customHeight="false" outlineLevel="0" collapsed="false">
      <c r="E600" s="22"/>
      <c r="J600" s="22"/>
      <c r="N600" s="22"/>
      <c r="U600" s="22"/>
    </row>
    <row r="601" customFormat="false" ht="15.75" hidden="false" customHeight="false" outlineLevel="0" collapsed="false">
      <c r="E601" s="22"/>
      <c r="J601" s="22"/>
      <c r="N601" s="22"/>
      <c r="U601" s="22"/>
    </row>
    <row r="602" customFormat="false" ht="15.75" hidden="false" customHeight="false" outlineLevel="0" collapsed="false">
      <c r="E602" s="22"/>
      <c r="J602" s="22"/>
      <c r="N602" s="22"/>
      <c r="U602" s="22"/>
    </row>
    <row r="603" customFormat="false" ht="15.75" hidden="false" customHeight="false" outlineLevel="0" collapsed="false">
      <c r="E603" s="22"/>
      <c r="J603" s="22"/>
      <c r="N603" s="22"/>
      <c r="U603" s="22"/>
    </row>
    <row r="604" customFormat="false" ht="15.75" hidden="false" customHeight="false" outlineLevel="0" collapsed="false">
      <c r="E604" s="22"/>
      <c r="J604" s="22"/>
      <c r="N604" s="22"/>
      <c r="U604" s="22"/>
    </row>
    <row r="605" customFormat="false" ht="15.75" hidden="false" customHeight="false" outlineLevel="0" collapsed="false">
      <c r="E605" s="22"/>
      <c r="J605" s="22"/>
      <c r="N605" s="22"/>
      <c r="U605" s="22"/>
    </row>
    <row r="606" customFormat="false" ht="15.75" hidden="false" customHeight="false" outlineLevel="0" collapsed="false">
      <c r="E606" s="22"/>
      <c r="J606" s="22"/>
      <c r="N606" s="22"/>
      <c r="U606" s="22"/>
    </row>
    <row r="607" customFormat="false" ht="15.75" hidden="false" customHeight="false" outlineLevel="0" collapsed="false">
      <c r="E607" s="22"/>
      <c r="J607" s="22"/>
      <c r="N607" s="22"/>
      <c r="U607" s="22"/>
    </row>
    <row r="608" customFormat="false" ht="15.75" hidden="false" customHeight="false" outlineLevel="0" collapsed="false">
      <c r="E608" s="22"/>
      <c r="J608" s="22"/>
      <c r="N608" s="22"/>
      <c r="U608" s="22"/>
    </row>
    <row r="609" customFormat="false" ht="15.75" hidden="false" customHeight="false" outlineLevel="0" collapsed="false">
      <c r="E609" s="22"/>
      <c r="J609" s="22"/>
      <c r="N609" s="22"/>
      <c r="U609" s="22"/>
    </row>
    <row r="610" customFormat="false" ht="15.75" hidden="false" customHeight="false" outlineLevel="0" collapsed="false">
      <c r="E610" s="22"/>
      <c r="J610" s="22"/>
      <c r="N610" s="22"/>
      <c r="U610" s="22"/>
    </row>
    <row r="611" customFormat="false" ht="15.75" hidden="false" customHeight="false" outlineLevel="0" collapsed="false">
      <c r="E611" s="22"/>
      <c r="J611" s="22"/>
      <c r="N611" s="22"/>
      <c r="U611" s="22"/>
    </row>
    <row r="612" customFormat="false" ht="15.75" hidden="false" customHeight="false" outlineLevel="0" collapsed="false">
      <c r="E612" s="22"/>
      <c r="J612" s="22"/>
      <c r="N612" s="22"/>
      <c r="U612" s="22"/>
    </row>
    <row r="613" customFormat="false" ht="15.75" hidden="false" customHeight="false" outlineLevel="0" collapsed="false">
      <c r="E613" s="22"/>
      <c r="J613" s="22"/>
      <c r="N613" s="22"/>
      <c r="U613" s="22"/>
    </row>
    <row r="614" customFormat="false" ht="15.75" hidden="false" customHeight="false" outlineLevel="0" collapsed="false">
      <c r="E614" s="22"/>
      <c r="J614" s="22"/>
      <c r="N614" s="22"/>
      <c r="U614" s="22"/>
    </row>
    <row r="615" customFormat="false" ht="15.75" hidden="false" customHeight="false" outlineLevel="0" collapsed="false">
      <c r="E615" s="22"/>
      <c r="J615" s="22"/>
      <c r="N615" s="22"/>
      <c r="U615" s="22"/>
    </row>
    <row r="616" customFormat="false" ht="15.75" hidden="false" customHeight="false" outlineLevel="0" collapsed="false">
      <c r="E616" s="22"/>
      <c r="J616" s="22"/>
      <c r="N616" s="22"/>
      <c r="U616" s="22"/>
    </row>
    <row r="617" customFormat="false" ht="15.75" hidden="false" customHeight="false" outlineLevel="0" collapsed="false">
      <c r="E617" s="22"/>
      <c r="J617" s="22"/>
      <c r="N617" s="22"/>
      <c r="U617" s="22"/>
    </row>
    <row r="618" customFormat="false" ht="15.75" hidden="false" customHeight="false" outlineLevel="0" collapsed="false">
      <c r="E618" s="22"/>
      <c r="J618" s="22"/>
      <c r="N618" s="22"/>
      <c r="U618" s="22"/>
    </row>
    <row r="619" customFormat="false" ht="15.75" hidden="false" customHeight="false" outlineLevel="0" collapsed="false">
      <c r="E619" s="22"/>
      <c r="J619" s="22"/>
      <c r="N619" s="22"/>
      <c r="U619" s="22"/>
    </row>
    <row r="620" customFormat="false" ht="15.75" hidden="false" customHeight="false" outlineLevel="0" collapsed="false">
      <c r="E620" s="22"/>
      <c r="J620" s="22"/>
      <c r="N620" s="22"/>
      <c r="U620" s="22"/>
    </row>
    <row r="621" customFormat="false" ht="15.75" hidden="false" customHeight="false" outlineLevel="0" collapsed="false">
      <c r="E621" s="22"/>
      <c r="J621" s="22"/>
      <c r="N621" s="22"/>
      <c r="U621" s="22"/>
    </row>
    <row r="622" customFormat="false" ht="15.75" hidden="false" customHeight="false" outlineLevel="0" collapsed="false">
      <c r="E622" s="22"/>
      <c r="J622" s="22"/>
      <c r="N622" s="22"/>
      <c r="U622" s="22"/>
    </row>
    <row r="623" customFormat="false" ht="15.75" hidden="false" customHeight="false" outlineLevel="0" collapsed="false">
      <c r="E623" s="22"/>
      <c r="J623" s="22"/>
      <c r="N623" s="22"/>
      <c r="U623" s="22"/>
    </row>
    <row r="624" customFormat="false" ht="15.75" hidden="false" customHeight="false" outlineLevel="0" collapsed="false">
      <c r="E624" s="22"/>
      <c r="J624" s="22"/>
      <c r="N624" s="22"/>
      <c r="U624" s="22"/>
    </row>
    <row r="625" customFormat="false" ht="15.75" hidden="false" customHeight="false" outlineLevel="0" collapsed="false">
      <c r="E625" s="22"/>
      <c r="J625" s="22"/>
      <c r="N625" s="22"/>
      <c r="U625" s="22"/>
    </row>
    <row r="626" customFormat="false" ht="15.75" hidden="false" customHeight="false" outlineLevel="0" collapsed="false">
      <c r="E626" s="22"/>
      <c r="J626" s="22"/>
      <c r="N626" s="22"/>
      <c r="U626" s="22"/>
    </row>
    <row r="627" customFormat="false" ht="15.75" hidden="false" customHeight="false" outlineLevel="0" collapsed="false">
      <c r="E627" s="22"/>
      <c r="J627" s="22"/>
      <c r="N627" s="22"/>
      <c r="U627" s="22"/>
    </row>
    <row r="628" customFormat="false" ht="15.75" hidden="false" customHeight="false" outlineLevel="0" collapsed="false">
      <c r="E628" s="22"/>
      <c r="J628" s="22"/>
      <c r="N628" s="22"/>
      <c r="U628" s="22"/>
    </row>
    <row r="629" customFormat="false" ht="15.75" hidden="false" customHeight="false" outlineLevel="0" collapsed="false">
      <c r="E629" s="22"/>
      <c r="J629" s="22"/>
      <c r="N629" s="22"/>
      <c r="U629" s="22"/>
    </row>
    <row r="630" customFormat="false" ht="15.75" hidden="false" customHeight="false" outlineLevel="0" collapsed="false">
      <c r="E630" s="22"/>
      <c r="J630" s="22"/>
      <c r="N630" s="22"/>
      <c r="U630" s="22"/>
    </row>
    <row r="631" customFormat="false" ht="15.75" hidden="false" customHeight="false" outlineLevel="0" collapsed="false">
      <c r="E631" s="22"/>
      <c r="J631" s="22"/>
      <c r="N631" s="22"/>
      <c r="U631" s="22"/>
    </row>
    <row r="632" customFormat="false" ht="15.75" hidden="false" customHeight="false" outlineLevel="0" collapsed="false">
      <c r="E632" s="22"/>
      <c r="J632" s="22"/>
      <c r="N632" s="22"/>
      <c r="U632" s="22"/>
    </row>
    <row r="633" customFormat="false" ht="15.75" hidden="false" customHeight="false" outlineLevel="0" collapsed="false">
      <c r="E633" s="22"/>
      <c r="J633" s="22"/>
      <c r="N633" s="22"/>
      <c r="U633" s="22"/>
    </row>
    <row r="634" customFormat="false" ht="15.75" hidden="false" customHeight="false" outlineLevel="0" collapsed="false">
      <c r="E634" s="22"/>
      <c r="J634" s="22"/>
      <c r="N634" s="22"/>
      <c r="U634" s="22"/>
    </row>
    <row r="635" customFormat="false" ht="15.75" hidden="false" customHeight="false" outlineLevel="0" collapsed="false">
      <c r="E635" s="22"/>
      <c r="J635" s="22"/>
      <c r="N635" s="22"/>
      <c r="U635" s="22"/>
    </row>
    <row r="636" customFormat="false" ht="15.75" hidden="false" customHeight="false" outlineLevel="0" collapsed="false">
      <c r="E636" s="22"/>
      <c r="J636" s="22"/>
      <c r="N636" s="22"/>
      <c r="U636" s="22"/>
    </row>
    <row r="637" customFormat="false" ht="15.75" hidden="false" customHeight="false" outlineLevel="0" collapsed="false">
      <c r="E637" s="22"/>
      <c r="J637" s="22"/>
      <c r="N637" s="22"/>
      <c r="U637" s="22"/>
    </row>
    <row r="638" customFormat="false" ht="15.75" hidden="false" customHeight="false" outlineLevel="0" collapsed="false">
      <c r="E638" s="22"/>
      <c r="J638" s="22"/>
      <c r="N638" s="22"/>
      <c r="U638" s="22"/>
    </row>
    <row r="639" customFormat="false" ht="15.75" hidden="false" customHeight="false" outlineLevel="0" collapsed="false">
      <c r="E639" s="22"/>
      <c r="J639" s="22"/>
      <c r="N639" s="22"/>
      <c r="U639" s="22"/>
    </row>
    <row r="640" customFormat="false" ht="15.75" hidden="false" customHeight="false" outlineLevel="0" collapsed="false">
      <c r="E640" s="22"/>
      <c r="J640" s="22"/>
      <c r="N640" s="22"/>
      <c r="U640" s="22"/>
    </row>
    <row r="641" customFormat="false" ht="15.75" hidden="false" customHeight="false" outlineLevel="0" collapsed="false">
      <c r="E641" s="22"/>
      <c r="J641" s="22"/>
      <c r="N641" s="22"/>
      <c r="U641" s="22"/>
    </row>
    <row r="642" customFormat="false" ht="15.75" hidden="false" customHeight="false" outlineLevel="0" collapsed="false">
      <c r="E642" s="22"/>
      <c r="J642" s="22"/>
      <c r="N642" s="22"/>
      <c r="U642" s="22"/>
    </row>
    <row r="643" customFormat="false" ht="15.75" hidden="false" customHeight="false" outlineLevel="0" collapsed="false">
      <c r="E643" s="22"/>
      <c r="J643" s="22"/>
      <c r="N643" s="22"/>
      <c r="U643" s="22"/>
    </row>
    <row r="644" customFormat="false" ht="15.75" hidden="false" customHeight="false" outlineLevel="0" collapsed="false">
      <c r="E644" s="22"/>
      <c r="J644" s="22"/>
      <c r="N644" s="22"/>
      <c r="U644" s="22"/>
    </row>
    <row r="645" customFormat="false" ht="15.75" hidden="false" customHeight="false" outlineLevel="0" collapsed="false">
      <c r="E645" s="22"/>
      <c r="J645" s="22"/>
      <c r="N645" s="22"/>
      <c r="U645" s="22"/>
    </row>
    <row r="646" customFormat="false" ht="15.75" hidden="false" customHeight="false" outlineLevel="0" collapsed="false">
      <c r="E646" s="22"/>
      <c r="J646" s="22"/>
      <c r="N646" s="22"/>
      <c r="U646" s="22"/>
    </row>
    <row r="647" customFormat="false" ht="15.75" hidden="false" customHeight="false" outlineLevel="0" collapsed="false">
      <c r="E647" s="22"/>
      <c r="J647" s="22"/>
      <c r="N647" s="22"/>
      <c r="U647" s="22"/>
    </row>
    <row r="648" customFormat="false" ht="15.75" hidden="false" customHeight="false" outlineLevel="0" collapsed="false">
      <c r="E648" s="22"/>
      <c r="J648" s="22"/>
      <c r="N648" s="22"/>
      <c r="U648" s="22"/>
    </row>
    <row r="649" customFormat="false" ht="15.75" hidden="false" customHeight="false" outlineLevel="0" collapsed="false">
      <c r="E649" s="22"/>
      <c r="J649" s="22"/>
      <c r="N649" s="22"/>
      <c r="U649" s="22"/>
    </row>
    <row r="650" customFormat="false" ht="15.75" hidden="false" customHeight="false" outlineLevel="0" collapsed="false">
      <c r="E650" s="22"/>
      <c r="J650" s="22"/>
      <c r="N650" s="22"/>
      <c r="U650" s="22"/>
    </row>
    <row r="651" customFormat="false" ht="15.75" hidden="false" customHeight="false" outlineLevel="0" collapsed="false">
      <c r="E651" s="22"/>
      <c r="J651" s="22"/>
      <c r="N651" s="22"/>
      <c r="U651" s="22"/>
    </row>
    <row r="652" customFormat="false" ht="15.75" hidden="false" customHeight="false" outlineLevel="0" collapsed="false">
      <c r="E652" s="22"/>
      <c r="J652" s="22"/>
      <c r="N652" s="22"/>
      <c r="U652" s="22"/>
    </row>
    <row r="653" customFormat="false" ht="15.75" hidden="false" customHeight="false" outlineLevel="0" collapsed="false">
      <c r="E653" s="22"/>
      <c r="J653" s="22"/>
      <c r="N653" s="22"/>
      <c r="U653" s="22"/>
    </row>
    <row r="654" customFormat="false" ht="15.75" hidden="false" customHeight="false" outlineLevel="0" collapsed="false">
      <c r="E654" s="22"/>
      <c r="J654" s="22"/>
      <c r="N654" s="22"/>
      <c r="U654" s="22"/>
    </row>
    <row r="655" customFormat="false" ht="15.75" hidden="false" customHeight="false" outlineLevel="0" collapsed="false">
      <c r="E655" s="22"/>
      <c r="J655" s="22"/>
      <c r="N655" s="22"/>
      <c r="U655" s="22"/>
    </row>
    <row r="656" customFormat="false" ht="15.75" hidden="false" customHeight="false" outlineLevel="0" collapsed="false">
      <c r="E656" s="22"/>
      <c r="J656" s="22"/>
      <c r="N656" s="22"/>
      <c r="U656" s="22"/>
    </row>
    <row r="657" customFormat="false" ht="15.75" hidden="false" customHeight="false" outlineLevel="0" collapsed="false">
      <c r="E657" s="22"/>
      <c r="J657" s="22"/>
      <c r="N657" s="22"/>
      <c r="U657" s="22"/>
    </row>
    <row r="658" customFormat="false" ht="15.75" hidden="false" customHeight="false" outlineLevel="0" collapsed="false">
      <c r="E658" s="22"/>
      <c r="J658" s="22"/>
      <c r="N658" s="22"/>
      <c r="U658" s="22"/>
    </row>
    <row r="659" customFormat="false" ht="15.75" hidden="false" customHeight="false" outlineLevel="0" collapsed="false">
      <c r="E659" s="22"/>
      <c r="J659" s="22"/>
      <c r="N659" s="22"/>
      <c r="U659" s="22"/>
    </row>
    <row r="660" customFormat="false" ht="15.75" hidden="false" customHeight="false" outlineLevel="0" collapsed="false">
      <c r="E660" s="22"/>
      <c r="J660" s="22"/>
      <c r="N660" s="22"/>
      <c r="U660" s="22"/>
    </row>
    <row r="661" customFormat="false" ht="15.75" hidden="false" customHeight="false" outlineLevel="0" collapsed="false">
      <c r="E661" s="22"/>
      <c r="J661" s="22"/>
      <c r="N661" s="22"/>
      <c r="U661" s="22"/>
    </row>
    <row r="662" customFormat="false" ht="15.75" hidden="false" customHeight="false" outlineLevel="0" collapsed="false">
      <c r="E662" s="22"/>
      <c r="J662" s="22"/>
      <c r="N662" s="22"/>
      <c r="U662" s="22"/>
    </row>
    <row r="663" customFormat="false" ht="15.75" hidden="false" customHeight="false" outlineLevel="0" collapsed="false">
      <c r="E663" s="22"/>
      <c r="J663" s="22"/>
      <c r="N663" s="22"/>
      <c r="U663" s="22"/>
    </row>
    <row r="664" customFormat="false" ht="15.75" hidden="false" customHeight="false" outlineLevel="0" collapsed="false">
      <c r="E664" s="22"/>
      <c r="J664" s="22"/>
      <c r="N664" s="22"/>
      <c r="U664" s="22"/>
    </row>
    <row r="665" customFormat="false" ht="15.75" hidden="false" customHeight="false" outlineLevel="0" collapsed="false">
      <c r="E665" s="22"/>
      <c r="J665" s="22"/>
      <c r="N665" s="22"/>
      <c r="U665" s="22"/>
    </row>
    <row r="666" customFormat="false" ht="15.75" hidden="false" customHeight="false" outlineLevel="0" collapsed="false">
      <c r="E666" s="22"/>
      <c r="J666" s="22"/>
      <c r="N666" s="22"/>
      <c r="U666" s="22"/>
    </row>
    <row r="667" customFormat="false" ht="15.75" hidden="false" customHeight="false" outlineLevel="0" collapsed="false">
      <c r="E667" s="22"/>
      <c r="J667" s="22"/>
      <c r="N667" s="22"/>
      <c r="U667" s="22"/>
    </row>
    <row r="668" customFormat="false" ht="15.75" hidden="false" customHeight="false" outlineLevel="0" collapsed="false">
      <c r="E668" s="22"/>
      <c r="J668" s="22"/>
      <c r="N668" s="22"/>
      <c r="U668" s="22"/>
    </row>
    <row r="669" customFormat="false" ht="15.75" hidden="false" customHeight="false" outlineLevel="0" collapsed="false">
      <c r="E669" s="22"/>
      <c r="J669" s="22"/>
      <c r="N669" s="22"/>
      <c r="U669" s="22"/>
    </row>
    <row r="670" customFormat="false" ht="15.75" hidden="false" customHeight="false" outlineLevel="0" collapsed="false">
      <c r="E670" s="22"/>
      <c r="J670" s="22"/>
      <c r="N670" s="22"/>
      <c r="U670" s="22"/>
    </row>
    <row r="671" customFormat="false" ht="15.75" hidden="false" customHeight="false" outlineLevel="0" collapsed="false">
      <c r="E671" s="22"/>
      <c r="J671" s="22"/>
      <c r="N671" s="22"/>
      <c r="U671" s="22"/>
    </row>
    <row r="672" customFormat="false" ht="15.75" hidden="false" customHeight="false" outlineLevel="0" collapsed="false">
      <c r="E672" s="22"/>
      <c r="J672" s="22"/>
      <c r="N672" s="22"/>
      <c r="U672" s="22"/>
    </row>
    <row r="673" customFormat="false" ht="15.75" hidden="false" customHeight="false" outlineLevel="0" collapsed="false">
      <c r="E673" s="22"/>
      <c r="J673" s="22"/>
      <c r="N673" s="22"/>
      <c r="U673" s="22"/>
    </row>
    <row r="674" customFormat="false" ht="15.75" hidden="false" customHeight="false" outlineLevel="0" collapsed="false">
      <c r="E674" s="22"/>
      <c r="J674" s="22"/>
      <c r="N674" s="22"/>
      <c r="U674" s="22"/>
    </row>
    <row r="675" customFormat="false" ht="15.75" hidden="false" customHeight="false" outlineLevel="0" collapsed="false">
      <c r="E675" s="22"/>
      <c r="J675" s="22"/>
      <c r="N675" s="22"/>
      <c r="U675" s="22"/>
    </row>
    <row r="676" customFormat="false" ht="15.75" hidden="false" customHeight="false" outlineLevel="0" collapsed="false">
      <c r="E676" s="22"/>
      <c r="J676" s="22"/>
      <c r="N676" s="22"/>
      <c r="U676" s="22"/>
    </row>
    <row r="677" customFormat="false" ht="15.75" hidden="false" customHeight="false" outlineLevel="0" collapsed="false">
      <c r="E677" s="22"/>
      <c r="J677" s="22"/>
      <c r="N677" s="22"/>
      <c r="U677" s="22"/>
    </row>
    <row r="678" customFormat="false" ht="15.75" hidden="false" customHeight="false" outlineLevel="0" collapsed="false">
      <c r="E678" s="22"/>
      <c r="J678" s="22"/>
      <c r="N678" s="22"/>
      <c r="U678" s="22"/>
    </row>
    <row r="679" customFormat="false" ht="15.75" hidden="false" customHeight="false" outlineLevel="0" collapsed="false">
      <c r="E679" s="22"/>
      <c r="J679" s="22"/>
      <c r="N679" s="22"/>
      <c r="U679" s="22"/>
    </row>
    <row r="680" customFormat="false" ht="15.75" hidden="false" customHeight="false" outlineLevel="0" collapsed="false">
      <c r="E680" s="22"/>
      <c r="J680" s="22"/>
      <c r="N680" s="22"/>
      <c r="U680" s="22"/>
    </row>
    <row r="681" customFormat="false" ht="15.75" hidden="false" customHeight="false" outlineLevel="0" collapsed="false">
      <c r="E681" s="22"/>
      <c r="J681" s="22"/>
      <c r="N681" s="22"/>
      <c r="U681" s="22"/>
    </row>
    <row r="682" customFormat="false" ht="15.75" hidden="false" customHeight="false" outlineLevel="0" collapsed="false">
      <c r="E682" s="22"/>
      <c r="J682" s="22"/>
      <c r="N682" s="22"/>
      <c r="U682" s="22"/>
    </row>
    <row r="683" customFormat="false" ht="15.75" hidden="false" customHeight="false" outlineLevel="0" collapsed="false">
      <c r="E683" s="22"/>
      <c r="J683" s="22"/>
      <c r="N683" s="22"/>
      <c r="U683" s="22"/>
    </row>
    <row r="684" customFormat="false" ht="15.75" hidden="false" customHeight="false" outlineLevel="0" collapsed="false">
      <c r="E684" s="22"/>
      <c r="J684" s="22"/>
      <c r="N684" s="22"/>
      <c r="U684" s="22"/>
    </row>
    <row r="685" customFormat="false" ht="15.75" hidden="false" customHeight="false" outlineLevel="0" collapsed="false">
      <c r="E685" s="22"/>
      <c r="J685" s="22"/>
      <c r="N685" s="22"/>
      <c r="U685" s="22"/>
    </row>
    <row r="686" customFormat="false" ht="15.75" hidden="false" customHeight="false" outlineLevel="0" collapsed="false">
      <c r="E686" s="22"/>
      <c r="J686" s="22"/>
      <c r="N686" s="22"/>
      <c r="U686" s="22"/>
    </row>
    <row r="687" customFormat="false" ht="15.75" hidden="false" customHeight="false" outlineLevel="0" collapsed="false">
      <c r="E687" s="22"/>
      <c r="J687" s="22"/>
      <c r="N687" s="22"/>
      <c r="U687" s="22"/>
    </row>
    <row r="688" customFormat="false" ht="15.75" hidden="false" customHeight="false" outlineLevel="0" collapsed="false">
      <c r="E688" s="22"/>
      <c r="J688" s="22"/>
      <c r="N688" s="22"/>
      <c r="U688" s="22"/>
    </row>
    <row r="689" customFormat="false" ht="15.75" hidden="false" customHeight="false" outlineLevel="0" collapsed="false">
      <c r="E689" s="22"/>
      <c r="J689" s="22"/>
      <c r="N689" s="22"/>
      <c r="U689" s="22"/>
    </row>
    <row r="690" customFormat="false" ht="15.75" hidden="false" customHeight="false" outlineLevel="0" collapsed="false">
      <c r="E690" s="22"/>
      <c r="J690" s="22"/>
      <c r="N690" s="22"/>
      <c r="U690" s="22"/>
    </row>
    <row r="691" customFormat="false" ht="15.75" hidden="false" customHeight="false" outlineLevel="0" collapsed="false">
      <c r="E691" s="22"/>
      <c r="J691" s="22"/>
      <c r="N691" s="22"/>
      <c r="U691" s="22"/>
    </row>
    <row r="692" customFormat="false" ht="15.75" hidden="false" customHeight="false" outlineLevel="0" collapsed="false">
      <c r="E692" s="22"/>
      <c r="J692" s="22"/>
      <c r="N692" s="22"/>
      <c r="U692" s="22"/>
    </row>
    <row r="693" customFormat="false" ht="15.75" hidden="false" customHeight="false" outlineLevel="0" collapsed="false">
      <c r="E693" s="22"/>
      <c r="J693" s="22"/>
      <c r="N693" s="22"/>
      <c r="U693" s="22"/>
    </row>
    <row r="694" customFormat="false" ht="15.75" hidden="false" customHeight="false" outlineLevel="0" collapsed="false">
      <c r="E694" s="22"/>
      <c r="J694" s="22"/>
      <c r="N694" s="22"/>
      <c r="U694" s="22"/>
    </row>
    <row r="695" customFormat="false" ht="15.75" hidden="false" customHeight="false" outlineLevel="0" collapsed="false">
      <c r="E695" s="22"/>
      <c r="J695" s="22"/>
      <c r="N695" s="22"/>
      <c r="U695" s="22"/>
    </row>
    <row r="696" customFormat="false" ht="15.75" hidden="false" customHeight="false" outlineLevel="0" collapsed="false">
      <c r="E696" s="22"/>
      <c r="J696" s="22"/>
      <c r="N696" s="22"/>
      <c r="U696" s="22"/>
    </row>
    <row r="697" customFormat="false" ht="15.75" hidden="false" customHeight="false" outlineLevel="0" collapsed="false">
      <c r="E697" s="22"/>
      <c r="J697" s="22"/>
      <c r="N697" s="22"/>
      <c r="U697" s="22"/>
    </row>
    <row r="698" customFormat="false" ht="15.75" hidden="false" customHeight="false" outlineLevel="0" collapsed="false">
      <c r="E698" s="22"/>
      <c r="J698" s="22"/>
      <c r="N698" s="22"/>
      <c r="U698" s="22"/>
    </row>
    <row r="699" customFormat="false" ht="15.75" hidden="false" customHeight="false" outlineLevel="0" collapsed="false">
      <c r="E699" s="22"/>
      <c r="J699" s="22"/>
      <c r="N699" s="22"/>
      <c r="U699" s="22"/>
    </row>
    <row r="700" customFormat="false" ht="15.75" hidden="false" customHeight="false" outlineLevel="0" collapsed="false">
      <c r="E700" s="22"/>
      <c r="J700" s="22"/>
      <c r="N700" s="22"/>
      <c r="U700" s="22"/>
    </row>
    <row r="701" customFormat="false" ht="15.75" hidden="false" customHeight="false" outlineLevel="0" collapsed="false">
      <c r="E701" s="22"/>
      <c r="J701" s="22"/>
      <c r="N701" s="22"/>
      <c r="U701" s="22"/>
    </row>
    <row r="702" customFormat="false" ht="15.75" hidden="false" customHeight="false" outlineLevel="0" collapsed="false">
      <c r="E702" s="22"/>
      <c r="J702" s="22"/>
      <c r="N702" s="22"/>
      <c r="U702" s="22"/>
    </row>
    <row r="703" customFormat="false" ht="15.75" hidden="false" customHeight="false" outlineLevel="0" collapsed="false">
      <c r="E703" s="22"/>
      <c r="J703" s="22"/>
      <c r="N703" s="22"/>
      <c r="U703" s="22"/>
    </row>
    <row r="704" customFormat="false" ht="15.75" hidden="false" customHeight="false" outlineLevel="0" collapsed="false">
      <c r="E704" s="22"/>
      <c r="J704" s="22"/>
      <c r="N704" s="22"/>
      <c r="U704" s="22"/>
    </row>
    <row r="705" customFormat="false" ht="15.75" hidden="false" customHeight="false" outlineLevel="0" collapsed="false">
      <c r="E705" s="22"/>
      <c r="J705" s="22"/>
      <c r="N705" s="22"/>
      <c r="U705" s="22"/>
    </row>
    <row r="706" customFormat="false" ht="15.75" hidden="false" customHeight="false" outlineLevel="0" collapsed="false">
      <c r="E706" s="22"/>
      <c r="J706" s="22"/>
      <c r="N706" s="22"/>
      <c r="U706" s="22"/>
    </row>
    <row r="707" customFormat="false" ht="15.75" hidden="false" customHeight="false" outlineLevel="0" collapsed="false">
      <c r="E707" s="22"/>
      <c r="J707" s="22"/>
      <c r="N707" s="22"/>
      <c r="U707" s="22"/>
    </row>
    <row r="708" customFormat="false" ht="15.75" hidden="false" customHeight="false" outlineLevel="0" collapsed="false">
      <c r="E708" s="22"/>
      <c r="J708" s="22"/>
      <c r="N708" s="22"/>
      <c r="U708" s="22"/>
    </row>
    <row r="709" customFormat="false" ht="15.75" hidden="false" customHeight="false" outlineLevel="0" collapsed="false">
      <c r="E709" s="22"/>
      <c r="J709" s="22"/>
      <c r="N709" s="22"/>
      <c r="U709" s="22"/>
    </row>
    <row r="710" customFormat="false" ht="15.75" hidden="false" customHeight="false" outlineLevel="0" collapsed="false">
      <c r="E710" s="22"/>
      <c r="J710" s="22"/>
      <c r="N710" s="22"/>
      <c r="U710" s="22"/>
    </row>
    <row r="711" customFormat="false" ht="15.75" hidden="false" customHeight="false" outlineLevel="0" collapsed="false">
      <c r="E711" s="22"/>
      <c r="J711" s="22"/>
      <c r="N711" s="22"/>
      <c r="U711" s="22"/>
    </row>
    <row r="712" customFormat="false" ht="15.75" hidden="false" customHeight="false" outlineLevel="0" collapsed="false">
      <c r="E712" s="22"/>
      <c r="J712" s="22"/>
      <c r="N712" s="22"/>
      <c r="U712" s="22"/>
    </row>
    <row r="713" customFormat="false" ht="15.75" hidden="false" customHeight="false" outlineLevel="0" collapsed="false">
      <c r="E713" s="22"/>
      <c r="J713" s="22"/>
      <c r="N713" s="22"/>
      <c r="U713" s="22"/>
    </row>
    <row r="714" customFormat="false" ht="15.75" hidden="false" customHeight="false" outlineLevel="0" collapsed="false">
      <c r="E714" s="22"/>
      <c r="J714" s="22"/>
      <c r="N714" s="22"/>
      <c r="U714" s="22"/>
    </row>
    <row r="715" customFormat="false" ht="15.75" hidden="false" customHeight="false" outlineLevel="0" collapsed="false">
      <c r="E715" s="22"/>
      <c r="J715" s="22"/>
      <c r="N715" s="22"/>
      <c r="U715" s="22"/>
    </row>
    <row r="716" customFormat="false" ht="15.75" hidden="false" customHeight="false" outlineLevel="0" collapsed="false">
      <c r="E716" s="22"/>
      <c r="J716" s="22"/>
      <c r="N716" s="22"/>
      <c r="U716" s="22"/>
    </row>
    <row r="717" customFormat="false" ht="15.75" hidden="false" customHeight="false" outlineLevel="0" collapsed="false">
      <c r="E717" s="22"/>
      <c r="J717" s="22"/>
      <c r="N717" s="22"/>
      <c r="U717" s="22"/>
    </row>
    <row r="718" customFormat="false" ht="15.75" hidden="false" customHeight="false" outlineLevel="0" collapsed="false">
      <c r="E718" s="22"/>
      <c r="J718" s="22"/>
      <c r="N718" s="22"/>
      <c r="U718" s="22"/>
    </row>
    <row r="719" customFormat="false" ht="15.75" hidden="false" customHeight="false" outlineLevel="0" collapsed="false">
      <c r="E719" s="22"/>
      <c r="J719" s="22"/>
      <c r="N719" s="22"/>
      <c r="U719" s="22"/>
    </row>
    <row r="720" customFormat="false" ht="15.75" hidden="false" customHeight="false" outlineLevel="0" collapsed="false">
      <c r="E720" s="22"/>
      <c r="J720" s="22"/>
      <c r="N720" s="22"/>
      <c r="U720" s="22"/>
    </row>
    <row r="721" customFormat="false" ht="15.75" hidden="false" customHeight="false" outlineLevel="0" collapsed="false">
      <c r="E721" s="22"/>
      <c r="J721" s="22"/>
      <c r="N721" s="22"/>
      <c r="U721" s="22"/>
    </row>
    <row r="722" customFormat="false" ht="15.75" hidden="false" customHeight="false" outlineLevel="0" collapsed="false">
      <c r="E722" s="22"/>
      <c r="J722" s="22"/>
      <c r="N722" s="22"/>
      <c r="U722" s="22"/>
    </row>
    <row r="723" customFormat="false" ht="15.75" hidden="false" customHeight="false" outlineLevel="0" collapsed="false">
      <c r="E723" s="22"/>
      <c r="J723" s="22"/>
      <c r="N723" s="22"/>
      <c r="U723" s="22"/>
    </row>
    <row r="724" customFormat="false" ht="15.75" hidden="false" customHeight="false" outlineLevel="0" collapsed="false">
      <c r="E724" s="22"/>
      <c r="J724" s="22"/>
      <c r="N724" s="22"/>
      <c r="U724" s="22"/>
    </row>
    <row r="725" customFormat="false" ht="15.75" hidden="false" customHeight="false" outlineLevel="0" collapsed="false">
      <c r="E725" s="22"/>
      <c r="J725" s="22"/>
      <c r="N725" s="22"/>
      <c r="U725" s="22"/>
    </row>
    <row r="726" customFormat="false" ht="15.75" hidden="false" customHeight="false" outlineLevel="0" collapsed="false">
      <c r="E726" s="22"/>
      <c r="J726" s="22"/>
      <c r="N726" s="22"/>
      <c r="U726" s="22"/>
    </row>
    <row r="727" customFormat="false" ht="15.75" hidden="false" customHeight="false" outlineLevel="0" collapsed="false">
      <c r="E727" s="22"/>
      <c r="J727" s="22"/>
      <c r="N727" s="22"/>
      <c r="U727" s="22"/>
    </row>
    <row r="728" customFormat="false" ht="15.75" hidden="false" customHeight="false" outlineLevel="0" collapsed="false">
      <c r="E728" s="22"/>
      <c r="J728" s="22"/>
      <c r="N728" s="22"/>
      <c r="U728" s="22"/>
    </row>
    <row r="729" customFormat="false" ht="15.75" hidden="false" customHeight="false" outlineLevel="0" collapsed="false">
      <c r="E729" s="22"/>
      <c r="J729" s="22"/>
      <c r="N729" s="22"/>
      <c r="U729" s="22"/>
    </row>
    <row r="730" customFormat="false" ht="15.75" hidden="false" customHeight="false" outlineLevel="0" collapsed="false">
      <c r="E730" s="22"/>
      <c r="J730" s="22"/>
      <c r="N730" s="22"/>
      <c r="U730" s="22"/>
    </row>
    <row r="731" customFormat="false" ht="15.75" hidden="false" customHeight="false" outlineLevel="0" collapsed="false">
      <c r="E731" s="22"/>
      <c r="J731" s="22"/>
      <c r="N731" s="22"/>
      <c r="U731" s="22"/>
    </row>
    <row r="732" customFormat="false" ht="15.75" hidden="false" customHeight="false" outlineLevel="0" collapsed="false">
      <c r="E732" s="22"/>
      <c r="J732" s="22"/>
      <c r="N732" s="22"/>
      <c r="U732" s="22"/>
    </row>
    <row r="733" customFormat="false" ht="15.75" hidden="false" customHeight="false" outlineLevel="0" collapsed="false">
      <c r="E733" s="22"/>
      <c r="J733" s="22"/>
      <c r="N733" s="22"/>
      <c r="U733" s="22"/>
    </row>
    <row r="734" customFormat="false" ht="15.75" hidden="false" customHeight="false" outlineLevel="0" collapsed="false">
      <c r="E734" s="22"/>
      <c r="J734" s="22"/>
      <c r="N734" s="22"/>
      <c r="U734" s="22"/>
    </row>
    <row r="735" customFormat="false" ht="15.75" hidden="false" customHeight="false" outlineLevel="0" collapsed="false">
      <c r="E735" s="22"/>
      <c r="J735" s="22"/>
      <c r="N735" s="22"/>
      <c r="U735" s="22"/>
    </row>
    <row r="736" customFormat="false" ht="15.75" hidden="false" customHeight="false" outlineLevel="0" collapsed="false">
      <c r="E736" s="22"/>
      <c r="J736" s="22"/>
      <c r="N736" s="22"/>
      <c r="U736" s="22"/>
    </row>
    <row r="737" customFormat="false" ht="15.75" hidden="false" customHeight="false" outlineLevel="0" collapsed="false">
      <c r="E737" s="22"/>
      <c r="J737" s="22"/>
      <c r="N737" s="22"/>
      <c r="U737" s="22"/>
    </row>
    <row r="738" customFormat="false" ht="15.75" hidden="false" customHeight="false" outlineLevel="0" collapsed="false">
      <c r="E738" s="22"/>
      <c r="J738" s="22"/>
      <c r="N738" s="22"/>
      <c r="U738" s="22"/>
    </row>
    <row r="739" customFormat="false" ht="15.75" hidden="false" customHeight="false" outlineLevel="0" collapsed="false">
      <c r="E739" s="22"/>
      <c r="J739" s="22"/>
      <c r="N739" s="22"/>
      <c r="U739" s="22"/>
    </row>
    <row r="740" customFormat="false" ht="15.75" hidden="false" customHeight="false" outlineLevel="0" collapsed="false">
      <c r="E740" s="22"/>
      <c r="J740" s="22"/>
      <c r="N740" s="22"/>
      <c r="U740" s="22"/>
    </row>
    <row r="741" customFormat="false" ht="15.75" hidden="false" customHeight="false" outlineLevel="0" collapsed="false">
      <c r="E741" s="22"/>
      <c r="J741" s="22"/>
      <c r="N741" s="22"/>
      <c r="U741" s="22"/>
    </row>
    <row r="742" customFormat="false" ht="15.75" hidden="false" customHeight="false" outlineLevel="0" collapsed="false">
      <c r="E742" s="22"/>
      <c r="J742" s="22"/>
      <c r="N742" s="22"/>
      <c r="U742" s="22"/>
    </row>
    <row r="743" customFormat="false" ht="15.75" hidden="false" customHeight="false" outlineLevel="0" collapsed="false">
      <c r="E743" s="22"/>
      <c r="J743" s="22"/>
      <c r="N743" s="22"/>
      <c r="U743" s="22"/>
    </row>
    <row r="744" customFormat="false" ht="15.75" hidden="false" customHeight="false" outlineLevel="0" collapsed="false">
      <c r="E744" s="22"/>
      <c r="J744" s="22"/>
      <c r="N744" s="22"/>
      <c r="U744" s="22"/>
    </row>
    <row r="745" customFormat="false" ht="15.75" hidden="false" customHeight="false" outlineLevel="0" collapsed="false">
      <c r="E745" s="22"/>
      <c r="J745" s="22"/>
      <c r="N745" s="22"/>
      <c r="U745" s="22"/>
    </row>
    <row r="746" customFormat="false" ht="15.75" hidden="false" customHeight="false" outlineLevel="0" collapsed="false">
      <c r="E746" s="22"/>
      <c r="J746" s="22"/>
      <c r="N746" s="22"/>
      <c r="U746" s="22"/>
    </row>
    <row r="747" customFormat="false" ht="15.75" hidden="false" customHeight="false" outlineLevel="0" collapsed="false">
      <c r="E747" s="22"/>
      <c r="J747" s="22"/>
      <c r="N747" s="22"/>
      <c r="U747" s="22"/>
    </row>
    <row r="748" customFormat="false" ht="15.75" hidden="false" customHeight="false" outlineLevel="0" collapsed="false">
      <c r="E748" s="22"/>
      <c r="J748" s="22"/>
      <c r="N748" s="22"/>
      <c r="U748" s="22"/>
    </row>
    <row r="749" customFormat="false" ht="15.75" hidden="false" customHeight="false" outlineLevel="0" collapsed="false">
      <c r="E749" s="22"/>
      <c r="J749" s="22"/>
      <c r="N749" s="22"/>
      <c r="U749" s="22"/>
    </row>
    <row r="750" customFormat="false" ht="15.75" hidden="false" customHeight="false" outlineLevel="0" collapsed="false">
      <c r="E750" s="22"/>
      <c r="J750" s="22"/>
      <c r="N750" s="22"/>
      <c r="U750" s="22"/>
    </row>
    <row r="751" customFormat="false" ht="15.75" hidden="false" customHeight="false" outlineLevel="0" collapsed="false">
      <c r="E751" s="22"/>
      <c r="J751" s="22"/>
      <c r="N751" s="22"/>
      <c r="U751" s="22"/>
    </row>
    <row r="752" customFormat="false" ht="15.75" hidden="false" customHeight="false" outlineLevel="0" collapsed="false">
      <c r="E752" s="22"/>
      <c r="J752" s="22"/>
      <c r="N752" s="22"/>
      <c r="U752" s="22"/>
    </row>
    <row r="753" customFormat="false" ht="15.75" hidden="false" customHeight="false" outlineLevel="0" collapsed="false">
      <c r="E753" s="22"/>
      <c r="J753" s="22"/>
      <c r="N753" s="22"/>
      <c r="U753" s="22"/>
    </row>
    <row r="754" customFormat="false" ht="15.75" hidden="false" customHeight="false" outlineLevel="0" collapsed="false">
      <c r="E754" s="22"/>
      <c r="J754" s="22"/>
      <c r="N754" s="22"/>
      <c r="U754" s="22"/>
    </row>
    <row r="755" customFormat="false" ht="15.75" hidden="false" customHeight="false" outlineLevel="0" collapsed="false">
      <c r="E755" s="22"/>
      <c r="J755" s="22"/>
      <c r="N755" s="22"/>
      <c r="U755" s="22"/>
    </row>
    <row r="756" customFormat="false" ht="15.75" hidden="false" customHeight="false" outlineLevel="0" collapsed="false">
      <c r="E756" s="22"/>
      <c r="J756" s="22"/>
      <c r="N756" s="22"/>
      <c r="U756" s="22"/>
    </row>
    <row r="757" customFormat="false" ht="15.75" hidden="false" customHeight="false" outlineLevel="0" collapsed="false">
      <c r="E757" s="22"/>
      <c r="J757" s="22"/>
      <c r="N757" s="22"/>
      <c r="U757" s="22"/>
    </row>
    <row r="758" customFormat="false" ht="15.75" hidden="false" customHeight="false" outlineLevel="0" collapsed="false">
      <c r="E758" s="22"/>
      <c r="J758" s="22"/>
      <c r="N758" s="22"/>
      <c r="U758" s="22"/>
    </row>
    <row r="759" customFormat="false" ht="15.75" hidden="false" customHeight="false" outlineLevel="0" collapsed="false">
      <c r="E759" s="22"/>
      <c r="J759" s="22"/>
      <c r="N759" s="22"/>
      <c r="U759" s="22"/>
    </row>
    <row r="760" customFormat="false" ht="15.75" hidden="false" customHeight="false" outlineLevel="0" collapsed="false">
      <c r="E760" s="22"/>
      <c r="J760" s="22"/>
      <c r="N760" s="22"/>
      <c r="U760" s="22"/>
    </row>
    <row r="761" customFormat="false" ht="15.75" hidden="false" customHeight="false" outlineLevel="0" collapsed="false">
      <c r="E761" s="22"/>
      <c r="J761" s="22"/>
      <c r="N761" s="22"/>
      <c r="U761" s="22"/>
    </row>
    <row r="762" customFormat="false" ht="15.75" hidden="false" customHeight="false" outlineLevel="0" collapsed="false">
      <c r="E762" s="22"/>
      <c r="J762" s="22"/>
      <c r="N762" s="22"/>
      <c r="U762" s="22"/>
    </row>
    <row r="763" customFormat="false" ht="15.75" hidden="false" customHeight="false" outlineLevel="0" collapsed="false">
      <c r="E763" s="22"/>
      <c r="J763" s="22"/>
      <c r="N763" s="22"/>
      <c r="U763" s="22"/>
    </row>
    <row r="764" customFormat="false" ht="15.75" hidden="false" customHeight="false" outlineLevel="0" collapsed="false">
      <c r="E764" s="22"/>
      <c r="J764" s="22"/>
      <c r="N764" s="22"/>
      <c r="U764" s="22"/>
    </row>
    <row r="765" customFormat="false" ht="15.75" hidden="false" customHeight="false" outlineLevel="0" collapsed="false">
      <c r="E765" s="22"/>
      <c r="J765" s="22"/>
      <c r="N765" s="22"/>
      <c r="U765" s="22"/>
    </row>
    <row r="766" customFormat="false" ht="15.75" hidden="false" customHeight="false" outlineLevel="0" collapsed="false">
      <c r="E766" s="22"/>
      <c r="J766" s="22"/>
      <c r="N766" s="22"/>
      <c r="U766" s="22"/>
    </row>
    <row r="767" customFormat="false" ht="15.75" hidden="false" customHeight="false" outlineLevel="0" collapsed="false">
      <c r="E767" s="22"/>
      <c r="J767" s="22"/>
      <c r="N767" s="22"/>
      <c r="U767" s="22"/>
    </row>
    <row r="768" customFormat="false" ht="15.75" hidden="false" customHeight="false" outlineLevel="0" collapsed="false">
      <c r="E768" s="22"/>
      <c r="J768" s="22"/>
      <c r="N768" s="22"/>
      <c r="U768" s="22"/>
    </row>
    <row r="769" customFormat="false" ht="15.75" hidden="false" customHeight="false" outlineLevel="0" collapsed="false">
      <c r="E769" s="22"/>
      <c r="J769" s="22"/>
      <c r="N769" s="22"/>
      <c r="U769" s="22"/>
    </row>
    <row r="770" customFormat="false" ht="15.75" hidden="false" customHeight="false" outlineLevel="0" collapsed="false">
      <c r="E770" s="22"/>
      <c r="J770" s="22"/>
      <c r="N770" s="22"/>
      <c r="U770" s="22"/>
    </row>
    <row r="771" customFormat="false" ht="15.75" hidden="false" customHeight="false" outlineLevel="0" collapsed="false">
      <c r="E771" s="22"/>
      <c r="J771" s="22"/>
      <c r="N771" s="22"/>
      <c r="U771" s="22"/>
    </row>
    <row r="772" customFormat="false" ht="15.75" hidden="false" customHeight="false" outlineLevel="0" collapsed="false">
      <c r="E772" s="22"/>
      <c r="J772" s="22"/>
      <c r="N772" s="22"/>
      <c r="U772" s="22"/>
    </row>
    <row r="773" customFormat="false" ht="15.75" hidden="false" customHeight="false" outlineLevel="0" collapsed="false">
      <c r="E773" s="22"/>
      <c r="J773" s="22"/>
      <c r="N773" s="22"/>
      <c r="U773" s="22"/>
    </row>
    <row r="774" customFormat="false" ht="15.75" hidden="false" customHeight="false" outlineLevel="0" collapsed="false">
      <c r="E774" s="22"/>
      <c r="J774" s="22"/>
      <c r="N774" s="22"/>
      <c r="U774" s="22"/>
    </row>
    <row r="775" customFormat="false" ht="15.75" hidden="false" customHeight="false" outlineLevel="0" collapsed="false">
      <c r="E775" s="22"/>
      <c r="J775" s="22"/>
      <c r="N775" s="22"/>
      <c r="U775" s="22"/>
    </row>
    <row r="776" customFormat="false" ht="15.75" hidden="false" customHeight="false" outlineLevel="0" collapsed="false">
      <c r="E776" s="22"/>
      <c r="J776" s="22"/>
      <c r="N776" s="22"/>
      <c r="U776" s="22"/>
    </row>
    <row r="777" customFormat="false" ht="15.75" hidden="false" customHeight="false" outlineLevel="0" collapsed="false">
      <c r="E777" s="22"/>
      <c r="J777" s="22"/>
      <c r="N777" s="22"/>
      <c r="U777" s="22"/>
    </row>
    <row r="778" customFormat="false" ht="15.75" hidden="false" customHeight="false" outlineLevel="0" collapsed="false">
      <c r="E778" s="22"/>
      <c r="J778" s="22"/>
      <c r="N778" s="22"/>
      <c r="U778" s="22"/>
    </row>
    <row r="779" customFormat="false" ht="15.75" hidden="false" customHeight="false" outlineLevel="0" collapsed="false">
      <c r="E779" s="22"/>
      <c r="J779" s="22"/>
      <c r="N779" s="22"/>
      <c r="U779" s="22"/>
    </row>
    <row r="780" customFormat="false" ht="15.75" hidden="false" customHeight="false" outlineLevel="0" collapsed="false">
      <c r="E780" s="22"/>
      <c r="J780" s="22"/>
      <c r="N780" s="22"/>
      <c r="U780" s="22"/>
    </row>
    <row r="781" customFormat="false" ht="15.75" hidden="false" customHeight="false" outlineLevel="0" collapsed="false">
      <c r="E781" s="22"/>
      <c r="J781" s="22"/>
      <c r="N781" s="22"/>
      <c r="U781" s="22"/>
    </row>
    <row r="782" customFormat="false" ht="15.75" hidden="false" customHeight="false" outlineLevel="0" collapsed="false">
      <c r="E782" s="22"/>
      <c r="J782" s="22"/>
      <c r="N782" s="22"/>
      <c r="U782" s="22"/>
    </row>
    <row r="783" customFormat="false" ht="15.75" hidden="false" customHeight="false" outlineLevel="0" collapsed="false">
      <c r="E783" s="22"/>
      <c r="J783" s="22"/>
      <c r="N783" s="22"/>
      <c r="U783" s="22"/>
    </row>
    <row r="784" customFormat="false" ht="15.75" hidden="false" customHeight="false" outlineLevel="0" collapsed="false">
      <c r="E784" s="22"/>
      <c r="J784" s="22"/>
      <c r="N784" s="22"/>
      <c r="U784" s="22"/>
    </row>
    <row r="785" customFormat="false" ht="15.75" hidden="false" customHeight="false" outlineLevel="0" collapsed="false">
      <c r="E785" s="22"/>
      <c r="J785" s="22"/>
      <c r="N785" s="22"/>
      <c r="U785" s="22"/>
    </row>
    <row r="786" customFormat="false" ht="15.75" hidden="false" customHeight="false" outlineLevel="0" collapsed="false">
      <c r="E786" s="22"/>
      <c r="J786" s="22"/>
      <c r="N786" s="22"/>
      <c r="U786" s="22"/>
    </row>
    <row r="787" customFormat="false" ht="15.75" hidden="false" customHeight="false" outlineLevel="0" collapsed="false">
      <c r="E787" s="22"/>
      <c r="J787" s="22"/>
      <c r="N787" s="22"/>
      <c r="U787" s="22"/>
    </row>
    <row r="788" customFormat="false" ht="15.75" hidden="false" customHeight="false" outlineLevel="0" collapsed="false">
      <c r="E788" s="22"/>
      <c r="J788" s="22"/>
      <c r="N788" s="22"/>
      <c r="U788" s="22"/>
    </row>
    <row r="789" customFormat="false" ht="15.75" hidden="false" customHeight="false" outlineLevel="0" collapsed="false">
      <c r="E789" s="22"/>
      <c r="J789" s="22"/>
      <c r="N789" s="22"/>
      <c r="U789" s="22"/>
    </row>
    <row r="790" customFormat="false" ht="15.75" hidden="false" customHeight="false" outlineLevel="0" collapsed="false">
      <c r="E790" s="22"/>
      <c r="J790" s="22"/>
      <c r="N790" s="22"/>
      <c r="U790" s="22"/>
    </row>
    <row r="791" customFormat="false" ht="15.75" hidden="false" customHeight="false" outlineLevel="0" collapsed="false">
      <c r="E791" s="22"/>
      <c r="J791" s="22"/>
      <c r="N791" s="22"/>
      <c r="U791" s="22"/>
    </row>
    <row r="792" customFormat="false" ht="15.75" hidden="false" customHeight="false" outlineLevel="0" collapsed="false">
      <c r="E792" s="22"/>
      <c r="J792" s="22"/>
      <c r="N792" s="22"/>
      <c r="U792" s="22"/>
    </row>
    <row r="793" customFormat="false" ht="15.75" hidden="false" customHeight="false" outlineLevel="0" collapsed="false">
      <c r="E793" s="22"/>
      <c r="J793" s="22"/>
      <c r="N793" s="22"/>
      <c r="U793" s="22"/>
    </row>
    <row r="794" customFormat="false" ht="15.75" hidden="false" customHeight="false" outlineLevel="0" collapsed="false">
      <c r="E794" s="22"/>
      <c r="J794" s="22"/>
      <c r="N794" s="22"/>
      <c r="U794" s="22"/>
    </row>
    <row r="795" customFormat="false" ht="15.75" hidden="false" customHeight="false" outlineLevel="0" collapsed="false">
      <c r="E795" s="22"/>
      <c r="J795" s="22"/>
      <c r="N795" s="22"/>
      <c r="U795" s="22"/>
    </row>
    <row r="796" customFormat="false" ht="15.75" hidden="false" customHeight="false" outlineLevel="0" collapsed="false">
      <c r="E796" s="22"/>
      <c r="J796" s="22"/>
      <c r="N796" s="22"/>
      <c r="U796" s="22"/>
    </row>
    <row r="797" customFormat="false" ht="15.75" hidden="false" customHeight="false" outlineLevel="0" collapsed="false">
      <c r="E797" s="22"/>
      <c r="J797" s="22"/>
      <c r="N797" s="22"/>
      <c r="U797" s="22"/>
    </row>
    <row r="798" customFormat="false" ht="15.75" hidden="false" customHeight="false" outlineLevel="0" collapsed="false">
      <c r="E798" s="22"/>
      <c r="J798" s="22"/>
      <c r="N798" s="22"/>
      <c r="U798" s="22"/>
    </row>
    <row r="799" customFormat="false" ht="15.75" hidden="false" customHeight="false" outlineLevel="0" collapsed="false">
      <c r="E799" s="22"/>
      <c r="J799" s="22"/>
      <c r="N799" s="22"/>
      <c r="U799" s="22"/>
    </row>
    <row r="800" customFormat="false" ht="15.75" hidden="false" customHeight="false" outlineLevel="0" collapsed="false">
      <c r="E800" s="22"/>
      <c r="J800" s="22"/>
      <c r="N800" s="22"/>
      <c r="U800" s="22"/>
    </row>
    <row r="801" customFormat="false" ht="15.75" hidden="false" customHeight="false" outlineLevel="0" collapsed="false">
      <c r="E801" s="22"/>
      <c r="J801" s="22"/>
      <c r="N801" s="22"/>
      <c r="U801" s="22"/>
    </row>
    <row r="802" customFormat="false" ht="15.75" hidden="false" customHeight="false" outlineLevel="0" collapsed="false">
      <c r="E802" s="22"/>
      <c r="J802" s="22"/>
      <c r="N802" s="22"/>
      <c r="U802" s="22"/>
    </row>
    <row r="803" customFormat="false" ht="15.75" hidden="false" customHeight="false" outlineLevel="0" collapsed="false">
      <c r="E803" s="22"/>
      <c r="J803" s="22"/>
      <c r="N803" s="22"/>
      <c r="U803" s="22"/>
    </row>
    <row r="804" customFormat="false" ht="15.75" hidden="false" customHeight="false" outlineLevel="0" collapsed="false">
      <c r="E804" s="22"/>
      <c r="J804" s="22"/>
      <c r="N804" s="22"/>
      <c r="U804" s="22"/>
    </row>
    <row r="805" customFormat="false" ht="15.75" hidden="false" customHeight="false" outlineLevel="0" collapsed="false">
      <c r="E805" s="22"/>
      <c r="J805" s="22"/>
      <c r="N805" s="22"/>
      <c r="U805" s="22"/>
    </row>
    <row r="806" customFormat="false" ht="15.75" hidden="false" customHeight="false" outlineLevel="0" collapsed="false">
      <c r="E806" s="22"/>
      <c r="J806" s="22"/>
      <c r="N806" s="22"/>
      <c r="U806" s="22"/>
    </row>
    <row r="807" customFormat="false" ht="15.75" hidden="false" customHeight="false" outlineLevel="0" collapsed="false">
      <c r="E807" s="22"/>
      <c r="J807" s="22"/>
      <c r="N807" s="22"/>
      <c r="U807" s="22"/>
    </row>
    <row r="808" customFormat="false" ht="15.75" hidden="false" customHeight="false" outlineLevel="0" collapsed="false">
      <c r="E808" s="22"/>
      <c r="J808" s="22"/>
      <c r="N808" s="22"/>
      <c r="U808" s="22"/>
    </row>
    <row r="809" customFormat="false" ht="15.75" hidden="false" customHeight="false" outlineLevel="0" collapsed="false">
      <c r="E809" s="22"/>
      <c r="J809" s="22"/>
      <c r="N809" s="22"/>
      <c r="U809" s="22"/>
    </row>
    <row r="810" customFormat="false" ht="15.75" hidden="false" customHeight="false" outlineLevel="0" collapsed="false">
      <c r="E810" s="22"/>
      <c r="J810" s="22"/>
      <c r="N810" s="22"/>
      <c r="U810" s="22"/>
    </row>
    <row r="811" customFormat="false" ht="15.75" hidden="false" customHeight="false" outlineLevel="0" collapsed="false">
      <c r="E811" s="22"/>
      <c r="J811" s="22"/>
      <c r="N811" s="22"/>
      <c r="U811" s="22"/>
    </row>
    <row r="812" customFormat="false" ht="15.75" hidden="false" customHeight="false" outlineLevel="0" collapsed="false">
      <c r="E812" s="22"/>
      <c r="J812" s="22"/>
      <c r="N812" s="22"/>
      <c r="U812" s="22"/>
    </row>
    <row r="813" customFormat="false" ht="15.75" hidden="false" customHeight="false" outlineLevel="0" collapsed="false">
      <c r="E813" s="22"/>
      <c r="J813" s="22"/>
      <c r="N813" s="22"/>
      <c r="U813" s="22"/>
    </row>
    <row r="814" customFormat="false" ht="15.75" hidden="false" customHeight="false" outlineLevel="0" collapsed="false">
      <c r="E814" s="22"/>
      <c r="J814" s="22"/>
      <c r="N814" s="22"/>
      <c r="U814" s="22"/>
    </row>
    <row r="815" customFormat="false" ht="15.75" hidden="false" customHeight="false" outlineLevel="0" collapsed="false">
      <c r="E815" s="22"/>
      <c r="J815" s="22"/>
      <c r="N815" s="22"/>
      <c r="U815" s="22"/>
    </row>
    <row r="816" customFormat="false" ht="15.75" hidden="false" customHeight="false" outlineLevel="0" collapsed="false">
      <c r="E816" s="22"/>
      <c r="J816" s="22"/>
      <c r="N816" s="22"/>
      <c r="U816" s="22"/>
    </row>
    <row r="817" customFormat="false" ht="15.75" hidden="false" customHeight="false" outlineLevel="0" collapsed="false">
      <c r="E817" s="22"/>
      <c r="J817" s="22"/>
      <c r="N817" s="22"/>
      <c r="U817" s="22"/>
    </row>
    <row r="818" customFormat="false" ht="15.75" hidden="false" customHeight="false" outlineLevel="0" collapsed="false">
      <c r="E818" s="22"/>
      <c r="J818" s="22"/>
      <c r="N818" s="22"/>
      <c r="U818" s="22"/>
    </row>
    <row r="819" customFormat="false" ht="15.75" hidden="false" customHeight="false" outlineLevel="0" collapsed="false">
      <c r="E819" s="22"/>
      <c r="J819" s="22"/>
      <c r="N819" s="22"/>
      <c r="U819" s="22"/>
    </row>
    <row r="820" customFormat="false" ht="15.75" hidden="false" customHeight="false" outlineLevel="0" collapsed="false">
      <c r="E820" s="22"/>
      <c r="J820" s="22"/>
      <c r="N820" s="22"/>
      <c r="U820" s="22"/>
    </row>
    <row r="821" customFormat="false" ht="15.75" hidden="false" customHeight="false" outlineLevel="0" collapsed="false">
      <c r="E821" s="22"/>
      <c r="J821" s="22"/>
      <c r="N821" s="22"/>
      <c r="U821" s="22"/>
    </row>
    <row r="822" customFormat="false" ht="15.75" hidden="false" customHeight="false" outlineLevel="0" collapsed="false">
      <c r="E822" s="22"/>
      <c r="J822" s="22"/>
      <c r="N822" s="22"/>
      <c r="U822" s="22"/>
    </row>
    <row r="823" customFormat="false" ht="15.75" hidden="false" customHeight="false" outlineLevel="0" collapsed="false">
      <c r="E823" s="22"/>
      <c r="J823" s="22"/>
      <c r="N823" s="22"/>
      <c r="U823" s="22"/>
    </row>
    <row r="824" customFormat="false" ht="15.75" hidden="false" customHeight="false" outlineLevel="0" collapsed="false">
      <c r="E824" s="22"/>
      <c r="J824" s="22"/>
      <c r="N824" s="22"/>
      <c r="U824" s="22"/>
    </row>
    <row r="825" customFormat="false" ht="15.75" hidden="false" customHeight="false" outlineLevel="0" collapsed="false">
      <c r="E825" s="22"/>
      <c r="J825" s="22"/>
      <c r="N825" s="22"/>
      <c r="U825" s="22"/>
    </row>
    <row r="826" customFormat="false" ht="15.75" hidden="false" customHeight="false" outlineLevel="0" collapsed="false">
      <c r="E826" s="22"/>
      <c r="J826" s="22"/>
      <c r="N826" s="22"/>
      <c r="U826" s="22"/>
    </row>
    <row r="827" customFormat="false" ht="15.75" hidden="false" customHeight="false" outlineLevel="0" collapsed="false">
      <c r="E827" s="22"/>
      <c r="J827" s="22"/>
      <c r="N827" s="22"/>
      <c r="U827" s="22"/>
    </row>
    <row r="828" customFormat="false" ht="15.75" hidden="false" customHeight="false" outlineLevel="0" collapsed="false">
      <c r="E828" s="22"/>
      <c r="J828" s="22"/>
      <c r="N828" s="22"/>
      <c r="U828" s="22"/>
    </row>
    <row r="829" customFormat="false" ht="15.75" hidden="false" customHeight="false" outlineLevel="0" collapsed="false">
      <c r="E829" s="22"/>
      <c r="J829" s="22"/>
      <c r="N829" s="22"/>
      <c r="U829" s="22"/>
    </row>
    <row r="830" customFormat="false" ht="15.75" hidden="false" customHeight="false" outlineLevel="0" collapsed="false">
      <c r="E830" s="22"/>
      <c r="J830" s="22"/>
      <c r="N830" s="22"/>
      <c r="U830" s="22"/>
    </row>
    <row r="831" customFormat="false" ht="15.75" hidden="false" customHeight="false" outlineLevel="0" collapsed="false">
      <c r="E831" s="22"/>
      <c r="J831" s="22"/>
      <c r="N831" s="22"/>
      <c r="U831" s="22"/>
    </row>
    <row r="832" customFormat="false" ht="15.75" hidden="false" customHeight="false" outlineLevel="0" collapsed="false">
      <c r="E832" s="22"/>
      <c r="J832" s="22"/>
      <c r="N832" s="22"/>
      <c r="U832" s="22"/>
    </row>
    <row r="833" customFormat="false" ht="15.75" hidden="false" customHeight="false" outlineLevel="0" collapsed="false">
      <c r="E833" s="22"/>
      <c r="J833" s="22"/>
      <c r="N833" s="22"/>
      <c r="U833" s="22"/>
    </row>
    <row r="834" customFormat="false" ht="15.75" hidden="false" customHeight="false" outlineLevel="0" collapsed="false">
      <c r="E834" s="22"/>
      <c r="J834" s="22"/>
      <c r="N834" s="22"/>
      <c r="U834" s="22"/>
    </row>
    <row r="835" customFormat="false" ht="15.75" hidden="false" customHeight="false" outlineLevel="0" collapsed="false">
      <c r="E835" s="22"/>
      <c r="J835" s="22"/>
      <c r="N835" s="22"/>
      <c r="U835" s="22"/>
    </row>
    <row r="836" customFormat="false" ht="15.75" hidden="false" customHeight="false" outlineLevel="0" collapsed="false">
      <c r="E836" s="22"/>
      <c r="J836" s="22"/>
      <c r="N836" s="22"/>
      <c r="U836" s="22"/>
    </row>
    <row r="837" customFormat="false" ht="15.75" hidden="false" customHeight="false" outlineLevel="0" collapsed="false">
      <c r="E837" s="22"/>
      <c r="J837" s="22"/>
      <c r="N837" s="22"/>
      <c r="U837" s="22"/>
    </row>
    <row r="838" customFormat="false" ht="15.75" hidden="false" customHeight="false" outlineLevel="0" collapsed="false">
      <c r="E838" s="22"/>
      <c r="J838" s="22"/>
      <c r="N838" s="22"/>
      <c r="U838" s="22"/>
    </row>
    <row r="839" customFormat="false" ht="15.75" hidden="false" customHeight="false" outlineLevel="0" collapsed="false">
      <c r="E839" s="22"/>
      <c r="J839" s="22"/>
      <c r="N839" s="22"/>
      <c r="U839" s="22"/>
    </row>
    <row r="840" customFormat="false" ht="15.75" hidden="false" customHeight="false" outlineLevel="0" collapsed="false">
      <c r="E840" s="22"/>
      <c r="J840" s="22"/>
      <c r="N840" s="22"/>
      <c r="U840" s="22"/>
    </row>
    <row r="841" customFormat="false" ht="15.75" hidden="false" customHeight="false" outlineLevel="0" collapsed="false">
      <c r="E841" s="22"/>
      <c r="J841" s="22"/>
      <c r="N841" s="22"/>
      <c r="U841" s="22"/>
    </row>
    <row r="842" customFormat="false" ht="15.75" hidden="false" customHeight="false" outlineLevel="0" collapsed="false">
      <c r="E842" s="22"/>
      <c r="J842" s="22"/>
      <c r="N842" s="22"/>
      <c r="U842" s="22"/>
    </row>
    <row r="843" customFormat="false" ht="15.75" hidden="false" customHeight="false" outlineLevel="0" collapsed="false">
      <c r="E843" s="22"/>
      <c r="J843" s="22"/>
      <c r="N843" s="22"/>
      <c r="U843" s="22"/>
    </row>
    <row r="844" customFormat="false" ht="15.75" hidden="false" customHeight="false" outlineLevel="0" collapsed="false">
      <c r="E844" s="22"/>
      <c r="J844" s="22"/>
      <c r="N844" s="22"/>
      <c r="U844" s="22"/>
    </row>
    <row r="845" customFormat="false" ht="15.75" hidden="false" customHeight="false" outlineLevel="0" collapsed="false">
      <c r="E845" s="22"/>
      <c r="J845" s="22"/>
      <c r="N845" s="22"/>
      <c r="U845" s="22"/>
    </row>
    <row r="846" customFormat="false" ht="15.75" hidden="false" customHeight="false" outlineLevel="0" collapsed="false">
      <c r="E846" s="22"/>
      <c r="J846" s="22"/>
      <c r="N846" s="22"/>
      <c r="U846" s="22"/>
    </row>
    <row r="847" customFormat="false" ht="15.75" hidden="false" customHeight="false" outlineLevel="0" collapsed="false">
      <c r="E847" s="22"/>
      <c r="J847" s="22"/>
      <c r="N847" s="22"/>
      <c r="U847" s="22"/>
    </row>
    <row r="848" customFormat="false" ht="15.75" hidden="false" customHeight="false" outlineLevel="0" collapsed="false">
      <c r="E848" s="22"/>
      <c r="J848" s="22"/>
      <c r="N848" s="22"/>
      <c r="U848" s="22"/>
    </row>
    <row r="849" customFormat="false" ht="15.75" hidden="false" customHeight="false" outlineLevel="0" collapsed="false">
      <c r="E849" s="22"/>
      <c r="J849" s="22"/>
      <c r="N849" s="22"/>
      <c r="U849" s="22"/>
    </row>
    <row r="850" customFormat="false" ht="15.75" hidden="false" customHeight="false" outlineLevel="0" collapsed="false">
      <c r="E850" s="22"/>
      <c r="J850" s="22"/>
      <c r="N850" s="22"/>
      <c r="U850" s="22"/>
    </row>
    <row r="851" customFormat="false" ht="15.75" hidden="false" customHeight="false" outlineLevel="0" collapsed="false">
      <c r="E851" s="22"/>
      <c r="J851" s="22"/>
      <c r="N851" s="22"/>
      <c r="U851" s="22"/>
    </row>
    <row r="852" customFormat="false" ht="15.75" hidden="false" customHeight="false" outlineLevel="0" collapsed="false">
      <c r="E852" s="22"/>
      <c r="J852" s="22"/>
      <c r="N852" s="22"/>
      <c r="U852" s="22"/>
    </row>
    <row r="853" customFormat="false" ht="15.75" hidden="false" customHeight="false" outlineLevel="0" collapsed="false">
      <c r="E853" s="22"/>
      <c r="J853" s="22"/>
      <c r="N853" s="22"/>
      <c r="U853" s="22"/>
    </row>
    <row r="854" customFormat="false" ht="15.75" hidden="false" customHeight="false" outlineLevel="0" collapsed="false">
      <c r="E854" s="22"/>
      <c r="J854" s="22"/>
      <c r="N854" s="22"/>
      <c r="U854" s="22"/>
    </row>
    <row r="855" customFormat="false" ht="15.75" hidden="false" customHeight="false" outlineLevel="0" collapsed="false">
      <c r="E855" s="22"/>
      <c r="J855" s="22"/>
      <c r="N855" s="22"/>
      <c r="U855" s="22"/>
    </row>
    <row r="856" customFormat="false" ht="15.75" hidden="false" customHeight="false" outlineLevel="0" collapsed="false">
      <c r="E856" s="22"/>
      <c r="J856" s="22"/>
      <c r="N856" s="22"/>
      <c r="U856" s="22"/>
    </row>
    <row r="857" customFormat="false" ht="15.75" hidden="false" customHeight="false" outlineLevel="0" collapsed="false">
      <c r="E857" s="22"/>
      <c r="J857" s="22"/>
      <c r="N857" s="22"/>
      <c r="U857" s="22"/>
    </row>
    <row r="858" customFormat="false" ht="15.75" hidden="false" customHeight="false" outlineLevel="0" collapsed="false">
      <c r="E858" s="22"/>
      <c r="J858" s="22"/>
      <c r="N858" s="22"/>
      <c r="U858" s="22"/>
    </row>
    <row r="859" customFormat="false" ht="15.75" hidden="false" customHeight="false" outlineLevel="0" collapsed="false">
      <c r="E859" s="22"/>
      <c r="J859" s="22"/>
      <c r="N859" s="22"/>
      <c r="U859" s="22"/>
    </row>
    <row r="860" customFormat="false" ht="15.75" hidden="false" customHeight="false" outlineLevel="0" collapsed="false">
      <c r="E860" s="22"/>
      <c r="J860" s="22"/>
      <c r="N860" s="22"/>
      <c r="U860" s="22"/>
    </row>
    <row r="861" customFormat="false" ht="15.75" hidden="false" customHeight="false" outlineLevel="0" collapsed="false">
      <c r="E861" s="22"/>
      <c r="J861" s="22"/>
      <c r="N861" s="22"/>
      <c r="U861" s="22"/>
    </row>
    <row r="862" customFormat="false" ht="15.75" hidden="false" customHeight="false" outlineLevel="0" collapsed="false">
      <c r="E862" s="22"/>
      <c r="J862" s="22"/>
      <c r="N862" s="22"/>
      <c r="U862" s="22"/>
    </row>
    <row r="863" customFormat="false" ht="15.75" hidden="false" customHeight="false" outlineLevel="0" collapsed="false">
      <c r="E863" s="22"/>
      <c r="J863" s="22"/>
      <c r="N863" s="22"/>
      <c r="U863" s="22"/>
    </row>
    <row r="864" customFormat="false" ht="15.75" hidden="false" customHeight="false" outlineLevel="0" collapsed="false">
      <c r="E864" s="22"/>
      <c r="J864" s="22"/>
      <c r="N864" s="22"/>
      <c r="U864" s="22"/>
    </row>
    <row r="865" customFormat="false" ht="15.75" hidden="false" customHeight="false" outlineLevel="0" collapsed="false">
      <c r="E865" s="22"/>
      <c r="J865" s="22"/>
      <c r="N865" s="22"/>
      <c r="U865" s="22"/>
    </row>
    <row r="866" customFormat="false" ht="15.75" hidden="false" customHeight="false" outlineLevel="0" collapsed="false">
      <c r="E866" s="22"/>
      <c r="J866" s="22"/>
      <c r="N866" s="22"/>
      <c r="U866" s="22"/>
    </row>
    <row r="867" customFormat="false" ht="15.75" hidden="false" customHeight="false" outlineLevel="0" collapsed="false">
      <c r="E867" s="22"/>
      <c r="J867" s="22"/>
      <c r="N867" s="22"/>
      <c r="U867" s="22"/>
    </row>
    <row r="868" customFormat="false" ht="15.75" hidden="false" customHeight="false" outlineLevel="0" collapsed="false">
      <c r="E868" s="22"/>
      <c r="J868" s="22"/>
      <c r="N868" s="22"/>
      <c r="U868" s="22"/>
    </row>
    <row r="869" customFormat="false" ht="15.75" hidden="false" customHeight="false" outlineLevel="0" collapsed="false">
      <c r="E869" s="22"/>
      <c r="J869" s="22"/>
      <c r="N869" s="22"/>
      <c r="U869" s="22"/>
    </row>
    <row r="870" customFormat="false" ht="15.75" hidden="false" customHeight="false" outlineLevel="0" collapsed="false">
      <c r="E870" s="22"/>
      <c r="J870" s="22"/>
      <c r="N870" s="22"/>
      <c r="U870" s="22"/>
    </row>
    <row r="871" customFormat="false" ht="15.75" hidden="false" customHeight="false" outlineLevel="0" collapsed="false">
      <c r="E871" s="22"/>
      <c r="J871" s="22"/>
      <c r="N871" s="22"/>
      <c r="U871" s="22"/>
    </row>
    <row r="872" customFormat="false" ht="15.75" hidden="false" customHeight="false" outlineLevel="0" collapsed="false">
      <c r="E872" s="22"/>
      <c r="J872" s="22"/>
      <c r="N872" s="22"/>
      <c r="U872" s="22"/>
    </row>
    <row r="873" customFormat="false" ht="15.75" hidden="false" customHeight="false" outlineLevel="0" collapsed="false">
      <c r="E873" s="22"/>
      <c r="J873" s="22"/>
      <c r="N873" s="22"/>
      <c r="U873" s="22"/>
    </row>
    <row r="874" customFormat="false" ht="15.75" hidden="false" customHeight="false" outlineLevel="0" collapsed="false">
      <c r="E874" s="22"/>
      <c r="J874" s="22"/>
      <c r="N874" s="22"/>
      <c r="U874" s="22"/>
    </row>
    <row r="875" customFormat="false" ht="15.75" hidden="false" customHeight="false" outlineLevel="0" collapsed="false">
      <c r="E875" s="22"/>
      <c r="J875" s="22"/>
      <c r="N875" s="22"/>
      <c r="U875" s="22"/>
    </row>
    <row r="876" customFormat="false" ht="15.75" hidden="false" customHeight="false" outlineLevel="0" collapsed="false">
      <c r="E876" s="22"/>
      <c r="J876" s="22"/>
      <c r="N876" s="22"/>
      <c r="U876" s="22"/>
    </row>
    <row r="877" customFormat="false" ht="15.75" hidden="false" customHeight="false" outlineLevel="0" collapsed="false">
      <c r="E877" s="22"/>
      <c r="J877" s="22"/>
      <c r="N877" s="22"/>
      <c r="U877" s="22"/>
    </row>
    <row r="878" customFormat="false" ht="15.75" hidden="false" customHeight="false" outlineLevel="0" collapsed="false">
      <c r="E878" s="22"/>
      <c r="J878" s="22"/>
      <c r="N878" s="22"/>
      <c r="U878" s="22"/>
    </row>
    <row r="879" customFormat="false" ht="15.75" hidden="false" customHeight="false" outlineLevel="0" collapsed="false">
      <c r="E879" s="22"/>
      <c r="J879" s="22"/>
      <c r="N879" s="22"/>
      <c r="U879" s="22"/>
    </row>
    <row r="880" customFormat="false" ht="15.75" hidden="false" customHeight="false" outlineLevel="0" collapsed="false">
      <c r="E880" s="22"/>
      <c r="J880" s="22"/>
      <c r="N880" s="22"/>
      <c r="U880" s="22"/>
    </row>
    <row r="881" customFormat="false" ht="15.75" hidden="false" customHeight="false" outlineLevel="0" collapsed="false">
      <c r="E881" s="22"/>
      <c r="J881" s="22"/>
      <c r="N881" s="22"/>
      <c r="U881" s="22"/>
    </row>
    <row r="882" customFormat="false" ht="15.75" hidden="false" customHeight="false" outlineLevel="0" collapsed="false">
      <c r="E882" s="22"/>
      <c r="J882" s="22"/>
      <c r="N882" s="22"/>
      <c r="U882" s="22"/>
    </row>
    <row r="883" customFormat="false" ht="15.75" hidden="false" customHeight="false" outlineLevel="0" collapsed="false">
      <c r="E883" s="22"/>
      <c r="J883" s="22"/>
      <c r="N883" s="22"/>
      <c r="U883" s="22"/>
    </row>
    <row r="884" customFormat="false" ht="15.75" hidden="false" customHeight="false" outlineLevel="0" collapsed="false">
      <c r="E884" s="22"/>
      <c r="J884" s="22"/>
      <c r="N884" s="22"/>
      <c r="U884" s="22"/>
    </row>
    <row r="885" customFormat="false" ht="15.75" hidden="false" customHeight="false" outlineLevel="0" collapsed="false">
      <c r="E885" s="22"/>
      <c r="J885" s="22"/>
      <c r="N885" s="22"/>
      <c r="U885" s="22"/>
    </row>
    <row r="886" customFormat="false" ht="15.75" hidden="false" customHeight="false" outlineLevel="0" collapsed="false">
      <c r="E886" s="22"/>
      <c r="J886" s="22"/>
      <c r="N886" s="22"/>
      <c r="U886" s="22"/>
    </row>
    <row r="887" customFormat="false" ht="15.75" hidden="false" customHeight="false" outlineLevel="0" collapsed="false">
      <c r="E887" s="22"/>
      <c r="J887" s="22"/>
      <c r="N887" s="22"/>
      <c r="U887" s="22"/>
    </row>
    <row r="888" customFormat="false" ht="15.75" hidden="false" customHeight="false" outlineLevel="0" collapsed="false">
      <c r="E888" s="22"/>
      <c r="J888" s="22"/>
      <c r="N888" s="22"/>
      <c r="U888" s="22"/>
    </row>
    <row r="889" customFormat="false" ht="15.75" hidden="false" customHeight="false" outlineLevel="0" collapsed="false">
      <c r="E889" s="22"/>
      <c r="J889" s="22"/>
      <c r="N889" s="22"/>
      <c r="U889" s="22"/>
    </row>
    <row r="890" customFormat="false" ht="15.75" hidden="false" customHeight="false" outlineLevel="0" collapsed="false">
      <c r="E890" s="22"/>
      <c r="J890" s="22"/>
      <c r="N890" s="22"/>
      <c r="U890" s="22"/>
    </row>
    <row r="891" customFormat="false" ht="15.75" hidden="false" customHeight="false" outlineLevel="0" collapsed="false">
      <c r="E891" s="22"/>
      <c r="J891" s="22"/>
      <c r="N891" s="22"/>
      <c r="U891" s="22"/>
    </row>
    <row r="892" customFormat="false" ht="15.75" hidden="false" customHeight="false" outlineLevel="0" collapsed="false">
      <c r="E892" s="22"/>
      <c r="J892" s="22"/>
      <c r="N892" s="22"/>
      <c r="U892" s="22"/>
    </row>
    <row r="893" customFormat="false" ht="15.75" hidden="false" customHeight="false" outlineLevel="0" collapsed="false">
      <c r="E893" s="22"/>
      <c r="J893" s="22"/>
      <c r="N893" s="22"/>
      <c r="U893" s="22"/>
    </row>
    <row r="894" customFormat="false" ht="15.75" hidden="false" customHeight="false" outlineLevel="0" collapsed="false">
      <c r="E894" s="22"/>
      <c r="J894" s="22"/>
      <c r="N894" s="22"/>
      <c r="U894" s="22"/>
    </row>
    <row r="895" customFormat="false" ht="15.75" hidden="false" customHeight="false" outlineLevel="0" collapsed="false">
      <c r="E895" s="22"/>
      <c r="J895" s="22"/>
      <c r="N895" s="22"/>
      <c r="U895" s="22"/>
    </row>
    <row r="896" customFormat="false" ht="15.75" hidden="false" customHeight="false" outlineLevel="0" collapsed="false">
      <c r="E896" s="22"/>
      <c r="J896" s="22"/>
      <c r="N896" s="22"/>
      <c r="U896" s="22"/>
    </row>
    <row r="897" customFormat="false" ht="15.75" hidden="false" customHeight="false" outlineLevel="0" collapsed="false">
      <c r="E897" s="22"/>
      <c r="J897" s="22"/>
      <c r="N897" s="22"/>
      <c r="U897" s="22"/>
    </row>
    <row r="898" customFormat="false" ht="15.75" hidden="false" customHeight="false" outlineLevel="0" collapsed="false">
      <c r="E898" s="22"/>
      <c r="J898" s="22"/>
      <c r="N898" s="22"/>
      <c r="U898" s="22"/>
    </row>
    <row r="899" customFormat="false" ht="15.75" hidden="false" customHeight="false" outlineLevel="0" collapsed="false">
      <c r="E899" s="22"/>
      <c r="J899" s="22"/>
      <c r="N899" s="22"/>
      <c r="U899" s="22"/>
    </row>
    <row r="900" customFormat="false" ht="15.75" hidden="false" customHeight="false" outlineLevel="0" collapsed="false">
      <c r="E900" s="22"/>
      <c r="J900" s="22"/>
      <c r="N900" s="22"/>
      <c r="U900" s="22"/>
    </row>
    <row r="901" customFormat="false" ht="15.75" hidden="false" customHeight="false" outlineLevel="0" collapsed="false">
      <c r="E901" s="22"/>
      <c r="J901" s="22"/>
      <c r="N901" s="22"/>
      <c r="U901" s="22"/>
    </row>
    <row r="902" customFormat="false" ht="15.75" hidden="false" customHeight="false" outlineLevel="0" collapsed="false">
      <c r="E902" s="22"/>
      <c r="J902" s="22"/>
      <c r="N902" s="22"/>
      <c r="U902" s="22"/>
    </row>
    <row r="903" customFormat="false" ht="15.75" hidden="false" customHeight="false" outlineLevel="0" collapsed="false">
      <c r="E903" s="22"/>
      <c r="J903" s="22"/>
      <c r="N903" s="22"/>
      <c r="U903" s="22"/>
    </row>
    <row r="904" customFormat="false" ht="15.75" hidden="false" customHeight="false" outlineLevel="0" collapsed="false">
      <c r="E904" s="22"/>
      <c r="J904" s="22"/>
      <c r="N904" s="22"/>
      <c r="U904" s="22"/>
    </row>
    <row r="905" customFormat="false" ht="15.75" hidden="false" customHeight="false" outlineLevel="0" collapsed="false">
      <c r="E905" s="22"/>
      <c r="J905" s="22"/>
      <c r="N905" s="22"/>
      <c r="U905" s="22"/>
    </row>
    <row r="906" customFormat="false" ht="15.75" hidden="false" customHeight="false" outlineLevel="0" collapsed="false">
      <c r="E906" s="22"/>
      <c r="J906" s="22"/>
      <c r="N906" s="22"/>
      <c r="U906" s="22"/>
    </row>
    <row r="907" customFormat="false" ht="15.75" hidden="false" customHeight="false" outlineLevel="0" collapsed="false">
      <c r="E907" s="22"/>
      <c r="J907" s="22"/>
      <c r="N907" s="22"/>
      <c r="U907" s="22"/>
    </row>
    <row r="908" customFormat="false" ht="15.75" hidden="false" customHeight="false" outlineLevel="0" collapsed="false">
      <c r="E908" s="22"/>
      <c r="J908" s="22"/>
      <c r="N908" s="22"/>
      <c r="U908" s="22"/>
    </row>
    <row r="909" customFormat="false" ht="15.75" hidden="false" customHeight="false" outlineLevel="0" collapsed="false">
      <c r="E909" s="22"/>
      <c r="J909" s="22"/>
      <c r="N909" s="22"/>
      <c r="U909" s="22"/>
    </row>
    <row r="910" customFormat="false" ht="15.75" hidden="false" customHeight="false" outlineLevel="0" collapsed="false">
      <c r="E910" s="22"/>
      <c r="J910" s="22"/>
      <c r="N910" s="22"/>
      <c r="U910" s="22"/>
    </row>
    <row r="911" customFormat="false" ht="15.75" hidden="false" customHeight="false" outlineLevel="0" collapsed="false">
      <c r="E911" s="22"/>
      <c r="J911" s="22"/>
      <c r="N911" s="22"/>
      <c r="U911" s="22"/>
    </row>
    <row r="912" customFormat="false" ht="15.75" hidden="false" customHeight="false" outlineLevel="0" collapsed="false">
      <c r="E912" s="22"/>
      <c r="J912" s="22"/>
      <c r="N912" s="22"/>
      <c r="U912" s="22"/>
    </row>
    <row r="913" customFormat="false" ht="15.75" hidden="false" customHeight="false" outlineLevel="0" collapsed="false">
      <c r="E913" s="22"/>
      <c r="J913" s="22"/>
      <c r="N913" s="22"/>
      <c r="U913" s="22"/>
    </row>
    <row r="914" customFormat="false" ht="15.75" hidden="false" customHeight="false" outlineLevel="0" collapsed="false">
      <c r="E914" s="22"/>
      <c r="J914" s="22"/>
      <c r="N914" s="22"/>
      <c r="U914" s="22"/>
    </row>
    <row r="915" customFormat="false" ht="15.75" hidden="false" customHeight="false" outlineLevel="0" collapsed="false">
      <c r="E915" s="22"/>
      <c r="J915" s="22"/>
      <c r="N915" s="22"/>
      <c r="U915" s="22"/>
    </row>
    <row r="916" customFormat="false" ht="15.75" hidden="false" customHeight="false" outlineLevel="0" collapsed="false">
      <c r="E916" s="22"/>
      <c r="J916" s="22"/>
      <c r="N916" s="22"/>
      <c r="U916" s="22"/>
    </row>
    <row r="917" customFormat="false" ht="15.75" hidden="false" customHeight="false" outlineLevel="0" collapsed="false">
      <c r="E917" s="22"/>
      <c r="J917" s="22"/>
      <c r="N917" s="22"/>
      <c r="U917" s="22"/>
    </row>
    <row r="918" customFormat="false" ht="15.75" hidden="false" customHeight="false" outlineLevel="0" collapsed="false">
      <c r="E918" s="22"/>
      <c r="J918" s="22"/>
      <c r="N918" s="22"/>
      <c r="U918" s="22"/>
    </row>
    <row r="919" customFormat="false" ht="15.75" hidden="false" customHeight="false" outlineLevel="0" collapsed="false">
      <c r="E919" s="22"/>
      <c r="J919" s="22"/>
      <c r="N919" s="22"/>
      <c r="U919" s="22"/>
    </row>
    <row r="920" customFormat="false" ht="15.75" hidden="false" customHeight="false" outlineLevel="0" collapsed="false">
      <c r="E920" s="22"/>
      <c r="J920" s="22"/>
      <c r="N920" s="22"/>
      <c r="U920" s="22"/>
    </row>
    <row r="921" customFormat="false" ht="15.75" hidden="false" customHeight="false" outlineLevel="0" collapsed="false">
      <c r="E921" s="22"/>
      <c r="J921" s="22"/>
      <c r="N921" s="22"/>
      <c r="U921" s="22"/>
    </row>
    <row r="922" customFormat="false" ht="15.75" hidden="false" customHeight="false" outlineLevel="0" collapsed="false">
      <c r="E922" s="22"/>
      <c r="J922" s="22"/>
      <c r="N922" s="22"/>
      <c r="U922" s="22"/>
    </row>
    <row r="923" customFormat="false" ht="15.75" hidden="false" customHeight="false" outlineLevel="0" collapsed="false">
      <c r="E923" s="22"/>
      <c r="J923" s="22"/>
      <c r="N923" s="22"/>
      <c r="U923" s="22"/>
    </row>
    <row r="924" customFormat="false" ht="15.75" hidden="false" customHeight="false" outlineLevel="0" collapsed="false">
      <c r="E924" s="22"/>
      <c r="J924" s="22"/>
      <c r="N924" s="22"/>
      <c r="U924" s="22"/>
    </row>
    <row r="925" customFormat="false" ht="15.75" hidden="false" customHeight="false" outlineLevel="0" collapsed="false">
      <c r="E925" s="22"/>
      <c r="J925" s="22"/>
      <c r="N925" s="22"/>
      <c r="U925" s="22"/>
    </row>
    <row r="926" customFormat="false" ht="15.75" hidden="false" customHeight="false" outlineLevel="0" collapsed="false">
      <c r="E926" s="22"/>
      <c r="J926" s="22"/>
      <c r="N926" s="22"/>
      <c r="U926" s="22"/>
    </row>
    <row r="927" customFormat="false" ht="15.75" hidden="false" customHeight="false" outlineLevel="0" collapsed="false">
      <c r="E927" s="22"/>
      <c r="J927" s="22"/>
      <c r="N927" s="22"/>
      <c r="U927" s="22"/>
    </row>
    <row r="928" customFormat="false" ht="15.75" hidden="false" customHeight="false" outlineLevel="0" collapsed="false">
      <c r="E928" s="22"/>
      <c r="J928" s="22"/>
      <c r="N928" s="22"/>
      <c r="U928" s="22"/>
    </row>
    <row r="929" customFormat="false" ht="15.75" hidden="false" customHeight="false" outlineLevel="0" collapsed="false">
      <c r="E929" s="22"/>
      <c r="J929" s="22"/>
      <c r="N929" s="22"/>
      <c r="U929" s="22"/>
    </row>
    <row r="930" customFormat="false" ht="15.75" hidden="false" customHeight="false" outlineLevel="0" collapsed="false">
      <c r="E930" s="22"/>
      <c r="J930" s="22"/>
      <c r="N930" s="22"/>
      <c r="U930" s="22"/>
    </row>
    <row r="931" customFormat="false" ht="15.75" hidden="false" customHeight="false" outlineLevel="0" collapsed="false">
      <c r="E931" s="22"/>
      <c r="J931" s="22"/>
      <c r="N931" s="22"/>
      <c r="U931" s="22"/>
    </row>
    <row r="932" customFormat="false" ht="15.75" hidden="false" customHeight="false" outlineLevel="0" collapsed="false">
      <c r="E932" s="22"/>
      <c r="J932" s="22"/>
      <c r="N932" s="22"/>
      <c r="U932" s="22"/>
    </row>
    <row r="933" customFormat="false" ht="15.75" hidden="false" customHeight="false" outlineLevel="0" collapsed="false">
      <c r="E933" s="22"/>
      <c r="J933" s="22"/>
      <c r="N933" s="22"/>
      <c r="U933" s="22"/>
    </row>
    <row r="934" customFormat="false" ht="15.75" hidden="false" customHeight="false" outlineLevel="0" collapsed="false">
      <c r="E934" s="22"/>
      <c r="J934" s="22"/>
      <c r="N934" s="22"/>
      <c r="U934" s="22"/>
    </row>
    <row r="935" customFormat="false" ht="15.75" hidden="false" customHeight="false" outlineLevel="0" collapsed="false">
      <c r="E935" s="22"/>
      <c r="J935" s="22"/>
      <c r="N935" s="22"/>
      <c r="U935" s="22"/>
    </row>
    <row r="936" customFormat="false" ht="15.75" hidden="false" customHeight="false" outlineLevel="0" collapsed="false">
      <c r="E936" s="22"/>
      <c r="J936" s="22"/>
      <c r="N936" s="22"/>
      <c r="U936" s="22"/>
    </row>
    <row r="937" customFormat="false" ht="15.75" hidden="false" customHeight="false" outlineLevel="0" collapsed="false">
      <c r="E937" s="22"/>
      <c r="J937" s="22"/>
      <c r="N937" s="22"/>
      <c r="U937" s="22"/>
    </row>
    <row r="938" customFormat="false" ht="15.75" hidden="false" customHeight="false" outlineLevel="0" collapsed="false">
      <c r="E938" s="22"/>
      <c r="J938" s="22"/>
      <c r="N938" s="22"/>
      <c r="U938" s="22"/>
    </row>
    <row r="939" customFormat="false" ht="15.75" hidden="false" customHeight="false" outlineLevel="0" collapsed="false">
      <c r="E939" s="22"/>
      <c r="J939" s="22"/>
      <c r="N939" s="22"/>
      <c r="U939" s="22"/>
    </row>
    <row r="940" customFormat="false" ht="15.75" hidden="false" customHeight="false" outlineLevel="0" collapsed="false">
      <c r="E940" s="22"/>
      <c r="J940" s="22"/>
      <c r="N940" s="22"/>
      <c r="U940" s="22"/>
    </row>
    <row r="941" customFormat="false" ht="15.75" hidden="false" customHeight="false" outlineLevel="0" collapsed="false">
      <c r="E941" s="22"/>
      <c r="J941" s="22"/>
      <c r="N941" s="22"/>
      <c r="U941" s="22"/>
    </row>
    <row r="942" customFormat="false" ht="15.75" hidden="false" customHeight="false" outlineLevel="0" collapsed="false">
      <c r="E942" s="22"/>
      <c r="J942" s="22"/>
      <c r="N942" s="22"/>
      <c r="U942" s="22"/>
    </row>
    <row r="943" customFormat="false" ht="15.75" hidden="false" customHeight="false" outlineLevel="0" collapsed="false">
      <c r="E943" s="22"/>
      <c r="J943" s="22"/>
      <c r="N943" s="22"/>
      <c r="U943" s="22"/>
    </row>
    <row r="944" customFormat="false" ht="15.75" hidden="false" customHeight="false" outlineLevel="0" collapsed="false">
      <c r="E944" s="22"/>
      <c r="J944" s="22"/>
      <c r="N944" s="22"/>
      <c r="U944" s="22"/>
    </row>
    <row r="945" customFormat="false" ht="15.75" hidden="false" customHeight="false" outlineLevel="0" collapsed="false">
      <c r="E945" s="22"/>
      <c r="J945" s="22"/>
      <c r="N945" s="22"/>
      <c r="U945" s="22"/>
    </row>
    <row r="946" customFormat="false" ht="15.75" hidden="false" customHeight="false" outlineLevel="0" collapsed="false">
      <c r="E946" s="22"/>
      <c r="J946" s="22"/>
      <c r="N946" s="22"/>
      <c r="U946" s="22"/>
    </row>
    <row r="947" customFormat="false" ht="15.75" hidden="false" customHeight="false" outlineLevel="0" collapsed="false">
      <c r="E947" s="22"/>
      <c r="J947" s="22"/>
      <c r="N947" s="22"/>
      <c r="U947" s="22"/>
    </row>
    <row r="948" customFormat="false" ht="15.75" hidden="false" customHeight="false" outlineLevel="0" collapsed="false">
      <c r="E948" s="22"/>
      <c r="J948" s="22"/>
      <c r="N948" s="22"/>
      <c r="U948" s="22"/>
    </row>
    <row r="949" customFormat="false" ht="15.75" hidden="false" customHeight="false" outlineLevel="0" collapsed="false">
      <c r="E949" s="22"/>
      <c r="J949" s="22"/>
      <c r="N949" s="22"/>
      <c r="U949" s="22"/>
    </row>
    <row r="950" customFormat="false" ht="15.75" hidden="false" customHeight="false" outlineLevel="0" collapsed="false">
      <c r="E950" s="22"/>
      <c r="J950" s="22"/>
      <c r="N950" s="22"/>
      <c r="U950" s="22"/>
    </row>
    <row r="951" customFormat="false" ht="15.75" hidden="false" customHeight="false" outlineLevel="0" collapsed="false">
      <c r="E951" s="22"/>
      <c r="J951" s="22"/>
      <c r="N951" s="22"/>
      <c r="U951" s="22"/>
    </row>
    <row r="952" customFormat="false" ht="15.75" hidden="false" customHeight="false" outlineLevel="0" collapsed="false">
      <c r="E952" s="22"/>
      <c r="J952" s="22"/>
      <c r="N952" s="22"/>
      <c r="U952" s="22"/>
    </row>
    <row r="953" customFormat="false" ht="15.75" hidden="false" customHeight="false" outlineLevel="0" collapsed="false">
      <c r="E953" s="22"/>
      <c r="J953" s="22"/>
      <c r="N953" s="22"/>
      <c r="U953" s="22"/>
    </row>
    <row r="954" customFormat="false" ht="15.75" hidden="false" customHeight="false" outlineLevel="0" collapsed="false">
      <c r="E954" s="22"/>
      <c r="J954" s="22"/>
      <c r="N954" s="22"/>
      <c r="U954" s="22"/>
    </row>
    <row r="955" customFormat="false" ht="15.75" hidden="false" customHeight="false" outlineLevel="0" collapsed="false">
      <c r="E955" s="22"/>
      <c r="J955" s="22"/>
      <c r="N955" s="22"/>
      <c r="U955" s="22"/>
    </row>
    <row r="956" customFormat="false" ht="15.75" hidden="false" customHeight="false" outlineLevel="0" collapsed="false">
      <c r="E956" s="22"/>
      <c r="J956" s="22"/>
      <c r="N956" s="22"/>
      <c r="U956" s="22"/>
    </row>
    <row r="957" customFormat="false" ht="15.75" hidden="false" customHeight="false" outlineLevel="0" collapsed="false">
      <c r="E957" s="22"/>
      <c r="J957" s="22"/>
      <c r="N957" s="22"/>
      <c r="U957" s="22"/>
    </row>
    <row r="958" customFormat="false" ht="15.75" hidden="false" customHeight="false" outlineLevel="0" collapsed="false">
      <c r="E958" s="22"/>
      <c r="J958" s="22"/>
      <c r="N958" s="22"/>
      <c r="U958" s="22"/>
    </row>
    <row r="959" customFormat="false" ht="15.75" hidden="false" customHeight="false" outlineLevel="0" collapsed="false">
      <c r="E959" s="22"/>
      <c r="J959" s="22"/>
      <c r="N959" s="22"/>
      <c r="U959" s="22"/>
    </row>
    <row r="960" customFormat="false" ht="15.75" hidden="false" customHeight="false" outlineLevel="0" collapsed="false">
      <c r="E960" s="22"/>
      <c r="J960" s="22"/>
      <c r="N960" s="22"/>
      <c r="U960" s="22"/>
    </row>
    <row r="961" customFormat="false" ht="15.75" hidden="false" customHeight="false" outlineLevel="0" collapsed="false">
      <c r="E961" s="22"/>
      <c r="J961" s="22"/>
      <c r="N961" s="22"/>
      <c r="U961" s="22"/>
    </row>
    <row r="962" customFormat="false" ht="15.75" hidden="false" customHeight="false" outlineLevel="0" collapsed="false">
      <c r="E962" s="22"/>
      <c r="J962" s="22"/>
      <c r="N962" s="22"/>
      <c r="U962" s="22"/>
    </row>
    <row r="963" customFormat="false" ht="15.75" hidden="false" customHeight="false" outlineLevel="0" collapsed="false">
      <c r="E963" s="22"/>
      <c r="J963" s="22"/>
      <c r="N963" s="22"/>
      <c r="U963" s="22"/>
    </row>
    <row r="964" customFormat="false" ht="15.75" hidden="false" customHeight="false" outlineLevel="0" collapsed="false">
      <c r="E964" s="22"/>
      <c r="J964" s="22"/>
      <c r="N964" s="22"/>
      <c r="U964" s="22"/>
    </row>
    <row r="965" customFormat="false" ht="15.75" hidden="false" customHeight="false" outlineLevel="0" collapsed="false">
      <c r="E965" s="22"/>
      <c r="J965" s="22"/>
      <c r="N965" s="22"/>
      <c r="U965" s="22"/>
    </row>
    <row r="966" customFormat="false" ht="15.75" hidden="false" customHeight="false" outlineLevel="0" collapsed="false">
      <c r="E966" s="22"/>
      <c r="J966" s="22"/>
      <c r="N966" s="22"/>
      <c r="U966" s="22"/>
    </row>
    <row r="967" customFormat="false" ht="15.75" hidden="false" customHeight="false" outlineLevel="0" collapsed="false">
      <c r="E967" s="22"/>
      <c r="J967" s="22"/>
      <c r="N967" s="22"/>
      <c r="U967" s="22"/>
    </row>
    <row r="968" customFormat="false" ht="15.75" hidden="false" customHeight="false" outlineLevel="0" collapsed="false">
      <c r="E968" s="22"/>
      <c r="J968" s="22"/>
      <c r="N968" s="22"/>
      <c r="U968" s="22"/>
    </row>
    <row r="969" customFormat="false" ht="15.75" hidden="false" customHeight="false" outlineLevel="0" collapsed="false">
      <c r="E969" s="22"/>
      <c r="J969" s="22"/>
      <c r="N969" s="22"/>
      <c r="U969" s="22"/>
    </row>
    <row r="970" customFormat="false" ht="15.75" hidden="false" customHeight="false" outlineLevel="0" collapsed="false">
      <c r="E970" s="22"/>
      <c r="J970" s="22"/>
      <c r="N970" s="22"/>
      <c r="U970" s="22"/>
    </row>
    <row r="971" customFormat="false" ht="15.75" hidden="false" customHeight="false" outlineLevel="0" collapsed="false">
      <c r="E971" s="22"/>
      <c r="J971" s="22"/>
      <c r="N971" s="22"/>
      <c r="U971" s="22"/>
    </row>
    <row r="972" customFormat="false" ht="15.75" hidden="false" customHeight="false" outlineLevel="0" collapsed="false">
      <c r="E972" s="22"/>
      <c r="J972" s="22"/>
      <c r="N972" s="22"/>
      <c r="U972" s="22"/>
    </row>
    <row r="973" customFormat="false" ht="15.75" hidden="false" customHeight="false" outlineLevel="0" collapsed="false">
      <c r="E973" s="22"/>
      <c r="J973" s="22"/>
      <c r="N973" s="22"/>
      <c r="U973" s="22"/>
    </row>
    <row r="974" customFormat="false" ht="15.75" hidden="false" customHeight="false" outlineLevel="0" collapsed="false">
      <c r="E974" s="22"/>
      <c r="J974" s="22"/>
      <c r="N974" s="22"/>
      <c r="U974" s="22"/>
    </row>
    <row r="975" customFormat="false" ht="15.75" hidden="false" customHeight="false" outlineLevel="0" collapsed="false">
      <c r="E975" s="22"/>
      <c r="J975" s="22"/>
      <c r="N975" s="22"/>
      <c r="U975" s="22"/>
    </row>
    <row r="976" customFormat="false" ht="15.75" hidden="false" customHeight="false" outlineLevel="0" collapsed="false">
      <c r="E976" s="22"/>
      <c r="J976" s="22"/>
      <c r="N976" s="22"/>
      <c r="U976" s="22"/>
    </row>
    <row r="977" customFormat="false" ht="15.75" hidden="false" customHeight="false" outlineLevel="0" collapsed="false">
      <c r="E977" s="22"/>
      <c r="J977" s="22"/>
      <c r="N977" s="22"/>
      <c r="U977" s="22"/>
    </row>
    <row r="978" customFormat="false" ht="15.75" hidden="false" customHeight="false" outlineLevel="0" collapsed="false">
      <c r="E978" s="22"/>
      <c r="J978" s="22"/>
      <c r="N978" s="22"/>
      <c r="U978" s="22"/>
    </row>
    <row r="979" customFormat="false" ht="15.75" hidden="false" customHeight="false" outlineLevel="0" collapsed="false">
      <c r="E979" s="22"/>
      <c r="J979" s="22"/>
      <c r="N979" s="22"/>
      <c r="U979" s="22"/>
    </row>
    <row r="980" customFormat="false" ht="15.75" hidden="false" customHeight="false" outlineLevel="0" collapsed="false">
      <c r="E980" s="22"/>
      <c r="J980" s="22"/>
      <c r="N980" s="22"/>
      <c r="U980" s="22"/>
    </row>
    <row r="981" customFormat="false" ht="15.75" hidden="false" customHeight="false" outlineLevel="0" collapsed="false">
      <c r="E981" s="22"/>
      <c r="J981" s="22"/>
      <c r="N981" s="22"/>
      <c r="U981" s="22"/>
    </row>
    <row r="982" customFormat="false" ht="15.75" hidden="false" customHeight="false" outlineLevel="0" collapsed="false">
      <c r="E982" s="22"/>
      <c r="J982" s="22"/>
      <c r="N982" s="22"/>
      <c r="U982" s="22"/>
    </row>
    <row r="983" customFormat="false" ht="15.75" hidden="false" customHeight="false" outlineLevel="0" collapsed="false">
      <c r="E983" s="22"/>
      <c r="J983" s="22"/>
      <c r="N983" s="22"/>
      <c r="U983" s="22"/>
    </row>
    <row r="984" customFormat="false" ht="15.75" hidden="false" customHeight="false" outlineLevel="0" collapsed="false">
      <c r="E984" s="22"/>
      <c r="J984" s="22"/>
      <c r="N984" s="22"/>
      <c r="U984" s="22"/>
    </row>
    <row r="985" customFormat="false" ht="15.75" hidden="false" customHeight="false" outlineLevel="0" collapsed="false">
      <c r="E985" s="22"/>
      <c r="J985" s="22"/>
      <c r="N985" s="22"/>
      <c r="U985" s="22"/>
    </row>
    <row r="986" customFormat="false" ht="15.75" hidden="false" customHeight="false" outlineLevel="0" collapsed="false">
      <c r="E986" s="22"/>
      <c r="J986" s="22"/>
      <c r="N986" s="22"/>
      <c r="U986" s="22"/>
    </row>
    <row r="987" customFormat="false" ht="15.75" hidden="false" customHeight="false" outlineLevel="0" collapsed="false">
      <c r="E987" s="22"/>
      <c r="J987" s="22"/>
      <c r="N987" s="22"/>
      <c r="U987" s="22"/>
    </row>
    <row r="988" customFormat="false" ht="15.75" hidden="false" customHeight="false" outlineLevel="0" collapsed="false">
      <c r="E988" s="22"/>
      <c r="J988" s="22"/>
      <c r="N988" s="22"/>
      <c r="U988" s="22"/>
    </row>
    <row r="989" customFormat="false" ht="15.75" hidden="false" customHeight="false" outlineLevel="0" collapsed="false">
      <c r="E989" s="22"/>
      <c r="J989" s="22"/>
      <c r="N989" s="22"/>
      <c r="U989" s="22"/>
    </row>
    <row r="990" customFormat="false" ht="15.75" hidden="false" customHeight="false" outlineLevel="0" collapsed="false">
      <c r="E990" s="22"/>
      <c r="J990" s="22"/>
      <c r="N990" s="22"/>
      <c r="U990" s="22"/>
    </row>
    <row r="991" customFormat="false" ht="15.75" hidden="false" customHeight="false" outlineLevel="0" collapsed="false">
      <c r="E991" s="22"/>
      <c r="J991" s="22"/>
      <c r="N991" s="22"/>
      <c r="U991" s="22"/>
    </row>
    <row r="992" customFormat="false" ht="15.75" hidden="false" customHeight="false" outlineLevel="0" collapsed="false">
      <c r="E992" s="22"/>
      <c r="J992" s="22"/>
      <c r="N992" s="22"/>
      <c r="U992" s="22"/>
    </row>
    <row r="993" customFormat="false" ht="15.75" hidden="false" customHeight="false" outlineLevel="0" collapsed="false">
      <c r="E993" s="22"/>
      <c r="J993" s="22"/>
      <c r="N993" s="22"/>
      <c r="U993" s="22"/>
    </row>
    <row r="994" customFormat="false" ht="15.75" hidden="false" customHeight="false" outlineLevel="0" collapsed="false">
      <c r="E994" s="22"/>
      <c r="J994" s="22"/>
      <c r="N994" s="22"/>
      <c r="U994" s="22"/>
    </row>
    <row r="995" customFormat="false" ht="15.75" hidden="false" customHeight="false" outlineLevel="0" collapsed="false">
      <c r="E995" s="22"/>
      <c r="J995" s="22"/>
      <c r="N995" s="22"/>
      <c r="U995" s="22"/>
    </row>
    <row r="996" customFormat="false" ht="15.75" hidden="false" customHeight="false" outlineLevel="0" collapsed="false">
      <c r="E996" s="22"/>
      <c r="J996" s="22"/>
      <c r="N996" s="22"/>
      <c r="U996" s="22"/>
    </row>
    <row r="997" customFormat="false" ht="15.75" hidden="false" customHeight="false" outlineLevel="0" collapsed="false">
      <c r="E997" s="22"/>
      <c r="J997" s="22"/>
      <c r="N997" s="22"/>
      <c r="U997" s="22"/>
    </row>
    <row r="998" customFormat="false" ht="15.75" hidden="false" customHeight="false" outlineLevel="0" collapsed="false">
      <c r="E998" s="22"/>
      <c r="J998" s="22"/>
      <c r="N998" s="22"/>
      <c r="U998" s="22"/>
    </row>
    <row r="999" customFormat="false" ht="15.75" hidden="false" customHeight="false" outlineLevel="0" collapsed="false">
      <c r="E999" s="22"/>
      <c r="J999" s="22"/>
      <c r="N999" s="22"/>
      <c r="U999" s="22"/>
    </row>
    <row r="1000" customFormat="false" ht="15.75" hidden="false" customHeight="false" outlineLevel="0" collapsed="false">
      <c r="E1000" s="22"/>
      <c r="J1000" s="22"/>
      <c r="N1000" s="22"/>
      <c r="U1000" s="22"/>
    </row>
    <row r="1001" customFormat="false" ht="15.75" hidden="false" customHeight="false" outlineLevel="0" collapsed="false">
      <c r="E1001" s="22"/>
      <c r="J1001" s="22"/>
      <c r="N1001" s="22"/>
      <c r="U1001" s="2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S15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2" activeCellId="0" sqref="D2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4.13"/>
    <col collapsed="false" customWidth="true" hidden="false" outlineLevel="0" max="2" min="2" style="0" width="25.74"/>
    <col collapsed="false" customWidth="true" hidden="false" outlineLevel="0" max="3" min="3" style="0" width="39.13"/>
    <col collapsed="false" customWidth="true" hidden="false" outlineLevel="0" max="6" min="6" style="0" width="8.38"/>
    <col collapsed="false" customWidth="true" hidden="false" outlineLevel="0" max="7" min="7" style="0" width="48.75"/>
    <col collapsed="false" customWidth="true" hidden="false" outlineLevel="0" max="9" min="8" style="0" width="13.63"/>
    <col collapsed="false" customWidth="true" hidden="false" outlineLevel="0" max="10" min="10" style="0" width="2.38"/>
    <col collapsed="false" customWidth="true" hidden="false" outlineLevel="0" max="11" min="11" style="0" width="33.49"/>
    <col collapsed="false" customWidth="true" hidden="false" outlineLevel="0" max="12" min="12" style="0" width="27.63"/>
    <col collapsed="false" customWidth="true" hidden="false" outlineLevel="0" max="13" min="13" style="0" width="9"/>
    <col collapsed="false" customWidth="true" hidden="false" outlineLevel="0" max="14" min="14" style="0" width="22.62"/>
  </cols>
  <sheetData>
    <row r="1" customFormat="false" ht="15.75" hidden="false" customHeight="false" outlineLevel="0" collapsed="false">
      <c r="A1" s="24" t="s">
        <v>2194</v>
      </c>
      <c r="B1" s="25"/>
      <c r="C1" s="26"/>
      <c r="D1" s="26"/>
      <c r="E1" s="26"/>
      <c r="F1" s="27"/>
      <c r="G1" s="28"/>
      <c r="H1" s="26"/>
      <c r="I1" s="26"/>
      <c r="J1" s="29"/>
      <c r="K1" s="30" t="s">
        <v>2195</v>
      </c>
      <c r="L1" s="31"/>
      <c r="M1" s="32"/>
      <c r="N1" s="33"/>
      <c r="O1" s="34"/>
      <c r="P1" s="34"/>
      <c r="Q1" s="32"/>
      <c r="R1" s="34"/>
      <c r="S1" s="34"/>
    </row>
    <row r="2" customFormat="false" ht="15.75" hidden="false" customHeight="false" outlineLevel="0" collapsed="false">
      <c r="A2" s="24" t="s">
        <v>2196</v>
      </c>
      <c r="B2" s="35" t="s">
        <v>2153</v>
      </c>
      <c r="C2" s="24" t="s">
        <v>2197</v>
      </c>
      <c r="D2" s="24" t="s">
        <v>2165</v>
      </c>
      <c r="E2" s="24" t="s">
        <v>2198</v>
      </c>
      <c r="F2" s="36" t="s">
        <v>2199</v>
      </c>
      <c r="G2" s="24" t="s">
        <v>2200</v>
      </c>
      <c r="H2" s="24" t="s">
        <v>2201</v>
      </c>
      <c r="I2" s="24" t="s">
        <v>2169</v>
      </c>
      <c r="J2" s="29"/>
      <c r="K2" s="30" t="s">
        <v>2202</v>
      </c>
      <c r="L2" s="30" t="s">
        <v>2203</v>
      </c>
      <c r="M2" s="30" t="s">
        <v>2204</v>
      </c>
      <c r="N2" s="30" t="s">
        <v>2205</v>
      </c>
      <c r="O2" s="30" t="s">
        <v>2206</v>
      </c>
      <c r="P2" s="37" t="s">
        <v>2207</v>
      </c>
      <c r="Q2" s="30" t="s">
        <v>2208</v>
      </c>
      <c r="R2" s="37" t="s">
        <v>2209</v>
      </c>
      <c r="S2" s="37" t="s">
        <v>2168</v>
      </c>
    </row>
    <row r="3" customFormat="false" ht="15.75" hidden="false" customHeight="false" outlineLevel="0" collapsed="false">
      <c r="A3" s="20" t="str">
        <f aca="false" t="array" ref="A3:A999">damages_code</f>
        <v>466789</v>
      </c>
      <c r="B3" s="38" t="str">
        <f aca="false" t="array" ref="B3:B999">Date_time</f>
        <v>Thu,09-February-2023 ,08:13 AM</v>
      </c>
      <c r="C3" s="20" t="str">
        <f aca="false" t="array" ref="C3:C999">sku_name</f>
        <v>Seasly Water 1.5L</v>
      </c>
      <c r="D3" s="20" t="str">
        <f aca="false" t="array" ref="D3:D999">brand</f>
        <v>Seasly Water</v>
      </c>
      <c r="E3" s="20" t="str">
        <f aca="false" t="array" ref="E3:E999">type</f>
        <v>Damaged Stock</v>
      </c>
      <c r="F3" s="20" t="n">
        <f aca="false" t="array" ref="F3:F999">quantity</f>
        <v>1</v>
      </c>
      <c r="G3" s="20" t="str">
        <f aca="false" t="array" ref="G3:G999">notes_new</f>
        <v>[Code: 466789] AR : 1 selling units found damge  3 bottle empty </v>
      </c>
      <c r="H3" s="20" t="str">
        <f aca="false" t="array" ref="H3:H999">requester_name</f>
        <v>Ali Raza </v>
      </c>
      <c r="I3" s="39" t="str">
        <f aca="false">IF(ISBLANK(H3),"", IF($H$2:$H1502 = "Gohar Rehan","Overnight",IF($H$2:$H1502 = "Taufeeq Akhtar ","Overnight",IF($H$2:$H1502 = "Zeeshan Ali Malik","Audit",IF($H$2:$H1502 = "Ali Raza ","Receiving",IF($H$2:$H1502 = "Ali Ahmad","Full-In"))))))</f>
        <v>Receiving</v>
      </c>
      <c r="J3" s="29"/>
      <c r="K3" s="40" t="s">
        <v>2210</v>
      </c>
      <c r="L3" s="40" t="s">
        <v>2211</v>
      </c>
      <c r="M3" s="41" t="n">
        <v>1</v>
      </c>
      <c r="N3" s="39" t="s">
        <v>2212</v>
      </c>
      <c r="O3" s="42" t="b">
        <f aca="false">TRUE()</f>
        <v>1</v>
      </c>
      <c r="P3" s="20" t="n">
        <f aca="false" t="array" ref="P3:P999">PP</f>
        <v>150</v>
      </c>
      <c r="Q3" s="41" t="n">
        <f aca="false" t="array" ref="Q3:Q1502">(P3:P1502)*(F3:F1502)</f>
        <v>150</v>
      </c>
      <c r="R3" s="43" t="n">
        <f aca="false" t="array" ref="R3:R999">Date</f>
        <v>44966</v>
      </c>
      <c r="S3" s="20" t="str">
        <f aca="false" t="array" ref="S3:S999">Category</f>
        <v>Beverages</v>
      </c>
    </row>
    <row r="4" customFormat="false" ht="15.75" hidden="false" customHeight="false" outlineLevel="0" collapsed="false">
      <c r="A4" s="39" t="str">
        <v>22377A</v>
      </c>
      <c r="B4" s="44" t="str">
        <v>Sat,11-February-2023 ,07:00 PM</v>
      </c>
      <c r="C4" s="39" t="str">
        <v>Al-Munawar Makayi ka Atta 5kg</v>
      </c>
      <c r="D4" s="39" t="str">
        <v>Al-Munawar</v>
      </c>
      <c r="E4" s="39" t="str">
        <v>Damaged Stock</v>
      </c>
      <c r="F4" s="45" t="n">
        <v>1</v>
      </c>
      <c r="G4" s="40" t="str">
        <v>[Code: 22377A] AR: stock removed due to quality issue complaint by customer (Student Mobile &amp; Tuck Shop +923219661100)</v>
      </c>
      <c r="H4" s="39" t="str">
        <v>Ali Raza </v>
      </c>
      <c r="I4" s="39" t="str">
        <f aca="false">IF(ISBLANK(H4),"", IF($H$2:$H1503 = "Gohar Rehan","Overnight",IF($H$2:$H1503 = "Taufeeq Akhtar ","Overnight",IF($H$2:$H1503 = "Zeeshan Ali Malik","Audit",IF($H$2:$H1503 = "Ali Raza ","Receiving",IF($H$2:$H1503 = "Ali Ahmad","Full-In"))))))</f>
        <v>Receiving</v>
      </c>
      <c r="J4" s="29"/>
      <c r="K4" s="40" t="s">
        <v>2213</v>
      </c>
      <c r="L4" s="40" t="s">
        <v>2214</v>
      </c>
      <c r="M4" s="41"/>
      <c r="N4" s="39" t="s">
        <v>2212</v>
      </c>
      <c r="O4" s="46" t="b">
        <f aca="false">FALSE()</f>
        <v>0</v>
      </c>
      <c r="P4" s="20" t="n">
        <v>530</v>
      </c>
      <c r="Q4" s="45" t="n">
        <v>530</v>
      </c>
      <c r="R4" s="43" t="n">
        <v>44968</v>
      </c>
      <c r="S4" s="20" t="str">
        <v>Flour</v>
      </c>
    </row>
    <row r="5" customFormat="false" ht="15.75" hidden="false" customHeight="false" outlineLevel="0" collapsed="false">
      <c r="A5" s="39" t="str">
        <v>25689B</v>
      </c>
      <c r="B5" s="44" t="str">
        <v>Tue,14-February-2023 ,01:14 AM</v>
      </c>
      <c r="C5" s="39" t="str">
        <v>Bonus tristar yellow surf 260g Rs50</v>
      </c>
      <c r="D5" s="39" t="str">
        <v>Bonus Surf</v>
      </c>
      <c r="E5" s="39" t="str">
        <v>Damaged Stock</v>
      </c>
      <c r="F5" s="45" t="n">
        <v>1</v>
      </c>
      <c r="G5" s="40" t="str">
        <v>[Code: 25689B] TA: Found damaged from bag.</v>
      </c>
      <c r="H5" s="39" t="str">
        <v>Taufeeq Akhtar </v>
      </c>
      <c r="I5" s="39" t="str">
        <f aca="false">IF(ISBLANK(H5),"", IF($H$2:$H1504 = "Gohar Rehan","Overnight",IF($H$2:$H1504 = "Taufeeq Akhtar ","Overnight",IF($H$2:$H1504 = "Zeeshan Ali Malik","Audit",IF($H$2:$H1504 = "Ali Raza ","Receiving",IF($H$2:$H1504 = "Ali Ahmad","Full-In"))))))</f>
        <v>Overnight</v>
      </c>
      <c r="J5" s="29"/>
      <c r="K5" s="40" t="s">
        <v>2215</v>
      </c>
      <c r="L5" s="40" t="s">
        <v>2216</v>
      </c>
      <c r="M5" s="41" t="n">
        <v>1</v>
      </c>
      <c r="N5" s="39" t="s">
        <v>2212</v>
      </c>
      <c r="O5" s="42" t="b">
        <f aca="false">TRUE()</f>
        <v>1</v>
      </c>
      <c r="P5" s="20" t="n">
        <v>45.48</v>
      </c>
      <c r="Q5" s="45" t="n">
        <v>45.48</v>
      </c>
      <c r="R5" s="43" t="n">
        <v>44971</v>
      </c>
      <c r="S5" s="20" t="str">
        <v>Surf, Bleach</v>
      </c>
    </row>
    <row r="6" customFormat="false" ht="15.75" hidden="false" customHeight="false" outlineLevel="0" collapsed="false">
      <c r="A6" s="39" t="str">
        <v>339ABB</v>
      </c>
      <c r="B6" s="44" t="str">
        <v>Tue,14-February-2023 ,01:13 AM</v>
      </c>
      <c r="C6" s="39" t="str">
        <v>Surf Excel x6 bundle 20g Rs 10</v>
      </c>
      <c r="D6" s="39" t="str">
        <v>Surf Excel</v>
      </c>
      <c r="E6" s="39" t="str">
        <v>Damaged Stock</v>
      </c>
      <c r="F6" s="45" t="n">
        <v>6</v>
      </c>
      <c r="G6" s="40" t="str">
        <v>[Code: 339ABB] TA:found damaged from bag during overnight operation.</v>
      </c>
      <c r="H6" s="39" t="str">
        <v>Taufeeq Akhtar </v>
      </c>
      <c r="I6" s="39" t="str">
        <f aca="false">IF(ISBLANK(H6),"", IF($H$2:$H1505 = "Gohar Rehan","Overnight",IF($H$2:$H1505 = "Taufeeq Akhtar ","Overnight",IF($H$2:$H1505 = "Zeeshan Ali Malik","Audit",IF($H$2:$H1505 = "Ali Raza ","Receiving",IF($H$2:$H1505 = "Ali Ahmad","Full-In"))))))</f>
        <v>Overnight</v>
      </c>
      <c r="J6" s="29"/>
      <c r="K6" s="40" t="s">
        <v>2215</v>
      </c>
      <c r="L6" s="40" t="s">
        <v>2217</v>
      </c>
      <c r="M6" s="41"/>
      <c r="N6" s="39" t="s">
        <v>2212</v>
      </c>
      <c r="O6" s="46" t="b">
        <f aca="false">FALSE()</f>
        <v>0</v>
      </c>
      <c r="P6" s="20" t="n">
        <v>54.17</v>
      </c>
      <c r="Q6" s="45" t="n">
        <v>325.02</v>
      </c>
      <c r="R6" s="43" t="n">
        <v>44971</v>
      </c>
      <c r="S6" s="20" t="str">
        <v>Surf, Bleach</v>
      </c>
    </row>
    <row r="7" customFormat="false" ht="15.75" hidden="false" customHeight="false" outlineLevel="0" collapsed="false">
      <c r="A7" s="39" t="str">
        <v>3799DE</v>
      </c>
      <c r="B7" s="44" t="str">
        <v>Thu,16-February-2023 ,08:45 PM</v>
      </c>
      <c r="C7" s="39" t="str">
        <v>Kolson Dhanak Colour Vermicelli x6 Bundle 160g</v>
      </c>
      <c r="D7" s="39" t="str">
        <v>Kolson</v>
      </c>
      <c r="E7" s="39" t="str">
        <v>Damaged Stock</v>
      </c>
      <c r="F7" s="45" t="n">
        <v>3</v>
      </c>
      <c r="G7" s="40" t="str">
        <v>[Code: 3799DE] ZA: Found damage packing (company end Issue) </v>
      </c>
      <c r="H7" s="39" t="str">
        <v>Zeeshan Ali Malik</v>
      </c>
      <c r="I7" s="39" t="str">
        <f aca="false">IF(ISBLANK(H7),"", IF($H$2:$H1506 = "Gohar Rehan","Overnight",IF($H$2:$H1506 = "Taufeeq Akhtar ","Overnight",IF($H$2:$H1506 = "Zeeshan Ali Malik","Audit",IF($H$2:$H1506 = "Ali Raza ","Receiving",IF($H$2:$H1506 = "Ali Ahmad","Full-In"))))))</f>
        <v>Audit</v>
      </c>
      <c r="J7" s="29"/>
      <c r="K7" s="40" t="s">
        <v>2218</v>
      </c>
      <c r="L7" s="40" t="s">
        <v>2219</v>
      </c>
      <c r="M7" s="41" t="n">
        <v>3</v>
      </c>
      <c r="N7" s="39" t="s">
        <v>2212</v>
      </c>
      <c r="O7" s="42" t="b">
        <f aca="false">TRUE()</f>
        <v>1</v>
      </c>
      <c r="P7" s="20" t="n">
        <v>281.52</v>
      </c>
      <c r="Q7" s="45" t="n">
        <v>844.56</v>
      </c>
      <c r="R7" s="43" t="n">
        <v>44973</v>
      </c>
      <c r="S7" s="20" t="str">
        <v>Grocery</v>
      </c>
    </row>
    <row r="8" customFormat="false" ht="15.75" hidden="false" customHeight="false" outlineLevel="0" collapsed="false">
      <c r="A8" s="39" t="str">
        <v>345667</v>
      </c>
      <c r="B8" s="44" t="str">
        <v>Thu,16-February-2023 ,01:20 AM</v>
      </c>
      <c r="C8" s="39" t="str">
        <v>Surf Excel x6 bundle 20g Rs 10</v>
      </c>
      <c r="D8" s="39" t="str">
        <v>Surf Excel</v>
      </c>
      <c r="E8" s="39" t="str">
        <v>Damaged Stock</v>
      </c>
      <c r="F8" s="45" t="n">
        <v>1</v>
      </c>
      <c r="G8" s="40" t="str">
        <v>[Code: 345667] TA: Company end issue(Found damaged from bag)</v>
      </c>
      <c r="H8" s="39" t="str">
        <v>Taufeeq Akhtar </v>
      </c>
      <c r="I8" s="39" t="str">
        <f aca="false">IF(ISBLANK(H8),"", IF($H$2:$H1507 = "Gohar Rehan","Overnight",IF($H$2:$H1507 = "Taufeeq Akhtar ","Overnight",IF($H$2:$H1507 = "Zeeshan Ali Malik","Audit",IF($H$2:$H1507 = "Ali Raza ","Receiving",IF($H$2:$H1507 = "Ali Ahmad","Full-In"))))))</f>
        <v>Overnight</v>
      </c>
      <c r="J8" s="29"/>
      <c r="K8" s="40" t="s">
        <v>2218</v>
      </c>
      <c r="L8" s="40" t="s">
        <v>2217</v>
      </c>
      <c r="M8" s="41"/>
      <c r="N8" s="39" t="s">
        <v>2212</v>
      </c>
      <c r="O8" s="46" t="b">
        <f aca="false">FALSE()</f>
        <v>0</v>
      </c>
      <c r="P8" s="20" t="n">
        <v>54.17</v>
      </c>
      <c r="Q8" s="45" t="n">
        <v>54.17</v>
      </c>
      <c r="R8" s="43" t="n">
        <v>44973</v>
      </c>
      <c r="S8" s="20" t="str">
        <v>Surf, Bleach</v>
      </c>
    </row>
    <row r="9" customFormat="false" ht="15.75" hidden="false" customHeight="false" outlineLevel="0" collapsed="false">
      <c r="A9" s="39" t="str">
        <v>28CHJJ</v>
      </c>
      <c r="B9" s="44" t="str">
        <v>Thu,16-February-2023 ,01:18 AM</v>
      </c>
      <c r="C9" s="39" t="str">
        <v>Bonus tristar yellow surf 260g Rs50</v>
      </c>
      <c r="D9" s="39" t="str">
        <v>Bonus Surf</v>
      </c>
      <c r="E9" s="39" t="str">
        <v>Damaged Stock</v>
      </c>
      <c r="F9" s="45" t="n">
        <v>2</v>
      </c>
      <c r="G9" s="40" t="str">
        <v>[Code: 28CHJJ] TA:company end issue(found damage from bag)</v>
      </c>
      <c r="H9" s="39" t="str">
        <v>Taufeeq Akhtar </v>
      </c>
      <c r="I9" s="39" t="str">
        <f aca="false">IF(ISBLANK(H9),"", IF($H$2:$H1508 = "Gohar Rehan","Overnight",IF($H$2:$H1508 = "Taufeeq Akhtar ","Overnight",IF($H$2:$H1508 = "Zeeshan Ali Malik","Audit",IF($H$2:$H1508 = "Ali Raza ","Receiving",IF($H$2:$H1508 = "Ali Ahmad","Full-In"))))))</f>
        <v>Overnight</v>
      </c>
      <c r="J9" s="29"/>
      <c r="K9" s="40" t="s">
        <v>2220</v>
      </c>
      <c r="L9" s="40" t="s">
        <v>2216</v>
      </c>
      <c r="M9" s="41" t="n">
        <v>2</v>
      </c>
      <c r="N9" s="39" t="s">
        <v>2212</v>
      </c>
      <c r="O9" s="42" t="b">
        <f aca="false">TRUE()</f>
        <v>1</v>
      </c>
      <c r="P9" s="20" t="n">
        <v>45.48</v>
      </c>
      <c r="Q9" s="45" t="n">
        <v>90.96</v>
      </c>
      <c r="R9" s="43" t="n">
        <v>44973</v>
      </c>
      <c r="S9" s="20" t="str">
        <v>Surf, Bleach</v>
      </c>
    </row>
    <row r="10" customFormat="false" ht="15.75" hidden="false" customHeight="false" outlineLevel="0" collapsed="false">
      <c r="A10" s="39" t="str">
        <v>69HHJK</v>
      </c>
      <c r="B10" s="44" t="str">
        <v>Thu,16-February-2023 ,01:13 AM</v>
      </c>
      <c r="C10" s="39" t="str">
        <v>Gibs Crispee Wafers Orange 15pcs Rs10</v>
      </c>
      <c r="D10" s="39" t="str">
        <v>Gibs</v>
      </c>
      <c r="E10" s="39" t="str">
        <v>Damaged Stock</v>
      </c>
      <c r="F10" s="45" t="n">
        <v>1</v>
      </c>
      <c r="G10" s="40" t="str">
        <v>[Code: 69HHJK] TA:company end issue(only 4 pieces available in box)</v>
      </c>
      <c r="H10" s="39" t="str">
        <v>Taufeeq Akhtar </v>
      </c>
      <c r="I10" s="39" t="str">
        <f aca="false">IF(ISBLANK(H10),"", IF($H$2:$H1509 = "Gohar Rehan","Overnight",IF($H$2:$H1509 = "Taufeeq Akhtar ","Overnight",IF($H$2:$H1509 = "Zeeshan Ali Malik","Audit",IF($H$2:$H1509 = "Ali Raza ","Receiving",IF($H$2:$H1509 = "Ali Ahmad","Full-In"))))))</f>
        <v>Overnight</v>
      </c>
      <c r="J10" s="29"/>
      <c r="K10" s="40" t="s">
        <v>2220</v>
      </c>
      <c r="L10" s="40" t="s">
        <v>2219</v>
      </c>
      <c r="M10" s="41" t="n">
        <v>1</v>
      </c>
      <c r="N10" s="39" t="s">
        <v>2212</v>
      </c>
      <c r="O10" s="42" t="b">
        <f aca="false">TRUE()</f>
        <v>1</v>
      </c>
      <c r="P10" s="20" t="n">
        <v>128.75</v>
      </c>
      <c r="Q10" s="45" t="n">
        <v>128.75</v>
      </c>
      <c r="R10" s="43" t="n">
        <v>44973</v>
      </c>
      <c r="S10" s="20" t="str">
        <v>Biscuits, Wafers</v>
      </c>
    </row>
    <row r="11" customFormat="false" ht="15.75" hidden="false" customHeight="false" outlineLevel="0" collapsed="false">
      <c r="A11" s="39" t="str">
        <v>267CEE</v>
      </c>
      <c r="B11" s="44" t="str">
        <v>Sun,19-February-2023 ,11:00 PM</v>
      </c>
      <c r="C11" s="39" t="str">
        <v>Ariel Original Surf x6 bundle 100g Rs 50</v>
      </c>
      <c r="D11" s="39" t="str">
        <v>Ariel Surf</v>
      </c>
      <c r="E11" s="39" t="str">
        <v>Damaged Stock</v>
      </c>
      <c r="F11" s="45" t="n">
        <v>1</v>
      </c>
      <c r="G11" s="40" t="str">
        <v>[Code: 267CEE] TA:Company end issue(found damaged from bag)</v>
      </c>
      <c r="H11" s="39" t="str">
        <v>Taufeeq Akhtar </v>
      </c>
      <c r="I11" s="39" t="str">
        <f aca="false">IF(ISBLANK(H11),"", IF($H$2:$H1510 = "Gohar Rehan","Overnight",IF($H$2:$H1510 = "Taufeeq Akhtar ","Overnight",IF($H$2:$H1510 = "Zeeshan Ali Malik","Audit",IF($H$2:$H1510 = "Ali Raza ","Receiving",IF($H$2:$H1510 = "Ali Ahmad","Full-In"))))))</f>
        <v>Overnight</v>
      </c>
      <c r="J11" s="29"/>
      <c r="K11" s="40" t="s">
        <v>2215</v>
      </c>
      <c r="L11" s="40" t="s">
        <v>2216</v>
      </c>
      <c r="M11" s="41" t="n">
        <v>1</v>
      </c>
      <c r="N11" s="39" t="s">
        <v>2212</v>
      </c>
      <c r="O11" s="42" t="b">
        <f aca="false">TRUE()</f>
        <v>1</v>
      </c>
      <c r="P11" s="20" t="n">
        <v>270</v>
      </c>
      <c r="Q11" s="45" t="n">
        <v>270</v>
      </c>
      <c r="R11" s="43" t="n">
        <v>44976</v>
      </c>
      <c r="S11" s="20" t="str">
        <v>Surf, Bleach</v>
      </c>
    </row>
    <row r="12" customFormat="false" ht="15.75" hidden="false" customHeight="false" outlineLevel="0" collapsed="false">
      <c r="A12" s="39" t="str">
        <v>3789AC</v>
      </c>
      <c r="B12" s="44" t="str">
        <v>Sun,19-February-2023 ,10:58 PM</v>
      </c>
      <c r="C12" s="39" t="str">
        <v>Surf Excel x6 bundle 20g Rs 10</v>
      </c>
      <c r="D12" s="39" t="str">
        <v>Surf Excel</v>
      </c>
      <c r="E12" s="39" t="str">
        <v>Damaged Stock</v>
      </c>
      <c r="F12" s="45" t="n">
        <v>13</v>
      </c>
      <c r="G12" s="40" t="str">
        <v>[Code: 3789AC] TA:Company end issue(Found damaged from bag)</v>
      </c>
      <c r="H12" s="39" t="str">
        <v>Taufeeq Akhtar </v>
      </c>
      <c r="I12" s="39" t="str">
        <f aca="false">IF(ISBLANK(H12),"", IF($H$2:$H1511 = "Gohar Rehan","Overnight",IF($H$2:$H1511 = "Taufeeq Akhtar ","Overnight",IF($H$2:$H1511 = "Zeeshan Ali Malik","Audit",IF($H$2:$H1511 = "Ali Raza ","Receiving",IF($H$2:$H1511 = "Ali Ahmad","Full-In"))))))</f>
        <v>Overnight</v>
      </c>
      <c r="J12" s="29"/>
      <c r="K12" s="40" t="s">
        <v>2215</v>
      </c>
      <c r="L12" s="40" t="s">
        <v>2217</v>
      </c>
      <c r="M12" s="41"/>
      <c r="N12" s="39" t="s">
        <v>2212</v>
      </c>
      <c r="O12" s="46" t="b">
        <f aca="false">FALSE()</f>
        <v>0</v>
      </c>
      <c r="P12" s="20" t="n">
        <v>54.17</v>
      </c>
      <c r="Q12" s="45" t="n">
        <v>704.21</v>
      </c>
      <c r="R12" s="43" t="n">
        <v>44976</v>
      </c>
      <c r="S12" s="20" t="str">
        <v>Surf, Bleach</v>
      </c>
    </row>
    <row r="13" customFormat="false" ht="15.75" hidden="false" customHeight="false" outlineLevel="0" collapsed="false">
      <c r="A13" s="39" t="str">
        <v>2788AH</v>
      </c>
      <c r="B13" s="44" t="str">
        <v>Mon,20-February-2023 ,12:06 AM</v>
      </c>
      <c r="C13" s="39" t="str">
        <v>Coca Cola plastic 1.5L</v>
      </c>
      <c r="D13" s="39" t="str">
        <v>Coca Cola</v>
      </c>
      <c r="E13" s="39" t="str">
        <v>Damaged Stock</v>
      </c>
      <c r="F13" s="45" t="n">
        <v>1</v>
      </c>
      <c r="G13" s="40" t="str">
        <v>[Code: 2788AH] TA: Damaged during sorting.</v>
      </c>
      <c r="H13" s="39" t="str">
        <v>Taufeeq Akhtar </v>
      </c>
      <c r="I13" s="39" t="str">
        <f aca="false">IF(ISBLANK(H13),"", IF($H$2:$H1512 = "Gohar Rehan","Overnight",IF($H$2:$H1512 = "Taufeeq Akhtar ","Overnight",IF($H$2:$H1512 = "Zeeshan Ali Malik","Audit",IF($H$2:$H1512 = "Ali Raza ","Receiving",IF($H$2:$H1512 = "Ali Ahmad","Full-In"))))))</f>
        <v>Overnight</v>
      </c>
      <c r="J13" s="29"/>
      <c r="K13" s="40" t="s">
        <v>2221</v>
      </c>
      <c r="L13" s="40" t="s">
        <v>2222</v>
      </c>
      <c r="M13" s="45" t="n">
        <v>1</v>
      </c>
      <c r="N13" s="39" t="s">
        <v>2212</v>
      </c>
      <c r="O13" s="42" t="b">
        <f aca="false">TRUE()</f>
        <v>1</v>
      </c>
      <c r="P13" s="20" t="n">
        <v>736.3</v>
      </c>
      <c r="Q13" s="45" t="n">
        <v>736.3</v>
      </c>
      <c r="R13" s="43" t="n">
        <v>44977</v>
      </c>
      <c r="S13" s="20" t="str">
        <v>Beverages</v>
      </c>
    </row>
    <row r="14" customFormat="false" ht="15.75" hidden="false" customHeight="false" outlineLevel="0" collapsed="false">
      <c r="A14" s="39" t="str">
        <v>5BBCDG</v>
      </c>
      <c r="B14" s="44" t="str">
        <v>Tue,21-February-2023 ,01:00 AM</v>
      </c>
      <c r="C14" s="39" t="str">
        <v>Bonus tristar yellow surf 485g Rs99</v>
      </c>
      <c r="D14" s="39" t="str">
        <v>Bonus Surf</v>
      </c>
      <c r="E14" s="39" t="str">
        <v>Damaged Stock</v>
      </c>
      <c r="F14" s="45" t="n">
        <v>1</v>
      </c>
      <c r="G14" s="40" t="str">
        <v>[Code: 5BBCDG] TA:Found damaged(company end issue)</v>
      </c>
      <c r="H14" s="39" t="str">
        <v>Taufeeq Akhtar </v>
      </c>
      <c r="I14" s="39" t="str">
        <f aca="false">IF(ISBLANK(H14),"", IF($H$2:$H1513 = "Gohar Rehan","Overnight",IF($H$2:$H1513 = "Taufeeq Akhtar ","Overnight",IF($H$2:$H1513 = "Zeeshan Ali Malik","Audit",IF($H$2:$H1513 = "Ali Raza ","Receiving",IF($H$2:$H1513 = "Ali Ahmad","Full-In"))))))</f>
        <v>Overnight</v>
      </c>
      <c r="J14" s="29"/>
      <c r="K14" s="40" t="s">
        <v>2215</v>
      </c>
      <c r="L14" s="40" t="s">
        <v>2216</v>
      </c>
      <c r="M14" s="41" t="n">
        <v>1</v>
      </c>
      <c r="N14" s="39" t="s">
        <v>2212</v>
      </c>
      <c r="O14" s="42" t="b">
        <f aca="false">TRUE()</f>
        <v>1</v>
      </c>
      <c r="P14" s="20" t="n">
        <v>89.88</v>
      </c>
      <c r="Q14" s="45" t="n">
        <v>89.88</v>
      </c>
      <c r="R14" s="43" t="n">
        <v>44978</v>
      </c>
      <c r="S14" s="20" t="str">
        <v>Surf, Bleach</v>
      </c>
    </row>
    <row r="15" customFormat="false" ht="15.75" hidden="false" customHeight="false" outlineLevel="0" collapsed="false">
      <c r="A15" s="39" t="str">
        <v>5BBCDG</v>
      </c>
      <c r="B15" s="44" t="str">
        <v>Tue,21-February-2023 ,01:00 AM</v>
      </c>
      <c r="C15" s="39" t="str">
        <v>Bonus tristar yellow surf 485g Rs99</v>
      </c>
      <c r="D15" s="39" t="str">
        <v>Bonus Surf</v>
      </c>
      <c r="E15" s="39" t="str">
        <v>Damaged Stock</v>
      </c>
      <c r="F15" s="45" t="n">
        <v>1</v>
      </c>
      <c r="G15" s="40" t="str">
        <v>[Code: 5BBCDG] TA:Found damaged(company end issue)</v>
      </c>
      <c r="H15" s="39" t="str">
        <v>Taufeeq Akhtar </v>
      </c>
      <c r="I15" s="39" t="str">
        <f aca="false">IF(ISBLANK(H15),"", IF($H$2:$H1514 = "Gohar Rehan","Overnight",IF($H$2:$H1514 = "Taufeeq Akhtar ","Overnight",IF($H$2:$H1514 = "Zeeshan Ali Malik","Audit",IF($H$2:$H1514 = "Ali Raza ","Receiving",IF($H$2:$H1514 = "Ali Ahmad","Full-In"))))))</f>
        <v>Overnight</v>
      </c>
      <c r="J15" s="29"/>
      <c r="K15" s="40" t="s">
        <v>2215</v>
      </c>
      <c r="L15" s="40" t="s">
        <v>2216</v>
      </c>
      <c r="M15" s="41" t="n">
        <v>1</v>
      </c>
      <c r="N15" s="39" t="s">
        <v>2212</v>
      </c>
      <c r="O15" s="42" t="b">
        <f aca="false">TRUE()</f>
        <v>1</v>
      </c>
      <c r="P15" s="20" t="n">
        <v>89.88</v>
      </c>
      <c r="Q15" s="45" t="n">
        <v>89.88</v>
      </c>
      <c r="R15" s="43" t="n">
        <v>44978</v>
      </c>
      <c r="S15" s="20" t="str">
        <v>Surf, Bleach</v>
      </c>
    </row>
    <row r="16" customFormat="false" ht="15.75" hidden="false" customHeight="false" outlineLevel="0" collapsed="false">
      <c r="A16" s="39" t="str">
        <v>3567BD</v>
      </c>
      <c r="B16" s="44" t="str">
        <v>Wed,22-February-2023 ,12:48 AM</v>
      </c>
      <c r="C16" s="39" t="str">
        <v>Bisconni Cocomo Milk Party Pack Rs60</v>
      </c>
      <c r="D16" s="39" t="str">
        <v>Bisconni</v>
      </c>
      <c r="E16" s="39" t="str">
        <v>Damaged Stock</v>
      </c>
      <c r="F16" s="45" t="n">
        <v>1</v>
      </c>
      <c r="G16" s="40" t="str">
        <v>[Code: 3567BD] TA: found emty plastic(company end issue)</v>
      </c>
      <c r="H16" s="39" t="str">
        <v>Taufeeq Akhtar </v>
      </c>
      <c r="I16" s="39" t="str">
        <f aca="false">IF(ISBLANK(H16),"", IF($H$2:$H1515 = "Gohar Rehan","Overnight",IF($H$2:$H1515 = "Taufeeq Akhtar ","Overnight",IF($H$2:$H1515 = "Zeeshan Ali Malik","Audit",IF($H$2:$H1515 = "Ali Raza ","Receiving",IF($H$2:$H1515 = "Ali Ahmad","Full-In"))))))</f>
        <v>Overnight</v>
      </c>
      <c r="J16" s="29"/>
      <c r="K16" s="40" t="s">
        <v>2218</v>
      </c>
      <c r="L16" s="40" t="s">
        <v>2219</v>
      </c>
      <c r="M16" s="41" t="n">
        <v>1</v>
      </c>
      <c r="N16" s="39" t="s">
        <v>2212</v>
      </c>
      <c r="O16" s="42" t="b">
        <f aca="false">TRUE()</f>
        <v>1</v>
      </c>
      <c r="P16" s="20" t="n">
        <v>52.5</v>
      </c>
      <c r="Q16" s="45" t="n">
        <v>52.5</v>
      </c>
      <c r="R16" s="43" t="n">
        <v>44979</v>
      </c>
      <c r="S16" s="20" t="str">
        <v>Confectionary</v>
      </c>
    </row>
    <row r="17" customFormat="false" ht="15.75" hidden="false" customHeight="false" outlineLevel="0" collapsed="false">
      <c r="A17" s="39" t="str">
        <v>2468CC</v>
      </c>
      <c r="B17" s="44" t="str">
        <v>Wed,22-February-2023 ,12:43 AM</v>
      </c>
      <c r="C17" s="39" t="str">
        <v>Bonus tristar yellow surf 485g Rs99</v>
      </c>
      <c r="D17" s="39" t="str">
        <v>Bonus Surf</v>
      </c>
      <c r="E17" s="39" t="str">
        <v>Damaged Stock</v>
      </c>
      <c r="F17" s="45" t="n">
        <v>1</v>
      </c>
      <c r="G17" s="40" t="str">
        <v>[Code: 2468CC] TA:Found Damaged (company end issue)</v>
      </c>
      <c r="H17" s="39" t="str">
        <v>Taufeeq Akhtar </v>
      </c>
      <c r="I17" s="39" t="str">
        <f aca="false">IF(ISBLANK(H17),"", IF($H$2:$H1516 = "Gohar Rehan","Overnight",IF($H$2:$H1516 = "Taufeeq Akhtar ","Overnight",IF($H$2:$H1516 = "Zeeshan Ali Malik","Audit",IF($H$2:$H1516 = "Ali Raza ","Receiving",IF($H$2:$H1516 = "Ali Ahmad","Full-In"))))))</f>
        <v>Overnight</v>
      </c>
      <c r="J17" s="29"/>
      <c r="K17" s="40" t="s">
        <v>2215</v>
      </c>
      <c r="L17" s="40" t="s">
        <v>2216</v>
      </c>
      <c r="M17" s="41" t="n">
        <v>1</v>
      </c>
      <c r="N17" s="39" t="s">
        <v>2212</v>
      </c>
      <c r="O17" s="42" t="b">
        <f aca="false">TRUE()</f>
        <v>1</v>
      </c>
      <c r="P17" s="20" t="n">
        <v>89.88</v>
      </c>
      <c r="Q17" s="45" t="n">
        <v>89.88</v>
      </c>
      <c r="R17" s="43" t="n">
        <v>44979</v>
      </c>
      <c r="S17" s="20" t="str">
        <v>Surf, Bleach</v>
      </c>
    </row>
    <row r="18" customFormat="false" ht="15.75" hidden="false" customHeight="false" outlineLevel="0" collapsed="false">
      <c r="A18" s="39" t="str">
        <v>44568A</v>
      </c>
      <c r="B18" s="44" t="str">
        <v>Wed,22-February-2023 ,12:40 AM</v>
      </c>
      <c r="C18" s="39" t="str">
        <v>Surf Excel x6 bundle 20g Rs 10</v>
      </c>
      <c r="D18" s="39" t="str">
        <v>Surf Excel</v>
      </c>
      <c r="E18" s="39" t="str">
        <v>Damaged Stock</v>
      </c>
      <c r="F18" s="45" t="n">
        <v>1</v>
      </c>
      <c r="G18" s="40" t="str">
        <v>[Code: 44568A] TA:Damaged during sorting</v>
      </c>
      <c r="H18" s="39" t="str">
        <v>Taufeeq Akhtar </v>
      </c>
      <c r="I18" s="39" t="str">
        <f aca="false">IF(ISBLANK(H18),"", IF($H$2:$H1517 = "Gohar Rehan","Overnight",IF($H$2:$H1517 = "Taufeeq Akhtar ","Overnight",IF($H$2:$H1517 = "Zeeshan Ali Malik","Audit",IF($H$2:$H1517 = "Ali Raza ","Receiving",IF($H$2:$H1517 = "Ali Ahmad","Full-In"))))))</f>
        <v>Overnight</v>
      </c>
      <c r="J18" s="29"/>
      <c r="K18" s="40" t="s">
        <v>2215</v>
      </c>
      <c r="L18" s="40" t="s">
        <v>2217</v>
      </c>
      <c r="M18" s="41"/>
      <c r="N18" s="39" t="s">
        <v>2212</v>
      </c>
      <c r="O18" s="46" t="b">
        <f aca="false">FALSE()</f>
        <v>0</v>
      </c>
      <c r="P18" s="20" t="n">
        <v>54.17</v>
      </c>
      <c r="Q18" s="45" t="n">
        <v>54.17</v>
      </c>
      <c r="R18" s="43" t="n">
        <v>44979</v>
      </c>
      <c r="S18" s="20" t="str">
        <v>Surf, Bleach</v>
      </c>
    </row>
    <row r="19" customFormat="false" ht="15.75" hidden="false" customHeight="false" outlineLevel="0" collapsed="false">
      <c r="A19" s="39" t="str">
        <v>248FHJ</v>
      </c>
      <c r="B19" s="44" t="str">
        <v>Thu,23-February-2023 ,12:26 AM</v>
      </c>
      <c r="C19" s="39" t="str">
        <v>LU Zeera Plus Biscuits Snack Pack Rs40</v>
      </c>
      <c r="D19" s="39" t="str">
        <v>LU</v>
      </c>
      <c r="E19" s="39" t="str">
        <v>Damaged Stock</v>
      </c>
      <c r="F19" s="45" t="n">
        <v>1</v>
      </c>
      <c r="G19" s="40" t="str">
        <v>[Code: 248FHJ] TA: found damaged during display in the rack(A3) . 1 packet is missing from the box. Date:22/2/2023</v>
      </c>
      <c r="H19" s="39" t="str">
        <v>Taufeeq Akhtar </v>
      </c>
      <c r="I19" s="39" t="str">
        <f aca="false">IF(ISBLANK(H19),"", IF($H$2:$H1518 = "Gohar Rehan","Overnight",IF($H$2:$H1518 = "Taufeeq Akhtar ","Overnight",IF($H$2:$H1518 = "Zeeshan Ali Malik","Audit",IF($H$2:$H1518 = "Ali Raza ","Receiving",IF($H$2:$H1518 = "Ali Ahmad","Full-In"))))))</f>
        <v>Overnight</v>
      </c>
      <c r="J19" s="29"/>
      <c r="K19" s="40" t="s">
        <v>2220</v>
      </c>
      <c r="L19" s="40" t="s">
        <v>2219</v>
      </c>
      <c r="M19" s="41" t="n">
        <v>1</v>
      </c>
      <c r="N19" s="39" t="s">
        <v>2212</v>
      </c>
      <c r="O19" s="42" t="b">
        <f aca="false">TRUE()</f>
        <v>1</v>
      </c>
      <c r="P19" s="20" t="n">
        <v>212.44</v>
      </c>
      <c r="Q19" s="45" t="n">
        <v>212.44</v>
      </c>
      <c r="R19" s="43" t="n">
        <v>44980</v>
      </c>
      <c r="S19" s="20" t="str">
        <v>Biscuits, Wafers</v>
      </c>
    </row>
    <row r="20" customFormat="false" ht="15.75" hidden="false" customHeight="false" outlineLevel="0" collapsed="false">
      <c r="A20" s="39" t="str">
        <v>567ACD</v>
      </c>
      <c r="B20" s="44" t="str">
        <v>Fri,24-February-2023 ,09:35 PM</v>
      </c>
      <c r="C20" s="39" t="str">
        <v>Brite Surf x12 bundle 25g Rs 10</v>
      </c>
      <c r="D20" s="39" t="str">
        <v>Brite Surf</v>
      </c>
      <c r="E20" s="39" t="str">
        <v>Damaged Stock</v>
      </c>
      <c r="F20" s="45" t="n">
        <v>2</v>
      </c>
      <c r="G20" s="40" t="str">
        <v>[Code: 567ACD] TA:Damaged during sorting by sorter.NON Food Area say milay.</v>
      </c>
      <c r="H20" s="39" t="str">
        <v>Taufeeq Akhtar </v>
      </c>
      <c r="I20" s="39" t="str">
        <f aca="false">IF(ISBLANK(H20),"", IF($H$2:$H1519 = "Gohar Rehan","Overnight",IF($H$2:$H1519 = "Taufeeq Akhtar ","Overnight",IF($H$2:$H1519 = "Zeeshan Ali Malik","Audit",IF($H$2:$H1519 = "Ali Raza ","Receiving",IF($H$2:$H1519 = "Ali Ahmad","Full-In"))))))</f>
        <v>Overnight</v>
      </c>
      <c r="J20" s="29"/>
      <c r="K20" s="40" t="s">
        <v>2215</v>
      </c>
      <c r="L20" s="40" t="s">
        <v>2216</v>
      </c>
      <c r="M20" s="41" t="n">
        <v>2</v>
      </c>
      <c r="N20" s="39" t="s">
        <v>2212</v>
      </c>
      <c r="O20" s="42" t="b">
        <f aca="false">TRUE()</f>
        <v>1</v>
      </c>
      <c r="P20" s="20" t="n">
        <v>107.03</v>
      </c>
      <c r="Q20" s="45" t="n">
        <v>214.06</v>
      </c>
      <c r="R20" s="43" t="n">
        <v>44981</v>
      </c>
      <c r="S20" s="20" t="str">
        <v>Surf, Bleach</v>
      </c>
    </row>
    <row r="21" customFormat="false" ht="15.75" hidden="false" customHeight="false" outlineLevel="0" collapsed="false">
      <c r="A21" s="39" t="str">
        <v>6899BC</v>
      </c>
      <c r="B21" s="44" t="str">
        <v>Mon,27-February-2023 ,12:55 AM</v>
      </c>
      <c r="C21" s="39" t="str">
        <v>Shangrila Imli Ginger Sauce x3 Bundle 400g Rs190</v>
      </c>
      <c r="D21" s="39" t="str">
        <v>Shangrila</v>
      </c>
      <c r="E21" s="39" t="str">
        <v>Damaged Stock</v>
      </c>
      <c r="F21" s="45" t="n">
        <v>1</v>
      </c>
      <c r="G21" s="40" t="str">
        <v>[Code: 6899BC] TA: Found damaged from row B1.(sorting k doran rack say damaged mila display may laga tha)</v>
      </c>
      <c r="H21" s="39" t="str">
        <v>Taufeeq Akhtar </v>
      </c>
      <c r="I21" s="39" t="str">
        <f aca="false">IF(ISBLANK(H21),"", IF($H$2:$H1520 = "Gohar Rehan","Overnight",IF($H$2:$H1520 = "Taufeeq Akhtar ","Overnight",IF($H$2:$H1520 = "Zeeshan Ali Malik","Audit",IF($H$2:$H1520 = "Ali Raza ","Receiving",IF($H$2:$H1520 = "Ali Ahmad","Full-In"))))))</f>
        <v>Overnight</v>
      </c>
      <c r="J21" s="29"/>
      <c r="K21" s="40" t="s">
        <v>2223</v>
      </c>
      <c r="L21" s="40" t="s">
        <v>2224</v>
      </c>
      <c r="M21" s="41"/>
      <c r="N21" s="39" t="s">
        <v>2212</v>
      </c>
      <c r="O21" s="46" t="b">
        <f aca="false">FALSE()</f>
        <v>0</v>
      </c>
      <c r="P21" s="20" t="n">
        <v>467.21</v>
      </c>
      <c r="Q21" s="45" t="n">
        <v>467.21</v>
      </c>
      <c r="R21" s="43" t="n">
        <v>44984</v>
      </c>
      <c r="S21" s="20" t="str">
        <v>Sauces</v>
      </c>
    </row>
    <row r="22" customFormat="false" ht="15.75" hidden="false" customHeight="false" outlineLevel="0" collapsed="false">
      <c r="A22" s="39" t="str">
        <v>227899</v>
      </c>
      <c r="B22" s="44" t="str">
        <v>Wed,01-March-2023 ,11:42 PM</v>
      </c>
      <c r="C22" s="39" t="str">
        <v>Bonus tristar detergent x6 bundle 50g Rs 10</v>
      </c>
      <c r="D22" s="39" t="str">
        <v>Bonus Surf</v>
      </c>
      <c r="E22" s="39" t="str">
        <v>Damaged Stock</v>
      </c>
      <c r="F22" s="45" t="n">
        <v>1</v>
      </c>
      <c r="G22" s="40" t="str">
        <v>[Code: 227899] TA: Damaged during display by patrolling officer|:</v>
      </c>
      <c r="H22" s="39" t="str">
        <v>Taufeeq Akhtar </v>
      </c>
      <c r="I22" s="39" t="str">
        <f aca="false">IF(ISBLANK(H22),"", IF($H$2:$H1521 = "Gohar Rehan","Overnight",IF($H$2:$H1521 = "Taufeeq Akhtar ","Overnight",IF($H$2:$H1521 = "Zeeshan Ali Malik","Audit",IF($H$2:$H1521 = "Ali Raza ","Receiving",IF($H$2:$H1521 = "Ali Ahmad","Full-In"))))))</f>
        <v>Overnight</v>
      </c>
      <c r="J22" s="29"/>
      <c r="K22" s="40" t="s">
        <v>2225</v>
      </c>
      <c r="L22" s="40" t="s">
        <v>2226</v>
      </c>
      <c r="M22" s="41" t="n">
        <v>1</v>
      </c>
      <c r="N22" s="39" t="s">
        <v>2212</v>
      </c>
      <c r="O22" s="42" t="b">
        <f aca="false">TRUE()</f>
        <v>1</v>
      </c>
      <c r="P22" s="20" t="n">
        <v>55.13</v>
      </c>
      <c r="Q22" s="45" t="n">
        <v>55.13</v>
      </c>
      <c r="R22" s="43" t="n">
        <v>44986</v>
      </c>
      <c r="S22" s="20" t="str">
        <v>Surf, Bleach</v>
      </c>
    </row>
    <row r="23" customFormat="false" ht="15.75" hidden="false" customHeight="false" outlineLevel="0" collapsed="false">
      <c r="A23" s="39" t="str">
        <v>889ACE</v>
      </c>
      <c r="B23" s="44" t="str">
        <v>Wed,01-March-2023 ,08:57 PM</v>
      </c>
      <c r="C23" s="39" t="str">
        <v>Surf Excel x6 bundle 115g Rs50</v>
      </c>
      <c r="D23" s="39" t="str">
        <v>Surf Excel</v>
      </c>
      <c r="E23" s="39" t="str">
        <v>Damaged Stock</v>
      </c>
      <c r="F23" s="45" t="n">
        <v>1</v>
      </c>
      <c r="G23" s="40" t="str">
        <v>[Code: 889ACE] 01 pc found damage in packed bag during sorting</v>
      </c>
      <c r="H23" s="39" t="str">
        <v>Zeeshan Ali Malik</v>
      </c>
      <c r="I23" s="39" t="str">
        <f aca="false">IF(ISBLANK(H23),"", IF($H$2:$H1522 = "Gohar Rehan","Overnight",IF($H$2:$H1522 = "Taufeeq Akhtar ","Overnight",IF($H$2:$H1522 = "Zeeshan Ali Malik","Audit",IF($H$2:$H1522 = "Ali Raza ","Receiving",IF($H$2:$H1522 = "Ali Ahmad","Full-In"))))))</f>
        <v>Audit</v>
      </c>
      <c r="J23" s="29"/>
      <c r="K23" s="40" t="s">
        <v>2215</v>
      </c>
      <c r="L23" s="40" t="s">
        <v>2217</v>
      </c>
      <c r="M23" s="41"/>
      <c r="N23" s="39" t="s">
        <v>2212</v>
      </c>
      <c r="O23" s="46" t="b">
        <f aca="false">FALSE()</f>
        <v>0</v>
      </c>
      <c r="P23" s="20" t="n">
        <v>272</v>
      </c>
      <c r="Q23" s="45" t="n">
        <v>272</v>
      </c>
      <c r="R23" s="43" t="n">
        <v>44986</v>
      </c>
      <c r="S23" s="20" t="str">
        <v>Surf, Bleach</v>
      </c>
    </row>
    <row r="24" customFormat="false" ht="15.75" hidden="false" customHeight="false" outlineLevel="0" collapsed="false">
      <c r="A24" s="39" t="str">
        <v>233668</v>
      </c>
      <c r="B24" s="44" t="str">
        <v>Wed,01-March-2023 ,08:54 PM</v>
      </c>
      <c r="C24" s="39" t="str">
        <v>Ariel Original Surf x6 bundle 100g Rs 50</v>
      </c>
      <c r="D24" s="39" t="str">
        <v>Ariel Surf</v>
      </c>
      <c r="E24" s="39" t="str">
        <v>Damaged Stock</v>
      </c>
      <c r="F24" s="45" t="n">
        <v>1</v>
      </c>
      <c r="G24" s="40" t="str">
        <v>[Code: 233668] 01 selling unit found damage in packed bag during sorting</v>
      </c>
      <c r="H24" s="39" t="str">
        <v>Zeeshan Ali Malik</v>
      </c>
      <c r="I24" s="39" t="str">
        <f aca="false">IF(ISBLANK(H24),"", IF($H$2:$H1523 = "Gohar Rehan","Overnight",IF($H$2:$H1523 = "Taufeeq Akhtar ","Overnight",IF($H$2:$H1523 = "Zeeshan Ali Malik","Audit",IF($H$2:$H1523 = "Ali Raza ","Receiving",IF($H$2:$H1523 = "Ali Ahmad","Full-In"))))))</f>
        <v>Audit</v>
      </c>
      <c r="J24" s="29"/>
      <c r="K24" s="40" t="s">
        <v>2215</v>
      </c>
      <c r="L24" s="40" t="s">
        <v>2226</v>
      </c>
      <c r="M24" s="41" t="n">
        <v>1</v>
      </c>
      <c r="N24" s="39" t="s">
        <v>2212</v>
      </c>
      <c r="O24" s="42" t="b">
        <f aca="false">TRUE()</f>
        <v>1</v>
      </c>
      <c r="P24" s="20" t="n">
        <v>270</v>
      </c>
      <c r="Q24" s="45" t="n">
        <v>270</v>
      </c>
      <c r="R24" s="43" t="n">
        <v>44986</v>
      </c>
      <c r="S24" s="20" t="str">
        <v>Surf, Bleach</v>
      </c>
    </row>
    <row r="25" customFormat="false" ht="15.75" hidden="false" customHeight="false" outlineLevel="0" collapsed="false">
      <c r="A25" s="39" t="str">
        <v>234EJK</v>
      </c>
      <c r="B25" s="44" t="str">
        <v>Thu,02-March-2023 ,03:24 PM</v>
      </c>
      <c r="C25" s="39" t="str">
        <v>Sunsilk Stunning Black Shine Shampoo 185ml Rs330</v>
      </c>
      <c r="D25" s="39" t="str">
        <v>Sunsilk</v>
      </c>
      <c r="E25" s="39" t="str">
        <v>Damaged Stock</v>
      </c>
      <c r="F25" s="45" t="n">
        <v>1</v>
      </c>
      <c r="G25" s="40" t="str">
        <v>[Code: 234EJK] Damage by sorter during sorting</v>
      </c>
      <c r="H25" s="39" t="str">
        <v>Zeeshan Ali Malik</v>
      </c>
      <c r="I25" s="39" t="str">
        <f aca="false">IF(ISBLANK(H25),"", IF($H$2:$H1524 = "Gohar Rehan","Overnight",IF($H$2:$H1524 = "Taufeeq Akhtar ","Overnight",IF($H$2:$H1524 = "Zeeshan Ali Malik","Audit",IF($H$2:$H1524 = "Ali Raza ","Receiving",IF($H$2:$H1524 = "Ali Ahmad","Full-In"))))))</f>
        <v>Audit</v>
      </c>
      <c r="J25" s="29"/>
      <c r="K25" s="40" t="s">
        <v>2227</v>
      </c>
      <c r="L25" s="40" t="s">
        <v>2217</v>
      </c>
      <c r="M25" s="41"/>
      <c r="N25" s="39" t="s">
        <v>2212</v>
      </c>
      <c r="O25" s="46" t="b">
        <f aca="false">FALSE()</f>
        <v>0</v>
      </c>
      <c r="P25" s="20" t="n">
        <v>286.25</v>
      </c>
      <c r="Q25" s="45" t="n">
        <v>286.25</v>
      </c>
      <c r="R25" s="43" t="n">
        <v>44987</v>
      </c>
      <c r="S25" s="20" t="str">
        <v>Shampoo</v>
      </c>
    </row>
    <row r="26" customFormat="false" ht="15.75" hidden="false" customHeight="false" outlineLevel="0" collapsed="false">
      <c r="A26" s="39" t="str">
        <v>26679A</v>
      </c>
      <c r="B26" s="44" t="str">
        <v>Fri,03-March-2023 ,09:34 PM</v>
      </c>
      <c r="C26" s="39" t="str">
        <v>Juice Time Guava x24 200ml</v>
      </c>
      <c r="D26" s="39" t="str">
        <v>Juice Time</v>
      </c>
      <c r="E26" s="39" t="str">
        <v>Damaged Stock</v>
      </c>
      <c r="F26" s="45" t="n">
        <v>3</v>
      </c>
      <c r="G26" s="40" t="str">
        <v>[Code: 26679A] TA: quality kaafi kharab hay(nami k wajah say ulli par gayi hay)</v>
      </c>
      <c r="H26" s="39" t="str">
        <v>Taufeeq Akhtar </v>
      </c>
      <c r="I26" s="39" t="str">
        <f aca="false">IF(ISBLANK(H26),"", IF($H$2:$H1525 = "Gohar Rehan","Overnight",IF($H$2:$H1525 = "Taufeeq Akhtar ","Overnight",IF($H$2:$H1525 = "Zeeshan Ali Malik","Audit",IF($H$2:$H1525 = "Ali Raza ","Receiving",IF($H$2:$H1525 = "Ali Ahmad","Full-In"))))))</f>
        <v>Overnight</v>
      </c>
      <c r="J26" s="29"/>
      <c r="K26" s="40" t="s">
        <v>2228</v>
      </c>
      <c r="L26" s="40" t="s">
        <v>2229</v>
      </c>
      <c r="M26" s="41"/>
      <c r="N26" s="39" t="s">
        <v>2212</v>
      </c>
      <c r="O26" s="46" t="b">
        <f aca="false">FALSE()</f>
        <v>0</v>
      </c>
      <c r="P26" s="20" t="n">
        <v>380</v>
      </c>
      <c r="Q26" s="45" t="n">
        <v>1140</v>
      </c>
      <c r="R26" s="43" t="n">
        <v>44988</v>
      </c>
      <c r="S26" s="20" t="str">
        <v>Juice, Syrup, Squash</v>
      </c>
    </row>
    <row r="27" customFormat="false" ht="15.75" hidden="false" customHeight="false" outlineLevel="0" collapsed="false">
      <c r="A27" s="39" t="str">
        <v>3489AA</v>
      </c>
      <c r="B27" s="44" t="str">
        <v>Fri,03-March-2023 ,08:09 PM</v>
      </c>
      <c r="C27" s="39" t="str">
        <v>Seasly Water 500ml</v>
      </c>
      <c r="D27" s="39" t="str">
        <v>Seasly Water</v>
      </c>
      <c r="E27" s="39" t="str">
        <v>Damaged Stock</v>
      </c>
      <c r="F27" s="45" t="n">
        <v>7</v>
      </c>
      <c r="G27" s="40" t="str">
        <v>[Code: 3489AA] TA: Damaged :(chakka girnay ki wajah say damage hogaye)</v>
      </c>
      <c r="H27" s="39" t="str">
        <v>Taufeeq Akhtar </v>
      </c>
      <c r="I27" s="39" t="str">
        <f aca="false">IF(ISBLANK(H27),"", IF($H$2:$H1526 = "Gohar Rehan","Overnight",IF($H$2:$H1526 = "Taufeeq Akhtar ","Overnight",IF($H$2:$H1526 = "Zeeshan Ali Malik","Audit",IF($H$2:$H1526 = "Ali Raza ","Receiving",IF($H$2:$H1526 = "Ali Ahmad","Full-In"))))))</f>
        <v>Overnight</v>
      </c>
      <c r="J27" s="29"/>
      <c r="K27" s="40" t="s">
        <v>2230</v>
      </c>
      <c r="L27" s="40" t="s">
        <v>2231</v>
      </c>
      <c r="M27" s="41" t="n">
        <v>7</v>
      </c>
      <c r="N27" s="39" t="s">
        <v>2212</v>
      </c>
      <c r="O27" s="42" t="b">
        <f aca="false">TRUE()</f>
        <v>1</v>
      </c>
      <c r="P27" s="20" t="n">
        <v>150</v>
      </c>
      <c r="Q27" s="45" t="n">
        <v>1050</v>
      </c>
      <c r="R27" s="43" t="n">
        <v>44988</v>
      </c>
      <c r="S27" s="20" t="str">
        <v>Beverages</v>
      </c>
    </row>
    <row r="28" customFormat="false" ht="15.75" hidden="false" customHeight="false" outlineLevel="0" collapsed="false">
      <c r="A28" s="39" t="str">
        <v>57ABBE</v>
      </c>
      <c r="B28" s="44" t="str">
        <v>Fri,03-March-2023 ,05:45 PM</v>
      </c>
      <c r="C28" s="39" t="str">
        <v>Lipton yellow label tea 85g Rs200</v>
      </c>
      <c r="D28" s="39" t="str">
        <v>Lipton</v>
      </c>
      <c r="E28" s="39" t="str">
        <v>Damaged Stock</v>
      </c>
      <c r="F28" s="45" t="n">
        <v>1</v>
      </c>
      <c r="G28" s="40" t="str">
        <v>[Code: 57ABBE] TA: Company end issue: box bilkul khali hay andr say.</v>
      </c>
      <c r="H28" s="39" t="str">
        <v>Taufeeq Akhtar </v>
      </c>
      <c r="I28" s="39" t="str">
        <f aca="false">IF(ISBLANK(H28),"", IF($H$2:$H1527 = "Gohar Rehan","Overnight",IF($H$2:$H1527 = "Taufeeq Akhtar ","Overnight",IF($H$2:$H1527 = "Zeeshan Ali Malik","Audit",IF($H$2:$H1527 = "Ali Raza ","Receiving",IF($H$2:$H1527 = "Ali Ahmad","Full-In"))))))</f>
        <v>Overnight</v>
      </c>
      <c r="J28" s="29"/>
      <c r="K28" s="40" t="s">
        <v>2232</v>
      </c>
      <c r="L28" s="40" t="s">
        <v>2217</v>
      </c>
      <c r="M28" s="41"/>
      <c r="N28" s="39" t="s">
        <v>2212</v>
      </c>
      <c r="O28" s="46" t="b">
        <f aca="false">FALSE()</f>
        <v>0</v>
      </c>
      <c r="P28" s="20" t="n">
        <v>182.15</v>
      </c>
      <c r="Q28" s="45" t="n">
        <v>182.15</v>
      </c>
      <c r="R28" s="43" t="n">
        <v>44988</v>
      </c>
      <c r="S28" s="20" t="str">
        <v>Tea, Coffee</v>
      </c>
    </row>
    <row r="29" customFormat="false" ht="15.75" hidden="false" customHeight="false" outlineLevel="0" collapsed="false">
      <c r="A29" s="39" t="str">
        <v>268BCD</v>
      </c>
      <c r="B29" s="44" t="str">
        <v>Fri,03-March-2023 ,05:42 PM</v>
      </c>
      <c r="C29" s="39" t="str">
        <v>Seasly Water 1.5L</v>
      </c>
      <c r="D29" s="39" t="str">
        <v>Seasly Water</v>
      </c>
      <c r="E29" s="39" t="str">
        <v>Damaged Stock</v>
      </c>
      <c r="F29" s="45" t="n">
        <v>7</v>
      </c>
      <c r="G29" s="40" t="str">
        <v>[Code: 268BCD] TA:chakka girnay ki wajah say damage hogaye. </v>
      </c>
      <c r="H29" s="39" t="str">
        <v>Taufeeq Akhtar </v>
      </c>
      <c r="I29" s="39" t="str">
        <f aca="false">IF(ISBLANK(H29),"", IF($H$2:$H1528 = "Gohar Rehan","Overnight",IF($H$2:$H1528 = "Taufeeq Akhtar ","Overnight",IF($H$2:$H1528 = "Zeeshan Ali Malik","Audit",IF($H$2:$H1528 = "Ali Raza ","Receiving",IF($H$2:$H1528 = "Ali Ahmad","Full-In"))))))</f>
        <v>Overnight</v>
      </c>
      <c r="J29" s="29"/>
      <c r="K29" s="40" t="s">
        <v>2230</v>
      </c>
      <c r="L29" s="40" t="s">
        <v>2231</v>
      </c>
      <c r="M29" s="41" t="n">
        <v>7</v>
      </c>
      <c r="N29" s="39" t="s">
        <v>2212</v>
      </c>
      <c r="O29" s="42" t="b">
        <f aca="false">TRUE()</f>
        <v>1</v>
      </c>
      <c r="P29" s="20" t="n">
        <v>150</v>
      </c>
      <c r="Q29" s="45" t="n">
        <v>1050</v>
      </c>
      <c r="R29" s="43" t="n">
        <v>44988</v>
      </c>
      <c r="S29" s="20" t="str">
        <v>Beverages</v>
      </c>
    </row>
    <row r="30" customFormat="false" ht="15.75" hidden="false" customHeight="false" outlineLevel="0" collapsed="false">
      <c r="A30" s="39" t="str">
        <v>245568</v>
      </c>
      <c r="B30" s="44" t="str">
        <v>Sat,04-March-2023 ,08:19 AM</v>
      </c>
      <c r="C30" s="39" t="str">
        <v>Seasly Water 1.5L</v>
      </c>
      <c r="D30" s="39" t="str">
        <v>Seasly Water</v>
      </c>
      <c r="E30" s="39" t="str">
        <v>Damaged Stock</v>
      </c>
      <c r="F30" s="45" t="n">
        <v>1</v>
      </c>
      <c r="G30" s="40" t="str">
        <v>[Code: 245568] 1 selling unit damgechakka girnay ki wajah say damage hogaye.</v>
      </c>
      <c r="H30" s="39" t="str">
        <v>Ali Raza </v>
      </c>
      <c r="I30" s="39" t="str">
        <f aca="false">IF(ISBLANK(H30),"", IF($H$2:$H1529 = "Gohar Rehan","Overnight",IF($H$2:$H1529 = "Taufeeq Akhtar ","Overnight",IF($H$2:$H1529 = "Zeeshan Ali Malik","Audit",IF($H$2:$H1529 = "Ali Raza ","Receiving",IF($H$2:$H1529 = "Ali Ahmad","Full-In"))))))</f>
        <v>Receiving</v>
      </c>
      <c r="J30" s="29"/>
      <c r="K30" s="40" t="s">
        <v>2230</v>
      </c>
      <c r="L30" s="40" t="s">
        <v>2231</v>
      </c>
      <c r="M30" s="41" t="n">
        <v>1</v>
      </c>
      <c r="N30" s="39" t="s">
        <v>2212</v>
      </c>
      <c r="O30" s="42" t="b">
        <f aca="false">TRUE()</f>
        <v>1</v>
      </c>
      <c r="P30" s="20" t="n">
        <v>150</v>
      </c>
      <c r="Q30" s="45" t="n">
        <v>150</v>
      </c>
      <c r="R30" s="43" t="n">
        <v>44989</v>
      </c>
      <c r="S30" s="20" t="str">
        <v>Beverages</v>
      </c>
    </row>
    <row r="31" customFormat="false" ht="15.75" hidden="false" customHeight="false" outlineLevel="0" collapsed="false">
      <c r="A31" s="39" t="str">
        <v>2249CC</v>
      </c>
      <c r="B31" s="44" t="str">
        <v>Sun,05-March-2023 ,03:27 AM</v>
      </c>
      <c r="C31" s="39" t="str">
        <v>Bonus tristar yellow surf 1kg Rs195</v>
      </c>
      <c r="D31" s="39" t="str">
        <v>Bonus Surf</v>
      </c>
      <c r="E31" s="39" t="str">
        <v>Damaged Stock</v>
      </c>
      <c r="F31" s="45" t="n">
        <v>1</v>
      </c>
      <c r="G31" s="40" t="str">
        <v>[Code: 2249CC] TA:Company end issue.(bag say damage nikla hay )</v>
      </c>
      <c r="H31" s="39" t="str">
        <v>Taufeeq Akhtar </v>
      </c>
      <c r="I31" s="39" t="str">
        <f aca="false">IF(ISBLANK(H31),"", IF($H$2:$H1530 = "Gohar Rehan","Overnight",IF($H$2:$H1530 = "Taufeeq Akhtar ","Overnight",IF($H$2:$H1530 = "Zeeshan Ali Malik","Audit",IF($H$2:$H1530 = "Ali Raza ","Receiving",IF($H$2:$H1530 = "Ali Ahmad","Full-In"))))))</f>
        <v>Overnight</v>
      </c>
      <c r="J31" s="29"/>
      <c r="K31" s="40" t="s">
        <v>2215</v>
      </c>
      <c r="L31" s="47" t="s">
        <v>2233</v>
      </c>
      <c r="M31" s="41"/>
      <c r="N31" s="39" t="s">
        <v>2212</v>
      </c>
      <c r="O31" s="46" t="b">
        <f aca="false">FALSE()</f>
        <v>0</v>
      </c>
      <c r="P31" s="20" t="n">
        <v>177.84</v>
      </c>
      <c r="Q31" s="45" t="n">
        <v>177.84</v>
      </c>
      <c r="R31" s="43" t="n">
        <v>44990</v>
      </c>
      <c r="S31" s="20" t="str">
        <v>Surf, Bleach</v>
      </c>
    </row>
    <row r="32" customFormat="false" ht="15.75" hidden="false" customHeight="false" outlineLevel="0" collapsed="false">
      <c r="A32" s="39" t="str">
        <v>24666D</v>
      </c>
      <c r="B32" s="44" t="str">
        <v>Sun,05-March-2023 ,03:24 AM</v>
      </c>
      <c r="C32" s="39" t="str">
        <v>Ariel Original Surf x6 bundle 100g Rs 50</v>
      </c>
      <c r="D32" s="39" t="str">
        <v>Ariel Surf</v>
      </c>
      <c r="E32" s="39" t="str">
        <v>Damaged Stock</v>
      </c>
      <c r="F32" s="45" t="n">
        <v>1</v>
      </c>
      <c r="G32" s="40" t="str">
        <v>[Code: 24666D] TA: Bag say damage nikla company end issue.</v>
      </c>
      <c r="H32" s="39" t="str">
        <v>Taufeeq Akhtar </v>
      </c>
      <c r="I32" s="39" t="str">
        <f aca="false">IF(ISBLANK(H32),"", IF($H$2:$H1531 = "Gohar Rehan","Overnight",IF($H$2:$H1531 = "Taufeeq Akhtar ","Overnight",IF($H$2:$H1531 = "Zeeshan Ali Malik","Audit",IF($H$2:$H1531 = "Ali Raza ","Receiving",IF($H$2:$H1531 = "Ali Ahmad","Full-In"))))))</f>
        <v>Overnight</v>
      </c>
      <c r="J32" s="29"/>
      <c r="K32" s="40" t="s">
        <v>2215</v>
      </c>
      <c r="L32" s="40" t="s">
        <v>2226</v>
      </c>
      <c r="M32" s="41" t="n">
        <v>1</v>
      </c>
      <c r="N32" s="39" t="s">
        <v>2212</v>
      </c>
      <c r="O32" s="42" t="b">
        <f aca="false">TRUE()</f>
        <v>1</v>
      </c>
      <c r="P32" s="20" t="n">
        <v>270</v>
      </c>
      <c r="Q32" s="45" t="n">
        <v>270</v>
      </c>
      <c r="R32" s="43" t="n">
        <v>44990</v>
      </c>
      <c r="S32" s="20" t="str">
        <v>Surf, Bleach</v>
      </c>
    </row>
    <row r="33" customFormat="false" ht="15.75" hidden="false" customHeight="false" outlineLevel="0" collapsed="false">
      <c r="A33" s="39" t="str">
        <v>BBMMNN</v>
      </c>
      <c r="B33" s="44" t="str">
        <v>Sun,05-March-2023 ,03:23 AM</v>
      </c>
      <c r="C33" s="39" t="str">
        <v>Surf Excel x6 bundle 115g Rs50</v>
      </c>
      <c r="D33" s="39" t="str">
        <v>Surf Excel</v>
      </c>
      <c r="E33" s="39" t="str">
        <v>Damaged Stock</v>
      </c>
      <c r="F33" s="45" t="n">
        <v>1</v>
      </c>
      <c r="G33" s="40" t="str">
        <v>[Code: BBMMNN] TA: Bag say damage nikla tha display krtay waqt.</v>
      </c>
      <c r="H33" s="39" t="str">
        <v>Taufeeq Akhtar </v>
      </c>
      <c r="I33" s="39" t="str">
        <f aca="false">IF(ISBLANK(H33),"", IF($H$2:$H1532 = "Gohar Rehan","Overnight",IF($H$2:$H1532 = "Taufeeq Akhtar ","Overnight",IF($H$2:$H1532 = "Zeeshan Ali Malik","Audit",IF($H$2:$H1532 = "Ali Raza ","Receiving",IF($H$2:$H1532 = "Ali Ahmad","Full-In"))))))</f>
        <v>Overnight</v>
      </c>
      <c r="J33" s="29"/>
      <c r="K33" s="40" t="s">
        <v>2215</v>
      </c>
      <c r="L33" s="40" t="s">
        <v>2217</v>
      </c>
      <c r="M33" s="41"/>
      <c r="N33" s="39" t="s">
        <v>2212</v>
      </c>
      <c r="O33" s="46" t="b">
        <f aca="false">FALSE()</f>
        <v>0</v>
      </c>
      <c r="P33" s="20" t="n">
        <v>272</v>
      </c>
      <c r="Q33" s="45" t="n">
        <v>272</v>
      </c>
      <c r="R33" s="43" t="n">
        <v>44990</v>
      </c>
      <c r="S33" s="20" t="str">
        <v>Surf, Bleach</v>
      </c>
    </row>
    <row r="34" customFormat="false" ht="15.75" hidden="false" customHeight="false" outlineLevel="0" collapsed="false">
      <c r="A34" s="39" t="str">
        <v>34999F</v>
      </c>
      <c r="B34" s="44" t="str">
        <v>Sun,05-March-2023 ,03:21 AM</v>
      </c>
      <c r="C34" s="39" t="str">
        <v>Surf Excel x6 bundle 20g Rs 10</v>
      </c>
      <c r="D34" s="39" t="str">
        <v>Surf Excel</v>
      </c>
      <c r="E34" s="39" t="str">
        <v>Damaged Stock</v>
      </c>
      <c r="F34" s="45" t="n">
        <v>1</v>
      </c>
      <c r="G34" s="40" t="str">
        <v>[Code: 34999F] TA: Bag say damage nikla tha display krtay waqt</v>
      </c>
      <c r="H34" s="39" t="str">
        <v>Taufeeq Akhtar </v>
      </c>
      <c r="I34" s="39" t="str">
        <f aca="false">IF(ISBLANK(H34),"", IF($H$2:$H1533 = "Gohar Rehan","Overnight",IF($H$2:$H1533 = "Taufeeq Akhtar ","Overnight",IF($H$2:$H1533 = "Zeeshan Ali Malik","Audit",IF($H$2:$H1533 = "Ali Raza ","Receiving",IF($H$2:$H1533 = "Ali Ahmad","Full-In"))))))</f>
        <v>Overnight</v>
      </c>
      <c r="J34" s="29"/>
      <c r="K34" s="40" t="s">
        <v>2215</v>
      </c>
      <c r="L34" s="40" t="s">
        <v>2217</v>
      </c>
      <c r="M34" s="41"/>
      <c r="N34" s="39" t="s">
        <v>2212</v>
      </c>
      <c r="O34" s="46" t="b">
        <f aca="false">FALSE()</f>
        <v>0</v>
      </c>
      <c r="P34" s="20" t="n">
        <v>54.75</v>
      </c>
      <c r="Q34" s="45" t="n">
        <v>54.75</v>
      </c>
      <c r="R34" s="43" t="n">
        <v>44990</v>
      </c>
      <c r="S34" s="20" t="str">
        <v>Surf, Bleach</v>
      </c>
    </row>
    <row r="35" customFormat="false" ht="15.75" hidden="false" customHeight="false" outlineLevel="0" collapsed="false">
      <c r="A35" s="39" t="str">
        <v>55999B</v>
      </c>
      <c r="B35" s="44" t="str">
        <v>Tue,07-March-2023 ,09:13 PM</v>
      </c>
      <c r="C35" s="39" t="str">
        <v>Sherdil Daal Mash Wash 5kg</v>
      </c>
      <c r="D35" s="39" t="str">
        <v>Sherdil</v>
      </c>
      <c r="E35" s="39" t="str">
        <v>Damaged Stock</v>
      </c>
      <c r="F35" s="45" t="n">
        <v>1</v>
      </c>
      <c r="G35" s="40" t="str">
        <v>[Code: 55999B] Quality Issue</v>
      </c>
      <c r="H35" s="39" t="str">
        <v>Ali Raza </v>
      </c>
      <c r="I35" s="39" t="str">
        <f aca="false">IF(ISBLANK(H35),"", IF($H$2:$H1534 = "Gohar Rehan","Overnight",IF($H$2:$H1534 = "Taufeeq Akhtar ","Overnight",IF($H$2:$H1534 = "Zeeshan Ali Malik","Audit",IF($H$2:$H1534 = "Ali Raza ","Receiving",IF($H$2:$H1534 = "Ali Ahmad","Full-In"))))))</f>
        <v>Receiving</v>
      </c>
      <c r="J35" s="29"/>
      <c r="K35" s="40" t="s">
        <v>2215</v>
      </c>
      <c r="L35" s="40" t="s">
        <v>2234</v>
      </c>
      <c r="M35" s="41"/>
      <c r="N35" s="39" t="s">
        <v>2212</v>
      </c>
      <c r="O35" s="46" t="b">
        <f aca="false">FALSE()</f>
        <v>0</v>
      </c>
      <c r="P35" s="20" t="n">
        <v>2379</v>
      </c>
      <c r="Q35" s="45" t="n">
        <v>2379</v>
      </c>
      <c r="R35" s="43" t="n">
        <v>44992</v>
      </c>
      <c r="S35" s="20" t="str">
        <v>Pulses</v>
      </c>
    </row>
    <row r="36" customFormat="false" ht="15.75" hidden="false" customHeight="false" outlineLevel="0" collapsed="false">
      <c r="A36" s="39" t="str">
        <v>57BDEF</v>
      </c>
      <c r="B36" s="44" t="str">
        <v>Tue,07-March-2023 ,01:36 AM</v>
      </c>
      <c r="C36" s="39" t="str">
        <v>Shangrila Tomato Ketchup x6 Bundle 80g Rs40</v>
      </c>
      <c r="D36" s="39" t="str">
        <v>Shangrila</v>
      </c>
      <c r="E36" s="39" t="str">
        <v>Damaged Stock</v>
      </c>
      <c r="F36" s="45" t="n">
        <v>1</v>
      </c>
      <c r="G36" s="40" t="str">
        <v>[Code: 57BDEF] TA:display krtay waqt box may say damage nikla.</v>
      </c>
      <c r="H36" s="39" t="str">
        <v>Taufeeq Akhtar </v>
      </c>
      <c r="I36" s="39" t="str">
        <f aca="false">IF(ISBLANK(H36),"", IF($H$2:$H1535 = "Gohar Rehan","Overnight",IF($H$2:$H1535 = "Taufeeq Akhtar ","Overnight",IF($H$2:$H1535 = "Zeeshan Ali Malik","Audit",IF($H$2:$H1535 = "Ali Raza ","Receiving",IF($H$2:$H1535 = "Ali Ahmad","Full-In"))))))</f>
        <v>Overnight</v>
      </c>
      <c r="J36" s="29"/>
      <c r="K36" s="40" t="s">
        <v>2223</v>
      </c>
      <c r="L36" s="40" t="s">
        <v>2235</v>
      </c>
      <c r="M36" s="41"/>
      <c r="N36" s="39" t="s">
        <v>2212</v>
      </c>
      <c r="O36" s="46" t="b">
        <f aca="false">FALSE()</f>
        <v>0</v>
      </c>
      <c r="P36" s="20" t="n">
        <v>188.49</v>
      </c>
      <c r="Q36" s="45" t="n">
        <v>188.49</v>
      </c>
      <c r="R36" s="43" t="n">
        <v>44992</v>
      </c>
      <c r="S36" s="20" t="str">
        <v>Sauces</v>
      </c>
    </row>
    <row r="37" customFormat="false" ht="15.75" hidden="false" customHeight="false" outlineLevel="0" collapsed="false">
      <c r="A37" s="39" t="str">
        <v>223378</v>
      </c>
      <c r="B37" s="44" t="str">
        <v>Tue,07-March-2023 ,01:22 AM</v>
      </c>
      <c r="C37" s="39" t="str">
        <v>Brite Surf 500g Rs260</v>
      </c>
      <c r="D37" s="39" t="str">
        <v>Brite Surf</v>
      </c>
      <c r="E37" s="39" t="str">
        <v>Damaged Stock</v>
      </c>
      <c r="F37" s="45" t="n">
        <v>1</v>
      </c>
      <c r="G37" s="40" t="str">
        <v>[Code: 223378] TA: box may say damage nikla display lagatay waqt</v>
      </c>
      <c r="H37" s="39" t="str">
        <v>Taufeeq Akhtar </v>
      </c>
      <c r="I37" s="39" t="str">
        <f aca="false">IF(ISBLANK(H37),"", IF($H$2:$H1536 = "Gohar Rehan","Overnight",IF($H$2:$H1536 = "Taufeeq Akhtar ","Overnight",IF($H$2:$H1536 = "Zeeshan Ali Malik","Audit",IF($H$2:$H1536 = "Ali Raza ","Receiving",IF($H$2:$H1536 = "Ali Ahmad","Full-In"))))))</f>
        <v>Overnight</v>
      </c>
      <c r="J37" s="29"/>
      <c r="K37" s="40" t="s">
        <v>2215</v>
      </c>
      <c r="L37" s="40" t="s">
        <v>2226</v>
      </c>
      <c r="M37" s="41" t="n">
        <v>1</v>
      </c>
      <c r="N37" s="39" t="s">
        <v>2212</v>
      </c>
      <c r="O37" s="42" t="b">
        <f aca="false">TRUE()</f>
        <v>1</v>
      </c>
      <c r="P37" s="20" t="n">
        <v>238.42</v>
      </c>
      <c r="Q37" s="45" t="n">
        <v>238.42</v>
      </c>
      <c r="R37" s="43" t="n">
        <v>44992</v>
      </c>
      <c r="S37" s="20" t="str">
        <v>Surf, Bleach</v>
      </c>
    </row>
    <row r="38" customFormat="false" ht="15.75" hidden="false" customHeight="false" outlineLevel="0" collapsed="false">
      <c r="A38" s="39" t="str">
        <v>3ACCHK</v>
      </c>
      <c r="B38" s="44" t="str">
        <v>Fri,10-March-2023 ,09:58 PM</v>
      </c>
      <c r="C38" s="39" t="str">
        <v>Sunlight Pink Clean and Jasmine Fresh x6 Bundle 35g</v>
      </c>
      <c r="D38" s="39" t="str">
        <v>Sunlight</v>
      </c>
      <c r="E38" s="39" t="str">
        <v>Damaged Stock</v>
      </c>
      <c r="F38" s="45" t="n">
        <v>1</v>
      </c>
      <c r="G38" s="40" t="str">
        <v>[Code: 3ACCHK] TA: bag may say damage nikla.company end issue.</v>
      </c>
      <c r="H38" s="39" t="str">
        <v>Taufeeq Akhtar </v>
      </c>
      <c r="I38" s="39" t="str">
        <f aca="false">IF(ISBLANK(H38),"", IF($H$2:$H1537 = "Gohar Rehan","Overnight",IF($H$2:$H1537 = "Taufeeq Akhtar ","Overnight",IF($H$2:$H1537 = "Zeeshan Ali Malik","Audit",IF($H$2:$H1537 = "Ali Raza ","Receiving",IF($H$2:$H1537 = "Ali Ahmad","Full-In"))))))</f>
        <v>Overnight</v>
      </c>
      <c r="J38" s="29"/>
      <c r="K38" s="40" t="s">
        <v>2215</v>
      </c>
      <c r="L38" s="40" t="s">
        <v>2217</v>
      </c>
      <c r="M38" s="41"/>
      <c r="N38" s="39" t="s">
        <v>2212</v>
      </c>
      <c r="O38" s="46" t="b">
        <f aca="false">FALSE()</f>
        <v>0</v>
      </c>
      <c r="P38" s="20" t="n">
        <v>54.96</v>
      </c>
      <c r="Q38" s="45" t="n">
        <v>54.96</v>
      </c>
      <c r="R38" s="43" t="n">
        <v>44995</v>
      </c>
      <c r="S38" s="20" t="str">
        <v>Surf, Bleach</v>
      </c>
    </row>
    <row r="39" customFormat="false" ht="15.75" hidden="false" customHeight="false" outlineLevel="0" collapsed="false">
      <c r="A39" s="39" t="str">
        <v>689ADG</v>
      </c>
      <c r="B39" s="44" t="str">
        <v>Fri,10-March-2023 ,09:55 PM</v>
      </c>
      <c r="C39" s="39" t="str">
        <v>Bonus tristar detergent x6 bundle 50g Rs 10</v>
      </c>
      <c r="D39" s="39" t="str">
        <v>Bonus Surf</v>
      </c>
      <c r="E39" s="39" t="str">
        <v>Damaged Stock</v>
      </c>
      <c r="F39" s="45" t="n">
        <v>1</v>
      </c>
      <c r="G39" s="40" t="str">
        <v>[Code: 689ADG] TA:boray may say damage nikla.</v>
      </c>
      <c r="H39" s="39" t="str">
        <v>Taufeeq Akhtar </v>
      </c>
      <c r="I39" s="39" t="str">
        <f aca="false">IF(ISBLANK(H39),"", IF($H$2:$H1538 = "Gohar Rehan","Overnight",IF($H$2:$H1538 = "Taufeeq Akhtar ","Overnight",IF($H$2:$H1538 = "Zeeshan Ali Malik","Audit",IF($H$2:$H1538 = "Ali Raza ","Receiving",IF($H$2:$H1538 = "Ali Ahmad","Full-In"))))))</f>
        <v>Overnight</v>
      </c>
      <c r="J39" s="29"/>
      <c r="K39" s="40" t="s">
        <v>2215</v>
      </c>
      <c r="L39" s="40" t="s">
        <v>2226</v>
      </c>
      <c r="M39" s="41" t="n">
        <v>1</v>
      </c>
      <c r="N39" s="39" t="s">
        <v>2212</v>
      </c>
      <c r="O39" s="42" t="b">
        <f aca="false">TRUE()</f>
        <v>1</v>
      </c>
      <c r="P39" s="20" t="n">
        <v>55.13</v>
      </c>
      <c r="Q39" s="45" t="n">
        <v>55.13</v>
      </c>
      <c r="R39" s="43" t="n">
        <v>44995</v>
      </c>
      <c r="S39" s="20" t="str">
        <v>Surf, Bleach</v>
      </c>
    </row>
    <row r="40" customFormat="false" ht="15.75" hidden="false" customHeight="false" outlineLevel="0" collapsed="false">
      <c r="A40" s="39" t="str">
        <v>3567CD</v>
      </c>
      <c r="B40" s="44" t="str">
        <v>Fri,10-March-2023 ,09:54 PM</v>
      </c>
      <c r="C40" s="39" t="str">
        <v>Surf Excel x6 bundle 20g Rs 10</v>
      </c>
      <c r="D40" s="39" t="str">
        <v>Surf Excel</v>
      </c>
      <c r="E40" s="39" t="str">
        <v>Damaged Stock</v>
      </c>
      <c r="F40" s="45" t="n">
        <v>2</v>
      </c>
      <c r="G40" s="40" t="str">
        <v>[Code: 3567CD] TA:aik unit display lagaty waqt damage hogia. aik unit bag may say damage nikla.</v>
      </c>
      <c r="H40" s="39" t="str">
        <v>Taufeeq Akhtar </v>
      </c>
      <c r="I40" s="39" t="str">
        <f aca="false">IF(ISBLANK(H40),"", IF($H$2:$H1539 = "Gohar Rehan","Overnight",IF($H$2:$H1539 = "Taufeeq Akhtar ","Overnight",IF($H$2:$H1539 = "Zeeshan Ali Malik","Audit",IF($H$2:$H1539 = "Ali Raza ","Receiving",IF($H$2:$H1539 = "Ali Ahmad","Full-In"))))))</f>
        <v>Overnight</v>
      </c>
      <c r="J40" s="29"/>
      <c r="K40" s="40" t="s">
        <v>2215</v>
      </c>
      <c r="L40" s="40" t="s">
        <v>2217</v>
      </c>
      <c r="M40" s="41"/>
      <c r="N40" s="39" t="s">
        <v>2212</v>
      </c>
      <c r="O40" s="46" t="b">
        <f aca="false">FALSE()</f>
        <v>0</v>
      </c>
      <c r="P40" s="20" t="n">
        <v>54.75</v>
      </c>
      <c r="Q40" s="45" t="n">
        <v>109.5</v>
      </c>
      <c r="R40" s="43" t="n">
        <v>44995</v>
      </c>
      <c r="S40" s="20" t="str">
        <v>Surf, Bleach</v>
      </c>
    </row>
    <row r="41" customFormat="false" ht="15.75" hidden="false" customHeight="false" outlineLevel="0" collapsed="false">
      <c r="A41" s="39" t="str">
        <v>5889DH</v>
      </c>
      <c r="B41" s="44" t="str">
        <v>Fri,10-March-2023 ,09:49 PM</v>
      </c>
      <c r="C41" s="39" t="str">
        <v>Ariel Original Surf x12 bundle 20g Rs 10</v>
      </c>
      <c r="D41" s="39" t="str">
        <v>Ariel Surf</v>
      </c>
      <c r="E41" s="39" t="str">
        <v>Damaged Stock</v>
      </c>
      <c r="F41" s="45" t="n">
        <v>1</v>
      </c>
      <c r="G41" s="40" t="str">
        <v>[Code: 5889DH] TA:bag may say damage nikila display lagaty waqt.</v>
      </c>
      <c r="H41" s="39" t="str">
        <v>Taufeeq Akhtar </v>
      </c>
      <c r="I41" s="39" t="str">
        <f aca="false">IF(ISBLANK(H41),"", IF($H$2:$H1540 = "Gohar Rehan","Overnight",IF($H$2:$H1540 = "Taufeeq Akhtar ","Overnight",IF($H$2:$H1540 = "Zeeshan Ali Malik","Audit",IF($H$2:$H1540 = "Ali Raza ","Receiving",IF($H$2:$H1540 = "Ali Ahmad","Full-In"))))))</f>
        <v>Overnight</v>
      </c>
      <c r="J41" s="29"/>
      <c r="K41" s="40" t="s">
        <v>2215</v>
      </c>
      <c r="L41" s="48" t="s">
        <v>2236</v>
      </c>
      <c r="M41" s="41"/>
      <c r="N41" s="39" t="s">
        <v>2212</v>
      </c>
      <c r="O41" s="46" t="b">
        <f aca="false">FALSE()</f>
        <v>0</v>
      </c>
      <c r="P41" s="20" t="n">
        <v>106.8</v>
      </c>
      <c r="Q41" s="45" t="n">
        <v>106.8</v>
      </c>
      <c r="R41" s="43" t="n">
        <v>44995</v>
      </c>
      <c r="S41" s="20" t="str">
        <v>Surf, Bleach</v>
      </c>
    </row>
    <row r="42" customFormat="false" ht="15.75" hidden="false" customHeight="false" outlineLevel="0" collapsed="false">
      <c r="A42" s="39" t="str">
        <v>778AAA</v>
      </c>
      <c r="B42" s="44" t="str">
        <v>Fri,10-March-2023 ,09:47 PM</v>
      </c>
      <c r="C42" s="39" t="str">
        <v>Ariel Original Surf x6 bundle 100g Rs 50</v>
      </c>
      <c r="D42" s="39" t="str">
        <v>Ariel Surf</v>
      </c>
      <c r="E42" s="39" t="str">
        <v>Damaged Stock</v>
      </c>
      <c r="F42" s="45" t="n">
        <v>1</v>
      </c>
      <c r="G42" s="40" t="str">
        <v>[Code: 778AAA] TA:box may say damage nikla display lagaty waqt.</v>
      </c>
      <c r="H42" s="39" t="str">
        <v>Taufeeq Akhtar </v>
      </c>
      <c r="I42" s="39" t="str">
        <f aca="false">IF(ISBLANK(H42),"", IF($H$2:$H1541 = "Gohar Rehan","Overnight",IF($H$2:$H1541 = "Taufeeq Akhtar ","Overnight",IF($H$2:$H1541 = "Zeeshan Ali Malik","Audit",IF($H$2:$H1541 = "Ali Raza ","Receiving",IF($H$2:$H1541 = "Ali Ahmad","Full-In"))))))</f>
        <v>Overnight</v>
      </c>
      <c r="J42" s="29"/>
      <c r="K42" s="40" t="s">
        <v>2215</v>
      </c>
      <c r="L42" s="40" t="s">
        <v>2237</v>
      </c>
      <c r="M42" s="41" t="n">
        <v>1</v>
      </c>
      <c r="N42" s="39" t="s">
        <v>2212</v>
      </c>
      <c r="O42" s="42" t="b">
        <f aca="false">TRUE()</f>
        <v>1</v>
      </c>
      <c r="P42" s="20" t="n">
        <v>267.6</v>
      </c>
      <c r="Q42" s="45" t="n">
        <v>267.6</v>
      </c>
      <c r="R42" s="43" t="n">
        <v>44995</v>
      </c>
      <c r="S42" s="20" t="str">
        <v>Surf, Bleach</v>
      </c>
    </row>
    <row r="43" customFormat="false" ht="15.75" hidden="false" customHeight="false" outlineLevel="0" collapsed="false">
      <c r="A43" s="39" t="str">
        <v>34BCCF</v>
      </c>
      <c r="B43" s="44" t="str">
        <v>Mon,13-March-2023 ,12:30 AM</v>
      </c>
      <c r="C43" s="39" t="str">
        <v>Bonus tristar detergent x6 bundle 50g Rs 10</v>
      </c>
      <c r="D43" s="39" t="str">
        <v>Bonus Surf</v>
      </c>
      <c r="E43" s="39" t="str">
        <v>Damaged Stock</v>
      </c>
      <c r="F43" s="45" t="n">
        <v>2</v>
      </c>
      <c r="G43" s="40" t="str">
        <v>[Code: 34BCCF] TA:Two units found damaged from bag during display.</v>
      </c>
      <c r="H43" s="39" t="str">
        <v>Taufeeq Akhtar </v>
      </c>
      <c r="I43" s="39" t="str">
        <f aca="false">IF(ISBLANK(H43),"", IF($H$2:$H1542 = "Gohar Rehan","Overnight",IF($H$2:$H1542 = "Taufeeq Akhtar ","Overnight",IF($H$2:$H1542 = "Zeeshan Ali Malik","Audit",IF($H$2:$H1542 = "Ali Raza ","Receiving",IF($H$2:$H1542 = "Ali Ahmad","Full-In"))))))</f>
        <v>Overnight</v>
      </c>
      <c r="J43" s="29"/>
      <c r="K43" s="40" t="s">
        <v>2215</v>
      </c>
      <c r="L43" s="47" t="s">
        <v>2233</v>
      </c>
      <c r="M43" s="41"/>
      <c r="N43" s="39" t="s">
        <v>2212</v>
      </c>
      <c r="O43" s="46" t="b">
        <f aca="false">FALSE()</f>
        <v>0</v>
      </c>
      <c r="P43" s="20" t="n">
        <v>55.25</v>
      </c>
      <c r="Q43" s="45" t="n">
        <v>110.5</v>
      </c>
      <c r="R43" s="43" t="n">
        <v>44998</v>
      </c>
      <c r="S43" s="20" t="str">
        <v>Surf, Bleach</v>
      </c>
    </row>
    <row r="44" customFormat="false" ht="15.75" hidden="false" customHeight="false" outlineLevel="0" collapsed="false">
      <c r="A44" s="39" t="str">
        <v>2359AA</v>
      </c>
      <c r="B44" s="44" t="str">
        <v>Wed,15-March-2023 ,08:43 PM</v>
      </c>
      <c r="C44" s="39" t="str">
        <v>Sherdil Dal Mash Wash 500g</v>
      </c>
      <c r="D44" s="39" t="str">
        <v>Sherdil</v>
      </c>
      <c r="E44" s="39" t="str">
        <v>Damaged Stock</v>
      </c>
      <c r="F44" s="45" t="n">
        <v>3</v>
      </c>
      <c r="G44" s="40" t="str">
        <v>[Code: 2359AA] ZA: Remove due to fungus (Same Batch as fresh stock) </v>
      </c>
      <c r="H44" s="39" t="str">
        <v>Zeeshan Ali Malik</v>
      </c>
      <c r="I44" s="39" t="str">
        <f aca="false">IF(ISBLANK(H44),"", IF($H$2:$H1543 = "Gohar Rehan","Overnight",IF($H$2:$H1543 = "Taufeeq Akhtar ","Overnight",IF($H$2:$H1543 = "Zeeshan Ali Malik","Audit",IF($H$2:$H1543 = "Ali Raza ","Receiving",IF($H$2:$H1543 = "Ali Ahmad","Full-In"))))))</f>
        <v>Audit</v>
      </c>
      <c r="J44" s="29"/>
      <c r="K44" s="40" t="s">
        <v>2215</v>
      </c>
      <c r="L44" s="40" t="s">
        <v>2237</v>
      </c>
      <c r="M44" s="41"/>
      <c r="N44" s="39" t="s">
        <v>2212</v>
      </c>
      <c r="O44" s="46" t="b">
        <f aca="false">FALSE()</f>
        <v>0</v>
      </c>
      <c r="P44" s="20" t="n">
        <v>257</v>
      </c>
      <c r="Q44" s="45" t="n">
        <v>771</v>
      </c>
      <c r="R44" s="43" t="n">
        <v>45000</v>
      </c>
      <c r="S44" s="20" t="str">
        <v>Pulses</v>
      </c>
    </row>
    <row r="45" customFormat="false" ht="15.75" hidden="false" customHeight="false" outlineLevel="0" collapsed="false">
      <c r="A45" s="39" t="str">
        <v>47AAHK</v>
      </c>
      <c r="B45" s="44" t="str">
        <v>Wed,15-March-2023 ,12:41 AM</v>
      </c>
      <c r="C45" s="39" t="str">
        <v>Surf Excel x6 bundle 20g Rs 10</v>
      </c>
      <c r="D45" s="39" t="str">
        <v>Surf Excel</v>
      </c>
      <c r="E45" s="39" t="str">
        <v>Damaged Stock</v>
      </c>
      <c r="F45" s="45" t="n">
        <v>3</v>
      </c>
      <c r="G45" s="40" t="str">
        <v>[Code: 47AAHK] TA:bag may say damage nikla display krtay waqt;</v>
      </c>
      <c r="H45" s="39" t="str">
        <v>Taufeeq Akhtar </v>
      </c>
      <c r="I45" s="39" t="str">
        <f aca="false">IF(ISBLANK(H45),"", IF($H$2:$H1544 = "Gohar Rehan","Overnight",IF($H$2:$H1544 = "Taufeeq Akhtar ","Overnight",IF($H$2:$H1544 = "Zeeshan Ali Malik","Audit",IF($H$2:$H1544 = "Ali Raza ","Receiving",IF($H$2:$H1544 = "Ali Ahmad","Full-In"))))))</f>
        <v>Overnight</v>
      </c>
      <c r="J45" s="29"/>
      <c r="K45" s="40" t="s">
        <v>2215</v>
      </c>
      <c r="L45" s="40" t="s">
        <v>2237</v>
      </c>
      <c r="M45" s="41"/>
      <c r="N45" s="39" t="s">
        <v>2212</v>
      </c>
      <c r="O45" s="46" t="b">
        <f aca="false">FALSE()</f>
        <v>0</v>
      </c>
      <c r="P45" s="20" t="n">
        <v>54.75</v>
      </c>
      <c r="Q45" s="45" t="n">
        <v>164.25</v>
      </c>
      <c r="R45" s="43" t="n">
        <v>45000</v>
      </c>
      <c r="S45" s="20" t="str">
        <v>Surf, Bleach</v>
      </c>
    </row>
    <row r="46" customFormat="false" ht="15.75" hidden="false" customHeight="false" outlineLevel="0" collapsed="false">
      <c r="A46" s="39" t="str">
        <v>57BBDD</v>
      </c>
      <c r="B46" s="44" t="str">
        <v>Wed,15-March-2023 ,12:37 AM</v>
      </c>
      <c r="C46" s="39" t="str">
        <v>Brite Surf x12 bundle 25g Rs 10</v>
      </c>
      <c r="D46" s="39" t="str">
        <v>Brite Surf</v>
      </c>
      <c r="E46" s="39" t="str">
        <v>Damaged Stock</v>
      </c>
      <c r="F46" s="45" t="n">
        <v>1</v>
      </c>
      <c r="G46" s="40" t="str">
        <v>[Code: 57BBDD] TA:Box may say damage nikla display krtay waqt;</v>
      </c>
      <c r="H46" s="39" t="str">
        <v>Taufeeq Akhtar </v>
      </c>
      <c r="I46" s="39" t="str">
        <f aca="false">IF(ISBLANK(H46),"", IF($H$2:$H1545 = "Gohar Rehan","Overnight",IF($H$2:$H1545 = "Taufeeq Akhtar ","Overnight",IF($H$2:$H1545 = "Zeeshan Ali Malik","Audit",IF($H$2:$H1545 = "Ali Raza ","Receiving",IF($H$2:$H1545 = "Ali Ahmad","Full-In"))))))</f>
        <v>Overnight</v>
      </c>
      <c r="J46" s="29"/>
      <c r="K46" s="40" t="s">
        <v>2215</v>
      </c>
      <c r="L46" s="47" t="s">
        <v>2233</v>
      </c>
      <c r="M46" s="45" t="n">
        <v>1</v>
      </c>
      <c r="N46" s="39" t="s">
        <v>2212</v>
      </c>
      <c r="O46" s="42" t="b">
        <f aca="false">TRUE()</f>
        <v>1</v>
      </c>
      <c r="P46" s="20" t="n">
        <v>107.91</v>
      </c>
      <c r="Q46" s="45" t="n">
        <v>107.91</v>
      </c>
      <c r="R46" s="43" t="n">
        <v>45000</v>
      </c>
      <c r="S46" s="20" t="str">
        <v>Surf, Bleach</v>
      </c>
    </row>
    <row r="47" customFormat="false" ht="15.75" hidden="false" customHeight="false" outlineLevel="0" collapsed="false">
      <c r="A47" s="39" t="str">
        <v>2359CF</v>
      </c>
      <c r="B47" s="44" t="str">
        <v>Fri,17-March-2023 ,10:01 PM</v>
      </c>
      <c r="C47" s="39" t="str">
        <v>Lemon Max Liquid Regular Pouch 450ml (Green) Rs185</v>
      </c>
      <c r="D47" s="39" t="str">
        <v>Lemon Max</v>
      </c>
      <c r="E47" s="39" t="str">
        <v>Damaged Stock</v>
      </c>
      <c r="F47" s="45" t="n">
        <v>1</v>
      </c>
      <c r="G47" s="40" t="str">
        <v>[Code: 2359CF] TA;BOX may say damage nikla he </v>
      </c>
      <c r="H47" s="39" t="str">
        <v>Taufeeq Akhtar </v>
      </c>
      <c r="I47" s="39" t="str">
        <f aca="false">IF(ISBLANK(H47),"", IF($H$2:$H1546 = "Gohar Rehan","Overnight",IF($H$2:$H1546 = "Taufeeq Akhtar ","Overnight",IF($H$2:$H1546 = "Zeeshan Ali Malik","Audit",IF($H$2:$H1546 = "Ali Raza ","Receiving",IF($H$2:$H1546 = "Ali Ahmad","Full-In"))))))</f>
        <v>Overnight</v>
      </c>
      <c r="J47" s="29"/>
      <c r="K47" s="40" t="s">
        <v>2215</v>
      </c>
      <c r="L47" s="47" t="s">
        <v>2233</v>
      </c>
      <c r="M47" s="41"/>
      <c r="N47" s="39" t="s">
        <v>2212</v>
      </c>
      <c r="O47" s="46" t="b">
        <f aca="false">FALSE()</f>
        <v>0</v>
      </c>
      <c r="P47" s="20" t="n">
        <v>166.77</v>
      </c>
      <c r="Q47" s="45" t="n">
        <v>166.77</v>
      </c>
      <c r="R47" s="43" t="n">
        <v>45002</v>
      </c>
      <c r="S47" s="20" t="str">
        <v>Home Care</v>
      </c>
    </row>
    <row r="48" customFormat="false" ht="15.75" hidden="false" customHeight="false" outlineLevel="0" collapsed="false">
      <c r="A48" s="39" t="str">
        <v>2234BE</v>
      </c>
      <c r="B48" s="44" t="str">
        <v>Fri,17-March-2023 ,09:57 PM</v>
      </c>
      <c r="C48" s="39" t="str">
        <v>Surf Excel x6 bundle 20g Rs 10</v>
      </c>
      <c r="D48" s="39" t="str">
        <v>Surf Excel</v>
      </c>
      <c r="E48" s="39" t="str">
        <v>Damaged Stock</v>
      </c>
      <c r="F48" s="45" t="n">
        <v>2</v>
      </c>
      <c r="G48" s="40" t="str">
        <v>[Code: 2234BE] TA:bag may say damage nikla display krtay waqt seal sy open he</v>
      </c>
      <c r="H48" s="39" t="str">
        <v>Taufeeq Akhtar </v>
      </c>
      <c r="I48" s="39" t="str">
        <f aca="false">IF(ISBLANK(H48),"", IF($H$2:$H1547 = "Gohar Rehan","Overnight",IF($H$2:$H1547 = "Taufeeq Akhtar ","Overnight",IF($H$2:$H1547 = "Zeeshan Ali Malik","Audit",IF($H$2:$H1547 = "Ali Raza ","Receiving",IF($H$2:$H1547 = "Ali Ahmad","Full-In"))))))</f>
        <v>Overnight</v>
      </c>
      <c r="J48" s="29"/>
      <c r="K48" s="40" t="s">
        <v>2215</v>
      </c>
      <c r="L48" s="40" t="s">
        <v>2237</v>
      </c>
      <c r="M48" s="41"/>
      <c r="N48" s="39" t="s">
        <v>2212</v>
      </c>
      <c r="O48" s="46" t="b">
        <f aca="false">FALSE()</f>
        <v>0</v>
      </c>
      <c r="P48" s="20" t="n">
        <v>54.75</v>
      </c>
      <c r="Q48" s="45" t="n">
        <v>109.5</v>
      </c>
      <c r="R48" s="43" t="n">
        <v>45002</v>
      </c>
      <c r="S48" s="20" t="str">
        <v>Surf, Bleach</v>
      </c>
    </row>
    <row r="49" customFormat="false" ht="15.75" hidden="false" customHeight="false" outlineLevel="0" collapsed="false">
      <c r="A49" s="39" t="str">
        <v>3347AC</v>
      </c>
      <c r="B49" s="44" t="str">
        <v>Sun,19-March-2023 ,01:20 AM</v>
      </c>
      <c r="C49" s="39" t="str">
        <v>Shangrila Tomato Ketchup x6 Bundle 80g</v>
      </c>
      <c r="D49" s="39" t="str">
        <v>Shangrila</v>
      </c>
      <c r="E49" s="39" t="str">
        <v>Damaged Stock</v>
      </c>
      <c r="F49" s="45" t="n">
        <v>1</v>
      </c>
      <c r="G49" s="40" t="str">
        <v>[Code: 3347AC] TA:display lagaty waqt carton say damage nikla.</v>
      </c>
      <c r="H49" s="39" t="str">
        <v>Taufeeq Akhtar </v>
      </c>
      <c r="I49" s="39" t="str">
        <f aca="false">IF(ISBLANK(H49),"", IF($H$2:$H1548 = "Gohar Rehan","Overnight",IF($H$2:$H1548 = "Taufeeq Akhtar ","Overnight",IF($H$2:$H1548 = "Zeeshan Ali Malik","Audit",IF($H$2:$H1548 = "Ali Raza ","Receiving",IF($H$2:$H1548 = "Ali Ahmad","Full-In"))))))</f>
        <v>Overnight</v>
      </c>
      <c r="J49" s="29"/>
      <c r="K49" s="40" t="s">
        <v>2223</v>
      </c>
      <c r="L49" s="40" t="s">
        <v>2238</v>
      </c>
      <c r="M49" s="41"/>
      <c r="N49" s="39" t="s">
        <v>2212</v>
      </c>
      <c r="O49" s="46" t="b">
        <f aca="false">FALSE()</f>
        <v>0</v>
      </c>
      <c r="P49" s="20" t="n">
        <v>188.49</v>
      </c>
      <c r="Q49" s="45" t="n">
        <v>188.49</v>
      </c>
      <c r="R49" s="43" t="n">
        <v>45004</v>
      </c>
      <c r="S49" s="20" t="str">
        <v>Sauces</v>
      </c>
    </row>
    <row r="50" customFormat="false" ht="15.75" hidden="false" customHeight="false" outlineLevel="0" collapsed="false">
      <c r="A50" s="39" t="str">
        <v>236789</v>
      </c>
      <c r="B50" s="44" t="str">
        <v>Mon,20-March-2023 ,11:44 PM</v>
      </c>
      <c r="C50" s="39" t="str">
        <v>Bonus tristar yellow surf 260g Rs50</v>
      </c>
      <c r="D50" s="39" t="str">
        <v>Bonus Surf</v>
      </c>
      <c r="E50" s="39" t="str">
        <v>Damaged Stock</v>
      </c>
      <c r="F50" s="45" t="n">
        <v>1</v>
      </c>
      <c r="G50" s="40" t="str">
        <v>[Code: 236789] TA:bag say damage nikla display k doran.</v>
      </c>
      <c r="H50" s="39" t="str">
        <v>Taufeeq Akhtar </v>
      </c>
      <c r="I50" s="39" t="str">
        <f aca="false">IF(ISBLANK(H50),"", IF($H$2:$H1549 = "Gohar Rehan","Overnight",IF($H$2:$H1549 = "Taufeeq Akhtar ","Overnight",IF($H$2:$H1549 = "Zeeshan Ali Malik","Audit",IF($H$2:$H1549 = "Ali Raza ","Receiving",IF($H$2:$H1549 = "Ali Ahmad","Full-In"))))))</f>
        <v>Overnight</v>
      </c>
      <c r="J50" s="29"/>
      <c r="K50" s="40" t="s">
        <v>2215</v>
      </c>
      <c r="L50" s="40" t="s">
        <v>2239</v>
      </c>
      <c r="M50" s="45" t="n">
        <v>1</v>
      </c>
      <c r="N50" s="39" t="s">
        <v>2212</v>
      </c>
      <c r="O50" s="42" t="b">
        <f aca="false">TRUE()</f>
        <v>1</v>
      </c>
      <c r="P50" s="20" t="n">
        <v>45.59</v>
      </c>
      <c r="Q50" s="45" t="n">
        <v>45.59</v>
      </c>
      <c r="R50" s="43" t="n">
        <v>45005</v>
      </c>
      <c r="S50" s="20" t="str">
        <v>Surf, Bleach</v>
      </c>
    </row>
    <row r="51" customFormat="false" ht="15.75" hidden="false" customHeight="false" outlineLevel="0" collapsed="false">
      <c r="A51" s="39" t="str">
        <v>23378A</v>
      </c>
      <c r="B51" s="44" t="str">
        <v>Mon,20-March-2023 ,11:43 PM</v>
      </c>
      <c r="C51" s="39" t="str">
        <v>Ariel Original Surf x12 bundle 20g Rs 10</v>
      </c>
      <c r="D51" s="39" t="str">
        <v>Ariel Surf</v>
      </c>
      <c r="E51" s="39" t="str">
        <v>Damaged Stock</v>
      </c>
      <c r="F51" s="45" t="n">
        <v>1</v>
      </c>
      <c r="G51" s="40" t="str">
        <v>[Code: 23378A] TA:bag may say damage nikla display k doran.</v>
      </c>
      <c r="H51" s="39" t="str">
        <v>Taufeeq Akhtar </v>
      </c>
      <c r="I51" s="39" t="str">
        <f aca="false">IF(ISBLANK(H51),"", IF($H$2:$H1550 = "Gohar Rehan","Overnight",IF($H$2:$H1550 = "Taufeeq Akhtar ","Overnight",IF($H$2:$H1550 = "Zeeshan Ali Malik","Audit",IF($H$2:$H1550 = "Ali Raza ","Receiving",IF($H$2:$H1550 = "Ali Ahmad","Full-In"))))))</f>
        <v>Overnight</v>
      </c>
      <c r="J51" s="29"/>
      <c r="K51" s="40" t="s">
        <v>2215</v>
      </c>
      <c r="L51" s="48" t="s">
        <v>2236</v>
      </c>
      <c r="M51" s="41"/>
      <c r="N51" s="39" t="s">
        <v>2212</v>
      </c>
      <c r="O51" s="46" t="b">
        <f aca="false">FALSE()</f>
        <v>0</v>
      </c>
      <c r="P51" s="20" t="n">
        <v>106.8</v>
      </c>
      <c r="Q51" s="45" t="n">
        <v>106.8</v>
      </c>
      <c r="R51" s="43" t="n">
        <v>45005</v>
      </c>
      <c r="S51" s="20" t="str">
        <v>Surf, Bleach</v>
      </c>
    </row>
    <row r="52" customFormat="false" ht="15.75" hidden="false" customHeight="false" outlineLevel="0" collapsed="false">
      <c r="A52" s="39" t="str">
        <v>33579C</v>
      </c>
      <c r="B52" s="44" t="str">
        <v>Mon,20-March-2023 ,11:41 PM</v>
      </c>
      <c r="C52" s="39" t="str">
        <v>Surf Excel x6 bundle 20g Rs 10</v>
      </c>
      <c r="D52" s="39" t="str">
        <v>Surf Excel</v>
      </c>
      <c r="E52" s="39" t="str">
        <v>Damaged Stock</v>
      </c>
      <c r="F52" s="45" t="n">
        <v>1</v>
      </c>
      <c r="G52" s="40" t="str">
        <v>[Code: 33579C] TA:Sorting k doran damage hogia sorter say.</v>
      </c>
      <c r="H52" s="39" t="str">
        <v>Taufeeq Akhtar </v>
      </c>
      <c r="I52" s="39" t="str">
        <f aca="false">IF(ISBLANK(H52),"", IF($H$2:$H1551 = "Gohar Rehan","Overnight",IF($H$2:$H1551 = "Taufeeq Akhtar ","Overnight",IF($H$2:$H1551 = "Zeeshan Ali Malik","Audit",IF($H$2:$H1551 = "Ali Raza ","Receiving",IF($H$2:$H1551 = "Ali Ahmad","Full-In"))))))</f>
        <v>Overnight</v>
      </c>
      <c r="J52" s="29"/>
      <c r="K52" s="40" t="s">
        <v>2215</v>
      </c>
      <c r="L52" s="40" t="s">
        <v>2240</v>
      </c>
      <c r="M52" s="41"/>
      <c r="N52" s="39" t="s">
        <v>2212</v>
      </c>
      <c r="O52" s="46" t="b">
        <f aca="false">FALSE()</f>
        <v>0</v>
      </c>
      <c r="P52" s="20" t="n">
        <v>54.75</v>
      </c>
      <c r="Q52" s="45" t="n">
        <v>54.75</v>
      </c>
      <c r="R52" s="43" t="n">
        <v>45005</v>
      </c>
      <c r="S52" s="20" t="str">
        <v>Surf, Bleach</v>
      </c>
    </row>
    <row r="53" customFormat="false" ht="15.75" hidden="false" customHeight="false" outlineLevel="0" collapsed="false">
      <c r="A53" s="39" t="str">
        <v>588CCD</v>
      </c>
      <c r="B53" s="44" t="str">
        <v>Mon,20-March-2023 ,11:39 PM</v>
      </c>
      <c r="C53" s="39" t="str">
        <v>Surf Excel x6 bundle 115g Rs50</v>
      </c>
      <c r="D53" s="39" t="str">
        <v>Surf Excel</v>
      </c>
      <c r="E53" s="39" t="str">
        <v>Damaged Stock</v>
      </c>
      <c r="F53" s="45" t="n">
        <v>1</v>
      </c>
      <c r="G53" s="40" t="str">
        <v>[Code: 588CCD] TA:bag may say damage nikla display krtay waqt.</v>
      </c>
      <c r="H53" s="39" t="str">
        <v>Taufeeq Akhtar </v>
      </c>
      <c r="I53" s="39" t="str">
        <f aca="false">IF(ISBLANK(H53),"", IF($H$2:$H1552 = "Gohar Rehan","Overnight",IF($H$2:$H1552 = "Taufeeq Akhtar ","Overnight",IF($H$2:$H1552 = "Zeeshan Ali Malik","Audit",IF($H$2:$H1552 = "Ali Raza ","Receiving",IF($H$2:$H1552 = "Ali Ahmad","Full-In"))))))</f>
        <v>Overnight</v>
      </c>
      <c r="J53" s="29"/>
      <c r="K53" s="40" t="s">
        <v>2215</v>
      </c>
      <c r="L53" s="40" t="s">
        <v>2240</v>
      </c>
      <c r="M53" s="41"/>
      <c r="N53" s="39" t="s">
        <v>2212</v>
      </c>
      <c r="O53" s="46" t="b">
        <f aca="false">FALSE()</f>
        <v>0</v>
      </c>
      <c r="P53" s="20" t="n">
        <v>272</v>
      </c>
      <c r="Q53" s="45" t="n">
        <v>272</v>
      </c>
      <c r="R53" s="43" t="n">
        <v>45005</v>
      </c>
      <c r="S53" s="20" t="str">
        <v>Surf, Bleach</v>
      </c>
    </row>
    <row r="54" customFormat="false" ht="15.75" hidden="false" customHeight="false" outlineLevel="0" collapsed="false">
      <c r="A54" s="39" t="str">
        <v>4467AA</v>
      </c>
      <c r="B54" s="44" t="str">
        <v>Wed,22-March-2023 ,12:03 AM</v>
      </c>
      <c r="C54" s="39" t="str">
        <v>Bonus tristar yellow surf 260g Rs50</v>
      </c>
      <c r="D54" s="39" t="str">
        <v>Bonus Surf</v>
      </c>
      <c r="E54" s="39" t="str">
        <v>Damaged Stock</v>
      </c>
      <c r="F54" s="45" t="n">
        <v>1</v>
      </c>
      <c r="G54" s="40" t="str">
        <v>[Code: 4467AA] TA;Bag sy damge nikla he seal sy open he.</v>
      </c>
      <c r="H54" s="39" t="str">
        <v>Taufeeq Akhtar </v>
      </c>
      <c r="I54" s="39" t="str">
        <f aca="false">IF(ISBLANK(H54),"", IF($H$2:$H1553 = "Gohar Rehan","Overnight",IF($H$2:$H1553 = "Taufeeq Akhtar ","Overnight",IF($H$2:$H1553 = "Zeeshan Ali Malik","Audit",IF($H$2:$H1553 = "Ali Raza ","Receiving",IF($H$2:$H1553 = "Ali Ahmad","Full-In"))))))</f>
        <v>Overnight</v>
      </c>
      <c r="J54" s="29"/>
      <c r="K54" s="40" t="s">
        <v>2215</v>
      </c>
      <c r="L54" s="40" t="s">
        <v>2239</v>
      </c>
      <c r="M54" s="45" t="n">
        <v>1</v>
      </c>
      <c r="N54" s="39" t="s">
        <v>2212</v>
      </c>
      <c r="O54" s="42" t="b">
        <f aca="false">TRUE()</f>
        <v>1</v>
      </c>
      <c r="P54" s="20" t="n">
        <v>45.59</v>
      </c>
      <c r="Q54" s="45" t="n">
        <v>45.59</v>
      </c>
      <c r="R54" s="43" t="n">
        <v>45007</v>
      </c>
      <c r="S54" s="20" t="str">
        <v>Surf, Bleach</v>
      </c>
    </row>
    <row r="55" customFormat="false" ht="15.75" hidden="false" customHeight="false" outlineLevel="0" collapsed="false">
      <c r="A55" s="39" t="str">
        <v>25689B</v>
      </c>
      <c r="B55" s="44" t="str">
        <v>Fri,24-March-2023 ,11:22 PM</v>
      </c>
      <c r="C55" s="39" t="str">
        <v>Shangrila Tomato Ketchup x6 Bundle 80g Rs40</v>
      </c>
      <c r="D55" s="39" t="str">
        <v>Shangrila</v>
      </c>
      <c r="E55" s="39" t="str">
        <v>Damaged Stock</v>
      </c>
      <c r="F55" s="45" t="n">
        <v>1</v>
      </c>
      <c r="G55" s="40" t="str">
        <v>[Code: 25689B] TA:found damaged in the rake during sorting.</v>
      </c>
      <c r="H55" s="39" t="str">
        <v>Taufeeq Akhtar </v>
      </c>
      <c r="I55" s="39" t="str">
        <f aca="false">IF(ISBLANK(H55),"", IF($H$2:$H1554 = "Gohar Rehan","Overnight",IF($H$2:$H1554 = "Taufeeq Akhtar ","Overnight",IF($H$2:$H1554 = "Zeeshan Ali Malik","Audit",IF($H$2:$H1554 = "Ali Raza ","Receiving",IF($H$2:$H1554 = "Ali Ahmad","Full-In"))))))</f>
        <v>Overnight</v>
      </c>
      <c r="J55" s="29"/>
      <c r="K55" s="40" t="s">
        <v>2223</v>
      </c>
      <c r="L55" s="40" t="s">
        <v>2238</v>
      </c>
      <c r="M55" s="41"/>
      <c r="N55" s="39" t="s">
        <v>2212</v>
      </c>
      <c r="O55" s="46" t="b">
        <f aca="false">FALSE()</f>
        <v>0</v>
      </c>
      <c r="P55" s="20" t="n">
        <v>188.49</v>
      </c>
      <c r="Q55" s="45" t="n">
        <v>188.49</v>
      </c>
      <c r="R55" s="43" t="n">
        <v>45009</v>
      </c>
      <c r="S55" s="20" t="str">
        <v>Sauces</v>
      </c>
    </row>
    <row r="56" customFormat="false" ht="15.75" hidden="false" customHeight="false" outlineLevel="0" collapsed="false">
      <c r="A56" s="39" t="str">
        <v>25689B</v>
      </c>
      <c r="B56" s="44" t="str">
        <v>Fri,24-March-2023 ,11:22 PM</v>
      </c>
      <c r="C56" s="39" t="str">
        <v>Shangrila Tomato Ketchup x6 Bundle 80g Rs40</v>
      </c>
      <c r="D56" s="39" t="str">
        <v>Shangrila</v>
      </c>
      <c r="E56" s="39" t="str">
        <v>Damaged Stock</v>
      </c>
      <c r="F56" s="45" t="n">
        <v>1</v>
      </c>
      <c r="G56" s="40" t="str">
        <v>[Code: 25689B] TA:found damaged in the rake during sorting.</v>
      </c>
      <c r="H56" s="39" t="str">
        <v>Taufeeq Akhtar </v>
      </c>
      <c r="I56" s="39" t="str">
        <f aca="false">IF(ISBLANK(H56),"", IF($H$2:$H1555 = "Gohar Rehan","Overnight",IF($H$2:$H1555 = "Taufeeq Akhtar ","Overnight",IF($H$2:$H1555 = "Zeeshan Ali Malik","Audit",IF($H$2:$H1555 = "Ali Raza ","Receiving",IF($H$2:$H1555 = "Ali Ahmad","Full-In"))))))</f>
        <v>Overnight</v>
      </c>
      <c r="J56" s="29" t="n">
        <v>1</v>
      </c>
      <c r="K56" s="40" t="s">
        <v>2223</v>
      </c>
      <c r="L56" s="40" t="s">
        <v>2238</v>
      </c>
      <c r="M56" s="41"/>
      <c r="N56" s="39" t="s">
        <v>2212</v>
      </c>
      <c r="O56" s="46" t="b">
        <f aca="false">FALSE()</f>
        <v>0</v>
      </c>
      <c r="P56" s="20" t="n">
        <v>188.49</v>
      </c>
      <c r="Q56" s="45" t="n">
        <v>188.49</v>
      </c>
      <c r="R56" s="43" t="n">
        <v>45009</v>
      </c>
      <c r="S56" s="20" t="str">
        <v>Sauces</v>
      </c>
    </row>
    <row r="57" customFormat="false" ht="15.75" hidden="false" customHeight="false" outlineLevel="0" collapsed="false">
      <c r="A57" s="39" t="str">
        <v>23579A</v>
      </c>
      <c r="B57" s="44" t="str">
        <v>Fri,24-March-2023 ,11:20 PM</v>
      </c>
      <c r="C57" s="39" t="str">
        <v>Shangrila Tomato Ketchup x3 Bundle 400g Rs175</v>
      </c>
      <c r="D57" s="39" t="str">
        <v>Shangrila</v>
      </c>
      <c r="E57" s="39" t="str">
        <v>Damaged Stock</v>
      </c>
      <c r="F57" s="45" t="n">
        <v>1</v>
      </c>
      <c r="G57" s="40" t="str">
        <v>[Code: 23579A] TA: display krtay waqt carton may say damaged nikla.</v>
      </c>
      <c r="H57" s="39" t="str">
        <v>Taufeeq Akhtar </v>
      </c>
      <c r="I57" s="39" t="str">
        <f aca="false">IF(ISBLANK(H57),"", IF($H$2:$H1556 = "Gohar Rehan","Overnight",IF($H$2:$H1556 = "Taufeeq Akhtar ","Overnight",IF($H$2:$H1556 = "Zeeshan Ali Malik","Audit",IF($H$2:$H1556 = "Ali Raza ","Receiving",IF($H$2:$H1556 = "Ali Ahmad","Full-In"))))))</f>
        <v>Overnight</v>
      </c>
      <c r="J57" s="29"/>
      <c r="K57" s="40" t="s">
        <v>2223</v>
      </c>
      <c r="L57" s="40" t="s">
        <v>2238</v>
      </c>
      <c r="M57" s="41"/>
      <c r="N57" s="39" t="s">
        <v>2212</v>
      </c>
      <c r="O57" s="46" t="b">
        <f aca="false">FALSE()</f>
        <v>0</v>
      </c>
      <c r="P57" s="20" t="n">
        <v>430.85</v>
      </c>
      <c r="Q57" s="45" t="n">
        <v>430.85</v>
      </c>
      <c r="R57" s="43" t="n">
        <v>45009</v>
      </c>
      <c r="S57" s="20" t="str">
        <v>Sauces</v>
      </c>
    </row>
    <row r="58" customFormat="false" ht="15.75" hidden="false" customHeight="false" outlineLevel="0" collapsed="false">
      <c r="A58" s="39" t="str">
        <v>368GHL</v>
      </c>
      <c r="B58" s="44" t="str">
        <v>Fri,24-March-2023 ,11:18 PM</v>
      </c>
      <c r="C58" s="39" t="str">
        <v>Coca Cola plastic 1L</v>
      </c>
      <c r="D58" s="39" t="str">
        <v>Coca Cola</v>
      </c>
      <c r="E58" s="39" t="str">
        <v>Damaged Stock</v>
      </c>
      <c r="F58" s="45" t="n">
        <v>1</v>
      </c>
      <c r="G58" s="40" t="str">
        <v>[Code: 368GHL] TA:Low fill and found damaged in the display (company end issue)</v>
      </c>
      <c r="H58" s="39" t="str">
        <v>Taufeeq Akhtar </v>
      </c>
      <c r="I58" s="39" t="str">
        <f aca="false">IF(ISBLANK(H58),"", IF($H$2:$H1557 = "Gohar Rehan","Overnight",IF($H$2:$H1557 = "Taufeeq Akhtar ","Overnight",IF($H$2:$H1557 = "Zeeshan Ali Malik","Audit",IF($H$2:$H1557 = "Ali Raza ","Receiving",IF($H$2:$H1557 = "Ali Ahmad","Full-In"))))))</f>
        <v>Overnight</v>
      </c>
      <c r="J58" s="29"/>
      <c r="K58" s="40" t="s">
        <v>2241</v>
      </c>
      <c r="L58" s="40" t="s">
        <v>2242</v>
      </c>
      <c r="M58" s="45" t="n">
        <v>1</v>
      </c>
      <c r="N58" s="39" t="s">
        <v>2212</v>
      </c>
      <c r="O58" s="42" t="b">
        <f aca="false">TRUE()</f>
        <v>1</v>
      </c>
      <c r="P58" s="20" t="n">
        <v>632</v>
      </c>
      <c r="Q58" s="45" t="n">
        <v>632</v>
      </c>
      <c r="R58" s="43" t="n">
        <v>45009</v>
      </c>
      <c r="S58" s="20" t="str">
        <v>Beverages</v>
      </c>
    </row>
    <row r="59" customFormat="false" ht="15.75" hidden="false" customHeight="false" outlineLevel="0" collapsed="false">
      <c r="A59" s="39" t="str">
        <v>47ABCD</v>
      </c>
      <c r="B59" s="44" t="str">
        <v>Fri,24-March-2023 ,11:14 PM</v>
      </c>
      <c r="C59" s="39" t="str">
        <v>Coca Cola plastic 1.5L</v>
      </c>
      <c r="D59" s="39" t="str">
        <v>Coca Cola</v>
      </c>
      <c r="E59" s="39" t="str">
        <v>Damaged Stock</v>
      </c>
      <c r="F59" s="45" t="n">
        <v>1</v>
      </c>
      <c r="G59" s="40" t="str">
        <v>[Code: 47ABCD] TA:low fill and bottle seal is also loosed (company end issue)</v>
      </c>
      <c r="H59" s="39" t="str">
        <v>Taufeeq Akhtar </v>
      </c>
      <c r="I59" s="39" t="str">
        <f aca="false">IF(ISBLANK(H59),"", IF($H$2:$H1558 = "Gohar Rehan","Overnight",IF($H$2:$H1558 = "Taufeeq Akhtar ","Overnight",IF($H$2:$H1558 = "Zeeshan Ali Malik","Audit",IF($H$2:$H1558 = "Ali Raza ","Receiving",IF($H$2:$H1558 = "Ali Ahmad","Full-In"))))))</f>
        <v>Overnight</v>
      </c>
      <c r="J59" s="29"/>
      <c r="K59" s="40" t="s">
        <v>2241</v>
      </c>
      <c r="L59" s="40" t="s">
        <v>2242</v>
      </c>
      <c r="M59" s="45" t="n">
        <v>1</v>
      </c>
      <c r="N59" s="39" t="s">
        <v>2212</v>
      </c>
      <c r="O59" s="42" t="b">
        <f aca="false">TRUE()</f>
        <v>1</v>
      </c>
      <c r="P59" s="20" t="n">
        <v>790</v>
      </c>
      <c r="Q59" s="45" t="n">
        <v>790</v>
      </c>
      <c r="R59" s="43" t="n">
        <v>45009</v>
      </c>
      <c r="S59" s="20" t="str">
        <v>Beverages</v>
      </c>
    </row>
    <row r="60" customFormat="false" ht="15.75" hidden="false" customHeight="false" outlineLevel="0" collapsed="false">
      <c r="A60" s="39" t="str">
        <v>23347A</v>
      </c>
      <c r="B60" s="44" t="str">
        <v>Mon,27-March-2023 ,08:34 PM</v>
      </c>
      <c r="C60" s="39" t="str">
        <v>Coca Cola plastic 2.25L (Jumbo)</v>
      </c>
      <c r="D60" s="39" t="str">
        <v>Coca Cola</v>
      </c>
      <c r="E60" s="39" t="str">
        <v>Damaged Stock</v>
      </c>
      <c r="F60" s="45" t="n">
        <v>1</v>
      </c>
      <c r="G60" s="40" t="str">
        <v>[Code: 23347A] TA:company end issue :(low fill and loose botal milay hay pet k ander say).</v>
      </c>
      <c r="H60" s="39" t="str">
        <v>Taufeeq Akhtar </v>
      </c>
      <c r="I60" s="39" t="str">
        <f aca="false">IF(ISBLANK(H60),"", IF($H$2:$H1559 = "Gohar Rehan","Overnight",IF($H$2:$H1559 = "Taufeeq Akhtar ","Overnight",IF($H$2:$H1559 = "Zeeshan Ali Malik","Audit",IF($H$2:$H1559 = "Ali Raza ","Receiving",IF($H$2:$H1559 = "Ali Ahmad","Full-In"))))))</f>
        <v>Overnight</v>
      </c>
      <c r="J60" s="29"/>
      <c r="K60" s="40" t="s">
        <v>2243</v>
      </c>
      <c r="L60" s="40" t="s">
        <v>2242</v>
      </c>
      <c r="M60" s="45" t="n">
        <v>1</v>
      </c>
      <c r="N60" s="39" t="s">
        <v>2212</v>
      </c>
      <c r="O60" s="42" t="b">
        <f aca="false">TRUE()</f>
        <v>1</v>
      </c>
      <c r="P60" s="20" t="n">
        <v>1126.1</v>
      </c>
      <c r="Q60" s="45" t="n">
        <v>1126.1</v>
      </c>
      <c r="R60" s="43" t="n">
        <v>45012</v>
      </c>
      <c r="S60" s="20" t="str">
        <v>Beverages</v>
      </c>
    </row>
    <row r="61" customFormat="false" ht="15.75" hidden="false" customHeight="false" outlineLevel="0" collapsed="false">
      <c r="A61" s="39" t="str">
        <v>24668A</v>
      </c>
      <c r="B61" s="44" t="str">
        <v>Mon,27-March-2023 ,07:41 PM</v>
      </c>
      <c r="C61" s="39" t="str">
        <v>Sherdil Dal Mash Wash 1kg</v>
      </c>
      <c r="D61" s="39" t="str">
        <v>Sherdil</v>
      </c>
      <c r="E61" s="39" t="str">
        <v>Damaged Stock</v>
      </c>
      <c r="F61" s="45" t="n">
        <v>1</v>
      </c>
      <c r="G61" s="40" t="str">
        <v>[Code: 24668A] TA:qaulity sahi nahi daal ki ulli (haryali ) lagi hay or smell bhi arhi hay daal may say.</v>
      </c>
      <c r="H61" s="39" t="str">
        <v>Taufeeq Akhtar </v>
      </c>
      <c r="I61" s="39" t="str">
        <f aca="false">IF(ISBLANK(H61),"", IF($H$2:$H1560 = "Gohar Rehan","Overnight",IF($H$2:$H1560 = "Taufeeq Akhtar ","Overnight",IF($H$2:$H1560 = "Zeeshan Ali Malik","Audit",IF($H$2:$H1560 = "Ali Raza ","Receiving",IF($H$2:$H1560 = "Ali Ahmad","Full-In"))))))</f>
        <v>Overnight</v>
      </c>
      <c r="J61" s="29"/>
      <c r="K61" s="40" t="s">
        <v>2244</v>
      </c>
      <c r="L61" s="40" t="s">
        <v>2245</v>
      </c>
      <c r="M61" s="41"/>
      <c r="N61" s="39" t="s">
        <v>2212</v>
      </c>
      <c r="O61" s="46" t="b">
        <f aca="false">FALSE()</f>
        <v>0</v>
      </c>
      <c r="P61" s="20" t="n">
        <v>497</v>
      </c>
      <c r="Q61" s="45" t="n">
        <v>497</v>
      </c>
      <c r="R61" s="43" t="n">
        <v>45012</v>
      </c>
      <c r="S61" s="20" t="str">
        <v>Pulses</v>
      </c>
    </row>
    <row r="62" customFormat="false" ht="15.75" hidden="false" customHeight="false" outlineLevel="0" collapsed="false">
      <c r="A62" s="39" t="str">
        <v>56699C</v>
      </c>
      <c r="B62" s="44" t="str">
        <v>Mon,27-March-2023 ,07:39 PM</v>
      </c>
      <c r="C62" s="39" t="str">
        <v>Sherdil Daal Mash Wash 5kg</v>
      </c>
      <c r="D62" s="39" t="str">
        <v>Sherdil</v>
      </c>
      <c r="E62" s="39" t="str">
        <v>Damaged Stock</v>
      </c>
      <c r="F62" s="45" t="n">
        <v>1</v>
      </c>
      <c r="G62" s="40" t="str">
        <v>[Code: 56699C] TA:qaulity sahi nahi daal ki ulli (haryali ) lagi hay or smell bhi arhi hay daal may say.</v>
      </c>
      <c r="H62" s="39" t="str">
        <v>Taufeeq Akhtar </v>
      </c>
      <c r="I62" s="39" t="str">
        <f aca="false">IF(ISBLANK(H62),"", IF($H$2:$H1561 = "Gohar Rehan","Overnight",IF($H$2:$H1561 = "Taufeeq Akhtar ","Overnight",IF($H$2:$H1561 = "Zeeshan Ali Malik","Audit",IF($H$2:$H1561 = "Ali Raza ","Receiving",IF($H$2:$H1561 = "Ali Ahmad","Full-In"))))))</f>
        <v>Overnight</v>
      </c>
      <c r="J62" s="29"/>
      <c r="K62" s="40" t="s">
        <v>2244</v>
      </c>
      <c r="L62" s="40" t="s">
        <v>2245</v>
      </c>
      <c r="M62" s="41"/>
      <c r="N62" s="39" t="s">
        <v>2212</v>
      </c>
      <c r="O62" s="46" t="b">
        <f aca="false">FALSE()</f>
        <v>0</v>
      </c>
      <c r="P62" s="20" t="n">
        <v>2379</v>
      </c>
      <c r="Q62" s="45" t="n">
        <v>2379</v>
      </c>
      <c r="R62" s="43" t="n">
        <v>45012</v>
      </c>
      <c r="S62" s="20" t="str">
        <v>Pulses</v>
      </c>
    </row>
    <row r="63" customFormat="false" ht="15.75" hidden="false" customHeight="false" outlineLevel="0" collapsed="false">
      <c r="A63" s="39" t="str">
        <v>444899</v>
      </c>
      <c r="B63" s="44" t="str">
        <v>Mon,27-March-2023 ,01:03 AM</v>
      </c>
      <c r="C63" s="39" t="str">
        <v>Coca Cola plastic 2.25L (Jumbo)</v>
      </c>
      <c r="D63" s="39" t="str">
        <v>Coca Cola</v>
      </c>
      <c r="E63" s="39" t="str">
        <v>Damaged Stock</v>
      </c>
      <c r="F63" s="45" t="n">
        <v>1</v>
      </c>
      <c r="G63" s="40" t="str">
        <v>[Code: 444899] TA:Sorting k doran sorter say damage hogia keel lagnay k wajah say.</v>
      </c>
      <c r="H63" s="39" t="str">
        <v>Taufeeq Akhtar </v>
      </c>
      <c r="I63" s="39" t="str">
        <f aca="false">IF(ISBLANK(H63),"", IF($H$2:$H1562 = "Gohar Rehan","Overnight",IF($H$2:$H1562 = "Taufeeq Akhtar ","Overnight",IF($H$2:$H1562 = "Zeeshan Ali Malik","Audit",IF($H$2:$H1562 = "Ali Raza ","Receiving",IF($H$2:$H1562 = "Ali Ahmad","Full-In"))))))</f>
        <v>Overnight</v>
      </c>
      <c r="J63" s="29"/>
      <c r="K63" s="40" t="s">
        <v>2243</v>
      </c>
      <c r="L63" s="40" t="s">
        <v>2242</v>
      </c>
      <c r="M63" s="45" t="n">
        <v>1</v>
      </c>
      <c r="N63" s="39" t="s">
        <v>2212</v>
      </c>
      <c r="O63" s="42" t="b">
        <f aca="false">TRUE()</f>
        <v>1</v>
      </c>
      <c r="P63" s="20" t="n">
        <v>1126.1</v>
      </c>
      <c r="Q63" s="45" t="n">
        <v>1126.1</v>
      </c>
      <c r="R63" s="43" t="n">
        <v>45012</v>
      </c>
      <c r="S63" s="20" t="str">
        <v>Beverages</v>
      </c>
    </row>
    <row r="64" customFormat="false" ht="15.75" hidden="false" customHeight="false" outlineLevel="0" collapsed="false">
      <c r="A64" s="39" t="str">
        <v>389CEJ</v>
      </c>
      <c r="B64" s="44" t="str">
        <v>Mon,27-March-2023 ,01:00 AM</v>
      </c>
      <c r="C64" s="39" t="str">
        <v>Coca Cola plastic 1.5L</v>
      </c>
      <c r="D64" s="39" t="str">
        <v>Coca Cola</v>
      </c>
      <c r="E64" s="39" t="str">
        <v>Damaged Stock</v>
      </c>
      <c r="F64" s="45" t="n">
        <v>2</v>
      </c>
      <c r="G64" s="40" t="str">
        <v>[Code: 389CEJ] TA:company end issue(pallets k under say khali botel milay hay sorting k doran)</v>
      </c>
      <c r="H64" s="39" t="str">
        <v>Taufeeq Akhtar </v>
      </c>
      <c r="I64" s="39" t="str">
        <f aca="false">IF(ISBLANK(H64),"", IF($H$2:$H1563 = "Gohar Rehan","Overnight",IF($H$2:$H1563 = "Taufeeq Akhtar ","Overnight",IF($H$2:$H1563 = "Zeeshan Ali Malik","Audit",IF($H$2:$H1563 = "Ali Raza ","Receiving",IF($H$2:$H1563 = "Ali Ahmad","Full-In"))))))</f>
        <v>Overnight</v>
      </c>
      <c r="J64" s="29"/>
      <c r="K64" s="40" t="s">
        <v>2243</v>
      </c>
      <c r="L64" s="40" t="s">
        <v>2242</v>
      </c>
      <c r="M64" s="45" t="n">
        <v>2</v>
      </c>
      <c r="N64" s="39" t="s">
        <v>2212</v>
      </c>
      <c r="O64" s="42" t="b">
        <f aca="false">TRUE()</f>
        <v>1</v>
      </c>
      <c r="P64" s="20" t="n">
        <v>790</v>
      </c>
      <c r="Q64" s="45" t="n">
        <v>1580</v>
      </c>
      <c r="R64" s="43" t="n">
        <v>45012</v>
      </c>
      <c r="S64" s="20" t="str">
        <v>Beverages</v>
      </c>
    </row>
    <row r="65" customFormat="false" ht="15.75" hidden="false" customHeight="false" outlineLevel="0" collapsed="false">
      <c r="A65" s="39" t="str">
        <v>348EGG</v>
      </c>
      <c r="B65" s="44" t="str">
        <v>Sat,01-April-2023 ,09:01 PM</v>
      </c>
      <c r="C65" s="39" t="str">
        <v>Coca Cola plastic 1.5L</v>
      </c>
      <c r="D65" s="39" t="str">
        <v>Coca Cola</v>
      </c>
      <c r="E65" s="39" t="str">
        <v>Damaged Stock</v>
      </c>
      <c r="F65" s="45" t="n">
        <v>2</v>
      </c>
      <c r="G65" s="40" t="str">
        <v>[Code: 348EGG] TA:company end issue(pallets k under say khali botel  Or kush botel lose Mili hain Sorting ky doran  )</v>
      </c>
      <c r="H65" s="39" t="str">
        <v>Taufeeq Akhtar </v>
      </c>
      <c r="I65" s="39" t="str">
        <f aca="false">IF(ISBLANK(H65),"", IF($H$2:$H1564 = "Gohar Rehan","Overnight",IF($H$2:$H1564 = "Taufeeq Akhtar ","Overnight",IF($H$2:$H1564 = "Zeeshan Ali Malik","Audit",IF($H$2:$H1564 = "Ali Raza ","Receiving",IF($H$2:$H1564 = "Ali Ahmad","Full-In"))))))</f>
        <v>Overnight</v>
      </c>
      <c r="J65" s="29"/>
      <c r="K65" s="40" t="s">
        <v>2243</v>
      </c>
      <c r="L65" s="40" t="s">
        <v>2246</v>
      </c>
      <c r="M65" s="45" t="n">
        <v>2</v>
      </c>
      <c r="N65" s="39" t="s">
        <v>2212</v>
      </c>
      <c r="O65" s="42" t="b">
        <f aca="false">TRUE()</f>
        <v>1</v>
      </c>
      <c r="P65" s="20" t="n">
        <v>790</v>
      </c>
      <c r="Q65" s="45" t="n">
        <v>1580</v>
      </c>
      <c r="R65" s="43" t="n">
        <v>45017</v>
      </c>
      <c r="S65" s="20" t="str">
        <v>Beverages</v>
      </c>
    </row>
    <row r="66" customFormat="false" ht="15.75" hidden="false" customHeight="false" outlineLevel="0" collapsed="false">
      <c r="A66" s="39" t="str">
        <v>358BCF</v>
      </c>
      <c r="B66" s="44" t="str">
        <v>Sun,02-April-2023 ,09:39 PM</v>
      </c>
      <c r="C66" s="39" t="str">
        <v>Sunsilk Stunning Black Shine Shampoo x16 bundle 4.5ml</v>
      </c>
      <c r="D66" s="39" t="str">
        <v>Sunsilk</v>
      </c>
      <c r="E66" s="39" t="str">
        <v>Damaged Stock</v>
      </c>
      <c r="F66" s="45" t="n">
        <v>1</v>
      </c>
      <c r="G66" s="40" t="str">
        <v>[Code: 358BCF] TA:box may say damage nikla.</v>
      </c>
      <c r="H66" s="39" t="str">
        <v>Taufeeq Akhtar </v>
      </c>
      <c r="I66" s="39" t="str">
        <f aca="false">IF(ISBLANK(H66),"", IF($H$2:$H1565 = "Gohar Rehan","Overnight",IF($H$2:$H1565 = "Taufeeq Akhtar ","Overnight",IF($H$2:$H1565 = "Zeeshan Ali Malik","Audit",IF($H$2:$H1565 = "Ali Raza ","Receiving",IF($H$2:$H1565 = "Ali Ahmad","Full-In"))))))</f>
        <v>Overnight</v>
      </c>
      <c r="J66" s="29"/>
      <c r="K66" s="40" t="s">
        <v>2215</v>
      </c>
      <c r="L66" s="40" t="s">
        <v>2247</v>
      </c>
      <c r="M66" s="41"/>
      <c r="N66" s="39" t="s">
        <v>2212</v>
      </c>
      <c r="O66" s="46" t="b">
        <f aca="false">FALSE()</f>
        <v>0</v>
      </c>
      <c r="P66" s="20" t="n">
        <v>71.77</v>
      </c>
      <c r="Q66" s="45" t="n">
        <v>71.77</v>
      </c>
      <c r="R66" s="43" t="n">
        <v>45018</v>
      </c>
      <c r="S66" s="20" t="str">
        <v>Shampoo</v>
      </c>
    </row>
    <row r="67" customFormat="false" ht="15.75" hidden="false" customHeight="false" outlineLevel="0" collapsed="false">
      <c r="A67" s="39" t="str">
        <v>6AJLNP</v>
      </c>
      <c r="B67" s="44" t="str">
        <v>Sun,02-April-2023 ,09:35 PM</v>
      </c>
      <c r="C67" s="39" t="str">
        <v>Coca Cola plastic 1.5L</v>
      </c>
      <c r="D67" s="39" t="str">
        <v>Coca Cola</v>
      </c>
      <c r="E67" s="39" t="str">
        <v>Damaged Stock</v>
      </c>
      <c r="F67" s="45" t="n">
        <v>4</v>
      </c>
      <c r="G67" s="40" t="str">
        <v>[Code: 6AJLNP] TA: company end issue(chakkay may botel khali or loose milay hay.)</v>
      </c>
      <c r="H67" s="39" t="str">
        <v>Taufeeq Akhtar </v>
      </c>
      <c r="I67" s="39" t="str">
        <f aca="false">IF(ISBLANK(H67),"", IF($H$2:$H1566 = "Gohar Rehan","Overnight",IF($H$2:$H1566 = "Taufeeq Akhtar ","Overnight",IF($H$2:$H1566 = "Zeeshan Ali Malik","Audit",IF($H$2:$H1566 = "Ali Raza ","Receiving",IF($H$2:$H1566 = "Ali Ahmad","Full-In"))))))</f>
        <v>Overnight</v>
      </c>
      <c r="J67" s="29"/>
      <c r="K67" s="40" t="s">
        <v>2243</v>
      </c>
      <c r="L67" s="40" t="s">
        <v>2246</v>
      </c>
      <c r="M67" s="45" t="n">
        <v>4</v>
      </c>
      <c r="N67" s="39" t="s">
        <v>2212</v>
      </c>
      <c r="O67" s="42" t="b">
        <f aca="false">TRUE()</f>
        <v>1</v>
      </c>
      <c r="P67" s="20" t="n">
        <v>790</v>
      </c>
      <c r="Q67" s="45" t="n">
        <v>3160</v>
      </c>
      <c r="R67" s="43" t="n">
        <v>45018</v>
      </c>
      <c r="S67" s="20" t="str">
        <v>Beverages</v>
      </c>
    </row>
    <row r="68" customFormat="false" ht="15.75" hidden="false" customHeight="false" outlineLevel="0" collapsed="false">
      <c r="A68" s="39" t="str">
        <v>2368AA</v>
      </c>
      <c r="B68" s="44" t="str">
        <v>Sun,02-April-2023 ,09:33 PM</v>
      </c>
      <c r="C68" s="39" t="str">
        <v>Head and Shoulders Silky Black Shampoo x12 bundle 4.5ml</v>
      </c>
      <c r="D68" s="39" t="str">
        <v>Head and Shoulders</v>
      </c>
      <c r="E68" s="39" t="str">
        <v>Damaged Stock</v>
      </c>
      <c r="F68" s="45" t="n">
        <v>1</v>
      </c>
      <c r="G68" s="40" t="str">
        <v>[Code: 2368AA] TA:sorting k doran sorter say damage hua....</v>
      </c>
      <c r="H68" s="39" t="str">
        <v>Taufeeq Akhtar </v>
      </c>
      <c r="I68" s="39" t="str">
        <f aca="false">IF(ISBLANK(H68),"", IF($H$2:$H1567 = "Gohar Rehan","Overnight",IF($H$2:$H1567 = "Taufeeq Akhtar ","Overnight",IF($H$2:$H1567 = "Zeeshan Ali Malik","Audit",IF($H$2:$H1567 = "Ali Raza ","Receiving",IF($H$2:$H1567 = "Ali Ahmad","Full-In"))))))</f>
        <v>Overnight</v>
      </c>
      <c r="J68" s="29"/>
      <c r="K68" s="40" t="s">
        <v>2215</v>
      </c>
      <c r="L68" s="48" t="s">
        <v>2236</v>
      </c>
      <c r="M68" s="41"/>
      <c r="N68" s="39" t="s">
        <v>2212</v>
      </c>
      <c r="O68" s="46" t="b">
        <f aca="false">FALSE()</f>
        <v>0</v>
      </c>
      <c r="P68" s="20" t="n">
        <v>52</v>
      </c>
      <c r="Q68" s="45" t="n">
        <v>52</v>
      </c>
      <c r="R68" s="43" t="n">
        <v>45018</v>
      </c>
      <c r="S68" s="20" t="str">
        <v>Shampoo</v>
      </c>
    </row>
    <row r="69" customFormat="false" ht="15.75" hidden="false" customHeight="false" outlineLevel="0" collapsed="false">
      <c r="A69" s="39" t="str">
        <v>7899AB</v>
      </c>
      <c r="B69" s="44" t="str">
        <v>Sun,02-April-2023 ,09:30 PM</v>
      </c>
      <c r="C69" s="39" t="str">
        <v>Pantene Smooth And Strong Shampoo x12 Bundle 4.5ml</v>
      </c>
      <c r="D69" s="39" t="str">
        <v>Pantene</v>
      </c>
      <c r="E69" s="39" t="str">
        <v>Damaged Stock</v>
      </c>
      <c r="F69" s="45" t="n">
        <v>1</v>
      </c>
      <c r="G69" s="40" t="str">
        <v>[Code: 7899AB] TA:bos may say damage nikla.</v>
      </c>
      <c r="H69" s="39" t="str">
        <v>Taufeeq Akhtar </v>
      </c>
      <c r="I69" s="39" t="str">
        <f aca="false">IF(ISBLANK(H69),"", IF($H$2:$H1568 = "Gohar Rehan","Overnight",IF($H$2:$H1568 = "Taufeeq Akhtar ","Overnight",IF($H$2:$H1568 = "Zeeshan Ali Malik","Audit",IF($H$2:$H1568 = "Ali Raza ","Receiving",IF($H$2:$H1568 = "Ali Ahmad","Full-In"))))))</f>
        <v>Overnight</v>
      </c>
      <c r="J69" s="29"/>
      <c r="K69" s="40" t="s">
        <v>2215</v>
      </c>
      <c r="L69" s="48" t="s">
        <v>2236</v>
      </c>
      <c r="M69" s="41"/>
      <c r="N69" s="39" t="s">
        <v>2212</v>
      </c>
      <c r="O69" s="46" t="b">
        <f aca="false">FALSE()</f>
        <v>0</v>
      </c>
      <c r="P69" s="20" t="n">
        <v>52</v>
      </c>
      <c r="Q69" s="45" t="n">
        <v>52</v>
      </c>
      <c r="R69" s="43" t="n">
        <v>45018</v>
      </c>
      <c r="S69" s="20" t="str">
        <v>Shampoo</v>
      </c>
    </row>
    <row r="70" customFormat="false" ht="15.75" hidden="false" customHeight="false" outlineLevel="0" collapsed="false">
      <c r="A70" s="39" t="str">
        <v>23358B</v>
      </c>
      <c r="B70" s="44" t="str">
        <v>Sun,02-April-2023 ,09:28 PM</v>
      </c>
      <c r="C70" s="39" t="str">
        <v>Lifebouy Herbal Strong 12ml 16pcs Rs.10</v>
      </c>
      <c r="D70" s="39" t="str">
        <v>Lifebuoy</v>
      </c>
      <c r="E70" s="39" t="str">
        <v>Damaged Stock</v>
      </c>
      <c r="F70" s="45" t="n">
        <v>1</v>
      </c>
      <c r="G70" s="40" t="str">
        <v>[Code: 23358B] TA:bos may say damage nikla hay display krtay waqt mila .</v>
      </c>
      <c r="H70" s="39" t="str">
        <v>Taufeeq Akhtar </v>
      </c>
      <c r="I70" s="39" t="str">
        <f aca="false">IF(ISBLANK(H70),"", IF($H$2:$H1569 = "Gohar Rehan","Overnight",IF($H$2:$H1569 = "Taufeeq Akhtar ","Overnight",IF($H$2:$H1569 = "Zeeshan Ali Malik","Audit",IF($H$2:$H1569 = "Ali Raza ","Receiving",IF($H$2:$H1569 = "Ali Ahmad","Full-In"))))))</f>
        <v>Overnight</v>
      </c>
      <c r="J70" s="29"/>
      <c r="K70" s="40" t="s">
        <v>2215</v>
      </c>
      <c r="L70" s="40" t="s">
        <v>2247</v>
      </c>
      <c r="M70" s="41"/>
      <c r="N70" s="39" t="s">
        <v>2212</v>
      </c>
      <c r="O70" s="46" t="b">
        <f aca="false">FALSE()</f>
        <v>0</v>
      </c>
      <c r="P70" s="20" t="n">
        <v>145</v>
      </c>
      <c r="Q70" s="45" t="n">
        <v>145</v>
      </c>
      <c r="R70" s="43" t="n">
        <v>45018</v>
      </c>
      <c r="S70" s="20" t="str">
        <v>Shampoo</v>
      </c>
    </row>
    <row r="71" customFormat="false" ht="15.75" hidden="false" customHeight="false" outlineLevel="0" collapsed="false">
      <c r="A71" s="39" t="str">
        <v>9ABBDE</v>
      </c>
      <c r="B71" s="44" t="str">
        <v>Mon,03-April-2023 ,09:34 PM</v>
      </c>
      <c r="C71" s="39" t="str">
        <v>Coca Cola plastic 1.5L</v>
      </c>
      <c r="D71" s="39" t="str">
        <v>Coca Cola</v>
      </c>
      <c r="E71" s="39" t="str">
        <v>Damaged Stock</v>
      </c>
      <c r="F71" s="45" t="n">
        <v>2</v>
      </c>
      <c r="G71" s="40" t="str">
        <v>[Code: 9ABBDE] TA:low quality of water and some botels are loose as weil(fungus bhi laga hay under).</v>
      </c>
      <c r="H71" s="39" t="str">
        <v>Taufeeq Akhtar </v>
      </c>
      <c r="I71" s="39" t="str">
        <f aca="false">IF(ISBLANK(H71),"", IF($H$2:$H1570 = "Gohar Rehan","Overnight",IF($H$2:$H1570 = "Taufeeq Akhtar ","Overnight",IF($H$2:$H1570 = "Zeeshan Ali Malik","Audit",IF($H$2:$H1570 = "Ali Raza ","Receiving",IF($H$2:$H1570 = "Ali Ahmad","Full-In"))))))</f>
        <v>Overnight</v>
      </c>
      <c r="J71" s="29"/>
      <c r="K71" s="40" t="s">
        <v>2243</v>
      </c>
      <c r="L71" s="40" t="s">
        <v>2246</v>
      </c>
      <c r="M71" s="45" t="n">
        <v>2</v>
      </c>
      <c r="N71" s="39" t="s">
        <v>2212</v>
      </c>
      <c r="O71" s="42" t="b">
        <f aca="false">TRUE()</f>
        <v>1</v>
      </c>
      <c r="P71" s="20" t="n">
        <v>790</v>
      </c>
      <c r="Q71" s="45" t="n">
        <v>1580</v>
      </c>
      <c r="R71" s="43" t="n">
        <v>45019</v>
      </c>
      <c r="S71" s="20" t="str">
        <v>Beverages</v>
      </c>
    </row>
    <row r="72" customFormat="false" ht="15.75" hidden="false" customHeight="false" outlineLevel="0" collapsed="false">
      <c r="A72" s="39" t="str">
        <v>389DDE</v>
      </c>
      <c r="B72" s="44" t="str">
        <v>Mon,03-April-2023 ,12:24 PM</v>
      </c>
      <c r="C72" s="39" t="str">
        <v>Al-Munawar Special Muzafati Dates Box</v>
      </c>
      <c r="D72" s="39" t="str">
        <v>Al-Munawar</v>
      </c>
      <c r="E72" s="39" t="str">
        <v>Damaged Stock</v>
      </c>
      <c r="F72" s="45" t="n">
        <v>2</v>
      </c>
      <c r="G72" s="40" t="str">
        <v>[Code: 389DDE] 02 selling units found damage.(Quality Issue)</v>
      </c>
      <c r="H72" s="39" t="str">
        <v>Ali Raza </v>
      </c>
      <c r="I72" s="39" t="str">
        <f aca="false">IF(ISBLANK(H72),"", IF($H$2:$H1571 = "Gohar Rehan","Overnight",IF($H$2:$H1571 = "Taufeeq Akhtar ","Overnight",IF($H$2:$H1571 = "Zeeshan Ali Malik","Audit",IF($H$2:$H1571 = "Ali Raza ","Receiving",IF($H$2:$H1571 = "Ali Ahmad","Full-In"))))))</f>
        <v>Receiving</v>
      </c>
      <c r="J72" s="29"/>
      <c r="K72" s="40" t="s">
        <v>2215</v>
      </c>
      <c r="L72" s="40" t="s">
        <v>2246</v>
      </c>
      <c r="M72" s="41"/>
      <c r="N72" s="39" t="s">
        <v>2212</v>
      </c>
      <c r="O72" s="46" t="b">
        <f aca="false">FALSE()</f>
        <v>0</v>
      </c>
      <c r="P72" s="20" t="n">
        <v>400</v>
      </c>
      <c r="Q72" s="45" t="n">
        <v>800</v>
      </c>
      <c r="R72" s="43" t="n">
        <v>45019</v>
      </c>
      <c r="S72" s="20" t="str">
        <v>Khajoor &amp; Pakoriyan</v>
      </c>
    </row>
    <row r="73" customFormat="false" ht="15.75" hidden="false" customHeight="false" outlineLevel="0" collapsed="false">
      <c r="A73" s="39" t="str">
        <v>68AAAF</v>
      </c>
      <c r="B73" s="44" t="str">
        <v>Tue,04-April-2023 ,10:47 PM</v>
      </c>
      <c r="C73" s="39" t="str">
        <v>Surf Excel x6 bundle 20g Rs 10</v>
      </c>
      <c r="D73" s="39" t="str">
        <v>Surf Excel</v>
      </c>
      <c r="E73" s="39" t="str">
        <v>Damaged Stock</v>
      </c>
      <c r="F73" s="45" t="n">
        <v>1</v>
      </c>
      <c r="G73" s="40" t="str">
        <v>[Code: 68AAAF] TA: thailay may say damage nikla </v>
      </c>
      <c r="H73" s="39" t="str">
        <v>Taufeeq Akhtar </v>
      </c>
      <c r="I73" s="39" t="str">
        <f aca="false">IF(ISBLANK(H73),"", IF($H$2:$H1572 = "Gohar Rehan","Overnight",IF($H$2:$H1572 = "Taufeeq Akhtar ","Overnight",IF($H$2:$H1572 = "Zeeshan Ali Malik","Audit",IF($H$2:$H1572 = "Ali Raza ","Receiving",IF($H$2:$H1572 = "Ali Ahmad","Full-In"))))))</f>
        <v>Overnight</v>
      </c>
      <c r="J73" s="29"/>
      <c r="K73" s="40" t="s">
        <v>2215</v>
      </c>
      <c r="L73" s="40" t="s">
        <v>2247</v>
      </c>
      <c r="M73" s="41"/>
      <c r="N73" s="39" t="s">
        <v>2212</v>
      </c>
      <c r="O73" s="46" t="b">
        <f aca="false">FALSE()</f>
        <v>0</v>
      </c>
      <c r="P73" s="20" t="n">
        <v>54.79</v>
      </c>
      <c r="Q73" s="45" t="n">
        <v>54.79</v>
      </c>
      <c r="R73" s="43" t="n">
        <v>45020</v>
      </c>
      <c r="S73" s="20" t="str">
        <v>Surf, Bleach</v>
      </c>
    </row>
    <row r="74" customFormat="false" ht="15.75" hidden="false" customHeight="false" outlineLevel="0" collapsed="false">
      <c r="A74" s="39" t="str">
        <v>667BDD</v>
      </c>
      <c r="B74" s="44" t="str">
        <v>Tue,04-April-2023 ,10:44 PM</v>
      </c>
      <c r="C74" s="39" t="str">
        <v>Ariel Original Surf x6 bundle 100g Rs 50</v>
      </c>
      <c r="D74" s="39" t="str">
        <v>Ariel Surf</v>
      </c>
      <c r="E74" s="39" t="str">
        <v>Damaged Stock</v>
      </c>
      <c r="F74" s="45" t="n">
        <v>4</v>
      </c>
      <c r="G74" s="40" t="str">
        <v>[Code: 667BDD] TA:thailay may say damage niklay hay </v>
      </c>
      <c r="H74" s="39" t="str">
        <v>Taufeeq Akhtar </v>
      </c>
      <c r="I74" s="39" t="str">
        <f aca="false">IF(ISBLANK(H74),"", IF($H$2:$H1573 = "Gohar Rehan","Overnight",IF($H$2:$H1573 = "Taufeeq Akhtar ","Overnight",IF($H$2:$H1573 = "Zeeshan Ali Malik","Audit",IF($H$2:$H1573 = "Ali Raza ","Receiving",IF($H$2:$H1573 = "Ali Ahmad","Full-In"))))))</f>
        <v>Overnight</v>
      </c>
      <c r="J74" s="29"/>
      <c r="K74" s="40" t="s">
        <v>2215</v>
      </c>
      <c r="L74" s="40" t="s">
        <v>2247</v>
      </c>
      <c r="M74" s="41" t="n">
        <v>4</v>
      </c>
      <c r="N74" s="39" t="s">
        <v>2212</v>
      </c>
      <c r="O74" s="42" t="b">
        <f aca="false">TRUE()</f>
        <v>1</v>
      </c>
      <c r="P74" s="20" t="n">
        <v>268.2</v>
      </c>
      <c r="Q74" s="45" t="n">
        <v>1072.8</v>
      </c>
      <c r="R74" s="43" t="n">
        <v>45020</v>
      </c>
      <c r="S74" s="20" t="str">
        <v>Surf, Bleach</v>
      </c>
    </row>
    <row r="75" customFormat="false" ht="15.75" hidden="false" customHeight="false" outlineLevel="0" collapsed="false">
      <c r="A75" s="39" t="str">
        <v>399BCD</v>
      </c>
      <c r="B75" s="44" t="str">
        <v>Fri,07-April-2023 ,08:09 PM</v>
      </c>
      <c r="C75" s="39" t="str">
        <v>Regal Laser Mood Chocolate Magic Stick Box 50pcs Rs5</v>
      </c>
      <c r="D75" s="39" t="str">
        <v>Regal</v>
      </c>
      <c r="E75" s="39" t="str">
        <v>Damaged Stock</v>
      </c>
      <c r="F75" s="45" t="n">
        <v>1</v>
      </c>
      <c r="G75" s="40" t="str">
        <v>[Code: 399BCD] TA:few pieces are missing in the box(dabay may say damage nikla display krtay waqt)</v>
      </c>
      <c r="H75" s="39" t="str">
        <v>Taufeeq Akhtar </v>
      </c>
      <c r="I75" s="39" t="str">
        <f aca="false">IF(ISBLANK(H75),"", IF($H$2:$H1574 = "Gohar Rehan","Overnight",IF($H$2:$H1574 = "Taufeeq Akhtar ","Overnight",IF($H$2:$H1574 = "Zeeshan Ali Malik","Audit",IF($H$2:$H1574 = "Ali Raza ","Receiving",IF($H$2:$H1574 = "Ali Ahmad","Full-In"))))))</f>
        <v>Overnight</v>
      </c>
      <c r="J75" s="29"/>
      <c r="K75" s="40" t="s">
        <v>2248</v>
      </c>
      <c r="L75" s="40" t="s">
        <v>2249</v>
      </c>
      <c r="M75" s="41"/>
      <c r="N75" s="39" t="s">
        <v>2250</v>
      </c>
      <c r="O75" s="46" t="b">
        <f aca="false">FALSE()</f>
        <v>0</v>
      </c>
      <c r="P75" s="20" t="n">
        <v>178.5</v>
      </c>
      <c r="Q75" s="45" t="n">
        <v>178.5</v>
      </c>
      <c r="R75" s="43" t="n">
        <v>45023</v>
      </c>
      <c r="S75" s="20" t="str">
        <v>Confectionary</v>
      </c>
    </row>
    <row r="76" customFormat="false" ht="15.75" hidden="false" customHeight="false" outlineLevel="0" collapsed="false">
      <c r="A76" s="39" t="str">
        <v>3469BD</v>
      </c>
      <c r="B76" s="44" t="str">
        <v>Fri,07-April-2023 ,08:11 PM</v>
      </c>
      <c r="C76" s="39" t="str">
        <v>Shangrila Tomato Ketchup x6 Bundle 225g</v>
      </c>
      <c r="D76" s="39" t="str">
        <v>Shangrila</v>
      </c>
      <c r="E76" s="39" t="str">
        <v>Damaged Stock</v>
      </c>
      <c r="F76" s="45" t="n">
        <v>1</v>
      </c>
      <c r="G76" s="40" t="str">
        <v>[Code: 3469BD] TA:box may say damage nikla display krtay waqt.</v>
      </c>
      <c r="H76" s="39" t="str">
        <v>Taufeeq Akhtar </v>
      </c>
      <c r="I76" s="39" t="str">
        <f aca="false">IF(ISBLANK(H76),"", IF($H$2:$H1575 = "Gohar Rehan","Overnight",IF($H$2:$H1575 = "Taufeeq Akhtar ","Overnight",IF($H$2:$H1575 = "Zeeshan Ali Malik","Audit",IF($H$2:$H1575 = "Ali Raza ","Receiving",IF($H$2:$H1575 = "Ali Ahmad","Full-In"))))))</f>
        <v>Overnight</v>
      </c>
      <c r="J76" s="29" t="n">
        <v>1</v>
      </c>
      <c r="K76" s="40" t="s">
        <v>2223</v>
      </c>
      <c r="L76" s="40"/>
      <c r="M76" s="41"/>
      <c r="N76" s="39" t="s">
        <v>2212</v>
      </c>
      <c r="O76" s="46" t="b">
        <f aca="false">FALSE()</f>
        <v>0</v>
      </c>
      <c r="P76" s="20" t="n">
        <v>517.05</v>
      </c>
      <c r="Q76" s="45" t="n">
        <v>517.05</v>
      </c>
      <c r="R76" s="43" t="n">
        <v>45023</v>
      </c>
      <c r="S76" s="20" t="str">
        <v>Sauces</v>
      </c>
    </row>
    <row r="77" customFormat="false" ht="15.75" hidden="false" customHeight="false" outlineLevel="0" collapsed="false">
      <c r="A77" s="39" t="str">
        <v>455579</v>
      </c>
      <c r="B77" s="44" t="str">
        <v>Fri,07-April-2023 ,08:13 PM</v>
      </c>
      <c r="C77" s="39" t="str">
        <v>Shangrila Chilli Garlic Sauce x6 Bundle 225g</v>
      </c>
      <c r="D77" s="39" t="str">
        <v>Shangrila</v>
      </c>
      <c r="E77" s="39" t="str">
        <v>Damaged Stock</v>
      </c>
      <c r="F77" s="45" t="n">
        <v>1</v>
      </c>
      <c r="G77" s="40" t="str">
        <v>[Code: 455579] TA:box may say damage nikla jab display kr rahay thay.</v>
      </c>
      <c r="H77" s="39" t="str">
        <v>Taufeeq Akhtar </v>
      </c>
      <c r="I77" s="39" t="str">
        <f aca="false">IF(ISBLANK(H77),"", IF($H$2:$H1576 = "Gohar Rehan","Overnight",IF($H$2:$H1576 = "Taufeeq Akhtar ","Overnight",IF($H$2:$H1576 = "Zeeshan Ali Malik","Audit",IF($H$2:$H1576 = "Ali Raza ","Receiving",IF($H$2:$H1576 = "Ali Ahmad","Full-In"))))))</f>
        <v>Overnight</v>
      </c>
      <c r="J77" s="29"/>
      <c r="K77" s="40" t="s">
        <v>2223</v>
      </c>
      <c r="L77" s="40" t="s">
        <v>2251</v>
      </c>
      <c r="M77" s="41"/>
      <c r="N77" s="39" t="s">
        <v>2212</v>
      </c>
      <c r="O77" s="46" t="b">
        <f aca="false">FALSE()</f>
        <v>0</v>
      </c>
      <c r="P77" s="20" t="n">
        <v>517.05</v>
      </c>
      <c r="Q77" s="45" t="n">
        <v>517.05</v>
      </c>
      <c r="R77" s="43" t="n">
        <v>45023</v>
      </c>
      <c r="S77" s="20" t="str">
        <v>Sauces</v>
      </c>
    </row>
    <row r="78" customFormat="false" ht="15.75" hidden="false" customHeight="false" outlineLevel="0" collapsed="false">
      <c r="A78" s="39" t="str">
        <v>55788A</v>
      </c>
      <c r="B78" s="44" t="str">
        <v>Sun,09-April-2023 ,01:22 AM</v>
      </c>
      <c r="C78" s="39" t="str">
        <v>Sherdil Dal Mash Wash 1kg</v>
      </c>
      <c r="D78" s="39" t="str">
        <v>Sherdil</v>
      </c>
      <c r="E78" s="39" t="str">
        <v>Damaged Stock</v>
      </c>
      <c r="F78" s="45" t="n">
        <v>2</v>
      </c>
      <c r="G78" s="40" t="str">
        <v>[Code: 55788A] TA: quality sahi nahi hay smell arahi hay aur ulli lagi hay </v>
      </c>
      <c r="H78" s="39" t="str">
        <v>Taufeeq Akhtar </v>
      </c>
      <c r="I78" s="39" t="str">
        <f aca="false">IF(ISBLANK(H78),"", IF($H$2:$H1577 = "Gohar Rehan","Overnight",IF($H$2:$H1577 = "Taufeeq Akhtar ","Overnight",IF($H$2:$H1577 = "Zeeshan Ali Malik","Audit",IF($H$2:$H1577 = "Ali Raza ","Receiving",IF($H$2:$H1577 = "Ali Ahmad","Full-In"))))))</f>
        <v>Overnight</v>
      </c>
      <c r="J78" s="29"/>
      <c r="K78" s="40" t="s">
        <v>2215</v>
      </c>
      <c r="L78" s="40"/>
      <c r="M78" s="41"/>
      <c r="N78" s="39" t="s">
        <v>2212</v>
      </c>
      <c r="O78" s="46" t="b">
        <f aca="false">FALSE()</f>
        <v>0</v>
      </c>
      <c r="P78" s="20" t="n">
        <v>497</v>
      </c>
      <c r="Q78" s="45" t="n">
        <v>994</v>
      </c>
      <c r="R78" s="43" t="n">
        <v>45025</v>
      </c>
      <c r="S78" s="20" t="str">
        <v>Pulses</v>
      </c>
    </row>
    <row r="79" customFormat="false" ht="15.75" hidden="false" customHeight="false" outlineLevel="0" collapsed="false">
      <c r="A79" s="39" t="str">
        <v>223568</v>
      </c>
      <c r="B79" s="44" t="str">
        <v>Mon,10-April-2023 ,08:59 PM</v>
      </c>
      <c r="C79" s="39" t="str">
        <v>Bonus tristar yellow surf 250g Rs50</v>
      </c>
      <c r="D79" s="39" t="str">
        <v>Bonus Surf</v>
      </c>
      <c r="E79" s="39" t="str">
        <v>Damaged Stock</v>
      </c>
      <c r="F79" s="45" t="n">
        <v>2</v>
      </c>
      <c r="G79" s="40" t="str">
        <v>[Code: 223568] TA:bag may say damage niklay </v>
      </c>
      <c r="H79" s="39" t="str">
        <v>Taufeeq Akhtar </v>
      </c>
      <c r="I79" s="39" t="str">
        <f aca="false">IF(ISBLANK(H79),"", IF($H$2:$H1578 = "Gohar Rehan","Overnight",IF($H$2:$H1578 = "Taufeeq Akhtar ","Overnight",IF($H$2:$H1578 = "Zeeshan Ali Malik","Audit",IF($H$2:$H1578 = "Ali Raza ","Receiving",IF($H$2:$H1578 = "Ali Ahmad","Full-In"))))))</f>
        <v>Overnight</v>
      </c>
      <c r="J79" s="29"/>
      <c r="K79" s="40" t="s">
        <v>2215</v>
      </c>
      <c r="L79" s="47" t="s">
        <v>2233</v>
      </c>
      <c r="M79" s="45" t="n">
        <v>2</v>
      </c>
      <c r="N79" s="39" t="s">
        <v>2212</v>
      </c>
      <c r="O79" s="42" t="b">
        <f aca="false">TRUE()</f>
        <v>1</v>
      </c>
      <c r="P79" s="20" t="n">
        <v>45.59</v>
      </c>
      <c r="Q79" s="45" t="n">
        <v>91.18</v>
      </c>
      <c r="R79" s="43" t="n">
        <v>45026</v>
      </c>
      <c r="S79" s="20" t="str">
        <v>Surf, Bleach</v>
      </c>
    </row>
    <row r="80" customFormat="false" ht="15.75" hidden="false" customHeight="false" outlineLevel="0" collapsed="false">
      <c r="A80" s="39" t="str">
        <v>225566</v>
      </c>
      <c r="B80" s="44" t="str">
        <v>Mon,10-April-2023 ,09:01 PM</v>
      </c>
      <c r="C80" s="39" t="str">
        <v>Bonus tristar yellow surf 470g Rs99</v>
      </c>
      <c r="D80" s="39" t="str">
        <v>Bonus Surf</v>
      </c>
      <c r="E80" s="39" t="str">
        <v>Damaged Stock</v>
      </c>
      <c r="F80" s="45" t="n">
        <v>2</v>
      </c>
      <c r="G80" s="40" t="str">
        <v>[Code: 225566] TA: bag may say damage niklay hay.</v>
      </c>
      <c r="H80" s="39" t="str">
        <v>Taufeeq Akhtar </v>
      </c>
      <c r="I80" s="39" t="str">
        <f aca="false">IF(ISBLANK(H80),"", IF($H$2:$H1579 = "Gohar Rehan","Overnight",IF($H$2:$H1579 = "Taufeeq Akhtar ","Overnight",IF($H$2:$H1579 = "Zeeshan Ali Malik","Audit",IF($H$2:$H1579 = "Ali Raza ","Receiving",IF($H$2:$H1579 = "Ali Ahmad","Full-In"))))))</f>
        <v>Overnight</v>
      </c>
      <c r="J80" s="29"/>
      <c r="K80" s="40" t="s">
        <v>2215</v>
      </c>
      <c r="L80" s="47" t="s">
        <v>2233</v>
      </c>
      <c r="M80" s="41"/>
      <c r="N80" s="39" t="s">
        <v>2212</v>
      </c>
      <c r="O80" s="46" t="b">
        <f aca="false">FALSE()</f>
        <v>0</v>
      </c>
      <c r="P80" s="20" t="n">
        <v>90.08</v>
      </c>
      <c r="Q80" s="45" t="n">
        <v>180.16</v>
      </c>
      <c r="R80" s="43" t="n">
        <v>45026</v>
      </c>
      <c r="S80" s="20" t="str">
        <v>Surf, Bleach</v>
      </c>
    </row>
    <row r="81" customFormat="false" ht="15.75" hidden="false" customHeight="false" outlineLevel="0" collapsed="false">
      <c r="A81" s="39" t="str">
        <v>5567AB</v>
      </c>
      <c r="B81" s="44" t="str">
        <v>Tue,11-April-2023 ,03:23 PM</v>
      </c>
      <c r="C81" s="39" t="str">
        <v>Sherdil White Chana Mota 5kg</v>
      </c>
      <c r="D81" s="39" t="str">
        <v>Sherdil</v>
      </c>
      <c r="E81" s="39" t="str">
        <v>Damaged Stock</v>
      </c>
      <c r="F81" s="45" t="n">
        <v>1</v>
      </c>
      <c r="G81" s="40" t="str">
        <v>[Code: 5567AB] Damaged due to insects </v>
      </c>
      <c r="H81" s="39" t="str">
        <v>Ali Raza </v>
      </c>
      <c r="I81" s="39" t="str">
        <f aca="false">IF(ISBLANK(H81),"", IF($H$2:$H1580 = "Gohar Rehan","Overnight",IF($H$2:$H1580 = "Taufeeq Akhtar ","Overnight",IF($H$2:$H1580 = "Zeeshan Ali Malik","Audit",IF($H$2:$H1580 = "Ali Raza ","Receiving",IF($H$2:$H1580 = "Ali Ahmad","Full-In"))))))</f>
        <v>Receiving</v>
      </c>
      <c r="J81" s="29"/>
      <c r="K81" s="40" t="s">
        <v>2215</v>
      </c>
      <c r="L81" s="40" t="s">
        <v>2252</v>
      </c>
      <c r="M81" s="41"/>
      <c r="N81" s="39" t="s">
        <v>2212</v>
      </c>
      <c r="O81" s="46" t="b">
        <f aca="false">FALSE()</f>
        <v>0</v>
      </c>
      <c r="P81" s="20" t="n">
        <v>1682</v>
      </c>
      <c r="Q81" s="45" t="n">
        <v>1682</v>
      </c>
      <c r="R81" s="43" t="n">
        <v>45027</v>
      </c>
      <c r="S81" s="20" t="str">
        <v>Pulses</v>
      </c>
    </row>
    <row r="82" customFormat="false" ht="15.75" hidden="false" customHeight="false" outlineLevel="0" collapsed="false">
      <c r="A82" s="39" t="str">
        <v>2344AB</v>
      </c>
      <c r="B82" s="44" t="str">
        <v>Tue,11-April-2023 ,03:40 PM</v>
      </c>
      <c r="C82" s="39" t="str">
        <v>Sherdil White Chana Mota 5kg</v>
      </c>
      <c r="D82" s="39" t="str">
        <v>Sherdil</v>
      </c>
      <c r="E82" s="39" t="str">
        <v>Damaged Stock</v>
      </c>
      <c r="F82" s="45" t="n">
        <v>6</v>
      </c>
      <c r="G82" s="40" t="str">
        <v>[Code: 2344AB] Damaged due to insects </v>
      </c>
      <c r="H82" s="39" t="str">
        <v>Ali Raza </v>
      </c>
      <c r="I82" s="39" t="str">
        <f aca="false">IF(ISBLANK(H82),"", IF($H$2:$H1581 = "Gohar Rehan","Overnight",IF($H$2:$H1581 = "Taufeeq Akhtar ","Overnight",IF($H$2:$H1581 = "Zeeshan Ali Malik","Audit",IF($H$2:$H1581 = "Ali Raza ","Receiving",IF($H$2:$H1581 = "Ali Ahmad","Full-In"))))))</f>
        <v>Receiving</v>
      </c>
      <c r="J82" s="29"/>
      <c r="K82" s="40" t="s">
        <v>2215</v>
      </c>
      <c r="L82" s="40" t="s">
        <v>2252</v>
      </c>
      <c r="M82" s="41"/>
      <c r="N82" s="39" t="s">
        <v>2212</v>
      </c>
      <c r="O82" s="46" t="b">
        <f aca="false">FALSE()</f>
        <v>0</v>
      </c>
      <c r="P82" s="20" t="n">
        <v>1682</v>
      </c>
      <c r="Q82" s="45" t="n">
        <v>10092</v>
      </c>
      <c r="R82" s="43" t="n">
        <v>45027</v>
      </c>
      <c r="S82" s="20" t="str">
        <v>Pulses</v>
      </c>
    </row>
    <row r="83" customFormat="false" ht="15.75" hidden="false" customHeight="false" outlineLevel="0" collapsed="false">
      <c r="A83" s="39" t="str">
        <v>45CDFG</v>
      </c>
      <c r="B83" s="44" t="str">
        <v>Fri,14-April-2023 ,03:37 PM</v>
      </c>
      <c r="C83" s="39" t="str">
        <v>Coca Cola plastic 1.5L</v>
      </c>
      <c r="D83" s="39" t="str">
        <v>Coca Cola</v>
      </c>
      <c r="E83" s="39" t="str">
        <v>Damaged Stock</v>
      </c>
      <c r="F83" s="45" t="n">
        <v>1</v>
      </c>
      <c r="G83" s="40" t="str">
        <v>[Code: 45CDFG] TA; Sorting Ky Doran stock sy lose bottel mili hain.</v>
      </c>
      <c r="H83" s="39" t="str">
        <v>Taufeeq Akhtar </v>
      </c>
      <c r="I83" s="39" t="str">
        <f aca="false">IF(ISBLANK(H83),"", IF($H$2:$H1582 = "Gohar Rehan","Overnight",IF($H$2:$H1582 = "Taufeeq Akhtar ","Overnight",IF($H$2:$H1582 = "Zeeshan Ali Malik","Audit",IF($H$2:$H1582 = "Ali Raza ","Receiving",IF($H$2:$H1582 = "Ali Ahmad","Full-In"))))))</f>
        <v>Overnight</v>
      </c>
      <c r="J83" s="29"/>
      <c r="K83" s="40" t="s">
        <v>2253</v>
      </c>
      <c r="L83" s="40" t="s">
        <v>2254</v>
      </c>
      <c r="M83" s="45" t="n">
        <v>1</v>
      </c>
      <c r="N83" s="39" t="s">
        <v>2212</v>
      </c>
      <c r="O83" s="42" t="b">
        <f aca="false">TRUE()</f>
        <v>1</v>
      </c>
      <c r="P83" s="20" t="n">
        <v>744</v>
      </c>
      <c r="Q83" s="45" t="n">
        <v>744</v>
      </c>
      <c r="R83" s="43" t="n">
        <v>45030</v>
      </c>
      <c r="S83" s="20" t="str">
        <v>Beverages</v>
      </c>
    </row>
    <row r="84" customFormat="false" ht="15.75" hidden="false" customHeight="false" outlineLevel="0" collapsed="false">
      <c r="A84" s="39" t="str">
        <v>34558A</v>
      </c>
      <c r="B84" s="44" t="str">
        <v>Sat,15-April-2023 ,02:57 PM</v>
      </c>
      <c r="C84" s="39" t="str">
        <v>Shahi Dal Moth Rs50</v>
      </c>
      <c r="D84" s="39" t="str">
        <v>Shahi</v>
      </c>
      <c r="E84" s="39" t="str">
        <v>Damaged Stock</v>
      </c>
      <c r="F84" s="45" t="n">
        <v>4</v>
      </c>
      <c r="G84" s="40" t="str">
        <v>[Code: 34558A] 4 selling units are air less</v>
      </c>
      <c r="H84" s="39" t="str">
        <v>Ali Raza </v>
      </c>
      <c r="I84" s="39" t="str">
        <f aca="false">IF(ISBLANK(H84),"", IF($H$2:$H1583 = "Gohar Rehan","Overnight",IF($H$2:$H1583 = "Taufeeq Akhtar ","Overnight",IF($H$2:$H1583 = "Zeeshan Ali Malik","Audit",IF($H$2:$H1583 = "Ali Raza ","Receiving",IF($H$2:$H1583 = "Ali Ahmad","Full-In"))))))</f>
        <v>Receiving</v>
      </c>
      <c r="J84" s="29"/>
      <c r="K84" s="40" t="s">
        <v>2255</v>
      </c>
      <c r="L84" s="40" t="s">
        <v>2256</v>
      </c>
      <c r="M84" s="41"/>
      <c r="N84" s="39" t="s">
        <v>2212</v>
      </c>
      <c r="O84" s="46" t="b">
        <f aca="false">FALSE()</f>
        <v>0</v>
      </c>
      <c r="P84" s="20" t="n">
        <v>36.81</v>
      </c>
      <c r="Q84" s="45" t="n">
        <v>147.24</v>
      </c>
      <c r="R84" s="43" t="n">
        <v>45031</v>
      </c>
      <c r="S84" s="20" t="str">
        <v>Snacks</v>
      </c>
    </row>
    <row r="85" customFormat="false" ht="15.75" hidden="false" customHeight="false" outlineLevel="0" collapsed="false">
      <c r="A85" s="39" t="str">
        <v>245579</v>
      </c>
      <c r="B85" s="44" t="str">
        <v>Sat,15-April-2023 ,02:57 PM</v>
      </c>
      <c r="C85" s="39" t="str">
        <v>Shahi Dal Moth Rs100</v>
      </c>
      <c r="D85" s="39" t="str">
        <v>Shahi</v>
      </c>
      <c r="E85" s="39" t="str">
        <v>Damaged Stock</v>
      </c>
      <c r="F85" s="45" t="n">
        <v>3</v>
      </c>
      <c r="G85" s="40" t="str">
        <v>[Code: 245579] 03 selling units are air less</v>
      </c>
      <c r="H85" s="39" t="str">
        <v>Ali Raza </v>
      </c>
      <c r="I85" s="39" t="str">
        <f aca="false">IF(ISBLANK(H85),"", IF($H$2:$H1584 = "Gohar Rehan","Overnight",IF($H$2:$H1584 = "Taufeeq Akhtar ","Overnight",IF($H$2:$H1584 = "Zeeshan Ali Malik","Audit",IF($H$2:$H1584 = "Ali Raza ","Receiving",IF($H$2:$H1584 = "Ali Ahmad","Full-In"))))))</f>
        <v>Receiving</v>
      </c>
      <c r="J85" s="29"/>
      <c r="K85" s="40" t="s">
        <v>2257</v>
      </c>
      <c r="L85" s="40" t="s">
        <v>2256</v>
      </c>
      <c r="M85" s="41"/>
      <c r="N85" s="39" t="s">
        <v>2212</v>
      </c>
      <c r="O85" s="46" t="b">
        <f aca="false">FALSE()</f>
        <v>0</v>
      </c>
      <c r="P85" s="20" t="n">
        <v>70.91</v>
      </c>
      <c r="Q85" s="45" t="n">
        <v>212.73</v>
      </c>
      <c r="R85" s="43" t="n">
        <v>45031</v>
      </c>
      <c r="S85" s="20" t="str">
        <v>Snacks</v>
      </c>
    </row>
    <row r="86" customFormat="false" ht="15.75" hidden="false" customHeight="false" outlineLevel="0" collapsed="false">
      <c r="A86" s="39" t="str">
        <v>56BCEF</v>
      </c>
      <c r="B86" s="44" t="str">
        <v>Sat,15-April-2023 ,02:59 PM</v>
      </c>
      <c r="C86" s="39" t="str">
        <v>Shahi Dal Moong Rs50</v>
      </c>
      <c r="D86" s="39" t="str">
        <v>Shahi</v>
      </c>
      <c r="E86" s="39" t="str">
        <v>Damaged Stock</v>
      </c>
      <c r="F86" s="45" t="n">
        <v>4</v>
      </c>
      <c r="G86" s="40" t="str">
        <v>[Code: 56BCEF] 04 selling units are air less</v>
      </c>
      <c r="H86" s="39" t="str">
        <v>Ali Raza </v>
      </c>
      <c r="I86" s="39" t="str">
        <f aca="false">IF(ISBLANK(H86),"", IF($H$2:$H1585 = "Gohar Rehan","Overnight",IF($H$2:$H1585 = "Taufeeq Akhtar ","Overnight",IF($H$2:$H1585 = "Zeeshan Ali Malik","Audit",IF($H$2:$H1585 = "Ali Raza ","Receiving",IF($H$2:$H1585 = "Ali Ahmad","Full-In"))))))</f>
        <v>Receiving</v>
      </c>
      <c r="J86" s="29"/>
      <c r="K86" s="40" t="s">
        <v>2258</v>
      </c>
      <c r="L86" s="40" t="s">
        <v>2256</v>
      </c>
      <c r="M86" s="41"/>
      <c r="N86" s="39" t="s">
        <v>2212</v>
      </c>
      <c r="O86" s="46" t="b">
        <f aca="false">FALSE()</f>
        <v>0</v>
      </c>
      <c r="P86" s="20" t="n">
        <v>36.81</v>
      </c>
      <c r="Q86" s="45" t="n">
        <v>147.24</v>
      </c>
      <c r="R86" s="43" t="n">
        <v>45031</v>
      </c>
      <c r="S86" s="20" t="str">
        <v>Snacks</v>
      </c>
    </row>
    <row r="87" customFormat="false" ht="15.75" hidden="false" customHeight="false" outlineLevel="0" collapsed="false">
      <c r="A87" s="39" t="str">
        <v>56799E</v>
      </c>
      <c r="B87" s="44" t="str">
        <v>Sat,15-April-2023 ,02:59 PM</v>
      </c>
      <c r="C87" s="39" t="str">
        <v>Shahi Dal Moong Rs100</v>
      </c>
      <c r="D87" s="39" t="str">
        <v>Shahi</v>
      </c>
      <c r="E87" s="39" t="str">
        <v>Damaged Stock</v>
      </c>
      <c r="F87" s="45" t="n">
        <v>1</v>
      </c>
      <c r="G87" s="40" t="str">
        <v>[Code: 56799E] 01 selling unit found air less quality issue</v>
      </c>
      <c r="H87" s="39" t="str">
        <v>Ali Raza </v>
      </c>
      <c r="I87" s="39" t="str">
        <f aca="false">IF(ISBLANK(H87),"", IF($H$2:$H1586 = "Gohar Rehan","Overnight",IF($H$2:$H1586 = "Taufeeq Akhtar ","Overnight",IF($H$2:$H1586 = "Zeeshan Ali Malik","Audit",IF($H$2:$H1586 = "Ali Raza ","Receiving",IF($H$2:$H1586 = "Ali Ahmad","Full-In"))))))</f>
        <v>Receiving</v>
      </c>
      <c r="J87" s="29"/>
      <c r="K87" s="40" t="s">
        <v>2259</v>
      </c>
      <c r="L87" s="40" t="s">
        <v>2256</v>
      </c>
      <c r="M87" s="41"/>
      <c r="N87" s="39" t="s">
        <v>2212</v>
      </c>
      <c r="O87" s="46" t="b">
        <f aca="false">FALSE()</f>
        <v>0</v>
      </c>
      <c r="P87" s="20" t="n">
        <v>70.91</v>
      </c>
      <c r="Q87" s="45" t="n">
        <v>70.91</v>
      </c>
      <c r="R87" s="43" t="n">
        <v>45031</v>
      </c>
      <c r="S87" s="20" t="str">
        <v>Snacks</v>
      </c>
    </row>
    <row r="88" customFormat="false" ht="15.75" hidden="false" customHeight="false" outlineLevel="0" collapsed="false">
      <c r="A88" s="39" t="str">
        <v>4ADGKM</v>
      </c>
      <c r="B88" s="44" t="str">
        <v>Sat,15-April-2023 ,03:00 PM</v>
      </c>
      <c r="C88" s="39" t="str">
        <v>Shahi Daal Chana Spicy Rs100</v>
      </c>
      <c r="D88" s="39" t="str">
        <v>Shahi</v>
      </c>
      <c r="E88" s="39" t="str">
        <v>Damaged Stock</v>
      </c>
      <c r="F88" s="45" t="n">
        <v>1</v>
      </c>
      <c r="G88" s="40" t="str">
        <v>[Code: 4ADGKM] 01 selling found air less quality issue</v>
      </c>
      <c r="H88" s="39" t="str">
        <v>Ali Raza </v>
      </c>
      <c r="I88" s="39" t="str">
        <f aca="false">IF(ISBLANK(H88),"", IF($H$2:$H1587 = "Gohar Rehan","Overnight",IF($H$2:$H1587 = "Taufeeq Akhtar ","Overnight",IF($H$2:$H1587 = "Zeeshan Ali Malik","Audit",IF($H$2:$H1587 = "Ali Raza ","Receiving",IF($H$2:$H1587 = "Ali Ahmad","Full-In"))))))</f>
        <v>Receiving</v>
      </c>
      <c r="J88" s="29"/>
      <c r="K88" s="40" t="s">
        <v>2260</v>
      </c>
      <c r="L88" s="40" t="s">
        <v>2256</v>
      </c>
      <c r="M88" s="41"/>
      <c r="N88" s="39" t="s">
        <v>2212</v>
      </c>
      <c r="O88" s="46" t="b">
        <f aca="false">FALSE()</f>
        <v>0</v>
      </c>
      <c r="P88" s="20" t="n">
        <v>70.91</v>
      </c>
      <c r="Q88" s="45" t="n">
        <v>70.91</v>
      </c>
      <c r="R88" s="43" t="n">
        <v>45031</v>
      </c>
      <c r="S88" s="20" t="str">
        <v>Snacks</v>
      </c>
    </row>
    <row r="89" customFormat="false" ht="15.75" hidden="false" customHeight="false" outlineLevel="0" collapsed="false">
      <c r="A89" s="39" t="str">
        <v>234EFG</v>
      </c>
      <c r="B89" s="44" t="str">
        <v>Mon,17-April-2023 ,12:02 AM</v>
      </c>
      <c r="C89" s="39" t="str">
        <v>Shangrila Tomato Ketchup x3 Bundle 800g</v>
      </c>
      <c r="D89" s="39" t="str">
        <v>Shangrila</v>
      </c>
      <c r="E89" s="39" t="str">
        <v>Damaged Stock</v>
      </c>
      <c r="F89" s="45" t="n">
        <v>1</v>
      </c>
      <c r="G89" s="40" t="str">
        <v>[Code: 234EFG] TA:display krtay huay carton say damage nikla hay..</v>
      </c>
      <c r="H89" s="39" t="str">
        <v>Taufeeq Akhtar </v>
      </c>
      <c r="I89" s="39" t="str">
        <f aca="false">IF(ISBLANK(H89),"", IF($H$2:$H1588 = "Gohar Rehan","Overnight",IF($H$2:$H1588 = "Taufeeq Akhtar ","Overnight",IF($H$2:$H1588 = "Zeeshan Ali Malik","Audit",IF($H$2:$H1588 = "Ali Raza ","Receiving",IF($H$2:$H1588 = "Ali Ahmad","Full-In"))))))</f>
        <v>Overnight</v>
      </c>
      <c r="J89" s="29" t="n">
        <v>1</v>
      </c>
      <c r="K89" s="40" t="s">
        <v>2248</v>
      </c>
      <c r="L89" s="40" t="s">
        <v>2261</v>
      </c>
      <c r="M89" s="41" t="n">
        <v>1</v>
      </c>
      <c r="N89" s="39" t="s">
        <v>2212</v>
      </c>
      <c r="O89" s="42" t="b">
        <f aca="false">TRUE()</f>
        <v>1</v>
      </c>
      <c r="P89" s="20" t="n">
        <v>864.4</v>
      </c>
      <c r="Q89" s="45" t="n">
        <v>864.4</v>
      </c>
      <c r="R89" s="43" t="n">
        <v>45033</v>
      </c>
      <c r="S89" s="20" t="str">
        <v>Sauces</v>
      </c>
    </row>
    <row r="90" customFormat="false" ht="15.75" hidden="false" customHeight="false" outlineLevel="0" collapsed="false">
      <c r="A90" s="39" t="str">
        <v>344578</v>
      </c>
      <c r="B90" s="44" t="str">
        <v>Mon,17-April-2023 ,07:37 PM</v>
      </c>
      <c r="C90" s="39" t="str">
        <v>Fair and Lovely Insta Glow Face Wash 50g Rs180</v>
      </c>
      <c r="D90" s="39" t="str">
        <v>Fair and Lovely</v>
      </c>
      <c r="E90" s="39" t="str">
        <v>Damaged Stock</v>
      </c>
      <c r="F90" s="45" t="n">
        <v>1</v>
      </c>
      <c r="G90" s="40" t="str">
        <v>[Code: 344578] TA: box may say damage nikla</v>
      </c>
      <c r="H90" s="39" t="str">
        <v>Taufeeq Akhtar </v>
      </c>
      <c r="I90" s="39" t="str">
        <f aca="false">IF(ISBLANK(H90),"", IF($H$2:$H1589 = "Gohar Rehan","Overnight",IF($H$2:$H1589 = "Taufeeq Akhtar ","Overnight",IF($H$2:$H1589 = "Zeeshan Ali Malik","Audit",IF($H$2:$H1589 = "Ali Raza ","Receiving",IF($H$2:$H1589 = "Ali Ahmad","Full-In"))))))</f>
        <v>Overnight</v>
      </c>
      <c r="J90" s="29"/>
      <c r="K90" s="40" t="s">
        <v>2248</v>
      </c>
      <c r="L90" s="40" t="s">
        <v>2262</v>
      </c>
      <c r="M90" s="41"/>
      <c r="N90" s="39" t="s">
        <v>2212</v>
      </c>
      <c r="O90" s="46" t="b">
        <f aca="false">FALSE()</f>
        <v>0</v>
      </c>
      <c r="P90" s="20" t="n">
        <v>157.92</v>
      </c>
      <c r="Q90" s="45" t="n">
        <v>157.92</v>
      </c>
      <c r="R90" s="43" t="n">
        <v>45033</v>
      </c>
      <c r="S90" s="20" t="str">
        <v>Personal Care</v>
      </c>
    </row>
    <row r="91" customFormat="false" ht="15.75" hidden="false" customHeight="false" outlineLevel="0" collapsed="false">
      <c r="A91" s="39" t="str">
        <v>2357FG</v>
      </c>
      <c r="B91" s="44" t="str">
        <v>Mon,17-April-2023 ,07:40 PM</v>
      </c>
      <c r="C91" s="39" t="str">
        <v>Ariel Original Surf x12 bundle 40g Rs 20</v>
      </c>
      <c r="D91" s="39" t="str">
        <v>Ariel Surf</v>
      </c>
      <c r="E91" s="39" t="str">
        <v>Damaged Stock</v>
      </c>
      <c r="F91" s="45" t="n">
        <v>1</v>
      </c>
      <c r="G91" s="40" t="str">
        <v>[Code: 2357FG] TA: thailay may say damage nikla</v>
      </c>
      <c r="H91" s="39" t="str">
        <v>Taufeeq Akhtar </v>
      </c>
      <c r="I91" s="39" t="str">
        <f aca="false">IF(ISBLANK(H91),"", IF($H$2:$H1590 = "Gohar Rehan","Overnight",IF($H$2:$H1590 = "Taufeeq Akhtar ","Overnight",IF($H$2:$H1590 = "Zeeshan Ali Malik","Audit",IF($H$2:$H1590 = "Ali Raza ","Receiving",IF($H$2:$H1590 = "Ali Ahmad","Full-In"))))))</f>
        <v>Overnight</v>
      </c>
      <c r="J91" s="29"/>
      <c r="K91" s="40" t="s">
        <v>2215</v>
      </c>
      <c r="L91" s="48" t="s">
        <v>2236</v>
      </c>
      <c r="M91" s="41"/>
      <c r="N91" s="39" t="s">
        <v>2212</v>
      </c>
      <c r="O91" s="46" t="b">
        <f aca="false">FALSE()</f>
        <v>0</v>
      </c>
      <c r="P91" s="20" t="n">
        <v>211.2</v>
      </c>
      <c r="Q91" s="45" t="n">
        <v>211.2</v>
      </c>
      <c r="R91" s="43" t="n">
        <v>45033</v>
      </c>
      <c r="S91" s="20" t="str">
        <v>Surf, Bleach</v>
      </c>
    </row>
    <row r="92" customFormat="false" ht="15.75" hidden="false" customHeight="false" outlineLevel="0" collapsed="false">
      <c r="A92" s="39" t="str">
        <v>99ABDF</v>
      </c>
      <c r="B92" s="44" t="str">
        <v>Tue,18-April-2023 ,01:32 AM</v>
      </c>
      <c r="C92" s="39" t="str">
        <v>Cookania Gale Biscuit 6pcs Rs20</v>
      </c>
      <c r="D92" s="39" t="str">
        <v>Cookania</v>
      </c>
      <c r="E92" s="39" t="str">
        <v>Damaged Stock</v>
      </c>
      <c r="F92" s="45" t="n">
        <v>1</v>
      </c>
      <c r="G92" s="40" t="str">
        <v>[Code: 99ABDF] TA; unit me sy few piece missing hain. Display ky doran corton sy mila he</v>
      </c>
      <c r="H92" s="39" t="str">
        <v>Taufeeq Akhtar </v>
      </c>
      <c r="I92" s="39" t="str">
        <f aca="false">IF(ISBLANK(H92),"", IF($H$2:$H1591 = "Gohar Rehan","Overnight",IF($H$2:$H1591 = "Taufeeq Akhtar ","Overnight",IF($H$2:$H1591 = "Zeeshan Ali Malik","Audit",IF($H$2:$H1591 = "Ali Raza ","Receiving",IF($H$2:$H1591 = "Ali Ahmad","Full-In"))))))</f>
        <v>Overnight</v>
      </c>
      <c r="J92" s="29"/>
      <c r="K92" s="40" t="s">
        <v>2248</v>
      </c>
      <c r="L92" s="40" t="s">
        <v>2256</v>
      </c>
      <c r="M92" s="41"/>
      <c r="N92" s="39" t="s">
        <v>2250</v>
      </c>
      <c r="O92" s="46" t="b">
        <f aca="false">FALSE()</f>
        <v>0</v>
      </c>
      <c r="P92" s="20" t="n">
        <v>101.2</v>
      </c>
      <c r="Q92" s="45" t="n">
        <v>101.2</v>
      </c>
      <c r="R92" s="43" t="n">
        <v>45034</v>
      </c>
      <c r="S92" s="20" t="str">
        <v>Biscuits, Wafers</v>
      </c>
    </row>
    <row r="93" customFormat="false" ht="15.75" hidden="false" customHeight="false" outlineLevel="0" collapsed="false">
      <c r="A93" s="39" t="str">
        <v>45589B</v>
      </c>
      <c r="B93" s="44" t="str">
        <v>Wed,19-April-2023 ,02:14 AM</v>
      </c>
      <c r="C93" s="39" t="str">
        <v>Coca Cola plastic 1.5L</v>
      </c>
      <c r="D93" s="39" t="str">
        <v>Coca Cola</v>
      </c>
      <c r="E93" s="39" t="str">
        <v>Damaged Stock</v>
      </c>
      <c r="F93" s="45" t="n">
        <v>2</v>
      </c>
      <c r="G93" s="40" t="str">
        <v>[Code: 45589B] TA; 2 selling unit found (lowfill and Losse)</v>
      </c>
      <c r="H93" s="39" t="str">
        <v>Taufeeq Akhtar </v>
      </c>
      <c r="I93" s="39" t="str">
        <f aca="false">IF(ISBLANK(H93),"", IF($H$2:$H1592 = "Gohar Rehan","Overnight",IF($H$2:$H1592 = "Taufeeq Akhtar ","Overnight",IF($H$2:$H1592 = "Zeeshan Ali Malik","Audit",IF($H$2:$H1592 = "Ali Raza ","Receiving",IF($H$2:$H1592 = "Ali Ahmad","Full-In"))))))</f>
        <v>Overnight</v>
      </c>
      <c r="J93" s="29"/>
      <c r="K93" s="40" t="s">
        <v>2263</v>
      </c>
      <c r="L93" s="40" t="s">
        <v>2264</v>
      </c>
      <c r="M93" s="45" t="n">
        <v>2</v>
      </c>
      <c r="N93" s="39" t="s">
        <v>2212</v>
      </c>
      <c r="O93" s="42" t="b">
        <f aca="false">TRUE()</f>
        <v>1</v>
      </c>
      <c r="P93" s="20" t="n">
        <v>755</v>
      </c>
      <c r="Q93" s="45" t="n">
        <v>1510</v>
      </c>
      <c r="R93" s="43" t="n">
        <v>45035</v>
      </c>
      <c r="S93" s="20" t="str">
        <v>Beverages</v>
      </c>
    </row>
    <row r="94" customFormat="false" ht="15.75" hidden="false" customHeight="false" outlineLevel="0" collapsed="false">
      <c r="A94" s="39" t="str">
        <v>36AACC</v>
      </c>
      <c r="B94" s="44" t="str">
        <v>Tue,25-April-2023 ,04:08 PM</v>
      </c>
      <c r="C94" s="39" t="str">
        <v>Engro Olpers Badam Zafran Flavored Milk x24 180mL</v>
      </c>
      <c r="D94" s="39" t="str">
        <v>Olpers</v>
      </c>
      <c r="E94" s="39" t="str">
        <v>Damaged Stock</v>
      </c>
      <c r="F94" s="45" t="n">
        <v>1</v>
      </c>
      <c r="G94" s="40" t="str">
        <v>[Code: 36AACC] TA; 1 unit damage found during sorting ( disply sy  leak mila he )</v>
      </c>
      <c r="H94" s="39" t="str">
        <v>Taufeeq Akhtar </v>
      </c>
      <c r="I94" s="39" t="str">
        <f aca="false">IF(ISBLANK(H94),"", IF($H$2:$H1593 = "Gohar Rehan","Overnight",IF($H$2:$H1593 = "Taufeeq Akhtar ","Overnight",IF($H$2:$H1593 = "Zeeshan Ali Malik","Audit",IF($H$2:$H1593 = "Ali Raza ","Receiving",IF($H$2:$H1593 = "Ali Ahmad","Full-In"))))))</f>
        <v>Overnight</v>
      </c>
      <c r="J94" s="29"/>
      <c r="K94" s="40" t="s">
        <v>2248</v>
      </c>
      <c r="L94" s="40" t="s">
        <v>2264</v>
      </c>
      <c r="M94" s="41" t="n">
        <v>1</v>
      </c>
      <c r="N94" s="39" t="s">
        <v>2212</v>
      </c>
      <c r="O94" s="42" t="b">
        <f aca="false">TRUE()</f>
        <v>1</v>
      </c>
      <c r="P94" s="20" t="n">
        <v>1350</v>
      </c>
      <c r="Q94" s="45" t="n">
        <v>1350</v>
      </c>
      <c r="R94" s="43" t="n">
        <v>45041</v>
      </c>
      <c r="S94" s="20" t="str">
        <v>Dairy</v>
      </c>
    </row>
    <row r="95" customFormat="false" ht="15.75" hidden="false" customHeight="false" outlineLevel="0" collapsed="false">
      <c r="A95" s="39" t="str">
        <v>5568BC</v>
      </c>
      <c r="B95" s="44" t="str">
        <v>Wed,26-April-2023 ,10:53 PM</v>
      </c>
      <c r="C95" s="39" t="str">
        <v>Habib Foods Funtime Apple Flavoured Drink 200mL</v>
      </c>
      <c r="D95" s="39" t="str">
        <v>Habib Foods</v>
      </c>
      <c r="E95" s="39" t="str">
        <v>Damaged Stock</v>
      </c>
      <c r="F95" s="45" t="n">
        <v>1</v>
      </c>
      <c r="G95" s="40" t="str">
        <v>[Code: 5568BC] TA; 1 unit damage found during sorting ( disply sy  leak mila he )</v>
      </c>
      <c r="H95" s="39" t="str">
        <v>Taufeeq Akhtar </v>
      </c>
      <c r="I95" s="39" t="str">
        <f aca="false">IF(ISBLANK(H95),"", IF($H$2:$H1594 = "Gohar Rehan","Overnight",IF($H$2:$H1594 = "Taufeeq Akhtar ","Overnight",IF($H$2:$H1594 = "Zeeshan Ali Malik","Audit",IF($H$2:$H1594 = "Ali Raza ","Receiving",IF($H$2:$H1594 = "Ali Ahmad","Full-In"))))))</f>
        <v>Overnight</v>
      </c>
      <c r="J95" s="29"/>
      <c r="K95" s="40" t="s">
        <v>2248</v>
      </c>
      <c r="L95" s="40" t="s">
        <v>2264</v>
      </c>
      <c r="M95" s="41"/>
      <c r="N95" s="39" t="s">
        <v>2250</v>
      </c>
      <c r="O95" s="46" t="b">
        <f aca="false">FALSE()</f>
        <v>0</v>
      </c>
      <c r="P95" s="20" t="n">
        <v>500</v>
      </c>
      <c r="Q95" s="45" t="n">
        <v>500</v>
      </c>
      <c r="R95" s="43" t="n">
        <v>45042</v>
      </c>
      <c r="S95" s="20" t="str">
        <v>Juice, Syrup, Squash</v>
      </c>
    </row>
    <row r="96" customFormat="false" ht="15.75" hidden="false" customHeight="false" outlineLevel="0" collapsed="false">
      <c r="A96" s="39" t="str">
        <v>223566</v>
      </c>
      <c r="B96" s="44" t="str">
        <v>Thu,27-April-2023 ,02:46 AM</v>
      </c>
      <c r="C96" s="39" t="str">
        <v>Bonus tristar detergent x6 bundle 48g Rs10</v>
      </c>
      <c r="D96" s="39" t="str">
        <v>Bonus Surf</v>
      </c>
      <c r="E96" s="39" t="str">
        <v>Damaged Stock</v>
      </c>
      <c r="F96" s="45" t="n">
        <v>4</v>
      </c>
      <c r="G96" s="40" t="str">
        <v>[Code: 223566] TA; 4 seling unit damage found  (bag my sy damege mila he display krty time)</v>
      </c>
      <c r="H96" s="39" t="str">
        <v>Taufeeq Akhtar </v>
      </c>
      <c r="I96" s="39" t="str">
        <f aca="false">IF(ISBLANK(H96),"", IF($H$2:$H1595 = "Gohar Rehan","Overnight",IF($H$2:$H1595 = "Taufeeq Akhtar ","Overnight",IF($H$2:$H1595 = "Zeeshan Ali Malik","Audit",IF($H$2:$H1595 = "Ali Raza ","Receiving",IF($H$2:$H1595 = "Ali Ahmad","Full-In"))))))</f>
        <v>Overnight</v>
      </c>
      <c r="J96" s="29"/>
      <c r="K96" s="40" t="s">
        <v>2215</v>
      </c>
      <c r="L96" s="47" t="s">
        <v>2233</v>
      </c>
      <c r="M96" s="41" t="n">
        <v>4</v>
      </c>
      <c r="N96" s="39" t="s">
        <v>2212</v>
      </c>
      <c r="O96" s="42" t="b">
        <f aca="false">TRUE()</f>
        <v>1</v>
      </c>
      <c r="P96" s="20" t="n">
        <v>55.38</v>
      </c>
      <c r="Q96" s="45" t="n">
        <v>221.52</v>
      </c>
      <c r="R96" s="43" t="n">
        <v>45043</v>
      </c>
      <c r="S96" s="20" t="str">
        <v>Surf, Bleach</v>
      </c>
    </row>
    <row r="97" customFormat="false" ht="15.75" hidden="false" customHeight="false" outlineLevel="0" collapsed="false">
      <c r="A97" s="39" t="str">
        <v>4899BB</v>
      </c>
      <c r="B97" s="44" t="str">
        <v>Mon,01-May-2023 ,07:08 PM</v>
      </c>
      <c r="C97" s="39" t="str">
        <v>Sunlight Green Clean and Fresh 330g Rs99</v>
      </c>
      <c r="D97" s="39" t="str">
        <v>Sunlight</v>
      </c>
      <c r="E97" s="39" t="str">
        <v>Damaged Stock</v>
      </c>
      <c r="F97" s="45" t="n">
        <v>1</v>
      </c>
      <c r="G97" s="40" t="str">
        <v>[Code: 4899BB] TA; sorting ky doran bag sy damage mila he.</v>
      </c>
      <c r="H97" s="39" t="str">
        <v>Taufeeq Akhtar </v>
      </c>
      <c r="I97" s="39" t="str">
        <f aca="false">IF(ISBLANK(H97),"", IF($H$2:$H1596 = "Gohar Rehan","Overnight",IF($H$2:$H1596 = "Taufeeq Akhtar ","Overnight",IF($H$2:$H1596 = "Zeeshan Ali Malik","Audit",IF($H$2:$H1596 = "Ali Raza ","Receiving",IF($H$2:$H1596 = "Ali Ahmad","Full-In"))))))</f>
        <v>Overnight</v>
      </c>
      <c r="J97" s="29"/>
      <c r="K97" s="40" t="s">
        <v>2215</v>
      </c>
      <c r="L97" s="40" t="s">
        <v>2265</v>
      </c>
      <c r="M97" s="41"/>
      <c r="N97" s="39" t="s">
        <v>2212</v>
      </c>
      <c r="O97" s="46" t="b">
        <f aca="false">FALSE()</f>
        <v>0</v>
      </c>
      <c r="P97" s="20" t="n">
        <v>87.92</v>
      </c>
      <c r="Q97" s="45" t="n">
        <v>87.92</v>
      </c>
      <c r="R97" s="43" t="n">
        <v>45047</v>
      </c>
      <c r="S97" s="20" t="str">
        <v>Surf, Bleach</v>
      </c>
    </row>
    <row r="98" customFormat="false" ht="15.75" hidden="false" customHeight="false" outlineLevel="0" collapsed="false">
      <c r="A98" s="39" t="str">
        <v>336BEJ</v>
      </c>
      <c r="B98" s="44" t="str">
        <v>Tue,02-May-2023 ,02:03 AM</v>
      </c>
      <c r="C98" s="39" t="str">
        <v>Shangrila Tomato Ketchup x6 Bundle 225g</v>
      </c>
      <c r="D98" s="39" t="str">
        <v>Shangrila</v>
      </c>
      <c r="E98" s="39" t="str">
        <v>Damaged Stock</v>
      </c>
      <c r="F98" s="45" t="n">
        <v>1</v>
      </c>
      <c r="G98" s="40" t="str">
        <v>[Code: 336BEJ] TA; sorting Ky doran corton sy damage mila he.</v>
      </c>
      <c r="H98" s="39" t="str">
        <v>Taufeeq Akhtar </v>
      </c>
      <c r="I98" s="39" t="str">
        <f aca="false">IF(ISBLANK(H98),"", IF($H$2:$H1597 = "Gohar Rehan","Overnight",IF($H$2:$H1597 = "Taufeeq Akhtar ","Overnight",IF($H$2:$H1597 = "Zeeshan Ali Malik","Audit",IF($H$2:$H1597 = "Ali Raza ","Receiving",IF($H$2:$H1597 = "Ali Ahmad","Full-In"))))))</f>
        <v>Overnight</v>
      </c>
      <c r="J98" s="29" t="n">
        <v>1</v>
      </c>
      <c r="K98" s="40" t="s">
        <v>2215</v>
      </c>
      <c r="L98" s="40"/>
      <c r="M98" s="41"/>
      <c r="N98" s="39" t="s">
        <v>2212</v>
      </c>
      <c r="O98" s="46" t="b">
        <f aca="false">FALSE()</f>
        <v>0</v>
      </c>
      <c r="P98" s="20" t="n">
        <v>517.05</v>
      </c>
      <c r="Q98" s="45" t="n">
        <v>517.05</v>
      </c>
      <c r="R98" s="43" t="n">
        <v>45048</v>
      </c>
      <c r="S98" s="20" t="str">
        <v>Sauces</v>
      </c>
    </row>
    <row r="99" customFormat="false" ht="15.75" hidden="false" customHeight="false" outlineLevel="0" collapsed="false">
      <c r="A99" s="39" t="str">
        <v>368AGH</v>
      </c>
      <c r="B99" s="44" t="str">
        <v>Tue,02-May-2023 ,01:24 PM</v>
      </c>
      <c r="C99" s="39" t="str">
        <v>Sherdil Maida 1kg</v>
      </c>
      <c r="D99" s="39" t="str">
        <v>Sherdil</v>
      </c>
      <c r="E99" s="39" t="str">
        <v>Damaged Stock</v>
      </c>
      <c r="F99" s="45" t="n">
        <v>1</v>
      </c>
      <c r="G99" s="40" t="str">
        <v>[Code: 368AGH] ZA: Packing damage found during Audit</v>
      </c>
      <c r="H99" s="39" t="str">
        <v>Zeeshan Ali Malik</v>
      </c>
      <c r="I99" s="39" t="str">
        <f aca="false">IF(ISBLANK(H99),"", IF($H$2:$H1598 = "Gohar Rehan","Overnight",IF($H$2:$H1598 = "Taufeeq Akhtar ","Overnight",IF($H$2:$H1598 = "Zeeshan Ali Malik","Audit",IF($H$2:$H1598 = "Ali Raza ","Receiving",IF($H$2:$H1598 = "Ali Ahmad","Full-In"))))))</f>
        <v>Audit</v>
      </c>
      <c r="J99" s="29"/>
      <c r="K99" s="40" t="s">
        <v>2215</v>
      </c>
      <c r="L99" s="40" t="s">
        <v>2266</v>
      </c>
      <c r="M99" s="41"/>
      <c r="N99" s="39" t="s">
        <v>2212</v>
      </c>
      <c r="O99" s="46" t="b">
        <f aca="false">FALSE()</f>
        <v>0</v>
      </c>
      <c r="P99" s="20" t="n">
        <v>195</v>
      </c>
      <c r="Q99" s="45" t="n">
        <v>195</v>
      </c>
      <c r="R99" s="43" t="n">
        <v>45048</v>
      </c>
      <c r="S99" s="20" t="str">
        <v>Flour</v>
      </c>
    </row>
    <row r="100" customFormat="false" ht="15.75" hidden="false" customHeight="false" outlineLevel="0" collapsed="false">
      <c r="A100" s="39" t="str">
        <v>257ABD</v>
      </c>
      <c r="B100" s="44" t="str">
        <v>Fri,05-May-2023 ,07:27 PM</v>
      </c>
      <c r="C100" s="39" t="str">
        <v>Al-Munawar Special Muzafati Dates Box</v>
      </c>
      <c r="D100" s="39" t="str">
        <v>Al-Munawar</v>
      </c>
      <c r="E100" s="39" t="str">
        <v>Damaged Stock</v>
      </c>
      <c r="F100" s="45" t="n">
        <v>2</v>
      </c>
      <c r="G100" s="40" t="str">
        <v>[Code: 257ABD] TA;  2 unit damage found During Sorting </v>
      </c>
      <c r="H100" s="39" t="str">
        <v>Taufeeq Akhtar </v>
      </c>
      <c r="I100" s="39" t="str">
        <f aca="false">IF(ISBLANK(H100),"", IF($H$2:$H1599 = "Gohar Rehan","Overnight",IF($H$2:$H1599 = "Taufeeq Akhtar ","Overnight",IF($H$2:$H1599 = "Zeeshan Ali Malik","Audit",IF($H$2:$H1599 = "Ali Raza ","Receiving",IF($H$2:$H1599 = "Ali Ahmad","Full-In"))))))</f>
        <v>Overnight</v>
      </c>
      <c r="J100" s="29"/>
      <c r="K100" s="40" t="s">
        <v>2215</v>
      </c>
      <c r="L100" s="40" t="s">
        <v>2266</v>
      </c>
      <c r="M100" s="41"/>
      <c r="N100" s="39" t="s">
        <v>2212</v>
      </c>
      <c r="O100" s="46" t="b">
        <f aca="false">FALSE()</f>
        <v>0</v>
      </c>
      <c r="P100" s="20" t="n">
        <v>400</v>
      </c>
      <c r="Q100" s="45" t="n">
        <v>800</v>
      </c>
      <c r="R100" s="43" t="n">
        <v>45051</v>
      </c>
      <c r="S100" s="20" t="str">
        <v>Khajoor &amp; Pakoriyan</v>
      </c>
    </row>
    <row r="101" customFormat="false" ht="15.75" hidden="false" customHeight="false" outlineLevel="0" collapsed="false">
      <c r="A101" s="39" t="str">
        <v>344479</v>
      </c>
      <c r="B101" s="44" t="str">
        <v>Sat,06-May-2023 ,11:46 PM</v>
      </c>
      <c r="C101" s="39" t="str">
        <v>Coca Cola plastic 1.5L</v>
      </c>
      <c r="D101" s="39" t="str">
        <v>Coca Cola</v>
      </c>
      <c r="E101" s="39" t="str">
        <v>Damaged Stock</v>
      </c>
      <c r="F101" s="45" t="n">
        <v>1</v>
      </c>
      <c r="G101" s="40" t="str">
        <v>[Code: 344479] TA:Loading kay doran loader say damage howa.</v>
      </c>
      <c r="H101" s="39" t="str">
        <v>Taufeeq Akhtar </v>
      </c>
      <c r="I101" s="39" t="str">
        <f aca="false">IF(ISBLANK(H101),"", IF($H$2:$H1600 = "Gohar Rehan","Overnight",IF($H$2:$H1600 = "Taufeeq Akhtar ","Overnight",IF($H$2:$H1600 = "Zeeshan Ali Malik","Audit",IF($H$2:$H1600 = "Ali Raza ","Receiving",IF($H$2:$H1600 = "Ali Ahmad","Full-In"))))))</f>
        <v>Overnight</v>
      </c>
      <c r="J101" s="29"/>
      <c r="K101" s="40" t="s">
        <v>2267</v>
      </c>
      <c r="L101" s="40" t="s">
        <v>2268</v>
      </c>
      <c r="M101" s="45" t="n">
        <v>1</v>
      </c>
      <c r="N101" s="39" t="s">
        <v>2212</v>
      </c>
      <c r="O101" s="42" t="b">
        <f aca="false">TRUE()</f>
        <v>1</v>
      </c>
      <c r="P101" s="20" t="n">
        <v>755</v>
      </c>
      <c r="Q101" s="45" t="n">
        <v>755</v>
      </c>
      <c r="R101" s="43" t="n">
        <v>45052</v>
      </c>
      <c r="S101" s="20" t="str">
        <v>Beverages</v>
      </c>
    </row>
    <row r="102" customFormat="false" ht="15.75" hidden="false" customHeight="false" outlineLevel="0" collapsed="false">
      <c r="A102" s="39" t="str">
        <v>349DJK</v>
      </c>
      <c r="B102" s="44" t="str">
        <v>Sun,07-May-2023 ,10:42 PM</v>
      </c>
      <c r="C102" s="39" t="str">
        <v>Sherdil Daal Chana Bareek 1kg</v>
      </c>
      <c r="D102" s="39" t="str">
        <v>Sherdil</v>
      </c>
      <c r="E102" s="39" t="str">
        <v>Damaged Stock</v>
      </c>
      <c r="F102" s="45" t="n">
        <v>1</v>
      </c>
      <c r="G102" s="40" t="str">
        <v>[Code: 349DJK] TA; 1unit found bad condation.( daal ka color change or uli bi lgi hoi he)</v>
      </c>
      <c r="H102" s="39" t="str">
        <v>Taufeeq Akhtar </v>
      </c>
      <c r="I102" s="39" t="str">
        <f aca="false">IF(ISBLANK(H102),"", IF($H$2:$H1601 = "Gohar Rehan","Overnight",IF($H$2:$H1601 = "Taufeeq Akhtar ","Overnight",IF($H$2:$H1601 = "Zeeshan Ali Malik","Audit",IF($H$2:$H1601 = "Ali Raza ","Receiving",IF($H$2:$H1601 = "Ali Ahmad","Full-In"))))))</f>
        <v>Overnight</v>
      </c>
      <c r="J102" s="29"/>
      <c r="K102" s="40" t="s">
        <v>2215</v>
      </c>
      <c r="L102" s="40" t="s">
        <v>2266</v>
      </c>
      <c r="M102" s="41"/>
      <c r="N102" s="39" t="s">
        <v>2212</v>
      </c>
      <c r="O102" s="46" t="b">
        <f aca="false">FALSE()</f>
        <v>0</v>
      </c>
      <c r="P102" s="20" t="n">
        <v>272</v>
      </c>
      <c r="Q102" s="45" t="n">
        <v>272</v>
      </c>
      <c r="R102" s="43" t="n">
        <v>45053</v>
      </c>
      <c r="S102" s="20" t="str">
        <v>Pulses</v>
      </c>
    </row>
    <row r="103" customFormat="false" ht="15.75" hidden="false" customHeight="false" outlineLevel="0" collapsed="false">
      <c r="A103" s="39" t="str">
        <v>23456A</v>
      </c>
      <c r="B103" s="44" t="str">
        <v>Tue,09-May-2023 ,12:00 PM</v>
      </c>
      <c r="C103" s="39" t="str">
        <v>Sherdil White Chana Mota 5kg</v>
      </c>
      <c r="D103" s="39" t="str">
        <v>Sherdil</v>
      </c>
      <c r="E103" s="39" t="str">
        <v>Damaged Stock</v>
      </c>
      <c r="F103" s="45" t="n">
        <v>14</v>
      </c>
      <c r="G103" s="40" t="str">
        <v>[Code: 23456A] 14 units damaged due to insects </v>
      </c>
      <c r="H103" s="39" t="str">
        <v>Ali Raza </v>
      </c>
      <c r="I103" s="39" t="str">
        <f aca="false">IF(ISBLANK(H103),"", IF($H$2:$H1602 = "Gohar Rehan","Overnight",IF($H$2:$H1602 = "Taufeeq Akhtar ","Overnight",IF($H$2:$H1602 = "Zeeshan Ali Malik","Audit",IF($H$2:$H1602 = "Ali Raza ","Receiving",IF($H$2:$H1602 = "Ali Ahmad","Full-In"))))))</f>
        <v>Receiving</v>
      </c>
      <c r="J103" s="29"/>
      <c r="K103" s="40" t="s">
        <v>2269</v>
      </c>
      <c r="L103" s="40" t="s">
        <v>2252</v>
      </c>
      <c r="M103" s="41"/>
      <c r="N103" s="39" t="s">
        <v>2212</v>
      </c>
      <c r="O103" s="46" t="b">
        <f aca="false">FALSE()</f>
        <v>0</v>
      </c>
      <c r="P103" s="20" t="n">
        <v>1682</v>
      </c>
      <c r="Q103" s="45" t="n">
        <v>23548</v>
      </c>
      <c r="R103" s="43" t="n">
        <v>45055</v>
      </c>
      <c r="S103" s="20" t="str">
        <v>Pulses</v>
      </c>
    </row>
    <row r="104" customFormat="false" ht="15.75" hidden="false" customHeight="false" outlineLevel="0" collapsed="false">
      <c r="A104" s="39" t="str">
        <v>4778AG</v>
      </c>
      <c r="B104" s="44" t="str">
        <v>Tue,09-May-2023 ,12:01 PM</v>
      </c>
      <c r="C104" s="39" t="str">
        <v>Sherdil Daal Mash Wash 5kg</v>
      </c>
      <c r="D104" s="39" t="str">
        <v>Sherdil</v>
      </c>
      <c r="E104" s="39" t="str">
        <v>Damaged Stock</v>
      </c>
      <c r="F104" s="45" t="n">
        <v>2</v>
      </c>
      <c r="G104" s="40" t="str">
        <v>[Code: 4778AG] 2 units found damaged due to fungus.</v>
      </c>
      <c r="H104" s="39" t="str">
        <v>Ali Raza </v>
      </c>
      <c r="I104" s="39" t="str">
        <f aca="false">IF(ISBLANK(H104),"", IF($H$2:$H1603 = "Gohar Rehan","Overnight",IF($H$2:$H1603 = "Taufeeq Akhtar ","Overnight",IF($H$2:$H1603 = "Zeeshan Ali Malik","Audit",IF($H$2:$H1603 = "Ali Raza ","Receiving",IF($H$2:$H1603 = "Ali Ahmad","Full-In"))))))</f>
        <v>Receiving</v>
      </c>
      <c r="J104" s="29"/>
      <c r="K104" s="40" t="s">
        <v>2270</v>
      </c>
      <c r="L104" s="40" t="s">
        <v>2266</v>
      </c>
      <c r="M104" s="41"/>
      <c r="N104" s="39" t="s">
        <v>2212</v>
      </c>
      <c r="O104" s="46" t="b">
        <f aca="false">FALSE()</f>
        <v>0</v>
      </c>
      <c r="P104" s="20" t="n">
        <v>2328</v>
      </c>
      <c r="Q104" s="45" t="n">
        <v>4656</v>
      </c>
      <c r="R104" s="43" t="n">
        <v>45055</v>
      </c>
      <c r="S104" s="20" t="str">
        <v>Pulses</v>
      </c>
    </row>
    <row r="105" customFormat="false" ht="15.75" hidden="false" customHeight="false" outlineLevel="0" collapsed="false">
      <c r="A105" s="39" t="str">
        <v>378999</v>
      </c>
      <c r="B105" s="44" t="str">
        <v>Tue,09-May-2023 ,12:02 PM</v>
      </c>
      <c r="C105" s="39" t="str">
        <v>Swadi Besan 5kg</v>
      </c>
      <c r="D105" s="39" t="str">
        <v>Swadi</v>
      </c>
      <c r="E105" s="39" t="str">
        <v>Damaged Stock</v>
      </c>
      <c r="F105" s="45" t="n">
        <v>6</v>
      </c>
      <c r="G105" s="40" t="str">
        <v>[Code: 378999] 6 units found damaged due to insects</v>
      </c>
      <c r="H105" s="39" t="str">
        <v>Ali Raza </v>
      </c>
      <c r="I105" s="39" t="str">
        <f aca="false">IF(ISBLANK(H105),"", IF($H$2:$H1604 = "Gohar Rehan","Overnight",IF($H$2:$H1604 = "Taufeeq Akhtar ","Overnight",IF($H$2:$H1604 = "Zeeshan Ali Malik","Audit",IF($H$2:$H1604 = "Ali Raza ","Receiving",IF($H$2:$H1604 = "Ali Ahmad","Full-In"))))))</f>
        <v>Receiving</v>
      </c>
      <c r="J105" s="29"/>
      <c r="K105" s="40" t="s">
        <v>2271</v>
      </c>
      <c r="L105" s="40" t="s">
        <v>2266</v>
      </c>
      <c r="M105" s="41"/>
      <c r="N105" s="39" t="s">
        <v>2212</v>
      </c>
      <c r="O105" s="46" t="b">
        <f aca="false">FALSE()</f>
        <v>0</v>
      </c>
      <c r="P105" s="20" t="n">
        <v>1150</v>
      </c>
      <c r="Q105" s="45" t="n">
        <v>6900</v>
      </c>
      <c r="R105" s="43" t="n">
        <v>45055</v>
      </c>
      <c r="S105" s="20" t="str">
        <v>Pulses</v>
      </c>
    </row>
    <row r="106" customFormat="false" ht="15.75" hidden="false" customHeight="false" outlineLevel="0" collapsed="false">
      <c r="A106" s="39" t="str">
        <v>2345EG</v>
      </c>
      <c r="B106" s="44" t="str">
        <v>Tue,09-May-2023 ,10:27 PM</v>
      </c>
      <c r="C106" s="39" t="str">
        <v>Sherdil Suji 500g</v>
      </c>
      <c r="D106" s="39" t="str">
        <v>Sherdil</v>
      </c>
      <c r="E106" s="39" t="str">
        <v>Damaged Stock</v>
      </c>
      <c r="F106" s="45" t="n">
        <v>12</v>
      </c>
      <c r="G106" s="40" t="str">
        <v>[Code: 2345EG] TA: quality achi nahi hay...susri lagi hay </v>
      </c>
      <c r="H106" s="39" t="str">
        <v>Taufeeq Akhtar </v>
      </c>
      <c r="I106" s="39" t="str">
        <f aca="false">IF(ISBLANK(H106),"", IF($H$2:$H1605 = "Gohar Rehan","Overnight",IF($H$2:$H1605 = "Taufeeq Akhtar ","Overnight",IF($H$2:$H1605 = "Zeeshan Ali Malik","Audit",IF($H$2:$H1605 = "Ali Raza ","Receiving",IF($H$2:$H1605 = "Ali Ahmad","Full-In"))))))</f>
        <v>Overnight</v>
      </c>
      <c r="J106" s="29"/>
      <c r="K106" s="40" t="s">
        <v>2272</v>
      </c>
      <c r="L106" s="40" t="s">
        <v>2266</v>
      </c>
      <c r="M106" s="41"/>
      <c r="N106" s="39" t="s">
        <v>2212</v>
      </c>
      <c r="O106" s="46" t="b">
        <f aca="false">FALSE()</f>
        <v>0</v>
      </c>
      <c r="P106" s="20" t="n">
        <v>110</v>
      </c>
      <c r="Q106" s="45" t="n">
        <v>1320</v>
      </c>
      <c r="R106" s="43" t="n">
        <v>45055</v>
      </c>
      <c r="S106" s="20" t="str">
        <v>Flour</v>
      </c>
    </row>
    <row r="107" customFormat="false" ht="15.75" hidden="false" customHeight="false" outlineLevel="0" collapsed="false">
      <c r="A107" s="39" t="str">
        <v>355578</v>
      </c>
      <c r="B107" s="44" t="str">
        <v>Tue,09-May-2023 ,11:05 PM</v>
      </c>
      <c r="C107" s="39" t="str">
        <v>Shangrila Tomato Ketchup x3 Bundle 800g</v>
      </c>
      <c r="D107" s="39" t="str">
        <v>Shangrila</v>
      </c>
      <c r="E107" s="39" t="str">
        <v>Damaged Stock</v>
      </c>
      <c r="F107" s="45" t="n">
        <v>1</v>
      </c>
      <c r="G107" s="40" t="str">
        <v>[Code: 355578] TA: Sorting kay Doran box may say damage nikla</v>
      </c>
      <c r="H107" s="39" t="str">
        <v>Taufeeq Akhtar </v>
      </c>
      <c r="I107" s="39" t="str">
        <f aca="false">IF(ISBLANK(H107),"", IF($H$2:$H1606 = "Gohar Rehan","Overnight",IF($H$2:$H1606 = "Taufeeq Akhtar ","Overnight",IF($H$2:$H1606 = "Zeeshan Ali Malik","Audit",IF($H$2:$H1606 = "Ali Raza ","Receiving",IF($H$2:$H1606 = "Ali Ahmad","Full-In"))))))</f>
        <v>Overnight</v>
      </c>
      <c r="J107" s="29" t="n">
        <v>1</v>
      </c>
      <c r="K107" s="40" t="s">
        <v>2215</v>
      </c>
      <c r="L107" s="40"/>
      <c r="M107" s="41"/>
      <c r="N107" s="39" t="s">
        <v>2212</v>
      </c>
      <c r="O107" s="46" t="b">
        <f aca="false">FALSE()</f>
        <v>0</v>
      </c>
      <c r="P107" s="20" t="n">
        <v>864.4</v>
      </c>
      <c r="Q107" s="45" t="n">
        <v>864.4</v>
      </c>
      <c r="R107" s="43" t="n">
        <v>45055</v>
      </c>
      <c r="S107" s="20" t="str">
        <v>Sauces</v>
      </c>
    </row>
    <row r="108" customFormat="false" ht="15.75" hidden="false" customHeight="false" outlineLevel="0" collapsed="false">
      <c r="A108" s="39" t="str">
        <v>55667A</v>
      </c>
      <c r="B108" s="44" t="str">
        <v>Wed,10-May-2023 ,07:53 PM</v>
      </c>
      <c r="C108" s="39" t="str">
        <v>Coca Cola plastic 1.5L</v>
      </c>
      <c r="D108" s="39" t="str">
        <v>Coca Cola</v>
      </c>
      <c r="E108" s="39" t="str">
        <v>Damaged Stock</v>
      </c>
      <c r="F108" s="45" t="n">
        <v>1</v>
      </c>
      <c r="G108" s="40" t="str">
        <v>[Code: 55667A] TA ; 1unit damage found ( sorting ky doran stock sy lose mila he)</v>
      </c>
      <c r="H108" s="39" t="str">
        <v>Taufeeq Akhtar </v>
      </c>
      <c r="I108" s="39" t="str">
        <f aca="false">IF(ISBLANK(H108),"", IF($H$2:$H1607 = "Gohar Rehan","Overnight",IF($H$2:$H1607 = "Taufeeq Akhtar ","Overnight",IF($H$2:$H1607 = "Zeeshan Ali Malik","Audit",IF($H$2:$H1607 = "Ali Raza ","Receiving",IF($H$2:$H1607 = "Ali Ahmad","Full-In"))))))</f>
        <v>Overnight</v>
      </c>
      <c r="J108" s="29"/>
      <c r="K108" s="40" t="s">
        <v>2273</v>
      </c>
      <c r="L108" s="40" t="s">
        <v>2268</v>
      </c>
      <c r="M108" s="45" t="n">
        <v>1</v>
      </c>
      <c r="N108" s="39" t="s">
        <v>2212</v>
      </c>
      <c r="O108" s="42" t="b">
        <f aca="false">TRUE()</f>
        <v>1</v>
      </c>
      <c r="P108" s="20" t="n">
        <v>755</v>
      </c>
      <c r="Q108" s="45" t="n">
        <v>755</v>
      </c>
      <c r="R108" s="43" t="n">
        <v>45056</v>
      </c>
      <c r="S108" s="20" t="str">
        <v>Beverages</v>
      </c>
    </row>
    <row r="109" customFormat="false" ht="15.75" hidden="false" customHeight="false" outlineLevel="0" collapsed="false">
      <c r="A109" s="39" t="str">
        <v>223557</v>
      </c>
      <c r="B109" s="44" t="str">
        <v>Fri,12-May-2023 ,12:20 PM</v>
      </c>
      <c r="C109" s="39" t="str">
        <v>Surf Excel x6 bundle 20g Rs 10</v>
      </c>
      <c r="D109" s="39" t="str">
        <v>Surf Excel</v>
      </c>
      <c r="E109" s="39" t="str">
        <v>Damaged Stock</v>
      </c>
      <c r="F109" s="45" t="n">
        <v>4</v>
      </c>
      <c r="G109" s="40" t="str">
        <v>[Code: 223557] TA;  4unit damage found (sorting krty waqt bag sy damage mily hain)</v>
      </c>
      <c r="H109" s="39" t="str">
        <v>Taufeeq Akhtar </v>
      </c>
      <c r="I109" s="39" t="str">
        <f aca="false">IF(ISBLANK(H109),"", IF($H$2:$H1608 = "Gohar Rehan","Overnight",IF($H$2:$H1608 = "Taufeeq Akhtar ","Overnight",IF($H$2:$H1608 = "Zeeshan Ali Malik","Audit",IF($H$2:$H1608 = "Ali Raza ","Receiving",IF($H$2:$H1608 = "Ali Ahmad","Full-In"))))))</f>
        <v>Overnight</v>
      </c>
      <c r="J109" s="29"/>
      <c r="K109" s="40" t="s">
        <v>2215</v>
      </c>
      <c r="L109" s="40" t="s">
        <v>2274</v>
      </c>
      <c r="M109" s="41"/>
      <c r="N109" s="39" t="s">
        <v>2212</v>
      </c>
      <c r="O109" s="46" t="b">
        <f aca="false">FALSE()</f>
        <v>0</v>
      </c>
      <c r="P109" s="20" t="n">
        <v>55</v>
      </c>
      <c r="Q109" s="45" t="n">
        <v>220</v>
      </c>
      <c r="R109" s="43" t="n">
        <v>45058</v>
      </c>
      <c r="S109" s="20" t="str">
        <v>Surf, Bleach</v>
      </c>
    </row>
    <row r="110" customFormat="false" ht="15.75" hidden="false" customHeight="false" outlineLevel="0" collapsed="false">
      <c r="A110" s="39" t="str">
        <v>445699</v>
      </c>
      <c r="B110" s="44" t="str">
        <v>Fri,12-May-2023 ,01:05 PM</v>
      </c>
      <c r="C110" s="39" t="str">
        <v>Quality Grains Daal Mash Wash 500g</v>
      </c>
      <c r="D110" s="39" t="str">
        <v>Quality Grains</v>
      </c>
      <c r="E110" s="39" t="str">
        <v>Damaged Stock</v>
      </c>
      <c r="F110" s="45" t="n">
        <v>7</v>
      </c>
      <c r="G110" s="40" t="str">
        <v>[Code: 445699] TA; 7 units found damaged due to fungus. (quality ashi nhi he)</v>
      </c>
      <c r="H110" s="39" t="str">
        <v>Taufeeq Akhtar </v>
      </c>
      <c r="I110" s="39" t="str">
        <f aca="false">IF(ISBLANK(H110),"", IF($H$2:$H1609 = "Gohar Rehan","Overnight",IF($H$2:$H1609 = "Taufeeq Akhtar ","Overnight",IF($H$2:$H1609 = "Zeeshan Ali Malik","Audit",IF($H$2:$H1609 = "Ali Raza ","Receiving",IF($H$2:$H1609 = "Ali Ahmad","Full-In"))))))</f>
        <v>Overnight</v>
      </c>
      <c r="J110" s="29"/>
      <c r="K110" s="40" t="s">
        <v>2272</v>
      </c>
      <c r="L110" s="40" t="s">
        <v>2275</v>
      </c>
      <c r="M110" s="41"/>
      <c r="N110" s="39" t="s">
        <v>2212</v>
      </c>
      <c r="O110" s="42" t="b">
        <f aca="false">TRUE()</f>
        <v>1</v>
      </c>
      <c r="P110" s="20" t="n">
        <v>226</v>
      </c>
      <c r="Q110" s="45" t="n">
        <v>1582</v>
      </c>
      <c r="R110" s="43" t="n">
        <v>45058</v>
      </c>
      <c r="S110" s="20" t="str">
        <v>Pulses</v>
      </c>
    </row>
    <row r="111" customFormat="false" ht="15.75" hidden="false" customHeight="false" outlineLevel="0" collapsed="false">
      <c r="A111" s="39" t="str">
        <v>345578</v>
      </c>
      <c r="B111" s="44" t="str">
        <v>Fri,12-May-2023 ,04:59 PM</v>
      </c>
      <c r="C111" s="39" t="str">
        <v>Coca Cola plastic 2.25L (Jumbo)</v>
      </c>
      <c r="D111" s="39" t="str">
        <v>Coca Cola</v>
      </c>
      <c r="E111" s="39" t="str">
        <v>Damaged Stock</v>
      </c>
      <c r="F111" s="45" t="n">
        <v>1</v>
      </c>
      <c r="G111" s="40" t="str">
        <v>[Code: 345578] TA; 1 unit damage found .(  sorting ky doran stock sy lose bottel mili hain)</v>
      </c>
      <c r="H111" s="39" t="str">
        <v>Taufeeq Akhtar </v>
      </c>
      <c r="I111" s="39" t="str">
        <f aca="false">IF(ISBLANK(H111),"", IF($H$2:$H1610 = "Gohar Rehan","Overnight",IF($H$2:$H1610 = "Taufeeq Akhtar ","Overnight",IF($H$2:$H1610 = "Zeeshan Ali Malik","Audit",IF($H$2:$H1610 = "Ali Raza ","Receiving",IF($H$2:$H1610 = "Ali Ahmad","Full-In"))))))</f>
        <v>Overnight</v>
      </c>
      <c r="J111" s="29"/>
      <c r="K111" s="40" t="s">
        <v>2276</v>
      </c>
      <c r="L111" s="40" t="s">
        <v>2268</v>
      </c>
      <c r="M111" s="45" t="n">
        <v>1</v>
      </c>
      <c r="N111" s="39" t="s">
        <v>2212</v>
      </c>
      <c r="O111" s="42" t="b">
        <f aca="false">TRUE()</f>
        <v>1</v>
      </c>
      <c r="P111" s="20" t="n">
        <v>1108.62</v>
      </c>
      <c r="Q111" s="45" t="n">
        <v>1108.62</v>
      </c>
      <c r="R111" s="43" t="n">
        <v>45058</v>
      </c>
      <c r="S111" s="20" t="str">
        <v>Beverages</v>
      </c>
    </row>
    <row r="112" customFormat="false" ht="15.75" hidden="false" customHeight="false" outlineLevel="0" collapsed="false">
      <c r="A112" s="39" t="str">
        <v>33559C</v>
      </c>
      <c r="B112" s="44" t="str">
        <v>Fri,12-May-2023 ,05:45 PM</v>
      </c>
      <c r="C112" s="39" t="str">
        <v>Coca Cola plastic 1.5L</v>
      </c>
      <c r="D112" s="39" t="str">
        <v>Coca Cola</v>
      </c>
      <c r="E112" s="39" t="str">
        <v>Damaged Stock</v>
      </c>
      <c r="F112" s="45" t="n">
        <v>1</v>
      </c>
      <c r="G112" s="40" t="str">
        <v>[Code: 33559C] TA; 1 unit damage found  (stock my sy lose mila hain )</v>
      </c>
      <c r="H112" s="39" t="str">
        <v>Taufeeq Akhtar </v>
      </c>
      <c r="I112" s="39" t="str">
        <f aca="false">IF(ISBLANK(H112),"", IF($H$2:$H1611 = "Gohar Rehan","Overnight",IF($H$2:$H1611 = "Taufeeq Akhtar ","Overnight",IF($H$2:$H1611 = "Zeeshan Ali Malik","Audit",IF($H$2:$H1611 = "Ali Raza ","Receiving",IF($H$2:$H1611 = "Ali Ahmad","Full-In"))))))</f>
        <v>Overnight</v>
      </c>
      <c r="J112" s="29"/>
      <c r="K112" s="40" t="s">
        <v>2276</v>
      </c>
      <c r="L112" s="40" t="s">
        <v>2268</v>
      </c>
      <c r="M112" s="45" t="n">
        <v>1</v>
      </c>
      <c r="N112" s="39" t="s">
        <v>2212</v>
      </c>
      <c r="O112" s="42" t="b">
        <f aca="false">TRUE()</f>
        <v>1</v>
      </c>
      <c r="P112" s="20" t="n">
        <v>755</v>
      </c>
      <c r="Q112" s="45" t="n">
        <v>755</v>
      </c>
      <c r="R112" s="43" t="n">
        <v>45058</v>
      </c>
      <c r="S112" s="20" t="str">
        <v>Beverages</v>
      </c>
    </row>
    <row r="113" customFormat="false" ht="15.75" hidden="false" customHeight="false" outlineLevel="0" collapsed="false">
      <c r="A113" s="39" t="str">
        <v>59AAJK</v>
      </c>
      <c r="B113" s="44" t="str">
        <v>Sat,13-May-2023 ,10:55 PM</v>
      </c>
      <c r="C113" s="39" t="str">
        <v>Coca Cola plastic 1.5L</v>
      </c>
      <c r="D113" s="39" t="str">
        <v>Coca Cola</v>
      </c>
      <c r="E113" s="39" t="str">
        <v>Damaged Stock</v>
      </c>
      <c r="F113" s="45" t="n">
        <v>3</v>
      </c>
      <c r="G113" s="40" t="str">
        <v>[Code: 59AAJK] TA: sorting k doran kuch botel loose or kuch botel khali milay hay.</v>
      </c>
      <c r="H113" s="39" t="str">
        <v>Taufeeq Akhtar </v>
      </c>
      <c r="I113" s="39" t="str">
        <f aca="false">IF(ISBLANK(H113),"", IF($H$2:$H1612 = "Gohar Rehan","Overnight",IF($H$2:$H1612 = "Taufeeq Akhtar ","Overnight",IF($H$2:$H1612 = "Zeeshan Ali Malik","Audit",IF($H$2:$H1612 = "Ali Raza ","Receiving",IF($H$2:$H1612 = "Ali Ahmad","Full-In"))))))</f>
        <v>Overnight</v>
      </c>
      <c r="J113" s="29"/>
      <c r="K113" s="40" t="s">
        <v>2277</v>
      </c>
      <c r="L113" s="40" t="s">
        <v>2268</v>
      </c>
      <c r="M113" s="45" t="n">
        <v>3</v>
      </c>
      <c r="N113" s="39" t="s">
        <v>2212</v>
      </c>
      <c r="O113" s="42" t="b">
        <f aca="false">TRUE()</f>
        <v>1</v>
      </c>
      <c r="P113" s="20" t="n">
        <v>755</v>
      </c>
      <c r="Q113" s="45" t="n">
        <v>2265</v>
      </c>
      <c r="R113" s="43" t="n">
        <v>45059</v>
      </c>
      <c r="S113" s="20" t="str">
        <v>Beverages</v>
      </c>
    </row>
    <row r="114" customFormat="false" ht="15.75" hidden="false" customHeight="false" outlineLevel="0" collapsed="false">
      <c r="A114" s="39" t="str">
        <v>33668A</v>
      </c>
      <c r="B114" s="44" t="str">
        <v>Sun,14-May-2023 ,09:05 PM</v>
      </c>
      <c r="C114" s="39" t="str">
        <v>Coca Cola plastic 1.5L</v>
      </c>
      <c r="D114" s="39" t="str">
        <v>Coca Cola</v>
      </c>
      <c r="E114" s="39" t="str">
        <v>Damaged Stock</v>
      </c>
      <c r="F114" s="45" t="n">
        <v>2</v>
      </c>
      <c r="G114" s="40" t="str">
        <v>[Code: 33668A]  TA: sorting k doran kuch botel loose or kuch botel khali milay hay.</v>
      </c>
      <c r="H114" s="39" t="str">
        <v>Taufeeq Akhtar </v>
      </c>
      <c r="I114" s="39" t="str">
        <f aca="false">IF(ISBLANK(H114),"", IF($H$2:$H1613 = "Gohar Rehan","Overnight",IF($H$2:$H1613 = "Taufeeq Akhtar ","Overnight",IF($H$2:$H1613 = "Zeeshan Ali Malik","Audit",IF($H$2:$H1613 = "Ali Raza ","Receiving",IF($H$2:$H1613 = "Ali Ahmad","Full-In"))))))</f>
        <v>Overnight</v>
      </c>
      <c r="J114" s="29"/>
      <c r="K114" s="40" t="s">
        <v>2278</v>
      </c>
      <c r="L114" s="40" t="s">
        <v>2268</v>
      </c>
      <c r="M114" s="45" t="n">
        <v>2</v>
      </c>
      <c r="N114" s="39" t="s">
        <v>2212</v>
      </c>
      <c r="O114" s="42" t="b">
        <f aca="false">TRUE()</f>
        <v>1</v>
      </c>
      <c r="P114" s="20" t="n">
        <v>755</v>
      </c>
      <c r="Q114" s="45" t="n">
        <v>1510</v>
      </c>
      <c r="R114" s="43" t="n">
        <v>45060</v>
      </c>
      <c r="S114" s="20" t="str">
        <v>Beverages</v>
      </c>
    </row>
    <row r="115" customFormat="false" ht="15.75" hidden="false" customHeight="false" outlineLevel="0" collapsed="false">
      <c r="A115" s="39" t="str">
        <v>3JJMNN</v>
      </c>
      <c r="B115" s="44" t="str">
        <v>Sun,14-May-2023 ,11:42 PM</v>
      </c>
      <c r="C115" s="39" t="str">
        <v>Plastic Special Phool Jharoo</v>
      </c>
      <c r="D115" s="39" t="str">
        <v>Jharoo</v>
      </c>
      <c r="E115" s="39" t="str">
        <v>Damaged Stock</v>
      </c>
      <c r="F115" s="45" t="n">
        <v>1</v>
      </c>
      <c r="G115" s="40" t="str">
        <v>[Code: 3JJMNN] TA; 1 unit damage found ( Woden Hendle tota mila he stock me sy)</v>
      </c>
      <c r="H115" s="39" t="str">
        <v>Taufeeq Akhtar </v>
      </c>
      <c r="I115" s="39" t="str">
        <f aca="false">IF(ISBLANK(H115),"", IF($H$2:$H1614 = "Gohar Rehan","Overnight",IF($H$2:$H1614 = "Taufeeq Akhtar ","Overnight",IF($H$2:$H1614 = "Zeeshan Ali Malik","Audit",IF($H$2:$H1614 = "Ali Raza ","Receiving",IF($H$2:$H1614 = "Ali Ahmad","Full-In"))))))</f>
        <v>Overnight</v>
      </c>
      <c r="J115" s="29"/>
      <c r="K115" s="40" t="s">
        <v>2279</v>
      </c>
      <c r="L115" s="40" t="s">
        <v>2274</v>
      </c>
      <c r="M115" s="45" t="n">
        <v>1</v>
      </c>
      <c r="N115" s="39" t="s">
        <v>2212</v>
      </c>
      <c r="O115" s="42" t="b">
        <f aca="false">TRUE()</f>
        <v>1</v>
      </c>
      <c r="P115" s="20" t="n">
        <v>135</v>
      </c>
      <c r="Q115" s="45" t="n">
        <v>135</v>
      </c>
      <c r="R115" s="43" t="n">
        <v>45060</v>
      </c>
      <c r="S115" s="20" t="str">
        <v>Home Care</v>
      </c>
    </row>
    <row r="116" customFormat="false" ht="15.75" hidden="false" customHeight="false" outlineLevel="0" collapsed="false">
      <c r="A116" s="39" t="str">
        <v>236999</v>
      </c>
      <c r="B116" s="44" t="str">
        <v>Sun,14-May-2023 ,11:44 PM</v>
      </c>
      <c r="C116" s="39" t="str">
        <v>Bonus tristar yellow surf 250g Rs50</v>
      </c>
      <c r="D116" s="39" t="str">
        <v>Bonus Surf</v>
      </c>
      <c r="E116" s="39" t="str">
        <v>Damaged Stock</v>
      </c>
      <c r="F116" s="45" t="n">
        <v>2</v>
      </c>
      <c r="G116" s="40" t="str">
        <v>[Code: 236999] TA; 2unit damage found (bag sy damage mily hain sorting ky doran)</v>
      </c>
      <c r="H116" s="39" t="str">
        <v>Taufeeq Akhtar </v>
      </c>
      <c r="I116" s="39" t="str">
        <f aca="false">IF(ISBLANK(H116),"", IF($H$2:$H1615 = "Gohar Rehan","Overnight",IF($H$2:$H1615 = "Taufeeq Akhtar ","Overnight",IF($H$2:$H1615 = "Zeeshan Ali Malik","Audit",IF($H$2:$H1615 = "Ali Raza ","Receiving",IF($H$2:$H1615 = "Ali Ahmad","Full-In"))))))</f>
        <v>Overnight</v>
      </c>
      <c r="J116" s="29"/>
      <c r="K116" s="40" t="s">
        <v>2215</v>
      </c>
      <c r="L116" s="47" t="s">
        <v>2233</v>
      </c>
      <c r="M116" s="45" t="n">
        <v>2</v>
      </c>
      <c r="N116" s="39" t="s">
        <v>2212</v>
      </c>
      <c r="O116" s="42" t="b">
        <f aca="false">TRUE()</f>
        <v>1</v>
      </c>
      <c r="P116" s="20" t="n">
        <v>45.59</v>
      </c>
      <c r="Q116" s="45" t="n">
        <v>91.18</v>
      </c>
      <c r="R116" s="43" t="n">
        <v>45060</v>
      </c>
      <c r="S116" s="20" t="str">
        <v>Surf, Bleach</v>
      </c>
    </row>
    <row r="117" customFormat="false" ht="15.75" hidden="false" customHeight="false" outlineLevel="0" collapsed="false">
      <c r="A117" s="39" t="str">
        <v>688ABF</v>
      </c>
      <c r="B117" s="44" t="str">
        <v>Mon,15-May-2023 ,10:41 PM</v>
      </c>
      <c r="C117" s="39" t="str">
        <v>Coca Cola plastic 1.5L</v>
      </c>
      <c r="D117" s="39" t="str">
        <v>Coca Cola</v>
      </c>
      <c r="E117" s="39" t="str">
        <v>Damaged Stock</v>
      </c>
      <c r="F117" s="45" t="n">
        <v>1</v>
      </c>
      <c r="G117" s="40" t="str">
        <v>[Code: 688ABF] TA:  Botle loose niklay pet may say.</v>
      </c>
      <c r="H117" s="39" t="str">
        <v>Taufeeq Akhtar </v>
      </c>
      <c r="I117" s="39" t="str">
        <f aca="false">IF(ISBLANK(H117),"", IF($H$2:$H1616 = "Gohar Rehan","Overnight",IF($H$2:$H1616 = "Taufeeq Akhtar ","Overnight",IF($H$2:$H1616 = "Zeeshan Ali Malik","Audit",IF($H$2:$H1616 = "Ali Raza ","Receiving",IF($H$2:$H1616 = "Ali Ahmad","Full-In"))))))</f>
        <v>Overnight</v>
      </c>
      <c r="J117" s="29"/>
      <c r="K117" s="40" t="s">
        <v>2280</v>
      </c>
      <c r="L117" s="40" t="s">
        <v>2268</v>
      </c>
      <c r="M117" s="45" t="n">
        <v>1</v>
      </c>
      <c r="N117" s="39" t="s">
        <v>2212</v>
      </c>
      <c r="O117" s="42" t="b">
        <f aca="false">TRUE()</f>
        <v>1</v>
      </c>
      <c r="P117" s="20" t="n">
        <v>755</v>
      </c>
      <c r="Q117" s="45" t="n">
        <v>755</v>
      </c>
      <c r="R117" s="43" t="n">
        <v>45061</v>
      </c>
      <c r="S117" s="20" t="str">
        <v>Beverages</v>
      </c>
    </row>
    <row r="118" customFormat="false" ht="15.75" hidden="false" customHeight="false" outlineLevel="0" collapsed="false">
      <c r="A118" s="39" t="str">
        <v>347ACC</v>
      </c>
      <c r="B118" s="44" t="str">
        <v>Mon,15-May-2023 ,10:47 PM</v>
      </c>
      <c r="C118" s="39" t="str">
        <v>Sprite plastic 1L</v>
      </c>
      <c r="D118" s="39" t="str">
        <v>Sprite</v>
      </c>
      <c r="E118" s="39" t="str">
        <v>Damaged Stock</v>
      </c>
      <c r="F118" s="45" t="n">
        <v>1</v>
      </c>
      <c r="G118" s="40" t="str">
        <v>[Code: 347ACC] TA: Bottle Loose niklay pet may say</v>
      </c>
      <c r="H118" s="39" t="str">
        <v>Taufeeq Akhtar </v>
      </c>
      <c r="I118" s="39" t="str">
        <f aca="false">IF(ISBLANK(H118),"", IF($H$2:$H1617 = "Gohar Rehan","Overnight",IF($H$2:$H1617 = "Taufeeq Akhtar ","Overnight",IF($H$2:$H1617 = "Zeeshan Ali Malik","Audit",IF($H$2:$H1617 = "Ali Raza ","Receiving",IF($H$2:$H1617 = "Ali Ahmad","Full-In"))))))</f>
        <v>Overnight</v>
      </c>
      <c r="J118" s="29"/>
      <c r="K118" s="40" t="s">
        <v>2280</v>
      </c>
      <c r="L118" s="40" t="s">
        <v>2268</v>
      </c>
      <c r="M118" s="45" t="n">
        <v>1</v>
      </c>
      <c r="N118" s="39" t="s">
        <v>2212</v>
      </c>
      <c r="O118" s="42" t="b">
        <f aca="false">TRUE()</f>
        <v>1</v>
      </c>
      <c r="P118" s="20" t="n">
        <v>607</v>
      </c>
      <c r="Q118" s="45" t="n">
        <v>607</v>
      </c>
      <c r="R118" s="43" t="n">
        <v>45061</v>
      </c>
      <c r="S118" s="20" t="str">
        <v>Beverages</v>
      </c>
    </row>
    <row r="119" customFormat="false" ht="15.75" hidden="false" customHeight="false" outlineLevel="0" collapsed="false">
      <c r="A119" s="39" t="str">
        <v>2BCEEF</v>
      </c>
      <c r="B119" s="44" t="str">
        <v>Mon,15-May-2023 ,10:58 PM</v>
      </c>
      <c r="C119" s="39" t="str">
        <v>Sunlight Yellow Clean and Rose Fresh 330g Rs99</v>
      </c>
      <c r="D119" s="39" t="str">
        <v>Sunlight</v>
      </c>
      <c r="E119" s="39" t="str">
        <v>Damaged Stock</v>
      </c>
      <c r="F119" s="45" t="n">
        <v>2</v>
      </c>
      <c r="G119" s="40" t="str">
        <v>[Code: 2BCEEF] TA:bag may say damage niklay.</v>
      </c>
      <c r="H119" s="39" t="str">
        <v>Taufeeq Akhtar </v>
      </c>
      <c r="I119" s="39" t="str">
        <f aca="false">IF(ISBLANK(H119),"", IF($H$2:$H1618 = "Gohar Rehan","Overnight",IF($H$2:$H1618 = "Taufeeq Akhtar ","Overnight",IF($H$2:$H1618 = "Zeeshan Ali Malik","Audit",IF($H$2:$H1618 = "Ali Raza ","Receiving",IF($H$2:$H1618 = "Ali Ahmad","Full-In"))))))</f>
        <v>Overnight</v>
      </c>
      <c r="J119" s="29"/>
      <c r="K119" s="40" t="s">
        <v>2215</v>
      </c>
      <c r="L119" s="40" t="s">
        <v>2274</v>
      </c>
      <c r="M119" s="41"/>
      <c r="N119" s="39" t="s">
        <v>2212</v>
      </c>
      <c r="O119" s="46" t="b">
        <f aca="false">FALSE()</f>
        <v>0</v>
      </c>
      <c r="P119" s="20" t="n">
        <v>87.92</v>
      </c>
      <c r="Q119" s="45" t="n">
        <v>175.84</v>
      </c>
      <c r="R119" s="43" t="n">
        <v>45061</v>
      </c>
      <c r="S119" s="20" t="str">
        <v>Surf, Bleach</v>
      </c>
    </row>
    <row r="120" customFormat="false" ht="15.75" hidden="false" customHeight="false" outlineLevel="0" collapsed="false">
      <c r="A120" s="39" t="str">
        <v>5678AF</v>
      </c>
      <c r="B120" s="44" t="str">
        <v>Tue,16-May-2023 ,10:48 PM</v>
      </c>
      <c r="C120" s="39" t="str">
        <v>Coca Cola plastic 1.5L</v>
      </c>
      <c r="D120" s="39" t="str">
        <v>Coca Cola</v>
      </c>
      <c r="E120" s="39" t="str">
        <v>Damaged Stock</v>
      </c>
      <c r="F120" s="45" t="n">
        <v>5</v>
      </c>
      <c r="G120" s="40" t="str">
        <v>[Code: 5678AF] TA: found in loose condition(Company end issue)</v>
      </c>
      <c r="H120" s="39" t="str">
        <v>Taufeeq Akhtar </v>
      </c>
      <c r="I120" s="39" t="str">
        <f aca="false">IF(ISBLANK(H120),"", IF($H$2:$H1619 = "Gohar Rehan","Overnight",IF($H$2:$H1619 = "Taufeeq Akhtar ","Overnight",IF($H$2:$H1619 = "Zeeshan Ali Malik","Audit",IF($H$2:$H1619 = "Ali Raza ","Receiving",IF($H$2:$H1619 = "Ali Ahmad","Full-In"))))))</f>
        <v>Overnight</v>
      </c>
      <c r="J120" s="29"/>
      <c r="K120" s="40" t="s">
        <v>2281</v>
      </c>
      <c r="L120" s="40" t="s">
        <v>2268</v>
      </c>
      <c r="M120" s="45" t="n">
        <v>5</v>
      </c>
      <c r="N120" s="39" t="s">
        <v>2212</v>
      </c>
      <c r="O120" s="42" t="b">
        <f aca="false">TRUE()</f>
        <v>1</v>
      </c>
      <c r="P120" s="20" t="n">
        <v>755</v>
      </c>
      <c r="Q120" s="45" t="n">
        <v>3775</v>
      </c>
      <c r="R120" s="43" t="n">
        <v>45062</v>
      </c>
      <c r="S120" s="20" t="str">
        <v>Beverages</v>
      </c>
    </row>
    <row r="121" customFormat="false" ht="15.75" hidden="false" customHeight="false" outlineLevel="0" collapsed="false">
      <c r="A121" s="39" t="str">
        <v>578BEG</v>
      </c>
      <c r="B121" s="44" t="str">
        <v>Tue,16-May-2023 ,10:51 PM</v>
      </c>
      <c r="C121" s="39" t="str">
        <v>Sprite plastic 1L</v>
      </c>
      <c r="D121" s="39" t="str">
        <v>Sprite</v>
      </c>
      <c r="E121" s="39" t="str">
        <v>Damaged Stock</v>
      </c>
      <c r="F121" s="45" t="n">
        <v>2</v>
      </c>
      <c r="G121" s="40" t="str">
        <v>[Code: 578BEG] TA:Found loose in floor(Company end issue)</v>
      </c>
      <c r="H121" s="39" t="str">
        <v>Taufeeq Akhtar </v>
      </c>
      <c r="I121" s="39" t="str">
        <f aca="false">IF(ISBLANK(H121),"", IF($H$2:$H1620 = "Gohar Rehan","Overnight",IF($H$2:$H1620 = "Taufeeq Akhtar ","Overnight",IF($H$2:$H1620 = "Zeeshan Ali Malik","Audit",IF($H$2:$H1620 = "Ali Raza ","Receiving",IF($H$2:$H1620 = "Ali Ahmad","Full-In"))))))</f>
        <v>Overnight</v>
      </c>
      <c r="J121" s="29"/>
      <c r="K121" s="40" t="s">
        <v>2281</v>
      </c>
      <c r="L121" s="40" t="s">
        <v>2268</v>
      </c>
      <c r="M121" s="45" t="n">
        <v>2</v>
      </c>
      <c r="N121" s="39" t="s">
        <v>2212</v>
      </c>
      <c r="O121" s="42" t="b">
        <f aca="false">TRUE()</f>
        <v>1</v>
      </c>
      <c r="P121" s="20" t="n">
        <v>607</v>
      </c>
      <c r="Q121" s="45" t="n">
        <v>1214</v>
      </c>
      <c r="R121" s="43" t="n">
        <v>45062</v>
      </c>
      <c r="S121" s="20" t="str">
        <v>Beverages</v>
      </c>
    </row>
    <row r="122" customFormat="false" ht="15.75" hidden="false" customHeight="false" outlineLevel="0" collapsed="false">
      <c r="A122" s="39" t="str">
        <v>233348</v>
      </c>
      <c r="B122" s="44" t="str">
        <v>Tue,16-May-2023 ,10:52 PM</v>
      </c>
      <c r="C122" s="39" t="str">
        <v>7up plastic 1L (Other city stock)</v>
      </c>
      <c r="D122" s="39" t="str">
        <v>7up</v>
      </c>
      <c r="E122" s="39" t="str">
        <v>Damaged Stock</v>
      </c>
      <c r="F122" s="45" t="n">
        <v>1</v>
      </c>
      <c r="G122" s="40" t="str">
        <v>[Code: 233348] TA: Found in loose condition during sorting (Company end issue)</v>
      </c>
      <c r="H122" s="39" t="str">
        <v>Taufeeq Akhtar </v>
      </c>
      <c r="I122" s="39" t="str">
        <f aca="false">IF(ISBLANK(H122),"", IF($H$2:$H1621 = "Gohar Rehan","Overnight",IF($H$2:$H1621 = "Taufeeq Akhtar ","Overnight",IF($H$2:$H1621 = "Zeeshan Ali Malik","Audit",IF($H$2:$H1621 = "Ali Raza ","Receiving",IF($H$2:$H1621 = "Ali Ahmad","Full-In"))))))</f>
        <v>Overnight</v>
      </c>
      <c r="J122" s="29"/>
      <c r="K122" s="40" t="s">
        <v>2281</v>
      </c>
      <c r="L122" s="40" t="s">
        <v>2268</v>
      </c>
      <c r="M122" s="41"/>
      <c r="N122" s="39" t="s">
        <v>2250</v>
      </c>
      <c r="O122" s="46" t="b">
        <f aca="false">FALSE()</f>
        <v>0</v>
      </c>
      <c r="P122" s="20" t="n">
        <v>576</v>
      </c>
      <c r="Q122" s="45" t="n">
        <v>576</v>
      </c>
      <c r="R122" s="43" t="n">
        <v>45062</v>
      </c>
      <c r="S122" s="20" t="str">
        <v>Beverages</v>
      </c>
    </row>
    <row r="123" customFormat="false" ht="15.75" hidden="false" customHeight="false" outlineLevel="0" collapsed="false">
      <c r="A123" s="39" t="str">
        <v>35578B</v>
      </c>
      <c r="B123" s="44" t="str">
        <v>Wed,17-May-2023 ,11:54 PM</v>
      </c>
      <c r="C123" s="39" t="str">
        <v>Coca Cola plastic 1.5L</v>
      </c>
      <c r="D123" s="39" t="str">
        <v>Coca Cola</v>
      </c>
      <c r="E123" s="39" t="str">
        <v>Damaged Stock</v>
      </c>
      <c r="F123" s="45" t="n">
        <v>8</v>
      </c>
      <c r="G123" s="40" t="str">
        <v>[Code: 35578B] TA: found in loose conditon during sorting(company end issue)</v>
      </c>
      <c r="H123" s="39" t="str">
        <v>Taufeeq Akhtar </v>
      </c>
      <c r="I123" s="39" t="str">
        <f aca="false">IF(ISBLANK(H123),"", IF($H$2:$H1622 = "Gohar Rehan","Overnight",IF($H$2:$H1622 = "Taufeeq Akhtar ","Overnight",IF($H$2:$H1622 = "Zeeshan Ali Malik","Audit",IF($H$2:$H1622 = "Ali Raza ","Receiving",IF($H$2:$H1622 = "Ali Ahmad","Full-In"))))))</f>
        <v>Overnight</v>
      </c>
      <c r="J123" s="29"/>
      <c r="K123" s="40" t="s">
        <v>2282</v>
      </c>
      <c r="L123" s="40" t="s">
        <v>2268</v>
      </c>
      <c r="M123" s="45" t="n">
        <v>8</v>
      </c>
      <c r="N123" s="39" t="s">
        <v>2212</v>
      </c>
      <c r="O123" s="42" t="b">
        <f aca="false">TRUE()</f>
        <v>1</v>
      </c>
      <c r="P123" s="20" t="n">
        <v>755</v>
      </c>
      <c r="Q123" s="45" t="n">
        <v>6040</v>
      </c>
      <c r="R123" s="43" t="n">
        <v>45063</v>
      </c>
      <c r="S123" s="20" t="str">
        <v>Beverages</v>
      </c>
    </row>
    <row r="124" customFormat="false" ht="15.75" hidden="false" customHeight="false" outlineLevel="0" collapsed="false">
      <c r="A124" s="39" t="str">
        <v>2789DE</v>
      </c>
      <c r="B124" s="44" t="str">
        <v>Thu,18-May-2023 ,01:03 AM</v>
      </c>
      <c r="C124" s="39" t="str">
        <v>Coca Cola plastic 500ml (Half Liter)</v>
      </c>
      <c r="D124" s="39" t="str">
        <v>Coca Cola</v>
      </c>
      <c r="E124" s="39" t="str">
        <v>Damaged Stock</v>
      </c>
      <c r="F124" s="45" t="n">
        <v>1</v>
      </c>
      <c r="G124" s="40" t="str">
        <v>[Code: 2789DE] TA; Stock sy damage mila he sorting ky doran</v>
      </c>
      <c r="H124" s="39" t="str">
        <v>Taufeeq Akhtar </v>
      </c>
      <c r="I124" s="39" t="str">
        <f aca="false">IF(ISBLANK(H124),"", IF($H$2:$H1623 = "Gohar Rehan","Overnight",IF($H$2:$H1623 = "Taufeeq Akhtar ","Overnight",IF($H$2:$H1623 = "Zeeshan Ali Malik","Audit",IF($H$2:$H1623 = "Ali Raza ","Receiving",IF($H$2:$H1623 = "Ali Ahmad","Full-In"))))))</f>
        <v>Overnight</v>
      </c>
      <c r="J124" s="29"/>
      <c r="K124" s="40" t="s">
        <v>2282</v>
      </c>
      <c r="L124" s="40" t="s">
        <v>2268</v>
      </c>
      <c r="M124" s="45" t="n">
        <v>1</v>
      </c>
      <c r="N124" s="39" t="s">
        <v>2212</v>
      </c>
      <c r="O124" s="42" t="b">
        <f aca="false">TRUE()</f>
        <v>1</v>
      </c>
      <c r="P124" s="20" t="n">
        <v>773</v>
      </c>
      <c r="Q124" s="45" t="n">
        <v>773</v>
      </c>
      <c r="R124" s="43" t="n">
        <v>45064</v>
      </c>
      <c r="S124" s="20" t="str">
        <v>Beverages</v>
      </c>
    </row>
    <row r="125" customFormat="false" ht="15.75" hidden="false" customHeight="false" outlineLevel="0" collapsed="false">
      <c r="A125" s="39" t="str">
        <v>49ADGH</v>
      </c>
      <c r="B125" s="44" t="str">
        <v>Thu,18-May-2023 ,12:17 PM</v>
      </c>
      <c r="C125" s="39" t="str">
        <v>Bold Deodorant Body Spray Prime 150ml</v>
      </c>
      <c r="D125" s="39" t="str">
        <v>Bold</v>
      </c>
      <c r="E125" s="39" t="str">
        <v>Damaged Stock</v>
      </c>
      <c r="F125" s="45" t="n">
        <v>1</v>
      </c>
      <c r="G125" s="40" t="str">
        <v>[Code: 49ADGH] 01 unit found low fill liquid (Quality Issue)</v>
      </c>
      <c r="H125" s="39" t="str">
        <v>Ali Raza </v>
      </c>
      <c r="I125" s="39" t="str">
        <f aca="false">IF(ISBLANK(H125),"", IF($H$2:$H1624 = "Gohar Rehan","Overnight",IF($H$2:$H1624 = "Taufeeq Akhtar ","Overnight",IF($H$2:$H1624 = "Zeeshan Ali Malik","Audit",IF($H$2:$H1624 = "Ali Raza ","Receiving",IF($H$2:$H1624 = "Ali Ahmad","Full-In"))))))</f>
        <v>Receiving</v>
      </c>
      <c r="J125" s="29"/>
      <c r="K125" s="40" t="s">
        <v>2215</v>
      </c>
      <c r="L125" s="40" t="s">
        <v>2283</v>
      </c>
      <c r="M125" s="41"/>
      <c r="N125" s="39" t="s">
        <v>2250</v>
      </c>
      <c r="O125" s="46" t="b">
        <f aca="false">FALSE()</f>
        <v>0</v>
      </c>
      <c r="P125" s="20" t="n">
        <v>323</v>
      </c>
      <c r="Q125" s="45" t="n">
        <v>323</v>
      </c>
      <c r="R125" s="43" t="n">
        <v>45064</v>
      </c>
      <c r="S125" s="20" t="str">
        <v>Personal Care</v>
      </c>
    </row>
    <row r="126" customFormat="false" ht="15.75" hidden="false" customHeight="false" outlineLevel="0" collapsed="false">
      <c r="A126" s="39" t="str">
        <v>359BCD</v>
      </c>
      <c r="B126" s="44" t="str">
        <v>Fri,19-May-2023 ,06:31 PM</v>
      </c>
      <c r="C126" s="39" t="str">
        <v>Coca Cola plastic 1.5L</v>
      </c>
      <c r="D126" s="39" t="str">
        <v>Coca Cola</v>
      </c>
      <c r="E126" s="39" t="str">
        <v>Damaged Stock</v>
      </c>
      <c r="F126" s="45" t="n">
        <v>3</v>
      </c>
      <c r="G126" s="40" t="str">
        <v>[Code: 359BCD] TA: Found in loose condition during sorting</v>
      </c>
      <c r="H126" s="39" t="str">
        <v>Taufeeq Akhtar </v>
      </c>
      <c r="I126" s="39" t="str">
        <f aca="false">IF(ISBLANK(H126),"", IF($H$2:$H1625 = "Gohar Rehan","Overnight",IF($H$2:$H1625 = "Taufeeq Akhtar ","Overnight",IF($H$2:$H1625 = "Zeeshan Ali Malik","Audit",IF($H$2:$H1625 = "Ali Raza ","Receiving",IF($H$2:$H1625 = "Ali Ahmad","Full-In"))))))</f>
        <v>Overnight</v>
      </c>
      <c r="J126" s="29"/>
      <c r="K126" s="40" t="s">
        <v>2282</v>
      </c>
      <c r="L126" s="40" t="s">
        <v>2268</v>
      </c>
      <c r="M126" s="45" t="n">
        <v>3</v>
      </c>
      <c r="N126" s="39" t="s">
        <v>2212</v>
      </c>
      <c r="O126" s="42" t="b">
        <f aca="false">TRUE()</f>
        <v>1</v>
      </c>
      <c r="P126" s="20" t="n">
        <v>755</v>
      </c>
      <c r="Q126" s="45" t="n">
        <v>2265</v>
      </c>
      <c r="R126" s="43" t="n">
        <v>45065</v>
      </c>
      <c r="S126" s="20" t="str">
        <v>Beverages</v>
      </c>
    </row>
    <row r="127" customFormat="false" ht="15.75" hidden="false" customHeight="false" outlineLevel="0" collapsed="false">
      <c r="A127" s="39" t="str">
        <v>8BCDDF</v>
      </c>
      <c r="B127" s="44" t="str">
        <v>Fri,19-May-2023 ,07:20 PM</v>
      </c>
      <c r="C127" s="39" t="str">
        <v>Coca Cola plastic 1.5L</v>
      </c>
      <c r="D127" s="39" t="str">
        <v>Coca Cola</v>
      </c>
      <c r="E127" s="39" t="str">
        <v>Damaged Stock</v>
      </c>
      <c r="F127" s="45" t="n">
        <v>2</v>
      </c>
      <c r="G127" s="40" t="str">
        <v>[Code: 8BCDDF] TA: found in loose condtions during sorting.</v>
      </c>
      <c r="H127" s="39" t="str">
        <v>Taufeeq Akhtar </v>
      </c>
      <c r="I127" s="39" t="str">
        <f aca="false">IF(ISBLANK(H127),"", IF($H$2:$H1626 = "Gohar Rehan","Overnight",IF($H$2:$H1626 = "Taufeeq Akhtar ","Overnight",IF($H$2:$H1626 = "Zeeshan Ali Malik","Audit",IF($H$2:$H1626 = "Ali Raza ","Receiving",IF($H$2:$H1626 = "Ali Ahmad","Full-In"))))))</f>
        <v>Overnight</v>
      </c>
      <c r="J127" s="29"/>
      <c r="K127" s="40" t="s">
        <v>2282</v>
      </c>
      <c r="L127" s="40" t="s">
        <v>2268</v>
      </c>
      <c r="M127" s="45" t="n">
        <v>2</v>
      </c>
      <c r="N127" s="39" t="s">
        <v>2212</v>
      </c>
      <c r="O127" s="42" t="b">
        <f aca="false">TRUE()</f>
        <v>1</v>
      </c>
      <c r="P127" s="20" t="n">
        <v>755</v>
      </c>
      <c r="Q127" s="45" t="n">
        <v>1510</v>
      </c>
      <c r="R127" s="43" t="n">
        <v>45065</v>
      </c>
      <c r="S127" s="20" t="str">
        <v>Beverages</v>
      </c>
    </row>
    <row r="128" customFormat="false" ht="15.75" hidden="false" customHeight="false" outlineLevel="0" collapsed="false">
      <c r="A128" s="39" t="str">
        <v>25888A</v>
      </c>
      <c r="B128" s="44" t="str">
        <v>Sat,20-May-2023 ,08:01 PM</v>
      </c>
      <c r="C128" s="39" t="str">
        <v>Quality Grains Daal Chana Budget 500g</v>
      </c>
      <c r="D128" s="39" t="str">
        <v>Quality Grains</v>
      </c>
      <c r="E128" s="39" t="str">
        <v>Damaged Stock</v>
      </c>
      <c r="F128" s="45" t="n">
        <v>53</v>
      </c>
      <c r="G128" s="40" t="str">
        <v>[Code: 25888A] ZA: Stock removed due to Quality Issue(Found Fungus)</v>
      </c>
      <c r="H128" s="39" t="str">
        <v>Zeeshan Ali Malik</v>
      </c>
      <c r="I128" s="39" t="str">
        <f aca="false">IF(ISBLANK(H128),"", IF($H$2:$H1627 = "Gohar Rehan","Overnight",IF($H$2:$H1627 = "Taufeeq Akhtar ","Overnight",IF($H$2:$H1627 = "Zeeshan Ali Malik","Audit",IF($H$2:$H1627 = "Ali Raza ","Receiving",IF($H$2:$H1627 = "Ali Ahmad","Full-In"))))))</f>
        <v>Audit</v>
      </c>
      <c r="J128" s="29"/>
      <c r="K128" s="40" t="s">
        <v>2215</v>
      </c>
      <c r="L128" s="40" t="s">
        <v>2268</v>
      </c>
      <c r="M128" s="41"/>
      <c r="N128" s="39" t="s">
        <v>2212</v>
      </c>
      <c r="O128" s="46" t="b">
        <f aca="false">FALSE()</f>
        <v>0</v>
      </c>
      <c r="P128" s="20" t="n">
        <v>116</v>
      </c>
      <c r="Q128" s="45" t="n">
        <v>6148</v>
      </c>
      <c r="R128" s="43" t="n">
        <v>45066</v>
      </c>
      <c r="S128" s="20" t="str">
        <v>Pulses</v>
      </c>
    </row>
    <row r="129" customFormat="false" ht="15.75" hidden="false" customHeight="false" outlineLevel="0" collapsed="false">
      <c r="A129" s="39" t="str">
        <v>334489</v>
      </c>
      <c r="B129" s="44" t="str">
        <v>Sat,20-May-2023 ,11:01 PM</v>
      </c>
      <c r="C129" s="39" t="str">
        <v>Shangrila Mango Pickle Jar 1kg (Purple Jar Large)</v>
      </c>
      <c r="D129" s="39" t="str">
        <v>Shangrila</v>
      </c>
      <c r="E129" s="39" t="str">
        <v>Damaged Stock</v>
      </c>
      <c r="F129" s="45" t="n">
        <v>1</v>
      </c>
      <c r="G129" s="40" t="str">
        <v>[Code: 334489] TA: sorting kay doran damage hua;</v>
      </c>
      <c r="H129" s="39" t="str">
        <v>Daniyal Ahmad</v>
      </c>
      <c r="I129" s="49" t="b">
        <f aca="false">IF(ISBLANK(H129),"", IF($H$2:$H1628 = "Gohar Rehan","Overnight",IF($H$2:$H1628 = "Taufeeq Akhtar ","Overnight",IF($H$2:$H1628 = "Zeeshan Ali Malik","Audit",IF($H$2:$H1628 = "Ali Raza ","Receiving",IF($H$2:$H1628 = "Ali Ahmad","Full-In"))))))</f>
        <v>0</v>
      </c>
      <c r="J129" s="29"/>
      <c r="K129" s="40" t="s">
        <v>2215</v>
      </c>
      <c r="L129" s="40" t="s">
        <v>2268</v>
      </c>
      <c r="M129" s="45" t="n">
        <v>1</v>
      </c>
      <c r="N129" s="39" t="s">
        <v>2212</v>
      </c>
      <c r="O129" s="42" t="b">
        <f aca="false">TRUE()</f>
        <v>1</v>
      </c>
      <c r="P129" s="20" t="n">
        <v>484.71</v>
      </c>
      <c r="Q129" s="45" t="n">
        <v>484.71</v>
      </c>
      <c r="R129" s="43" t="n">
        <v>45066</v>
      </c>
      <c r="S129" s="20" t="str">
        <v>Sauces</v>
      </c>
    </row>
    <row r="130" customFormat="false" ht="15.75" hidden="false" customHeight="false" outlineLevel="0" collapsed="false">
      <c r="A130" s="39" t="str">
        <v>225578</v>
      </c>
      <c r="B130" s="44" t="str">
        <v>Mon,22-May-2023 ,09:33 PM</v>
      </c>
      <c r="C130" s="39" t="str">
        <v>Coca Cola plastic 1.5L</v>
      </c>
      <c r="D130" s="39" t="str">
        <v>Coca Cola</v>
      </c>
      <c r="E130" s="39" t="str">
        <v>Damaged Stock</v>
      </c>
      <c r="F130" s="45" t="n">
        <v>1</v>
      </c>
      <c r="G130" s="40" t="str">
        <v>[Code: 225578] TA:Found in loose condtion during sorting.</v>
      </c>
      <c r="H130" s="39" t="str">
        <v>Taufeeq Akhtar </v>
      </c>
      <c r="I130" s="39" t="str">
        <f aca="false">IF(ISBLANK(H130),"", IF($H$2:$H1629 = "Gohar Rehan","Overnight",IF($H$2:$H1629 = "Taufeeq Akhtar ","Overnight",IF($H$2:$H1629 = "Zeeshan Ali Malik","Audit",IF($H$2:$H1629 = "Ali Raza ","Receiving",IF($H$2:$H1629 = "Ali Ahmad","Full-In"))))))</f>
        <v>Overnight</v>
      </c>
      <c r="J130" s="29"/>
      <c r="K130" s="40" t="s">
        <v>2284</v>
      </c>
      <c r="L130" s="40" t="s">
        <v>2268</v>
      </c>
      <c r="M130" s="45" t="n">
        <v>1</v>
      </c>
      <c r="N130" s="39" t="s">
        <v>2212</v>
      </c>
      <c r="O130" s="42" t="b">
        <f aca="false">TRUE()</f>
        <v>1</v>
      </c>
      <c r="P130" s="20" t="n">
        <v>755</v>
      </c>
      <c r="Q130" s="45" t="n">
        <v>755</v>
      </c>
      <c r="R130" s="43" t="n">
        <v>45068</v>
      </c>
      <c r="S130" s="20" t="str">
        <v>Beverages</v>
      </c>
    </row>
    <row r="131" customFormat="false" ht="15.75" hidden="false" customHeight="false" outlineLevel="0" collapsed="false">
      <c r="A131" s="39" t="str">
        <v>344568</v>
      </c>
      <c r="B131" s="44" t="str">
        <v>Tue,23-May-2023 ,09:05 PM</v>
      </c>
      <c r="C131" s="39" t="str">
        <v>Seasly Water 1.5L</v>
      </c>
      <c r="D131" s="39" t="str">
        <v>Seasly Water</v>
      </c>
      <c r="E131" s="39" t="str">
        <v>Damaged Stock</v>
      </c>
      <c r="F131" s="45" t="n">
        <v>1</v>
      </c>
      <c r="G131" s="40" t="str">
        <v>[Code: 344568] TA: damaged during sorting.</v>
      </c>
      <c r="H131" s="39" t="str">
        <v>Taufeeq Akhtar </v>
      </c>
      <c r="I131" s="39" t="str">
        <f aca="false">IF(ISBLANK(H131),"", IF($H$2:$H1630 = "Gohar Rehan","Overnight",IF($H$2:$H1630 = "Taufeeq Akhtar ","Overnight",IF($H$2:$H1630 = "Zeeshan Ali Malik","Audit",IF($H$2:$H1630 = "Ali Raza ","Receiving",IF($H$2:$H1630 = "Ali Ahmad","Full-In"))))))</f>
        <v>Overnight</v>
      </c>
      <c r="J131" s="29"/>
      <c r="K131" s="40" t="s">
        <v>2284</v>
      </c>
      <c r="L131" s="40" t="s">
        <v>2268</v>
      </c>
      <c r="M131" s="41" t="n">
        <v>1</v>
      </c>
      <c r="N131" s="39" t="s">
        <v>2212</v>
      </c>
      <c r="O131" s="42" t="b">
        <f aca="false">TRUE()</f>
        <v>1</v>
      </c>
      <c r="P131" s="20" t="n">
        <v>170</v>
      </c>
      <c r="Q131" s="45" t="n">
        <v>170</v>
      </c>
      <c r="R131" s="43" t="n">
        <v>45069</v>
      </c>
      <c r="S131" s="20" t="str">
        <v>Beverages</v>
      </c>
    </row>
    <row r="132" customFormat="false" ht="15.75" hidden="false" customHeight="false" outlineLevel="0" collapsed="false">
      <c r="A132" s="39" t="str">
        <v>5699BE</v>
      </c>
      <c r="B132" s="44" t="str">
        <v>Tue,23-May-2023 ,09:07 PM</v>
      </c>
      <c r="C132" s="39" t="str">
        <v>Coca Cola plastic 1.5L</v>
      </c>
      <c r="D132" s="39" t="str">
        <v>Coca Cola</v>
      </c>
      <c r="E132" s="39" t="str">
        <v>Damaged Stock</v>
      </c>
      <c r="F132" s="45" t="n">
        <v>2</v>
      </c>
      <c r="G132" s="40" t="str">
        <v>[Code: 5699BE] TA: Found in loose conditon (company end issue)</v>
      </c>
      <c r="H132" s="39" t="str">
        <v>Taufeeq Akhtar </v>
      </c>
      <c r="I132" s="39" t="str">
        <f aca="false">IF(ISBLANK(H132),"", IF($H$2:$H1631 = "Gohar Rehan","Overnight",IF($H$2:$H1631 = "Taufeeq Akhtar ","Overnight",IF($H$2:$H1631 = "Zeeshan Ali Malik","Audit",IF($H$2:$H1631 = "Ali Raza ","Receiving",IF($H$2:$H1631 = "Ali Ahmad","Full-In"))))))</f>
        <v>Overnight</v>
      </c>
      <c r="J132" s="29"/>
      <c r="K132" s="40" t="s">
        <v>2284</v>
      </c>
      <c r="L132" s="40" t="s">
        <v>2268</v>
      </c>
      <c r="M132" s="45" t="n">
        <v>2</v>
      </c>
      <c r="N132" s="39" t="s">
        <v>2212</v>
      </c>
      <c r="O132" s="42" t="b">
        <f aca="false">TRUE()</f>
        <v>1</v>
      </c>
      <c r="P132" s="20" t="n">
        <v>755</v>
      </c>
      <c r="Q132" s="45" t="n">
        <v>1510</v>
      </c>
      <c r="R132" s="43" t="n">
        <v>45069</v>
      </c>
      <c r="S132" s="20" t="str">
        <v>Beverages</v>
      </c>
    </row>
    <row r="133" customFormat="false" ht="15.75" hidden="false" customHeight="false" outlineLevel="0" collapsed="false">
      <c r="A133" s="39" t="str">
        <v>368AHH</v>
      </c>
      <c r="B133" s="44" t="str">
        <v>Wed,24-May-2023 ,05:01 PM</v>
      </c>
      <c r="C133" s="39" t="str">
        <v>Lemon Max Liquid Regular Bottle 475ml Rs260</v>
      </c>
      <c r="D133" s="39" t="str">
        <v>Lemon Max</v>
      </c>
      <c r="E133" s="39" t="str">
        <v>Damaged Stock</v>
      </c>
      <c r="F133" s="45" t="n">
        <v>1</v>
      </c>
      <c r="G133" s="40" t="str">
        <v>[Code: 368AHH] 01 unit found damaged from CTN (Cap Damaged)</v>
      </c>
      <c r="H133" s="39" t="str">
        <v>Ali Raza </v>
      </c>
      <c r="I133" s="39" t="str">
        <f aca="false">IF(ISBLANK(H133),"", IF($H$2:$H1632 = "Gohar Rehan","Overnight",IF($H$2:$H1632 = "Taufeeq Akhtar ","Overnight",IF($H$2:$H1632 = "Zeeshan Ali Malik","Audit",IF($H$2:$H1632 = "Ali Raza ","Receiving",IF($H$2:$H1632 = "Ali Ahmad","Full-In"))))))</f>
        <v>Receiving</v>
      </c>
      <c r="J133" s="29"/>
      <c r="K133" s="40" t="s">
        <v>2215</v>
      </c>
      <c r="L133" s="47" t="s">
        <v>2233</v>
      </c>
      <c r="M133" s="41" t="n">
        <v>1</v>
      </c>
      <c r="N133" s="39" t="s">
        <v>2212</v>
      </c>
      <c r="O133" s="42" t="b">
        <f aca="false">TRUE()</f>
        <v>1</v>
      </c>
      <c r="P133" s="20" t="n">
        <v>239.66</v>
      </c>
      <c r="Q133" s="45" t="n">
        <v>239.66</v>
      </c>
      <c r="R133" s="43" t="n">
        <v>45070</v>
      </c>
      <c r="S133" s="20" t="str">
        <v>Home Care</v>
      </c>
    </row>
    <row r="134" customFormat="false" ht="15.75" hidden="false" customHeight="false" outlineLevel="0" collapsed="false">
      <c r="A134" s="39" t="str">
        <v>224679</v>
      </c>
      <c r="B134" s="44" t="str">
        <v>Wed,24-May-2023 ,09:55 PM</v>
      </c>
      <c r="C134" s="39" t="str">
        <v>Coca Cola plastic 1.5L</v>
      </c>
      <c r="D134" s="39" t="str">
        <v>Coca Cola</v>
      </c>
      <c r="E134" s="39" t="str">
        <v>Damaged Stock</v>
      </c>
      <c r="F134" s="45" t="n">
        <v>1</v>
      </c>
      <c r="G134" s="40" t="str">
        <v>[Code: 224679] TA: found in loose condition and emply botels(Company end issue)</v>
      </c>
      <c r="H134" s="39" t="str">
        <v>Taufeeq Akhtar </v>
      </c>
      <c r="I134" s="39" t="str">
        <f aca="false">IF(ISBLANK(H134),"", IF($H$2:$H1633 = "Gohar Rehan","Overnight",IF($H$2:$H1633 = "Taufeeq Akhtar ","Overnight",IF($H$2:$H1633 = "Zeeshan Ali Malik","Audit",IF($H$2:$H1633 = "Ali Raza ","Receiving",IF($H$2:$H1633 = "Ali Ahmad","Full-In"))))))</f>
        <v>Overnight</v>
      </c>
      <c r="J134" s="29"/>
      <c r="K134" s="40" t="s">
        <v>2284</v>
      </c>
      <c r="L134" s="40" t="s">
        <v>2268</v>
      </c>
      <c r="M134" s="45" t="n">
        <v>1</v>
      </c>
      <c r="N134" s="39" t="s">
        <v>2212</v>
      </c>
      <c r="O134" s="42" t="b">
        <f aca="false">TRUE()</f>
        <v>1</v>
      </c>
      <c r="P134" s="20" t="n">
        <v>755</v>
      </c>
      <c r="Q134" s="45" t="n">
        <v>755</v>
      </c>
      <c r="R134" s="43" t="n">
        <v>45070</v>
      </c>
      <c r="S134" s="20" t="str">
        <v>Beverages</v>
      </c>
    </row>
    <row r="135" customFormat="false" ht="15.75" hidden="false" customHeight="false" outlineLevel="0" collapsed="false">
      <c r="A135" s="39" t="str">
        <v>2999AC</v>
      </c>
      <c r="B135" s="44" t="str">
        <v>Wed,24-May-2023 ,10:27 PM</v>
      </c>
      <c r="C135" s="39" t="str">
        <v>Bonus tristar yellow surf 250g Rs50</v>
      </c>
      <c r="D135" s="39" t="str">
        <v>Bonus Surf</v>
      </c>
      <c r="E135" s="39" t="str">
        <v>Damaged Stock</v>
      </c>
      <c r="F135" s="45" t="n">
        <v>2</v>
      </c>
      <c r="G135" s="40" t="str">
        <v>[Code: 2999AC] TA; Bags sy sorting ky doran damage mily hain</v>
      </c>
      <c r="H135" s="39" t="str">
        <v>Taufeeq Akhtar </v>
      </c>
      <c r="I135" s="39" t="str">
        <f aca="false">IF(ISBLANK(H135),"", IF($H$2:$H1634 = "Gohar Rehan","Overnight",IF($H$2:$H1634 = "Taufeeq Akhtar ","Overnight",IF($H$2:$H1634 = "Zeeshan Ali Malik","Audit",IF($H$2:$H1634 = "Ali Raza ","Receiving",IF($H$2:$H1634 = "Ali Ahmad","Full-In"))))))</f>
        <v>Overnight</v>
      </c>
      <c r="J135" s="29"/>
      <c r="K135" s="40" t="s">
        <v>2215</v>
      </c>
      <c r="L135" s="47" t="s">
        <v>2233</v>
      </c>
      <c r="M135" s="45" t="n">
        <v>2</v>
      </c>
      <c r="N135" s="39" t="s">
        <v>2212</v>
      </c>
      <c r="O135" s="42" t="b">
        <f aca="false">TRUE()</f>
        <v>1</v>
      </c>
      <c r="P135" s="20" t="n">
        <v>45.59</v>
      </c>
      <c r="Q135" s="45" t="n">
        <v>91.18</v>
      </c>
      <c r="R135" s="43" t="n">
        <v>45070</v>
      </c>
      <c r="S135" s="20" t="str">
        <v>Surf, Bleach</v>
      </c>
    </row>
    <row r="136" customFormat="false" ht="15.75" hidden="false" customHeight="false" outlineLevel="0" collapsed="false">
      <c r="A136" s="39" t="str">
        <v>34455F</v>
      </c>
      <c r="B136" s="44" t="str">
        <v>Fri,26-May-2023 ,11:19 AM</v>
      </c>
      <c r="C136" s="39" t="str">
        <v>Coca Cola plastic 1.5L</v>
      </c>
      <c r="D136" s="39" t="str">
        <v>Coca Cola</v>
      </c>
      <c r="E136" s="39" t="str">
        <v>Damaged Stock</v>
      </c>
      <c r="F136" s="45" t="n">
        <v>3</v>
      </c>
      <c r="G136" s="40" t="str">
        <v>[Code: 34455F] TA: found in loose condition and emply botels(Company end issue)</v>
      </c>
      <c r="H136" s="39" t="str">
        <v>Taufeeq Akhtar </v>
      </c>
      <c r="I136" s="39" t="str">
        <f aca="false">IF(ISBLANK(H136),"", IF($H$2:$H1635 = "Gohar Rehan","Overnight",IF($H$2:$H1635 = "Taufeeq Akhtar ","Overnight",IF($H$2:$H1635 = "Zeeshan Ali Malik","Audit",IF($H$2:$H1635 = "Ali Raza ","Receiving",IF($H$2:$H1635 = "Ali Ahmad","Full-In"))))))</f>
        <v>Overnight</v>
      </c>
      <c r="J136" s="29"/>
      <c r="K136" s="40" t="s">
        <v>2285</v>
      </c>
      <c r="L136" s="40" t="s">
        <v>2268</v>
      </c>
      <c r="M136" s="45" t="n">
        <v>3</v>
      </c>
      <c r="N136" s="39" t="s">
        <v>2212</v>
      </c>
      <c r="O136" s="42" t="b">
        <f aca="false">TRUE()</f>
        <v>1</v>
      </c>
      <c r="P136" s="20" t="n">
        <v>755</v>
      </c>
      <c r="Q136" s="45" t="n">
        <v>2265</v>
      </c>
      <c r="R136" s="43" t="n">
        <v>45072</v>
      </c>
      <c r="S136" s="20" t="str">
        <v>Beverages</v>
      </c>
    </row>
    <row r="137" customFormat="false" ht="15.75" hidden="false" customHeight="false" outlineLevel="0" collapsed="false">
      <c r="A137" s="39" t="str">
        <v>2BEGLQ</v>
      </c>
      <c r="B137" s="44" t="str">
        <v>Fri,26-May-2023 ,06:39 PM</v>
      </c>
      <c r="C137" s="39" t="str">
        <v>Coca Cola plastic 1.5L</v>
      </c>
      <c r="D137" s="39" t="str">
        <v>Coca Cola</v>
      </c>
      <c r="E137" s="39" t="str">
        <v>Damaged Stock</v>
      </c>
      <c r="F137" s="45" t="n">
        <v>2</v>
      </c>
      <c r="G137" s="40" t="str">
        <v>[Code: 2BEGLQ] TA: found in loose condition and empty botels(Company end issue)</v>
      </c>
      <c r="H137" s="39" t="str">
        <v>Taufeeq Akhtar </v>
      </c>
      <c r="I137" s="39" t="str">
        <f aca="false">IF(ISBLANK(H137),"", IF($H$2:$H1636 = "Gohar Rehan","Overnight",IF($H$2:$H1636 = "Taufeeq Akhtar ","Overnight",IF($H$2:$H1636 = "Zeeshan Ali Malik","Audit",IF($H$2:$H1636 = "Ali Raza ","Receiving",IF($H$2:$H1636 = "Ali Ahmad","Full-In"))))))</f>
        <v>Overnight</v>
      </c>
      <c r="J137" s="29"/>
      <c r="K137" s="40" t="s">
        <v>2285</v>
      </c>
      <c r="L137" s="40" t="s">
        <v>2268</v>
      </c>
      <c r="M137" s="45" t="n">
        <v>2</v>
      </c>
      <c r="N137" s="39" t="s">
        <v>2212</v>
      </c>
      <c r="O137" s="42" t="b">
        <f aca="false">TRUE()</f>
        <v>1</v>
      </c>
      <c r="P137" s="20" t="n">
        <v>755</v>
      </c>
      <c r="Q137" s="45" t="n">
        <v>1510</v>
      </c>
      <c r="R137" s="43" t="n">
        <v>45072</v>
      </c>
      <c r="S137" s="20" t="str">
        <v>Beverages</v>
      </c>
    </row>
    <row r="138" customFormat="false" ht="15.75" hidden="false" customHeight="false" outlineLevel="0" collapsed="false">
      <c r="A138" s="39" t="str">
        <v>226BDF</v>
      </c>
      <c r="B138" s="44" t="str">
        <v>Sat,27-May-2023 ,11:26 AM</v>
      </c>
      <c r="C138" s="39" t="str">
        <v>Kashmir Cooking Oil 1L x5 Polybags</v>
      </c>
      <c r="D138" s="39" t="str">
        <v>Kashmir</v>
      </c>
      <c r="E138" s="39" t="str">
        <v>Damaged Stock</v>
      </c>
      <c r="F138" s="45" t="n">
        <v>1</v>
      </c>
      <c r="G138" s="40" t="str">
        <v>[Code: 226BDF] 01 unit found damaged (1 pouch leak in ctn)</v>
      </c>
      <c r="H138" s="39" t="str">
        <v>Ali Raza </v>
      </c>
      <c r="I138" s="39" t="str">
        <f aca="false">IF(ISBLANK(H138),"", IF($H$2:$H1637 = "Gohar Rehan","Overnight",IF($H$2:$H1637 = "Taufeeq Akhtar ","Overnight",IF($H$2:$H1637 = "Zeeshan Ali Malik","Audit",IF($H$2:$H1637 = "Ali Raza ","Receiving",IF($H$2:$H1637 = "Ali Ahmad","Full-In"))))))</f>
        <v>Receiving</v>
      </c>
      <c r="J138" s="29"/>
      <c r="K138" s="40" t="s">
        <v>2286</v>
      </c>
      <c r="L138" s="40" t="s">
        <v>2287</v>
      </c>
      <c r="M138" s="41"/>
      <c r="N138" s="39" t="s">
        <v>2250</v>
      </c>
      <c r="O138" s="46" t="b">
        <f aca="false">FALSE()</f>
        <v>0</v>
      </c>
      <c r="P138" s="20" t="n">
        <v>3214.33</v>
      </c>
      <c r="Q138" s="45" t="n">
        <v>3214.33</v>
      </c>
      <c r="R138" s="43" t="n">
        <v>45073</v>
      </c>
      <c r="S138" s="20" t="str">
        <v>Ghee and Oil</v>
      </c>
    </row>
    <row r="139" customFormat="false" ht="15.75" hidden="false" customHeight="false" outlineLevel="0" collapsed="false">
      <c r="A139" s="39" t="str">
        <v>333357</v>
      </c>
      <c r="B139" s="44" t="str">
        <v>Sat,27-May-2023 ,12:25 PM</v>
      </c>
      <c r="C139" s="39" t="str">
        <v>Sherdil Daal Mash Wash 5kg</v>
      </c>
      <c r="D139" s="39" t="str">
        <v>Sherdil</v>
      </c>
      <c r="E139" s="39" t="str">
        <v>Damaged Stock</v>
      </c>
      <c r="F139" s="45" t="n">
        <v>1</v>
      </c>
      <c r="G139" s="40" t="str">
        <v>[Code: 333357] 01 unit found damaged due to fungus</v>
      </c>
      <c r="H139" s="39" t="str">
        <v>Ali Raza </v>
      </c>
      <c r="I139" s="39" t="str">
        <f aca="false">IF(ISBLANK(H139),"", IF($H$2:$H1638 = "Gohar Rehan","Overnight",IF($H$2:$H1638 = "Taufeeq Akhtar ","Overnight",IF($H$2:$H1638 = "Zeeshan Ali Malik","Audit",IF($H$2:$H1638 = "Ali Raza ","Receiving",IF($H$2:$H1638 = "Ali Ahmad","Full-In"))))))</f>
        <v>Receiving</v>
      </c>
      <c r="J139" s="29"/>
      <c r="K139" s="40" t="s">
        <v>2215</v>
      </c>
      <c r="L139" s="40" t="s">
        <v>2283</v>
      </c>
      <c r="M139" s="41"/>
      <c r="N139" s="39" t="s">
        <v>2212</v>
      </c>
      <c r="O139" s="46" t="b">
        <f aca="false">FALSE()</f>
        <v>0</v>
      </c>
      <c r="P139" s="20" t="n">
        <v>2500</v>
      </c>
      <c r="Q139" s="45" t="n">
        <v>2500</v>
      </c>
      <c r="R139" s="43" t="n">
        <v>45073</v>
      </c>
      <c r="S139" s="20" t="str">
        <v>Pulses</v>
      </c>
    </row>
    <row r="140" customFormat="false" ht="15.75" hidden="false" customHeight="false" outlineLevel="0" collapsed="false">
      <c r="A140" s="39" t="str">
        <v>3448CJ</v>
      </c>
      <c r="B140" s="44" t="str">
        <v>Sat,27-May-2023 ,12:28 PM</v>
      </c>
      <c r="C140" s="39" t="str">
        <v>Sherdil Masar Desi 1kg</v>
      </c>
      <c r="D140" s="39" t="str">
        <v>Sherdil</v>
      </c>
      <c r="E140" s="39" t="str">
        <v>Damaged Stock</v>
      </c>
      <c r="F140" s="45" t="n">
        <v>1</v>
      </c>
      <c r="G140" s="40" t="str">
        <v>[Code: 3448CJ] 01 unit found damaged due to fungus </v>
      </c>
      <c r="H140" s="39" t="str">
        <v>Ali Raza </v>
      </c>
      <c r="I140" s="39" t="str">
        <f aca="false">IF(ISBLANK(H140),"", IF($H$2:$H1639 = "Gohar Rehan","Overnight",IF($H$2:$H1639 = "Taufeeq Akhtar ","Overnight",IF($H$2:$H1639 = "Zeeshan Ali Malik","Audit",IF($H$2:$H1639 = "Ali Raza ","Receiving",IF($H$2:$H1639 = "Ali Ahmad","Full-In"))))))</f>
        <v>Receiving</v>
      </c>
      <c r="J140" s="29"/>
      <c r="K140" s="40" t="s">
        <v>2215</v>
      </c>
      <c r="L140" s="40" t="s">
        <v>2283</v>
      </c>
      <c r="M140" s="41"/>
      <c r="N140" s="39" t="s">
        <v>2212</v>
      </c>
      <c r="O140" s="46" t="b">
        <f aca="false">FALSE()</f>
        <v>0</v>
      </c>
      <c r="P140" s="20" t="n">
        <v>569</v>
      </c>
      <c r="Q140" s="45" t="n">
        <v>569</v>
      </c>
      <c r="R140" s="43" t="n">
        <v>45073</v>
      </c>
      <c r="S140" s="20" t="str">
        <v>Pulses</v>
      </c>
    </row>
    <row r="141" customFormat="false" ht="15.75" hidden="false" customHeight="false" outlineLevel="0" collapsed="false">
      <c r="A141" s="39" t="str">
        <v>44556H</v>
      </c>
      <c r="B141" s="44" t="str">
        <v>Sat,27-May-2023 ,12:29 PM</v>
      </c>
      <c r="C141" s="39" t="str">
        <v>Sherdil White Chana Bareek 500g</v>
      </c>
      <c r="D141" s="39" t="str">
        <v>Sherdil</v>
      </c>
      <c r="E141" s="39" t="str">
        <v>Damaged Stock</v>
      </c>
      <c r="F141" s="45" t="n">
        <v>1</v>
      </c>
      <c r="G141" s="40" t="str">
        <v>[Code: 44556H] 01 unit found damaged due to fungus</v>
      </c>
      <c r="H141" s="39" t="str">
        <v>Ali Raza </v>
      </c>
      <c r="I141" s="39" t="str">
        <f aca="false">IF(ISBLANK(H141),"", IF($H$2:$H1640 = "Gohar Rehan","Overnight",IF($H$2:$H1640 = "Taufeeq Akhtar ","Overnight",IF($H$2:$H1640 = "Zeeshan Ali Malik","Audit",IF($H$2:$H1640 = "Ali Raza ","Receiving",IF($H$2:$H1640 = "Ali Ahmad","Full-In"))))))</f>
        <v>Receiving</v>
      </c>
      <c r="J141" s="29"/>
      <c r="K141" s="40" t="s">
        <v>2215</v>
      </c>
      <c r="L141" s="40" t="s">
        <v>2283</v>
      </c>
      <c r="M141" s="41"/>
      <c r="N141" s="39" t="s">
        <v>2212</v>
      </c>
      <c r="O141" s="46" t="b">
        <f aca="false">FALSE()</f>
        <v>0</v>
      </c>
      <c r="P141" s="20" t="n">
        <v>195</v>
      </c>
      <c r="Q141" s="45" t="n">
        <v>195</v>
      </c>
      <c r="R141" s="43" t="n">
        <v>45073</v>
      </c>
      <c r="S141" s="20" t="str">
        <v>Pulses</v>
      </c>
    </row>
    <row r="142" customFormat="false" ht="15.75" hidden="false" customHeight="false" outlineLevel="0" collapsed="false">
      <c r="A142" s="39" t="str">
        <v>223356</v>
      </c>
      <c r="B142" s="44" t="str">
        <v>Sat,27-May-2023 ,12:29 PM</v>
      </c>
      <c r="C142" s="39" t="str">
        <v>Sherdil White Chana Bareek 5kg</v>
      </c>
      <c r="D142" s="39" t="str">
        <v>Sherdil</v>
      </c>
      <c r="E142" s="39" t="str">
        <v>Damaged Stock</v>
      </c>
      <c r="F142" s="45" t="n">
        <v>2</v>
      </c>
      <c r="G142" s="40" t="str">
        <v>[Code: 223356] 02 units found damaged due to fungus</v>
      </c>
      <c r="H142" s="39" t="str">
        <v>Ali Raza </v>
      </c>
      <c r="I142" s="39" t="str">
        <f aca="false">IF(ISBLANK(H142),"", IF($H$2:$H1641 = "Gohar Rehan","Overnight",IF($H$2:$H1641 = "Taufeeq Akhtar ","Overnight",IF($H$2:$H1641 = "Zeeshan Ali Malik","Audit",IF($H$2:$H1641 = "Ali Raza ","Receiving",IF($H$2:$H1641 = "Ali Ahmad","Full-In"))))))</f>
        <v>Receiving</v>
      </c>
      <c r="J142" s="29"/>
      <c r="K142" s="40" t="s">
        <v>2215</v>
      </c>
      <c r="L142" s="40" t="s">
        <v>2283</v>
      </c>
      <c r="M142" s="41"/>
      <c r="N142" s="39" t="s">
        <v>2212</v>
      </c>
      <c r="O142" s="46" t="b">
        <f aca="false">FALSE()</f>
        <v>0</v>
      </c>
      <c r="P142" s="20" t="n">
        <v>1800</v>
      </c>
      <c r="Q142" s="45" t="n">
        <v>3600</v>
      </c>
      <c r="R142" s="43" t="n">
        <v>45073</v>
      </c>
      <c r="S142" s="20" t="str">
        <v>Pulses</v>
      </c>
    </row>
    <row r="143" customFormat="false" ht="15.75" hidden="false" customHeight="false" outlineLevel="0" collapsed="false">
      <c r="A143" s="39" t="str">
        <v>566GHH</v>
      </c>
      <c r="B143" s="44" t="str">
        <v>Sat,27-May-2023 ,11:01 PM</v>
      </c>
      <c r="C143" s="39" t="str">
        <v>Swadi Dharra Mirch 2kg</v>
      </c>
      <c r="D143" s="39" t="str">
        <v>Swadi</v>
      </c>
      <c r="E143" s="39" t="str">
        <v>Damaged Stock</v>
      </c>
      <c r="F143" s="45" t="n">
        <v>2</v>
      </c>
      <c r="G143" s="40" t="str">
        <v>[Code: 566GHH] TA: quality bari kharab hay. ulli lagi hui hay.</v>
      </c>
      <c r="H143" s="39" t="str">
        <v>Taufeeq Akhtar </v>
      </c>
      <c r="I143" s="39" t="str">
        <f aca="false">IF(ISBLANK(H143),"", IF($H$2:$H1642 = "Gohar Rehan","Overnight",IF($H$2:$H1642 = "Taufeeq Akhtar ","Overnight",IF($H$2:$H1642 = "Zeeshan Ali Malik","Audit",IF($H$2:$H1642 = "Ali Raza ","Receiving",IF($H$2:$H1642 = "Ali Ahmad","Full-In"))))))</f>
        <v>Overnight</v>
      </c>
      <c r="J143" s="29"/>
      <c r="K143" s="40" t="s">
        <v>2215</v>
      </c>
      <c r="L143" s="40" t="s">
        <v>2283</v>
      </c>
      <c r="M143" s="41"/>
      <c r="N143" s="39" t="s">
        <v>2212</v>
      </c>
      <c r="O143" s="46" t="b">
        <f aca="false">FALSE()</f>
        <v>0</v>
      </c>
      <c r="P143" s="20" t="n">
        <v>1200</v>
      </c>
      <c r="Q143" s="45" t="n">
        <v>2400</v>
      </c>
      <c r="R143" s="43" t="n">
        <v>45073</v>
      </c>
      <c r="S143" s="20" t="str">
        <v>Spices</v>
      </c>
    </row>
    <row r="144" customFormat="false" ht="15.75" hidden="false" customHeight="false" outlineLevel="0" collapsed="false">
      <c r="A144" s="39" t="str">
        <v>ABDEHH</v>
      </c>
      <c r="B144" s="44" t="str">
        <v>Sun,28-May-2023 ,07:55 PM</v>
      </c>
      <c r="C144" s="39" t="str">
        <v>Coca Cola plastic 2.25L (Jumbo)</v>
      </c>
      <c r="D144" s="39" t="str">
        <v>Coca Cola</v>
      </c>
      <c r="E144" s="39" t="str">
        <v>Damaged Stock</v>
      </c>
      <c r="F144" s="45" t="n">
        <v>1</v>
      </c>
      <c r="G144" s="40" t="str">
        <v>[Code: ABDEHH] TA; 1unit Damage found During loading</v>
      </c>
      <c r="H144" s="39" t="str">
        <v>Taufeeq Akhtar </v>
      </c>
      <c r="I144" s="39" t="str">
        <f aca="false">IF(ISBLANK(H144),"", IF($H$2:$H1643 = "Gohar Rehan","Overnight",IF($H$2:$H1643 = "Taufeeq Akhtar ","Overnight",IF($H$2:$H1643 = "Zeeshan Ali Malik","Audit",IF($H$2:$H1643 = "Ali Raza ","Receiving",IF($H$2:$H1643 = "Ali Ahmad","Full-In"))))))</f>
        <v>Overnight</v>
      </c>
      <c r="J144" s="29"/>
      <c r="K144" s="40" t="s">
        <v>2285</v>
      </c>
      <c r="L144" s="40" t="s">
        <v>2268</v>
      </c>
      <c r="M144" s="45" t="n">
        <v>1</v>
      </c>
      <c r="N144" s="39" t="s">
        <v>2212</v>
      </c>
      <c r="O144" s="42" t="b">
        <f aca="false">TRUE()</f>
        <v>1</v>
      </c>
      <c r="P144" s="20" t="n">
        <v>1155</v>
      </c>
      <c r="Q144" s="45" t="n">
        <v>1155</v>
      </c>
      <c r="R144" s="43" t="n">
        <v>45074</v>
      </c>
      <c r="S144" s="20" t="str">
        <v>Beverages</v>
      </c>
    </row>
    <row r="145" customFormat="false" ht="15.75" hidden="false" customHeight="false" outlineLevel="0" collapsed="false">
      <c r="A145" s="39" t="str">
        <v>34567B</v>
      </c>
      <c r="B145" s="44" t="str">
        <v>Sun,28-May-2023 ,08:09 PM</v>
      </c>
      <c r="C145" s="39" t="str">
        <v>Sunridge Fortified Chakki Atta 5kg</v>
      </c>
      <c r="D145" s="39" t="str">
        <v>Sunridge</v>
      </c>
      <c r="E145" s="39" t="str">
        <v>Damaged Stock</v>
      </c>
      <c r="F145" s="45" t="n">
        <v>1</v>
      </c>
      <c r="G145" s="40" t="str">
        <v>[Code: 34567B] TA; 1unit damage during sorting (rack sy lgny ki wja sy damage howa he)</v>
      </c>
      <c r="H145" s="39" t="str">
        <v>Taufeeq Akhtar </v>
      </c>
      <c r="I145" s="39" t="str">
        <f aca="false">IF(ISBLANK(H145),"", IF($H$2:$H1644 = "Gohar Rehan","Overnight",IF($H$2:$H1644 = "Taufeeq Akhtar ","Overnight",IF($H$2:$H1644 = "Zeeshan Ali Malik","Audit",IF($H$2:$H1644 = "Ali Raza ","Receiving",IF($H$2:$H1644 = "Ali Ahmad","Full-In"))))))</f>
        <v>Overnight</v>
      </c>
      <c r="J145" s="29"/>
      <c r="K145" s="50" t="s">
        <v>2215</v>
      </c>
      <c r="L145" s="48" t="s">
        <v>2288</v>
      </c>
      <c r="M145" s="41" t="n">
        <v>1</v>
      </c>
      <c r="N145" s="39" t="s">
        <v>2212</v>
      </c>
      <c r="O145" s="42" t="b">
        <f aca="false">TRUE()</f>
        <v>1</v>
      </c>
      <c r="P145" s="20" t="n">
        <v>790.5</v>
      </c>
      <c r="Q145" s="45" t="n">
        <v>790.5</v>
      </c>
      <c r="R145" s="43" t="n">
        <v>45074</v>
      </c>
      <c r="S145" s="20" t="str">
        <v>Flour</v>
      </c>
    </row>
    <row r="146" customFormat="false" ht="15.75" hidden="false" customHeight="false" outlineLevel="0" collapsed="false">
      <c r="A146" s="39" t="str">
        <v>2444AD</v>
      </c>
      <c r="B146" s="44" t="str">
        <v>Sun,28-May-2023 ,11:08 PM</v>
      </c>
      <c r="C146" s="39" t="str">
        <v>Bonus tristar yellow surf 250g Rs50</v>
      </c>
      <c r="D146" s="39" t="str">
        <v>Bonus Surf</v>
      </c>
      <c r="E146" s="39" t="str">
        <v>Damaged Stock</v>
      </c>
      <c r="F146" s="45" t="n">
        <v>1</v>
      </c>
      <c r="G146" s="40" t="str">
        <v>[Code: 2444AD] TA; 1unit Damage found   (Bags sy damage mila he sorting ky doran)</v>
      </c>
      <c r="H146" s="39" t="str">
        <v>Taufeeq Akhtar </v>
      </c>
      <c r="I146" s="39" t="str">
        <f aca="false">IF(ISBLANK(H146),"", IF($H$2:$H1645 = "Gohar Rehan","Overnight",IF($H$2:$H1645 = "Taufeeq Akhtar ","Overnight",IF($H$2:$H1645 = "Zeeshan Ali Malik","Audit",IF($H$2:$H1645 = "Ali Raza ","Receiving",IF($H$2:$H1645 = "Ali Ahmad","Full-In"))))))</f>
        <v>Overnight</v>
      </c>
      <c r="J146" s="29"/>
      <c r="K146" s="40" t="s">
        <v>2215</v>
      </c>
      <c r="L146" s="47" t="s">
        <v>2233</v>
      </c>
      <c r="M146" s="45" t="n">
        <v>1</v>
      </c>
      <c r="N146" s="39" t="s">
        <v>2212</v>
      </c>
      <c r="O146" s="42" t="b">
        <f aca="false">TRUE()</f>
        <v>1</v>
      </c>
      <c r="P146" s="20" t="n">
        <v>45.59</v>
      </c>
      <c r="Q146" s="45" t="n">
        <v>45.59</v>
      </c>
      <c r="R146" s="43" t="n">
        <v>45074</v>
      </c>
      <c r="S146" s="20" t="str">
        <v>Surf, Bleach</v>
      </c>
    </row>
    <row r="147" customFormat="false" ht="15.75" hidden="false" customHeight="false" outlineLevel="0" collapsed="false">
      <c r="A147" s="39" t="str">
        <v>79ACDD</v>
      </c>
      <c r="B147" s="44" t="str">
        <v>Sun,28-May-2023 ,11:09 PM</v>
      </c>
      <c r="C147" s="39" t="str">
        <v>Brite Surf x12 bundle 23g Rs 10</v>
      </c>
      <c r="D147" s="39" t="str">
        <v>Brite Surf</v>
      </c>
      <c r="E147" s="39" t="str">
        <v>Damaged Stock</v>
      </c>
      <c r="F147" s="45" t="n">
        <v>4</v>
      </c>
      <c r="G147" s="40" t="str">
        <v>[Code: 79ACDD] TA; 4unit Damage found   (Bags sy damage mila he sorting ky doran)</v>
      </c>
      <c r="H147" s="39" t="str">
        <v>Taufeeq Akhtar </v>
      </c>
      <c r="I147" s="39" t="str">
        <f aca="false">IF(ISBLANK(H147),"", IF($H$2:$H1646 = "Gohar Rehan","Overnight",IF($H$2:$H1646 = "Taufeeq Akhtar ","Overnight",IF($H$2:$H1646 = "Zeeshan Ali Malik","Audit",IF($H$2:$H1646 = "Ali Raza ","Receiving",IF($H$2:$H1646 = "Ali Ahmad","Full-In"))))))</f>
        <v>Overnight</v>
      </c>
      <c r="J147" s="29"/>
      <c r="K147" s="40" t="s">
        <v>2215</v>
      </c>
      <c r="L147" s="47" t="s">
        <v>2233</v>
      </c>
      <c r="M147" s="45" t="n">
        <v>4</v>
      </c>
      <c r="N147" s="39" t="s">
        <v>2212</v>
      </c>
      <c r="O147" s="42" t="b">
        <f aca="false">TRUE()</f>
        <v>1</v>
      </c>
      <c r="P147" s="20" t="n">
        <v>107.91</v>
      </c>
      <c r="Q147" s="45" t="n">
        <v>431.64</v>
      </c>
      <c r="R147" s="43" t="n">
        <v>45074</v>
      </c>
      <c r="S147" s="20" t="str">
        <v>Surf, Bleach</v>
      </c>
    </row>
    <row r="148" customFormat="false" ht="15.75" hidden="false" customHeight="false" outlineLevel="0" collapsed="false">
      <c r="A148" s="39" t="str">
        <v>579ACG</v>
      </c>
      <c r="B148" s="44" t="str">
        <v>Sun,28-May-2023 ,11:09 PM</v>
      </c>
      <c r="C148" s="39" t="str">
        <v>Bonus tristar detergent x6 bundle 48g Rs10</v>
      </c>
      <c r="D148" s="39" t="str">
        <v>Bonus Surf</v>
      </c>
      <c r="E148" s="39" t="str">
        <v>Damaged Stock</v>
      </c>
      <c r="F148" s="45" t="n">
        <v>6</v>
      </c>
      <c r="G148" s="40" t="str">
        <v>[Code: 579ACG] ; 6unit Damage found   (Bags sy damage mila he sorting ky doran)</v>
      </c>
      <c r="H148" s="39" t="str">
        <v>Taufeeq Akhtar </v>
      </c>
      <c r="I148" s="39" t="str">
        <f aca="false">IF(ISBLANK(H148),"", IF($H$2:$H1647 = "Gohar Rehan","Overnight",IF($H$2:$H1647 = "Taufeeq Akhtar ","Overnight",IF($H$2:$H1647 = "Zeeshan Ali Malik","Audit",IF($H$2:$H1647 = "Ali Raza ","Receiving",IF($H$2:$H1647 = "Ali Ahmad","Full-In"))))))</f>
        <v>Overnight</v>
      </c>
      <c r="J148" s="29"/>
      <c r="K148" s="40" t="s">
        <v>2215</v>
      </c>
      <c r="L148" s="47" t="s">
        <v>2233</v>
      </c>
      <c r="M148" s="45" t="n">
        <v>6</v>
      </c>
      <c r="N148" s="39" t="s">
        <v>2212</v>
      </c>
      <c r="O148" s="46" t="b">
        <f aca="false">FALSE()</f>
        <v>0</v>
      </c>
      <c r="P148" s="20" t="n">
        <v>55.25</v>
      </c>
      <c r="Q148" s="45" t="n">
        <v>331.5</v>
      </c>
      <c r="R148" s="43" t="n">
        <v>45074</v>
      </c>
      <c r="S148" s="20" t="str">
        <v>Surf, Bleach</v>
      </c>
    </row>
    <row r="149" customFormat="false" ht="15.75" hidden="false" customHeight="false" outlineLevel="0" collapsed="false">
      <c r="A149" s="39" t="str">
        <v>346668</v>
      </c>
      <c r="B149" s="44" t="str">
        <v>Wed,31-May-2023 ,07:28 PM</v>
      </c>
      <c r="C149" s="39" t="str">
        <v>7up plastic 1.5L (Other city stock)</v>
      </c>
      <c r="D149" s="39" t="str">
        <v>7up</v>
      </c>
      <c r="E149" s="39" t="str">
        <v>Damaged Stock</v>
      </c>
      <c r="F149" s="45" t="n">
        <v>1</v>
      </c>
      <c r="G149" s="40" t="str">
        <v>[Code: 346668] TA: Found Loose during sorting;</v>
      </c>
      <c r="H149" s="39" t="str">
        <v>Taufeeq Akhtar </v>
      </c>
      <c r="I149" s="39" t="str">
        <f aca="false">IF(ISBLANK(H149),"", IF($H$2:$H1648 = "Gohar Rehan","Overnight",IF($H$2:$H1648 = "Taufeeq Akhtar ","Overnight",IF($H$2:$H1648 = "Zeeshan Ali Malik","Audit",IF($H$2:$H1648 = "Ali Raza ","Receiving",IF($H$2:$H1648 = "Ali Ahmad","Full-In"))))))</f>
        <v>Overnight</v>
      </c>
      <c r="J149" s="29"/>
      <c r="K149" s="40" t="s">
        <v>2289</v>
      </c>
      <c r="L149" s="40" t="s">
        <v>2290</v>
      </c>
      <c r="M149" s="41" t="n">
        <v>1</v>
      </c>
      <c r="N149" s="39" t="s">
        <v>2212</v>
      </c>
      <c r="O149" s="42" t="b">
        <f aca="false">TRUE()</f>
        <v>1</v>
      </c>
      <c r="P149" s="20" t="n">
        <v>726</v>
      </c>
      <c r="Q149" s="45" t="n">
        <v>726</v>
      </c>
      <c r="R149" s="43" t="n">
        <v>45077</v>
      </c>
      <c r="S149" s="20" t="str">
        <v>Beverages</v>
      </c>
    </row>
    <row r="150" customFormat="false" ht="15.75" hidden="false" customHeight="false" outlineLevel="0" collapsed="false">
      <c r="A150" s="39" t="str">
        <v>3789AA</v>
      </c>
      <c r="B150" s="44" t="str">
        <v>Wed,31-May-2023 ,07:29 PM</v>
      </c>
      <c r="C150" s="39" t="str">
        <v>Mountain Dew plastic 1L</v>
      </c>
      <c r="D150" s="39" t="str">
        <v>Mountain Dew</v>
      </c>
      <c r="E150" s="39" t="str">
        <v>Damaged Stock</v>
      </c>
      <c r="F150" s="45" t="n">
        <v>1</v>
      </c>
      <c r="G150" s="40" t="str">
        <v>[Code: 3789AA] TA: Found loose during sorting(quality issue)</v>
      </c>
      <c r="H150" s="39" t="str">
        <v>Taufeeq Akhtar </v>
      </c>
      <c r="I150" s="39" t="str">
        <f aca="false">IF(ISBLANK(H150),"", IF($H$2:$H1649 = "Gohar Rehan","Overnight",IF($H$2:$H1649 = "Taufeeq Akhtar ","Overnight",IF($H$2:$H1649 = "Zeeshan Ali Malik","Audit",IF($H$2:$H1649 = "Ali Raza ","Receiving",IF($H$2:$H1649 = "Ali Ahmad","Full-In"))))))</f>
        <v>Overnight</v>
      </c>
      <c r="J150" s="29"/>
      <c r="K150" s="40" t="s">
        <v>2289</v>
      </c>
      <c r="L150" s="40" t="s">
        <v>2290</v>
      </c>
      <c r="M150" s="41" t="n">
        <v>1</v>
      </c>
      <c r="N150" s="39" t="s">
        <v>2212</v>
      </c>
      <c r="O150" s="42" t="b">
        <f aca="false">TRUE()</f>
        <v>1</v>
      </c>
      <c r="P150" s="20" t="n">
        <v>576</v>
      </c>
      <c r="Q150" s="45" t="n">
        <v>576</v>
      </c>
      <c r="R150" s="43" t="n">
        <v>45077</v>
      </c>
      <c r="S150" s="20" t="str">
        <v>Beverages</v>
      </c>
    </row>
    <row r="151" customFormat="false" ht="15.75" hidden="false" customHeight="false" outlineLevel="0" collapsed="false">
      <c r="A151" s="39" t="str">
        <v>2367BC</v>
      </c>
      <c r="B151" s="44" t="str">
        <v>Sat,03-June-2023 ,06:53 PM</v>
      </c>
      <c r="C151" s="39" t="str">
        <v>Cola Next Plastic 500ml</v>
      </c>
      <c r="D151" s="39" t="str">
        <v>Cola Next</v>
      </c>
      <c r="E151" s="39" t="str">
        <v>Damaged Stock</v>
      </c>
      <c r="F151" s="45" t="n">
        <v>1</v>
      </c>
      <c r="G151" s="40" t="str">
        <v>[Code: 2367BC] TA: Found in loose condition during sorting(company end issue);</v>
      </c>
      <c r="H151" s="39" t="str">
        <v>Taufeeq Akhtar </v>
      </c>
      <c r="I151" s="39" t="str">
        <f aca="false">IF(ISBLANK(H151),"", IF($H$2:$H1650 = "Gohar Rehan","Overnight",IF($H$2:$H1650 = "Taufeeq Akhtar ","Overnight",IF($H$2:$H1650 = "Zeeshan Ali Malik","Audit",IF($H$2:$H1650 = "Ali Raza ","Receiving",IF($H$2:$H1650 = "Ali Ahmad","Full-In"))))))</f>
        <v>Overnight</v>
      </c>
      <c r="J151" s="29"/>
      <c r="K151" s="40" t="s">
        <v>2291</v>
      </c>
      <c r="L151" s="40" t="s">
        <v>2290</v>
      </c>
      <c r="M151" s="41"/>
      <c r="N151" s="39" t="s">
        <v>2250</v>
      </c>
      <c r="O151" s="46" t="b">
        <f aca="false">FALSE()</f>
        <v>0</v>
      </c>
      <c r="P151" s="20" t="n">
        <v>511</v>
      </c>
      <c r="Q151" s="45" t="n">
        <v>511</v>
      </c>
      <c r="R151" s="43" t="n">
        <v>45080</v>
      </c>
      <c r="S151" s="20" t="str">
        <v>Beverages</v>
      </c>
    </row>
    <row r="152" customFormat="false" ht="15.75" hidden="false" customHeight="false" outlineLevel="0" collapsed="false">
      <c r="A152" s="39" t="str">
        <v>3778CK</v>
      </c>
      <c r="B152" s="44" t="str">
        <v>Sun,04-June-2023 ,10:13 AM</v>
      </c>
      <c r="C152" s="39" t="str">
        <v>Ajinomoto Masako Chicken Flavour Masala 10g Rs20</v>
      </c>
      <c r="D152" s="39" t="str">
        <v>Ajinomoto</v>
      </c>
      <c r="E152" s="39" t="str">
        <v>Damaged Stock</v>
      </c>
      <c r="F152" s="45" t="n">
        <v>1</v>
      </c>
      <c r="G152" s="40" t="str">
        <v>[Code: 3778CK] 01 UNIT found damaged seal open (Quality issue)</v>
      </c>
      <c r="H152" s="39" t="str">
        <v>Ali Raza </v>
      </c>
      <c r="I152" s="39" t="str">
        <f aca="false">IF(ISBLANK(H152),"", IF($H$2:$H1651 = "Gohar Rehan","Overnight",IF($H$2:$H1651 = "Taufeeq Akhtar ","Overnight",IF($H$2:$H1651 = "Zeeshan Ali Malik","Audit",IF($H$2:$H1651 = "Ali Raza ","Receiving",IF($H$2:$H1651 = "Ali Ahmad","Full-In"))))))</f>
        <v>Receiving</v>
      </c>
      <c r="J152" s="29"/>
      <c r="K152" s="40" t="s">
        <v>2215</v>
      </c>
      <c r="L152" s="47" t="s">
        <v>2233</v>
      </c>
      <c r="M152" s="41"/>
      <c r="N152" s="39" t="s">
        <v>2212</v>
      </c>
      <c r="O152" s="46" t="b">
        <f aca="false">FALSE()</f>
        <v>0</v>
      </c>
      <c r="P152" s="20" t="n">
        <v>17.41</v>
      </c>
      <c r="Q152" s="45" t="n">
        <v>17.41</v>
      </c>
      <c r="R152" s="43" t="n">
        <v>45081</v>
      </c>
      <c r="S152" s="20" t="str">
        <v>Grocery</v>
      </c>
    </row>
    <row r="153" customFormat="false" ht="15.75" hidden="false" customHeight="false" outlineLevel="0" collapsed="false">
      <c r="A153" s="39" t="str">
        <v>345668</v>
      </c>
      <c r="B153" s="44" t="str">
        <v>Sun,04-June-2023 ,10:14 AM</v>
      </c>
      <c r="C153" s="39" t="str">
        <v>Sherdil White Chana Bareek 5kg</v>
      </c>
      <c r="D153" s="39" t="str">
        <v>Sherdil</v>
      </c>
      <c r="E153" s="39" t="str">
        <v>Damaged Stock</v>
      </c>
      <c r="F153" s="45" t="n">
        <v>4</v>
      </c>
      <c r="G153" s="40" t="str">
        <v>[Code: 345668] 04 units found damaged due to insects (Quality Issue)</v>
      </c>
      <c r="H153" s="39" t="str">
        <v>Ali Raza </v>
      </c>
      <c r="I153" s="39" t="str">
        <f aca="false">IF(ISBLANK(H153),"", IF($H$2:$H1652 = "Gohar Rehan","Overnight",IF($H$2:$H1652 = "Taufeeq Akhtar ","Overnight",IF($H$2:$H1652 = "Zeeshan Ali Malik","Audit",IF($H$2:$H1652 = "Ali Raza ","Receiving",IF($H$2:$H1652 = "Ali Ahmad","Full-In"))))))</f>
        <v>Receiving</v>
      </c>
      <c r="J153" s="29"/>
      <c r="K153" s="40" t="s">
        <v>2215</v>
      </c>
      <c r="L153" s="40" t="s">
        <v>2292</v>
      </c>
      <c r="M153" s="41"/>
      <c r="N153" s="39" t="s">
        <v>2212</v>
      </c>
      <c r="O153" s="46" t="b">
        <f aca="false">FALSE()</f>
        <v>0</v>
      </c>
      <c r="P153" s="20" t="n">
        <v>1800</v>
      </c>
      <c r="Q153" s="45" t="n">
        <v>7200</v>
      </c>
      <c r="R153" s="43" t="n">
        <v>45081</v>
      </c>
      <c r="S153" s="20" t="str">
        <v>Pulses</v>
      </c>
    </row>
    <row r="154" customFormat="false" ht="15.75" hidden="false" customHeight="false" outlineLevel="0" collapsed="false">
      <c r="A154" s="39" t="str">
        <v>699BDE</v>
      </c>
      <c r="B154" s="44" t="str">
        <v>Sun,04-June-2023 ,10:17 AM</v>
      </c>
      <c r="C154" s="39" t="str">
        <v>Sherdil White Chana Mota 5kg</v>
      </c>
      <c r="D154" s="39" t="str">
        <v>Sherdil</v>
      </c>
      <c r="E154" s="39" t="str">
        <v>Damaged Stock</v>
      </c>
      <c r="F154" s="45" t="n">
        <v>3</v>
      </c>
      <c r="G154" s="40" t="str">
        <v>[Code: 699BDE] 03 units found damaged due to insects (Quality Issue)</v>
      </c>
      <c r="H154" s="39" t="str">
        <v>Ali Raza </v>
      </c>
      <c r="I154" s="39" t="str">
        <f aca="false">IF(ISBLANK(H154),"", IF($H$2:$H1653 = "Gohar Rehan","Overnight",IF($H$2:$H1653 = "Taufeeq Akhtar ","Overnight",IF($H$2:$H1653 = "Zeeshan Ali Malik","Audit",IF($H$2:$H1653 = "Ali Raza ","Receiving",IF($H$2:$H1653 = "Ali Ahmad","Full-In"))))))</f>
        <v>Receiving</v>
      </c>
      <c r="J154" s="29"/>
      <c r="K154" s="40" t="s">
        <v>2215</v>
      </c>
      <c r="L154" s="40" t="s">
        <v>2252</v>
      </c>
      <c r="M154" s="41"/>
      <c r="N154" s="39" t="s">
        <v>2212</v>
      </c>
      <c r="O154" s="46" t="b">
        <f aca="false">FALSE()</f>
        <v>0</v>
      </c>
      <c r="P154" s="20" t="n">
        <v>2180</v>
      </c>
      <c r="Q154" s="45" t="n">
        <v>6540</v>
      </c>
      <c r="R154" s="43" t="n">
        <v>45081</v>
      </c>
      <c r="S154" s="20" t="str">
        <v>Pulses</v>
      </c>
    </row>
    <row r="155" customFormat="false" ht="15.75" hidden="false" customHeight="false" outlineLevel="0" collapsed="false">
      <c r="A155" s="39" t="str">
        <v>568DGG</v>
      </c>
      <c r="B155" s="44" t="str">
        <v>Mon,05-June-2023 ,06:47 PM</v>
      </c>
      <c r="C155" s="39" t="str">
        <v>Head and Shoulders Classic Clean Shampoo x12 bundle 4.5ml</v>
      </c>
      <c r="D155" s="39" t="str">
        <v>Head and Shoulders</v>
      </c>
      <c r="E155" s="39" t="str">
        <v>Damaged Stock</v>
      </c>
      <c r="F155" s="45" t="n">
        <v>3</v>
      </c>
      <c r="G155" s="40" t="str">
        <v>[Code: 568DGG] TA: Found Damaged in Floor;</v>
      </c>
      <c r="H155" s="39" t="str">
        <v>Taufeeq Akhtar </v>
      </c>
      <c r="I155" s="39" t="str">
        <f aca="false">IF(ISBLANK(H155),"", IF($H$2:$H1654 = "Gohar Rehan","Overnight",IF($H$2:$H1654 = "Taufeeq Akhtar ","Overnight",IF($H$2:$H1654 = "Zeeshan Ali Malik","Audit",IF($H$2:$H1654 = "Ali Raza ","Receiving",IF($H$2:$H1654 = "Ali Ahmad","Full-In"))))))</f>
        <v>Overnight</v>
      </c>
      <c r="J155" s="29"/>
      <c r="K155" s="40" t="s">
        <v>2215</v>
      </c>
      <c r="L155" s="48" t="s">
        <v>2236</v>
      </c>
      <c r="M155" s="41"/>
      <c r="N155" s="39" t="s">
        <v>2212</v>
      </c>
      <c r="O155" s="46" t="b">
        <f aca="false">FALSE()</f>
        <v>0</v>
      </c>
      <c r="P155" s="20" t="n">
        <v>52.7</v>
      </c>
      <c r="Q155" s="45" t="n">
        <v>158.1</v>
      </c>
      <c r="R155" s="43" t="n">
        <v>45082</v>
      </c>
      <c r="S155" s="20" t="str">
        <v>Shampoo</v>
      </c>
    </row>
    <row r="156" customFormat="false" ht="15.75" hidden="false" customHeight="false" outlineLevel="0" collapsed="false">
      <c r="A156" s="39" t="str">
        <v>224499</v>
      </c>
      <c r="B156" s="44" t="str">
        <v>Mon,05-June-2023 ,06:49 PM</v>
      </c>
      <c r="C156" s="39" t="str">
        <v>Head and Shoulders Silky Black Shampoo x12 bundle 4.5ml</v>
      </c>
      <c r="D156" s="39" t="str">
        <v>Head and Shoulders</v>
      </c>
      <c r="E156" s="39" t="str">
        <v>Damaged Stock</v>
      </c>
      <c r="F156" s="45" t="n">
        <v>11</v>
      </c>
      <c r="G156" s="40" t="str">
        <v>[Code: 224499] TA:Found Damaged in Floor during sorting (Company end issue )</v>
      </c>
      <c r="H156" s="39" t="str">
        <v>Taufeeq Akhtar </v>
      </c>
      <c r="I156" s="39" t="str">
        <f aca="false">IF(ISBLANK(H156),"", IF($H$2:$H1655 = "Gohar Rehan","Overnight",IF($H$2:$H1655 = "Taufeeq Akhtar ","Overnight",IF($H$2:$H1655 = "Zeeshan Ali Malik","Audit",IF($H$2:$H1655 = "Ali Raza ","Receiving",IF($H$2:$H1655 = "Ali Ahmad","Full-In"))))))</f>
        <v>Overnight</v>
      </c>
      <c r="J156" s="29"/>
      <c r="K156" s="40" t="s">
        <v>2215</v>
      </c>
      <c r="L156" s="48" t="s">
        <v>2236</v>
      </c>
      <c r="M156" s="41"/>
      <c r="N156" s="39" t="s">
        <v>2212</v>
      </c>
      <c r="O156" s="46" t="b">
        <f aca="false">FALSE()</f>
        <v>0</v>
      </c>
      <c r="P156" s="20" t="n">
        <v>52.7</v>
      </c>
      <c r="Q156" s="45" t="n">
        <v>579.7</v>
      </c>
      <c r="R156" s="43" t="n">
        <v>45082</v>
      </c>
      <c r="S156" s="20" t="str">
        <v>Shampoo</v>
      </c>
    </row>
    <row r="157" customFormat="false" ht="15.75" hidden="false" customHeight="false" outlineLevel="0" collapsed="false">
      <c r="A157" s="39" t="str">
        <v>34455E</v>
      </c>
      <c r="B157" s="44" t="str">
        <v>Mon,05-June-2023 ,08:52 PM</v>
      </c>
      <c r="C157" s="39" t="str">
        <v>Sherdil Daal Chana Bareek 1kg</v>
      </c>
      <c r="D157" s="39" t="str">
        <v>Sherdil</v>
      </c>
      <c r="E157" s="39" t="str">
        <v>Damaged Stock</v>
      </c>
      <c r="F157" s="45" t="n">
        <v>1</v>
      </c>
      <c r="G157" s="40" t="str">
        <v>[Code: 34455E] TA:  daal ki quality sahi nahi hay(ulli lagi hay)</v>
      </c>
      <c r="H157" s="39" t="str">
        <v>Taufeeq Akhtar </v>
      </c>
      <c r="I157" s="39" t="str">
        <f aca="false">IF(ISBLANK(H157),"", IF($H$2:$H1656 = "Gohar Rehan","Overnight",IF($H$2:$H1656 = "Taufeeq Akhtar ","Overnight",IF($H$2:$H1656 = "Zeeshan Ali Malik","Audit",IF($H$2:$H1656 = "Ali Raza ","Receiving",IF($H$2:$H1656 = "Ali Ahmad","Full-In"))))))</f>
        <v>Overnight</v>
      </c>
      <c r="J157" s="29"/>
      <c r="K157" s="40" t="s">
        <v>2215</v>
      </c>
      <c r="L157" s="40" t="s">
        <v>2292</v>
      </c>
      <c r="M157" s="41"/>
      <c r="N157" s="39" t="s">
        <v>2212</v>
      </c>
      <c r="O157" s="46" t="b">
        <f aca="false">FALSE()</f>
        <v>0</v>
      </c>
      <c r="P157" s="20" t="n">
        <v>272</v>
      </c>
      <c r="Q157" s="45" t="n">
        <v>272</v>
      </c>
      <c r="R157" s="43" t="n">
        <v>45082</v>
      </c>
      <c r="S157" s="20" t="str">
        <v>Pulses</v>
      </c>
    </row>
    <row r="158" customFormat="false" ht="15.75" hidden="false" customHeight="false" outlineLevel="0" collapsed="false">
      <c r="A158" s="39" t="str">
        <v>2333BC</v>
      </c>
      <c r="B158" s="44" t="str">
        <v>Tue,06-June-2023 ,08:38 PM</v>
      </c>
      <c r="C158" s="39" t="str">
        <v>Juice Time Mango 1L</v>
      </c>
      <c r="D158" s="39" t="str">
        <v>Juice Time</v>
      </c>
      <c r="E158" s="39" t="str">
        <v>Damaged Stock</v>
      </c>
      <c r="F158" s="45" t="n">
        <v>2</v>
      </c>
      <c r="G158" s="40" t="str">
        <v>[Code: 2333BC] TA:</v>
      </c>
      <c r="H158" s="39" t="str">
        <v>Taufeeq Akhtar </v>
      </c>
      <c r="I158" s="39" t="str">
        <f aca="false">IF(ISBLANK(H158),"", IF($H$2:$H1657 = "Gohar Rehan","Overnight",IF($H$2:$H1657 = "Taufeeq Akhtar ","Overnight",IF($H$2:$H1657 = "Zeeshan Ali Malik","Audit",IF($H$2:$H1657 = "Ali Raza ","Receiving",IF($H$2:$H1657 = "Ali Ahmad","Full-In"))))))</f>
        <v>Overnight</v>
      </c>
      <c r="J158" s="29"/>
      <c r="K158" s="40" t="s">
        <v>2248</v>
      </c>
      <c r="L158" s="40" t="s">
        <v>2292</v>
      </c>
      <c r="M158" s="41"/>
      <c r="N158" s="39" t="s">
        <v>2250</v>
      </c>
      <c r="O158" s="46" t="b">
        <f aca="false">FALSE()</f>
        <v>0</v>
      </c>
      <c r="P158" s="20" t="n">
        <v>126.67</v>
      </c>
      <c r="Q158" s="45" t="n">
        <v>253.34</v>
      </c>
      <c r="R158" s="43" t="n">
        <v>45083</v>
      </c>
      <c r="S158" s="20" t="str">
        <v>Juice, Syrup, Squash</v>
      </c>
    </row>
    <row r="159" customFormat="false" ht="15.75" hidden="false" customHeight="false" outlineLevel="0" collapsed="false">
      <c r="A159" s="39" t="str">
        <v>456668</v>
      </c>
      <c r="B159" s="44" t="str">
        <v>Tue,06-June-2023 ,08:40 PM</v>
      </c>
      <c r="C159" s="39" t="str">
        <v>Gibs Makhan Badami Toffee Rs5</v>
      </c>
      <c r="D159" s="39" t="str">
        <v>Gibs</v>
      </c>
      <c r="E159" s="39" t="str">
        <v>Damaged Stock</v>
      </c>
      <c r="F159" s="45" t="n">
        <v>1</v>
      </c>
      <c r="G159" s="40" t="str">
        <v>[Code: 456668] TA: Found damaged and few pieces missing from the box during display.</v>
      </c>
      <c r="H159" s="39" t="str">
        <v>Taufeeq Akhtar </v>
      </c>
      <c r="I159" s="39" t="str">
        <f aca="false">IF(ISBLANK(H159),"", IF($H$2:$H1658 = "Gohar Rehan","Overnight",IF($H$2:$H1658 = "Taufeeq Akhtar ","Overnight",IF($H$2:$H1658 = "Zeeshan Ali Malik","Audit",IF($H$2:$H1658 = "Ali Raza ","Receiving",IF($H$2:$H1658 = "Ali Ahmad","Full-In"))))))</f>
        <v>Overnight</v>
      </c>
      <c r="J159" s="29"/>
      <c r="K159" s="40" t="s">
        <v>2215</v>
      </c>
      <c r="L159" s="40" t="s">
        <v>2293</v>
      </c>
      <c r="M159" s="41" t="n">
        <v>1</v>
      </c>
      <c r="N159" s="39" t="s">
        <v>2212</v>
      </c>
      <c r="O159" s="42" t="b">
        <f aca="false">TRUE()</f>
        <v>1</v>
      </c>
      <c r="P159" s="20" t="n">
        <v>129.6</v>
      </c>
      <c r="Q159" s="45" t="n">
        <v>129.6</v>
      </c>
      <c r="R159" s="43" t="n">
        <v>45083</v>
      </c>
      <c r="S159" s="20" t="str">
        <v>Confectionary</v>
      </c>
    </row>
    <row r="160" customFormat="false" ht="15.75" hidden="false" customHeight="false" outlineLevel="0" collapsed="false">
      <c r="A160" s="39" t="str">
        <v>377GGK</v>
      </c>
      <c r="B160" s="44" t="str">
        <v>Wed,07-June-2023 ,12:56 PM</v>
      </c>
      <c r="C160" s="39" t="str">
        <v>Sherdil Daal Chana Bareek 5kg</v>
      </c>
      <c r="D160" s="39" t="str">
        <v>Sherdil</v>
      </c>
      <c r="E160" s="39" t="str">
        <v>Damaged Stock</v>
      </c>
      <c r="F160" s="45" t="n">
        <v>8</v>
      </c>
      <c r="G160" s="40" t="str">
        <v>[Code: 377GGK] 08 units found damaged due to fungus (Quality Issue)</v>
      </c>
      <c r="H160" s="39" t="str">
        <v>Ali Raza </v>
      </c>
      <c r="I160" s="39" t="str">
        <f aca="false">IF(ISBLANK(H160),"", IF($H$2:$H1659 = "Gohar Rehan","Overnight",IF($H$2:$H1659 = "Taufeeq Akhtar ","Overnight",IF($H$2:$H1659 = "Zeeshan Ali Malik","Audit",IF($H$2:$H1659 = "Ali Raza ","Receiving",IF($H$2:$H1659 = "Ali Ahmad","Full-In"))))))</f>
        <v>Receiving</v>
      </c>
      <c r="J160" s="29"/>
      <c r="K160" s="40" t="s">
        <v>2215</v>
      </c>
      <c r="L160" s="40" t="s">
        <v>2292</v>
      </c>
      <c r="M160" s="41"/>
      <c r="N160" s="39" t="s">
        <v>2212</v>
      </c>
      <c r="O160" s="46" t="b">
        <f aca="false">FALSE()</f>
        <v>0</v>
      </c>
      <c r="P160" s="20" t="n">
        <v>1190</v>
      </c>
      <c r="Q160" s="45" t="n">
        <v>9520</v>
      </c>
      <c r="R160" s="43" t="n">
        <v>45084</v>
      </c>
      <c r="S160" s="20" t="str">
        <v>Pulses</v>
      </c>
    </row>
    <row r="161" customFormat="false" ht="15.75" hidden="false" customHeight="false" outlineLevel="0" collapsed="false">
      <c r="A161" s="39" t="str">
        <v>5567BG</v>
      </c>
      <c r="B161" s="44" t="str">
        <v>Wed,07-June-2023 ,12:58 PM</v>
      </c>
      <c r="C161" s="39" t="str">
        <v>Quality Grains Daal Chana Budget 1kg</v>
      </c>
      <c r="D161" s="39" t="str">
        <v>Quality Grains</v>
      </c>
      <c r="E161" s="39" t="str">
        <v>Damaged Stock</v>
      </c>
      <c r="F161" s="45" t="n">
        <v>2</v>
      </c>
      <c r="G161" s="40" t="str">
        <v>[Code: 5567BG] 02 units found damaged due to fungus (quality issue)</v>
      </c>
      <c r="H161" s="39" t="str">
        <v>Ali Raza </v>
      </c>
      <c r="I161" s="39" t="str">
        <f aca="false">IF(ISBLANK(H161),"", IF($H$2:$H1660 = "Gohar Rehan","Overnight",IF($H$2:$H1660 = "Taufeeq Akhtar ","Overnight",IF($H$2:$H1660 = "Zeeshan Ali Malik","Audit",IF($H$2:$H1660 = "Ali Raza ","Receiving",IF($H$2:$H1660 = "Ali Ahmad","Full-In"))))))</f>
        <v>Receiving</v>
      </c>
      <c r="J161" s="29"/>
      <c r="K161" s="40" t="s">
        <v>2215</v>
      </c>
      <c r="L161" s="40" t="s">
        <v>2292</v>
      </c>
      <c r="M161" s="41"/>
      <c r="N161" s="39" t="s">
        <v>2212</v>
      </c>
      <c r="O161" s="46" t="b">
        <f aca="false">FALSE()</f>
        <v>0</v>
      </c>
      <c r="P161" s="20" t="n">
        <v>234</v>
      </c>
      <c r="Q161" s="45" t="n">
        <v>468</v>
      </c>
      <c r="R161" s="43" t="n">
        <v>45084</v>
      </c>
      <c r="S161" s="20" t="str">
        <v>Pulses</v>
      </c>
    </row>
    <row r="162" customFormat="false" ht="15.75" hidden="false" customHeight="false" outlineLevel="0" collapsed="false">
      <c r="A162" s="39" t="str">
        <v>55678B</v>
      </c>
      <c r="B162" s="44" t="str">
        <v>Wed,07-June-2023 ,09:53 PM</v>
      </c>
      <c r="C162" s="39" t="str">
        <v>Dummer Super Fine Atta 15kg</v>
      </c>
      <c r="D162" s="39" t="str">
        <v>Dummer Atta</v>
      </c>
      <c r="E162" s="39" t="str">
        <v>Damaged Stock</v>
      </c>
      <c r="F162" s="45" t="n">
        <v>21</v>
      </c>
      <c r="G162" s="40" t="str">
        <v>[Code: 55678B] TA;21 units found damaged due to fungus (Quality issu )</v>
      </c>
      <c r="H162" s="39" t="str">
        <v>Taufeeq Akhtar </v>
      </c>
      <c r="I162" s="39" t="str">
        <f aca="false">IF(ISBLANK(H162),"", IF($H$2:$H1661 = "Gohar Rehan","Overnight",IF($H$2:$H1661 = "Taufeeq Akhtar ","Overnight",IF($H$2:$H1661 = "Zeeshan Ali Malik","Audit",IF($H$2:$H1661 = "Ali Raza ","Receiving",IF($H$2:$H1661 = "Ali Ahmad","Full-In"))))))</f>
        <v>Overnight</v>
      </c>
      <c r="J162" s="29"/>
      <c r="K162" s="40" t="s">
        <v>2215</v>
      </c>
      <c r="L162" s="40" t="s">
        <v>2292</v>
      </c>
      <c r="M162" s="41"/>
      <c r="N162" s="39" t="s">
        <v>2212</v>
      </c>
      <c r="O162" s="46" t="b">
        <f aca="false">FALSE()</f>
        <v>0</v>
      </c>
      <c r="P162" s="20" t="n">
        <v>1680</v>
      </c>
      <c r="Q162" s="45" t="n">
        <v>35280</v>
      </c>
      <c r="R162" s="43" t="n">
        <v>45084</v>
      </c>
      <c r="S162" s="20" t="str">
        <v>Flour</v>
      </c>
    </row>
    <row r="163" customFormat="false" ht="15.75" hidden="false" customHeight="false" outlineLevel="0" collapsed="false">
      <c r="A163" s="39" t="str">
        <v>34BEFK</v>
      </c>
      <c r="B163" s="44" t="str">
        <v>Fri,09-June-2023 ,04:11 PM</v>
      </c>
      <c r="C163" s="39" t="str">
        <v>Booster NR 250ml</v>
      </c>
      <c r="D163" s="39" t="str">
        <v>Booster</v>
      </c>
      <c r="E163" s="39" t="str">
        <v>Damaged Stock</v>
      </c>
      <c r="F163" s="45" t="n">
        <v>1</v>
      </c>
      <c r="G163" s="40" t="str">
        <v>[Code: 34BEFK] TA: Four empty botel found in pet During sorting.(Company end issue)</v>
      </c>
      <c r="H163" s="39" t="str">
        <v>Taufeeq Akhtar </v>
      </c>
      <c r="I163" s="39" t="str">
        <f aca="false">IF(ISBLANK(H163),"", IF($H$2:$H1662 = "Gohar Rehan","Overnight",IF($H$2:$H1662 = "Taufeeq Akhtar ","Overnight",IF($H$2:$H1662 = "Zeeshan Ali Malik","Audit",IF($H$2:$H1662 = "Ali Raza ","Receiving",IF($H$2:$H1662 = "Ali Ahmad","Full-In"))))))</f>
        <v>Overnight</v>
      </c>
      <c r="J163" s="29"/>
      <c r="K163" s="40" t="s">
        <v>2294</v>
      </c>
      <c r="L163" s="40" t="s">
        <v>2290</v>
      </c>
      <c r="M163" s="41" t="n">
        <v>1</v>
      </c>
      <c r="N163" s="39" t="s">
        <v>2212</v>
      </c>
      <c r="O163" s="42" t="b">
        <f aca="false">TRUE()</f>
        <v>1</v>
      </c>
      <c r="P163" s="20" t="n">
        <v>669.6</v>
      </c>
      <c r="Q163" s="45" t="n">
        <v>669.6</v>
      </c>
      <c r="R163" s="43" t="n">
        <v>45086</v>
      </c>
      <c r="S163" s="20" t="str">
        <v>Beverages</v>
      </c>
    </row>
    <row r="164" customFormat="false" ht="15.75" hidden="false" customHeight="false" outlineLevel="0" collapsed="false">
      <c r="A164" s="39" t="str">
        <v>469BBD</v>
      </c>
      <c r="B164" s="44" t="str">
        <v>Fri,09-June-2023 ,05:12 PM</v>
      </c>
      <c r="C164" s="39" t="str">
        <v>Sherdil Daal Chana Bareek 1kg</v>
      </c>
      <c r="D164" s="39" t="str">
        <v>Sherdil</v>
      </c>
      <c r="E164" s="39" t="str">
        <v>Damaged Stock</v>
      </c>
      <c r="F164" s="45" t="n">
        <v>1</v>
      </c>
      <c r="G164" s="40" t="str">
        <v>[Code: 469BBD] TA: (Quality issue,company end): daal ki qaulity sahi nahi hay ulli lagi hui hain.</v>
      </c>
      <c r="H164" s="39" t="str">
        <v>Taufeeq Akhtar </v>
      </c>
      <c r="I164" s="39" t="str">
        <f aca="false">IF(ISBLANK(H164),"", IF($H$2:$H1663 = "Gohar Rehan","Overnight",IF($H$2:$H1663 = "Taufeeq Akhtar ","Overnight",IF($H$2:$H1663 = "Zeeshan Ali Malik","Audit",IF($H$2:$H1663 = "Ali Raza ","Receiving",IF($H$2:$H1663 = "Ali Ahmad","Full-In"))))))</f>
        <v>Overnight</v>
      </c>
      <c r="J164" s="29"/>
      <c r="K164" s="40" t="s">
        <v>2215</v>
      </c>
      <c r="L164" s="40" t="s">
        <v>2292</v>
      </c>
      <c r="M164" s="41"/>
      <c r="N164" s="39" t="s">
        <v>2212</v>
      </c>
      <c r="O164" s="46" t="b">
        <f aca="false">FALSE()</f>
        <v>0</v>
      </c>
      <c r="P164" s="20" t="n">
        <v>272</v>
      </c>
      <c r="Q164" s="45" t="n">
        <v>272</v>
      </c>
      <c r="R164" s="43" t="n">
        <v>45086</v>
      </c>
      <c r="S164" s="20" t="str">
        <v>Pulses</v>
      </c>
    </row>
    <row r="165" customFormat="false" ht="15.75" hidden="false" customHeight="false" outlineLevel="0" collapsed="false">
      <c r="A165" s="39" t="str">
        <v>578EFF</v>
      </c>
      <c r="B165" s="44" t="str">
        <v>Fri,09-June-2023 ,05:14 PM</v>
      </c>
      <c r="C165" s="39" t="str">
        <v>Shangrila Chilli Garlic Sauce x3 Bundle 800g</v>
      </c>
      <c r="D165" s="39" t="str">
        <v>Shangrila</v>
      </c>
      <c r="E165" s="39" t="str">
        <v>Damaged Stock</v>
      </c>
      <c r="F165" s="45" t="n">
        <v>1</v>
      </c>
      <c r="G165" s="40" t="str">
        <v>[Code: 578EFF] TA: Display karty waqt box may say damaged nikla aik piece.</v>
      </c>
      <c r="H165" s="39" t="str">
        <v>Taufeeq Akhtar </v>
      </c>
      <c r="I165" s="39" t="str">
        <f aca="false">IF(ISBLANK(H165),"", IF($H$2:$H1664 = "Gohar Rehan","Overnight",IF($H$2:$H1664 = "Taufeeq Akhtar ","Overnight",IF($H$2:$H1664 = "Zeeshan Ali Malik","Audit",IF($H$2:$H1664 = "Ali Raza ","Receiving",IF($H$2:$H1664 = "Ali Ahmad","Full-In"))))))</f>
        <v>Overnight</v>
      </c>
      <c r="J165" s="29"/>
      <c r="K165" s="40" t="s">
        <v>2215</v>
      </c>
      <c r="L165" s="40" t="s">
        <v>2292</v>
      </c>
      <c r="M165" s="45" t="n">
        <v>1</v>
      </c>
      <c r="N165" s="39" t="s">
        <v>2212</v>
      </c>
      <c r="O165" s="42" t="b">
        <f aca="false">TRUE()</f>
        <v>1</v>
      </c>
      <c r="P165" s="20" t="n">
        <v>987.91</v>
      </c>
      <c r="Q165" s="45" t="n">
        <v>987.91</v>
      </c>
      <c r="R165" s="43" t="n">
        <v>45086</v>
      </c>
      <c r="S165" s="20" t="str">
        <v>Sauces</v>
      </c>
    </row>
    <row r="166" customFormat="false" ht="15.75" hidden="false" customHeight="false" outlineLevel="0" collapsed="false">
      <c r="A166" s="39" t="str">
        <v>24466E</v>
      </c>
      <c r="B166" s="44" t="str">
        <v>Mon,12-June-2023 ,07:30 PM</v>
      </c>
      <c r="C166" s="39" t="str">
        <v>Coca Cola plastic 500ml (Half Liter)</v>
      </c>
      <c r="D166" s="39" t="str">
        <v>Coca Cola</v>
      </c>
      <c r="E166" s="39" t="str">
        <v>Damaged Stock</v>
      </c>
      <c r="F166" s="45" t="n">
        <v>2</v>
      </c>
      <c r="G166" s="40" t="str">
        <v>[Code: 24466E] TA:(company end issuue ) Found in loose condition during sorting:</v>
      </c>
      <c r="H166" s="39" t="str">
        <v>Taufeeq Akhtar </v>
      </c>
      <c r="I166" s="39" t="str">
        <f aca="false">IF(ISBLANK(H166),"", IF($H$2:$H1665 = "Gohar Rehan","Overnight",IF($H$2:$H1665 = "Taufeeq Akhtar ","Overnight",IF($H$2:$H1665 = "Zeeshan Ali Malik","Audit",IF($H$2:$H1665 = "Ali Raza ","Receiving",IF($H$2:$H1665 = "Ali Ahmad","Full-In"))))))</f>
        <v>Overnight</v>
      </c>
      <c r="J166" s="29"/>
      <c r="K166" s="40" t="s">
        <v>2294</v>
      </c>
      <c r="L166" s="40" t="s">
        <v>2290</v>
      </c>
      <c r="M166" s="45" t="n">
        <v>2</v>
      </c>
      <c r="N166" s="39" t="s">
        <v>2212</v>
      </c>
      <c r="O166" s="42" t="b">
        <f aca="false">TRUE()</f>
        <v>1</v>
      </c>
      <c r="P166" s="20" t="n">
        <v>839</v>
      </c>
      <c r="Q166" s="45" t="n">
        <v>1678</v>
      </c>
      <c r="R166" s="43" t="n">
        <v>45089</v>
      </c>
      <c r="S166" s="20" t="str">
        <v>Beverages</v>
      </c>
    </row>
    <row r="167" customFormat="false" ht="15.75" hidden="false" customHeight="false" outlineLevel="0" collapsed="false">
      <c r="A167" s="39" t="str">
        <v>34889B</v>
      </c>
      <c r="B167" s="44" t="str">
        <v>Mon,12-June-2023 ,07:32 PM</v>
      </c>
      <c r="C167" s="39" t="str">
        <v>National Hyderabadi Pickle 1kg</v>
      </c>
      <c r="D167" s="39" t="str">
        <v>National</v>
      </c>
      <c r="E167" s="39" t="str">
        <v>Damaged Stock</v>
      </c>
      <c r="F167" s="45" t="n">
        <v>1</v>
      </c>
      <c r="G167" s="40" t="str">
        <v>[Code: 34889B] TA: company end issue : found in loose condtion during sorting ;</v>
      </c>
      <c r="H167" s="39" t="str">
        <v>Taufeeq Akhtar </v>
      </c>
      <c r="I167" s="39" t="str">
        <f aca="false">IF(ISBLANK(H167),"", IF($H$2:$H1666 = "Gohar Rehan","Overnight",IF($H$2:$H1666 = "Taufeeq Akhtar ","Overnight",IF($H$2:$H1666 = "Zeeshan Ali Malik","Audit",IF($H$2:$H1666 = "Ali Raza ","Receiving",IF($H$2:$H1666 = "Ali Ahmad","Full-In"))))))</f>
        <v>Overnight</v>
      </c>
      <c r="J167" s="29"/>
      <c r="K167" s="40" t="s">
        <v>2215</v>
      </c>
      <c r="L167" s="40" t="s">
        <v>2295</v>
      </c>
      <c r="M167" s="41"/>
      <c r="N167" s="39" t="s">
        <v>2212</v>
      </c>
      <c r="O167" s="46" t="b">
        <f aca="false">FALSE()</f>
        <v>0</v>
      </c>
      <c r="P167" s="20" t="n">
        <v>571.67</v>
      </c>
      <c r="Q167" s="45" t="n">
        <v>571.67</v>
      </c>
      <c r="R167" s="43" t="n">
        <v>45089</v>
      </c>
      <c r="S167" s="20" t="str">
        <v>Sauces</v>
      </c>
    </row>
    <row r="168" customFormat="false" ht="15.75" hidden="false" customHeight="false" outlineLevel="0" collapsed="false">
      <c r="A168" s="39" t="str">
        <v>3668AB</v>
      </c>
      <c r="B168" s="44" t="str">
        <v>Tue,13-June-2023 ,03:20 PM</v>
      </c>
      <c r="C168" s="39" t="str">
        <v>Kolson Slanty Jalapeno 60Pcs Rs10 5g</v>
      </c>
      <c r="D168" s="39" t="str">
        <v>Kolson</v>
      </c>
      <c r="E168" s="39" t="str">
        <v>Damaged Stock</v>
      </c>
      <c r="F168" s="45" t="n">
        <v>6</v>
      </c>
      <c r="G168" s="40" t="str">
        <v>[Code: 3668AB] expriy not mentioned on 6 units </v>
      </c>
      <c r="H168" s="39" t="str">
        <v>Ali Raza </v>
      </c>
      <c r="I168" s="39" t="str">
        <f aca="false">IF(ISBLANK(H168),"", IF($H$2:$H1667 = "Gohar Rehan","Overnight",IF($H$2:$H1667 = "Taufeeq Akhtar ","Overnight",IF($H$2:$H1667 = "Zeeshan Ali Malik","Audit",IF($H$2:$H1667 = "Ali Raza ","Receiving",IF($H$2:$H1667 = "Ali Ahmad","Full-In"))))))</f>
        <v>Receiving</v>
      </c>
      <c r="J168" s="29"/>
      <c r="K168" s="40" t="s">
        <v>2215</v>
      </c>
      <c r="L168" s="40" t="s">
        <v>2293</v>
      </c>
      <c r="M168" s="20" t="n">
        <v>6</v>
      </c>
      <c r="N168" s="39" t="s">
        <v>2212</v>
      </c>
      <c r="O168" s="42" t="b">
        <f aca="false">TRUE()</f>
        <v>1</v>
      </c>
      <c r="P168" s="20" t="n">
        <v>519.82</v>
      </c>
      <c r="Q168" s="45" t="n">
        <v>3118.92</v>
      </c>
      <c r="R168" s="43" t="n">
        <v>45090</v>
      </c>
      <c r="S168" s="20" t="str">
        <v>Snacks</v>
      </c>
    </row>
    <row r="169" customFormat="false" ht="15.75" hidden="false" customHeight="false" outlineLevel="0" collapsed="false">
      <c r="A169" s="39" t="str">
        <v>235579</v>
      </c>
      <c r="B169" s="44" t="str">
        <v>Tue,13-June-2023 ,10:45 PM</v>
      </c>
      <c r="C169" s="39" t="str">
        <v>Plastic Special Phool Jharoo</v>
      </c>
      <c r="D169" s="39" t="str">
        <v>Jharoo</v>
      </c>
      <c r="E169" s="39" t="str">
        <v>Damaged Stock</v>
      </c>
      <c r="F169" s="45" t="n">
        <v>1</v>
      </c>
      <c r="G169" s="40" t="str">
        <v>[Code: 235579] TA: company end issue(bundle may say toota hua nikla)</v>
      </c>
      <c r="H169" s="39" t="str">
        <v>Taufeeq Akhtar </v>
      </c>
      <c r="I169" s="39" t="str">
        <f aca="false">IF(ISBLANK(H169),"", IF($H$2:$H1668 = "Gohar Rehan","Overnight",IF($H$2:$H1668 = "Taufeeq Akhtar ","Overnight",IF($H$2:$H1668 = "Zeeshan Ali Malik","Audit",IF($H$2:$H1668 = "Ali Raza ","Receiving",IF($H$2:$H1668 = "Ali Ahmad","Full-In"))))))</f>
        <v>Overnight</v>
      </c>
      <c r="J169" s="29"/>
      <c r="K169" s="40" t="s">
        <v>2215</v>
      </c>
      <c r="L169" s="40" t="s">
        <v>2296</v>
      </c>
      <c r="M169" s="45" t="n">
        <v>1</v>
      </c>
      <c r="N169" s="39" t="s">
        <v>2212</v>
      </c>
      <c r="O169" s="42" t="b">
        <f aca="false">TRUE()</f>
        <v>1</v>
      </c>
      <c r="P169" s="20" t="n">
        <v>135</v>
      </c>
      <c r="Q169" s="45" t="n">
        <v>135</v>
      </c>
      <c r="R169" s="43" t="n">
        <v>45090</v>
      </c>
      <c r="S169" s="20" t="str">
        <v>Home Care</v>
      </c>
    </row>
    <row r="170" customFormat="false" ht="15.75" hidden="false" customHeight="false" outlineLevel="0" collapsed="false">
      <c r="A170" s="39" t="str">
        <v>247ACD</v>
      </c>
      <c r="B170" s="44" t="str">
        <v>Tue,13-June-2023 ,10:48 PM</v>
      </c>
      <c r="C170" s="39" t="str">
        <v>Special Wooden Phool Jharoo</v>
      </c>
      <c r="D170" s="39" t="str">
        <v>Jharoo</v>
      </c>
      <c r="E170" s="39" t="str">
        <v>Damaged Stock</v>
      </c>
      <c r="F170" s="45" t="n">
        <v>2</v>
      </c>
      <c r="G170" s="40" t="str">
        <v>[Code: 247ACD] TA: bundle may say damaged niklay sorting k doran.</v>
      </c>
      <c r="H170" s="39" t="str">
        <v>Taufeeq Akhtar </v>
      </c>
      <c r="I170" s="39" t="str">
        <f aca="false">IF(ISBLANK(H170),"", IF($H$2:$H1669 = "Gohar Rehan","Overnight",IF($H$2:$H1669 = "Taufeeq Akhtar ","Overnight",IF($H$2:$H1669 = "Zeeshan Ali Malik","Audit",IF($H$2:$H1669 = "Ali Raza ","Receiving",IF($H$2:$H1669 = "Ali Ahmad","Full-In"))))))</f>
        <v>Overnight</v>
      </c>
      <c r="J170" s="29"/>
      <c r="K170" s="40" t="s">
        <v>2215</v>
      </c>
      <c r="L170" s="40" t="s">
        <v>2296</v>
      </c>
      <c r="M170" s="45" t="n">
        <v>2</v>
      </c>
      <c r="N170" s="39" t="s">
        <v>2212</v>
      </c>
      <c r="O170" s="42" t="b">
        <f aca="false">TRUE()</f>
        <v>1</v>
      </c>
      <c r="P170" s="20" t="n">
        <v>135</v>
      </c>
      <c r="Q170" s="45" t="n">
        <v>270</v>
      </c>
      <c r="R170" s="43" t="n">
        <v>45090</v>
      </c>
      <c r="S170" s="20" t="str">
        <v>Home Care</v>
      </c>
    </row>
    <row r="171" customFormat="false" ht="15.75" hidden="false" customHeight="false" outlineLevel="0" collapsed="false">
      <c r="A171" s="39" t="str">
        <v>34CCEG</v>
      </c>
      <c r="B171" s="44" t="str">
        <v>Tue,13-June-2023 ,10:49 PM</v>
      </c>
      <c r="C171" s="39" t="str">
        <v>Sunlight Yellow Clean and Rose Fresh 760g Rs199</v>
      </c>
      <c r="D171" s="39" t="str">
        <v>Sunlight</v>
      </c>
      <c r="E171" s="39" t="str">
        <v>Damaged Stock</v>
      </c>
      <c r="F171" s="45" t="n">
        <v>1</v>
      </c>
      <c r="G171" s="40" t="str">
        <v>[Code: 34CCEG] TA: thailay may say damaged nikla(Company end issue )</v>
      </c>
      <c r="H171" s="39" t="str">
        <v>Taufeeq Akhtar </v>
      </c>
      <c r="I171" s="39" t="str">
        <f aca="false">IF(ISBLANK(H171),"", IF($H$2:$H1670 = "Gohar Rehan","Overnight",IF($H$2:$H1670 = "Taufeeq Akhtar ","Overnight",IF($H$2:$H1670 = "Zeeshan Ali Malik","Audit",IF($H$2:$H1670 = "Ali Raza ","Receiving",IF($H$2:$H1670 = "Ali Ahmad","Full-In"))))))</f>
        <v>Overnight</v>
      </c>
      <c r="J171" s="29"/>
      <c r="K171" s="40" t="s">
        <v>2215</v>
      </c>
      <c r="L171" s="40" t="s">
        <v>2296</v>
      </c>
      <c r="M171" s="41"/>
      <c r="N171" s="39" t="s">
        <v>2212</v>
      </c>
      <c r="O171" s="46" t="b">
        <f aca="false">FALSE()</f>
        <v>0</v>
      </c>
      <c r="P171" s="20" t="n">
        <v>184.17</v>
      </c>
      <c r="Q171" s="45" t="n">
        <v>184.17</v>
      </c>
      <c r="R171" s="43" t="n">
        <v>45090</v>
      </c>
      <c r="S171" s="20" t="str">
        <v>Surf, Bleach</v>
      </c>
    </row>
    <row r="172" customFormat="false" ht="15.75" hidden="false" customHeight="false" outlineLevel="0" collapsed="false">
      <c r="A172" s="39" t="str">
        <v>345888</v>
      </c>
      <c r="B172" s="44" t="str">
        <v>Tue,13-June-2023 ,10:51 PM</v>
      </c>
      <c r="C172" s="39" t="str">
        <v>Sunlight Green Clean and Fresh 700g Rs199</v>
      </c>
      <c r="D172" s="39" t="str">
        <v>Sunlight</v>
      </c>
      <c r="E172" s="39" t="str">
        <v>Damaged Stock</v>
      </c>
      <c r="F172" s="45" t="n">
        <v>3</v>
      </c>
      <c r="G172" s="40" t="str">
        <v>[Code: 345888] TA: Thailay may say damaged niklay ....</v>
      </c>
      <c r="H172" s="39" t="str">
        <v>Taufeeq Akhtar </v>
      </c>
      <c r="I172" s="39" t="str">
        <f aca="false">IF(ISBLANK(H172),"", IF($H$2:$H1671 = "Gohar Rehan","Overnight",IF($H$2:$H1671 = "Taufeeq Akhtar ","Overnight",IF($H$2:$H1671 = "Zeeshan Ali Malik","Audit",IF($H$2:$H1671 = "Ali Raza ","Receiving",IF($H$2:$H1671 = "Ali Ahmad","Full-In"))))))</f>
        <v>Overnight</v>
      </c>
      <c r="J172" s="29"/>
      <c r="K172" s="40" t="s">
        <v>2215</v>
      </c>
      <c r="L172" s="40" t="s">
        <v>2296</v>
      </c>
      <c r="M172" s="41"/>
      <c r="N172" s="39" t="s">
        <v>2212</v>
      </c>
      <c r="O172" s="46" t="b">
        <f aca="false">FALSE()</f>
        <v>0</v>
      </c>
      <c r="P172" s="20" t="n">
        <v>184.17</v>
      </c>
      <c r="Q172" s="45" t="n">
        <v>552.51</v>
      </c>
      <c r="R172" s="43" t="n">
        <v>45090</v>
      </c>
      <c r="S172" s="20" t="str">
        <v>Surf, Bleach</v>
      </c>
    </row>
    <row r="173" customFormat="false" ht="15.75" hidden="false" customHeight="false" outlineLevel="0" collapsed="false">
      <c r="A173" s="39" t="str">
        <v>33AACD</v>
      </c>
      <c r="B173" s="44" t="str">
        <v>Wed,14-June-2023 ,09:46 PM</v>
      </c>
      <c r="C173" s="39" t="str">
        <v>Shangrila Tomato Ketchup x3 Bundle 400g</v>
      </c>
      <c r="D173" s="39" t="str">
        <v>Shangrila</v>
      </c>
      <c r="E173" s="39" t="str">
        <v>Damaged Stock</v>
      </c>
      <c r="F173" s="45" t="n">
        <v>1</v>
      </c>
      <c r="G173" s="40" t="str">
        <v>[Code: 33AACD] TA: Display krtay waqt box may say damaged nikla.</v>
      </c>
      <c r="H173" s="39" t="str">
        <v>Taufeeq Akhtar </v>
      </c>
      <c r="I173" s="39" t="str">
        <f aca="false">IF(ISBLANK(H173),"", IF($H$2:$H1672 = "Gohar Rehan","Overnight",IF($H$2:$H1672 = "Taufeeq Akhtar ","Overnight",IF($H$2:$H1672 = "Zeeshan Ali Malik","Audit",IF($H$2:$H1672 = "Ali Raza ","Receiving",IF($H$2:$H1672 = "Ali Ahmad","Full-In"))))))</f>
        <v>Overnight</v>
      </c>
      <c r="J173" s="29"/>
      <c r="K173" s="40" t="s">
        <v>2215</v>
      </c>
      <c r="L173" s="40" t="s">
        <v>2292</v>
      </c>
      <c r="M173" s="45" t="n">
        <v>1</v>
      </c>
      <c r="N173" s="39" t="s">
        <v>2212</v>
      </c>
      <c r="O173" s="42" t="b">
        <f aca="false">TRUE()</f>
        <v>1</v>
      </c>
      <c r="P173" s="20" t="n">
        <v>540.66</v>
      </c>
      <c r="Q173" s="45" t="n">
        <v>540.66</v>
      </c>
      <c r="R173" s="43" t="n">
        <v>45091</v>
      </c>
      <c r="S173" s="20" t="str">
        <v>Sauces</v>
      </c>
    </row>
    <row r="174" customFormat="false" ht="15.75" hidden="false" customHeight="false" outlineLevel="0" collapsed="false">
      <c r="A174" s="39" t="str">
        <v>3556DM</v>
      </c>
      <c r="B174" s="44" t="str">
        <v>Fri,16-June-2023 ,06:02 PM</v>
      </c>
      <c r="C174" s="39" t="str">
        <v>Quality Grains Daal Chana Budget 1kg</v>
      </c>
      <c r="D174" s="39" t="str">
        <v>Quality Grains</v>
      </c>
      <c r="E174" s="39" t="str">
        <v>Damaged Stock</v>
      </c>
      <c r="F174" s="45" t="n">
        <v>3</v>
      </c>
      <c r="G174" s="40" t="str">
        <v>[Code: 3556DM] TA:Quality sahi nahi hay(Fungus laga hay)</v>
      </c>
      <c r="H174" s="39" t="str">
        <v>Taufeeq Akhtar </v>
      </c>
      <c r="I174" s="39" t="str">
        <f aca="false">IF(ISBLANK(H174),"", IF($H$2:$H1673 = "Gohar Rehan","Overnight",IF($H$2:$H1673 = "Taufeeq Akhtar ","Overnight",IF($H$2:$H1673 = "Zeeshan Ali Malik","Audit",IF($H$2:$H1673 = "Ali Raza ","Receiving",IF($H$2:$H1673 = "Ali Ahmad","Full-In"))))))</f>
        <v>Overnight</v>
      </c>
      <c r="J174" s="29"/>
      <c r="K174" s="40" t="s">
        <v>2215</v>
      </c>
      <c r="L174" s="40" t="s">
        <v>2292</v>
      </c>
      <c r="M174" s="41"/>
      <c r="N174" s="39" t="s">
        <v>2212</v>
      </c>
      <c r="O174" s="46" t="b">
        <f aca="false">FALSE()</f>
        <v>0</v>
      </c>
      <c r="P174" s="20" t="n">
        <v>234</v>
      </c>
      <c r="Q174" s="45" t="n">
        <v>702</v>
      </c>
      <c r="R174" s="43" t="n">
        <v>45093</v>
      </c>
      <c r="S174" s="20" t="str">
        <v>Pulses</v>
      </c>
    </row>
    <row r="175" customFormat="false" ht="15.75" hidden="false" customHeight="false" outlineLevel="0" collapsed="false">
      <c r="A175" s="39" t="str">
        <v>244AAC</v>
      </c>
      <c r="B175" s="44" t="str">
        <v>Fri,16-June-2023 ,06:08 PM</v>
      </c>
      <c r="C175" s="39" t="str">
        <v>Lifebuoy Herbal Strong 9ml 16pcs Rs.10</v>
      </c>
      <c r="D175" s="39" t="str">
        <v>Lifebuoy</v>
      </c>
      <c r="E175" s="39" t="str">
        <v>Damaged Stock</v>
      </c>
      <c r="F175" s="45" t="n">
        <v>4</v>
      </c>
      <c r="G175" s="40" t="str">
        <v>[Code: 244AAC] TA: Found Damaged from Box During sorting:</v>
      </c>
      <c r="H175" s="39" t="str">
        <v>Taufeeq Akhtar </v>
      </c>
      <c r="I175" s="39" t="str">
        <f aca="false">IF(ISBLANK(H175),"", IF($H$2:$H1674 = "Gohar Rehan","Overnight",IF($H$2:$H1674 = "Taufeeq Akhtar ","Overnight",IF($H$2:$H1674 = "Zeeshan Ali Malik","Audit",IF($H$2:$H1674 = "Ali Raza ","Receiving",IF($H$2:$H1674 = "Ali Ahmad","Full-In"))))))</f>
        <v>Overnight</v>
      </c>
      <c r="J175" s="29"/>
      <c r="K175" s="40" t="s">
        <v>2215</v>
      </c>
      <c r="L175" s="40" t="s">
        <v>2292</v>
      </c>
      <c r="M175" s="41"/>
      <c r="N175" s="39" t="s">
        <v>2212</v>
      </c>
      <c r="O175" s="46" t="b">
        <f aca="false">FALSE()</f>
        <v>0</v>
      </c>
      <c r="P175" s="20" t="n">
        <v>143.67</v>
      </c>
      <c r="Q175" s="45" t="n">
        <v>574.68</v>
      </c>
      <c r="R175" s="43" t="n">
        <v>45093</v>
      </c>
      <c r="S175" s="20" t="str">
        <v>Shampoo</v>
      </c>
    </row>
    <row r="176" customFormat="false" ht="15.75" hidden="false" customHeight="false" outlineLevel="0" collapsed="false">
      <c r="A176" s="39" t="str">
        <v>244679</v>
      </c>
      <c r="B176" s="44" t="str">
        <v>Sat,17-June-2023 ,09:13 PM</v>
      </c>
      <c r="C176" s="39" t="str">
        <v>7up plastic 1L (Other city stock)</v>
      </c>
      <c r="D176" s="39" t="str">
        <v>7up</v>
      </c>
      <c r="E176" s="39" t="str">
        <v>Damaged Stock</v>
      </c>
      <c r="F176" s="45" t="n">
        <v>1</v>
      </c>
      <c r="G176" s="40" t="str">
        <v>[Code: 244679] TA: sorting k doran 4 botel khali milay thay pet k ander say:</v>
      </c>
      <c r="H176" s="39" t="str">
        <v>Taufeeq Akhtar </v>
      </c>
      <c r="I176" s="39" t="str">
        <f aca="false">IF(ISBLANK(H176),"", IF($H$2:$H1675 = "Gohar Rehan","Overnight",IF($H$2:$H1675 = "Taufeeq Akhtar ","Overnight",IF($H$2:$H1675 = "Zeeshan Ali Malik","Audit",IF($H$2:$H1675 = "Ali Raza ","Receiving",IF($H$2:$H1675 = "Ali Ahmad","Full-In"))))))</f>
        <v>Overnight</v>
      </c>
      <c r="J176" s="29"/>
      <c r="K176" s="40" t="s">
        <v>2297</v>
      </c>
      <c r="L176" s="40" t="s">
        <v>2290</v>
      </c>
      <c r="M176" s="41"/>
      <c r="N176" s="39" t="s">
        <v>2250</v>
      </c>
      <c r="O176" s="46" t="b">
        <f aca="false">FALSE()</f>
        <v>0</v>
      </c>
      <c r="P176" s="20" t="n">
        <v>576</v>
      </c>
      <c r="Q176" s="45" t="n">
        <v>576</v>
      </c>
      <c r="R176" s="43" t="n">
        <v>45094</v>
      </c>
      <c r="S176" s="20" t="str">
        <v>Beverages</v>
      </c>
    </row>
    <row r="177" customFormat="false" ht="15.75" hidden="false" customHeight="false" outlineLevel="0" collapsed="false">
      <c r="A177" s="39" t="str">
        <v>556777</v>
      </c>
      <c r="B177" s="44" t="str">
        <v>Sun,18-June-2023 ,10:32 PM</v>
      </c>
      <c r="C177" s="39" t="str">
        <v>National Mixed Fruit Jam 440g</v>
      </c>
      <c r="D177" s="39" t="str">
        <v>National</v>
      </c>
      <c r="E177" s="39" t="str">
        <v>Damaged Stock</v>
      </c>
      <c r="F177" s="45" t="n">
        <v>1</v>
      </c>
      <c r="G177" s="40" t="str">
        <v>[Code: 556777] TA: Found damaged on rack during sorting.</v>
      </c>
      <c r="H177" s="39" t="str">
        <v>Taufeeq Akhtar </v>
      </c>
      <c r="I177" s="39" t="str">
        <f aca="false">IF(ISBLANK(H177),"", IF($H$2:$H1676 = "Gohar Rehan","Overnight",IF($H$2:$H1676 = "Taufeeq Akhtar ","Overnight",IF($H$2:$H1676 = "Zeeshan Ali Malik","Audit",IF($H$2:$H1676 = "Ali Raza ","Receiving",IF($H$2:$H1676 = "Ali Ahmad","Full-In"))))))</f>
        <v>Overnight</v>
      </c>
      <c r="J177" s="29"/>
      <c r="K177" s="40" t="s">
        <v>2215</v>
      </c>
      <c r="L177" s="40" t="s">
        <v>2295</v>
      </c>
      <c r="M177" s="41"/>
      <c r="N177" s="39" t="s">
        <v>2212</v>
      </c>
      <c r="O177" s="46" t="b">
        <f aca="false">FALSE()</f>
        <v>0</v>
      </c>
      <c r="P177" s="20" t="n">
        <v>242.5</v>
      </c>
      <c r="Q177" s="45" t="n">
        <v>242.5</v>
      </c>
      <c r="R177" s="43" t="n">
        <v>45095</v>
      </c>
      <c r="S177" s="20" t="str">
        <v>Grocery</v>
      </c>
    </row>
    <row r="178" customFormat="false" ht="15.75" hidden="false" customHeight="false" outlineLevel="0" collapsed="false">
      <c r="A178" s="39" t="str">
        <v>234459</v>
      </c>
      <c r="B178" s="44" t="str">
        <v>Mon,19-June-2023 ,08:06 PM</v>
      </c>
      <c r="C178" s="39" t="str">
        <v>Coca Cola plastic 2.25L (Jumbo)</v>
      </c>
      <c r="D178" s="39" t="str">
        <v>Coca Cola</v>
      </c>
      <c r="E178" s="39" t="str">
        <v>Damaged Stock</v>
      </c>
      <c r="F178" s="45" t="n">
        <v>1</v>
      </c>
      <c r="G178" s="40" t="str">
        <v>[Code: 234459] TA; 1 unit Damage found during Sorting.</v>
      </c>
      <c r="H178" s="39" t="str">
        <v>Taufeeq Akhtar </v>
      </c>
      <c r="I178" s="39" t="str">
        <f aca="false">IF(ISBLANK(H178),"", IF($H$2:$H1677 = "Gohar Rehan","Overnight",IF($H$2:$H1677 = "Taufeeq Akhtar ","Overnight",IF($H$2:$H1677 = "Zeeshan Ali Malik","Audit",IF($H$2:$H1677 = "Ali Raza ","Receiving",IF($H$2:$H1677 = "Ali Ahmad","Full-In"))))))</f>
        <v>Overnight</v>
      </c>
      <c r="J178" s="29"/>
      <c r="K178" s="40" t="s">
        <v>2297</v>
      </c>
      <c r="L178" s="40" t="s">
        <v>2290</v>
      </c>
      <c r="M178" s="45" t="n">
        <v>1</v>
      </c>
      <c r="N178" s="39" t="s">
        <v>2212</v>
      </c>
      <c r="O178" s="42" t="b">
        <f aca="false">TRUE()</f>
        <v>1</v>
      </c>
      <c r="P178" s="20" t="n">
        <v>1176</v>
      </c>
      <c r="Q178" s="45" t="n">
        <v>1176</v>
      </c>
      <c r="R178" s="43" t="n">
        <v>45096</v>
      </c>
      <c r="S178" s="20" t="str">
        <v>Beverages</v>
      </c>
    </row>
    <row r="179" customFormat="false" ht="15.75" hidden="false" customHeight="false" outlineLevel="0" collapsed="false">
      <c r="A179" s="39" t="str">
        <v>67999C</v>
      </c>
      <c r="B179" s="44" t="str">
        <v>Tue,20-June-2023 ,08:59 PM</v>
      </c>
      <c r="C179" s="39" t="str">
        <v>Bonus tristar detergent x6 bundle 48g Rs10</v>
      </c>
      <c r="D179" s="39" t="str">
        <v>Bonus Surf</v>
      </c>
      <c r="E179" s="39" t="str">
        <v>Damaged Stock</v>
      </c>
      <c r="F179" s="45" t="n">
        <v>1</v>
      </c>
      <c r="G179" s="40" t="str">
        <v>[Code: 67999C] TA: bag may say damaged nikla sorting k doran.</v>
      </c>
      <c r="H179" s="39" t="str">
        <v>Taufeeq Akhtar </v>
      </c>
      <c r="I179" s="39" t="str">
        <f aca="false">IF(ISBLANK(H179),"", IF($H$2:$H1678 = "Gohar Rehan","Overnight",IF($H$2:$H1678 = "Taufeeq Akhtar ","Overnight",IF($H$2:$H1678 = "Zeeshan Ali Malik","Audit",IF($H$2:$H1678 = "Ali Raza ","Receiving",IF($H$2:$H1678 = "Ali Ahmad","Full-In"))))))</f>
        <v>Overnight</v>
      </c>
      <c r="J179" s="29"/>
      <c r="K179" s="40" t="s">
        <v>2215</v>
      </c>
      <c r="L179" s="40" t="s">
        <v>2296</v>
      </c>
      <c r="M179" s="41" t="n">
        <v>1</v>
      </c>
      <c r="N179" s="39" t="s">
        <v>2212</v>
      </c>
      <c r="O179" s="42" t="b">
        <f aca="false">TRUE()</f>
        <v>1</v>
      </c>
      <c r="P179" s="20" t="n">
        <v>54.99</v>
      </c>
      <c r="Q179" s="45" t="n">
        <v>54.99</v>
      </c>
      <c r="R179" s="43" t="n">
        <v>45097</v>
      </c>
      <c r="S179" s="20" t="str">
        <v>Surf, Bleach</v>
      </c>
    </row>
    <row r="180" customFormat="false" ht="15.75" hidden="false" customHeight="false" outlineLevel="0" collapsed="false">
      <c r="A180" s="39" t="str">
        <v>235568</v>
      </c>
      <c r="B180" s="44" t="str">
        <v>Tue,20-June-2023 ,09:01 PM</v>
      </c>
      <c r="C180" s="39" t="str">
        <v>Bonus tristar yellow surf 240g Rs50</v>
      </c>
      <c r="D180" s="39" t="str">
        <v>Bonus Surf</v>
      </c>
      <c r="E180" s="39" t="str">
        <v>Damaged Stock</v>
      </c>
      <c r="F180" s="45" t="n">
        <v>1</v>
      </c>
      <c r="G180" s="40" t="str">
        <v>[Code: 235568] TA: bag may say damaged nikla .</v>
      </c>
      <c r="H180" s="39" t="str">
        <v>Taufeeq Akhtar </v>
      </c>
      <c r="I180" s="39" t="str">
        <f aca="false">IF(ISBLANK(H180),"", IF($H$2:$H1679 = "Gohar Rehan","Overnight",IF($H$2:$H1679 = "Taufeeq Akhtar ","Overnight",IF($H$2:$H1679 = "Zeeshan Ali Malik","Audit",IF($H$2:$H1679 = "Ali Raza ","Receiving",IF($H$2:$H1679 = "Ali Ahmad","Full-In"))))))</f>
        <v>Overnight</v>
      </c>
      <c r="J180" s="29"/>
      <c r="K180" s="40" t="s">
        <v>2215</v>
      </c>
      <c r="L180" s="40" t="s">
        <v>2296</v>
      </c>
      <c r="M180" s="41" t="n">
        <v>1</v>
      </c>
      <c r="N180" s="39" t="s">
        <v>2212</v>
      </c>
      <c r="O180" s="42" t="b">
        <f aca="false">TRUE()</f>
        <v>1</v>
      </c>
      <c r="P180" s="20" t="n">
        <v>45.71</v>
      </c>
      <c r="Q180" s="45" t="n">
        <v>45.71</v>
      </c>
      <c r="R180" s="43" t="n">
        <v>45097</v>
      </c>
      <c r="S180" s="20" t="str">
        <v>Surf, Bleach</v>
      </c>
    </row>
    <row r="181" customFormat="false" ht="15.75" hidden="false" customHeight="false" outlineLevel="0" collapsed="false">
      <c r="A181" s="39" t="str">
        <v>2677CE</v>
      </c>
      <c r="B181" s="44" t="str">
        <v>Tue,20-June-2023 ,09:11 PM</v>
      </c>
      <c r="C181" s="39" t="str">
        <v>Brite Surf x12 bundle 23g Rs 10</v>
      </c>
      <c r="D181" s="39" t="str">
        <v>Brite Surf</v>
      </c>
      <c r="E181" s="39" t="str">
        <v>Damaged Stock</v>
      </c>
      <c r="F181" s="45" t="n">
        <v>2</v>
      </c>
      <c r="G181" s="40" t="str">
        <v>[Code: 2677CE] TA: bag may damaged niklay </v>
      </c>
      <c r="H181" s="39" t="str">
        <v>Taufeeq Akhtar </v>
      </c>
      <c r="I181" s="39" t="str">
        <f aca="false">IF(ISBLANK(H181),"", IF($H$2:$H1680 = "Gohar Rehan","Overnight",IF($H$2:$H1680 = "Taufeeq Akhtar ","Overnight",IF($H$2:$H1680 = "Zeeshan Ali Malik","Audit",IF($H$2:$H1680 = "Ali Raza ","Receiving",IF($H$2:$H1680 = "Ali Ahmad","Full-In"))))))</f>
        <v>Overnight</v>
      </c>
      <c r="J181" s="29"/>
      <c r="K181" s="40" t="s">
        <v>2215</v>
      </c>
      <c r="L181" s="40" t="s">
        <v>2296</v>
      </c>
      <c r="M181" s="45" t="n">
        <v>2</v>
      </c>
      <c r="N181" s="39" t="s">
        <v>2212</v>
      </c>
      <c r="O181" s="42" t="b">
        <f aca="false">TRUE()</f>
        <v>1</v>
      </c>
      <c r="P181" s="20" t="n">
        <v>107.91</v>
      </c>
      <c r="Q181" s="45" t="n">
        <v>215.82</v>
      </c>
      <c r="R181" s="43" t="n">
        <v>45097</v>
      </c>
      <c r="S181" s="20" t="str">
        <v>Surf, Bleach</v>
      </c>
    </row>
    <row r="182" customFormat="false" ht="15.75" hidden="false" customHeight="false" outlineLevel="0" collapsed="false">
      <c r="A182" s="39" t="str">
        <v>27HHJK</v>
      </c>
      <c r="B182" s="44" t="str">
        <v>Wed,21-June-2023 ,10:44 PM</v>
      </c>
      <c r="C182" s="39" t="str">
        <v>Coca Cola plastic 1L</v>
      </c>
      <c r="D182" s="39" t="str">
        <v>Coca Cola</v>
      </c>
      <c r="E182" s="39" t="str">
        <v>Damaged Stock</v>
      </c>
      <c r="F182" s="45" t="n">
        <v>1</v>
      </c>
      <c r="G182" s="40" t="str">
        <v>[Code: 27HHJK] TA: loose  bottles found during Sorting(Company end issue)</v>
      </c>
      <c r="H182" s="39" t="str">
        <v>Taufeeq Akhtar </v>
      </c>
      <c r="I182" s="39" t="str">
        <f aca="false">IF(ISBLANK(H182),"", IF($H$2:$H1681 = "Gohar Rehan","Overnight",IF($H$2:$H1681 = "Taufeeq Akhtar ","Overnight",IF($H$2:$H1681 = "Zeeshan Ali Malik","Audit",IF($H$2:$H1681 = "Ali Raza ","Receiving",IF($H$2:$H1681 = "Ali Ahmad","Full-In"))))))</f>
        <v>Overnight</v>
      </c>
      <c r="J182" s="29"/>
      <c r="K182" s="40" t="s">
        <v>2298</v>
      </c>
      <c r="L182" s="40" t="s">
        <v>2290</v>
      </c>
      <c r="M182" s="45" t="n">
        <v>1</v>
      </c>
      <c r="N182" s="39" t="s">
        <v>2212</v>
      </c>
      <c r="O182" s="42" t="b">
        <f aca="false">TRUE()</f>
        <v>1</v>
      </c>
      <c r="P182" s="20" t="n">
        <v>672</v>
      </c>
      <c r="Q182" s="45" t="n">
        <v>672</v>
      </c>
      <c r="R182" s="43" t="n">
        <v>45098</v>
      </c>
      <c r="S182" s="20" t="str">
        <v>Beverages</v>
      </c>
    </row>
    <row r="183" customFormat="false" ht="15.75" hidden="false" customHeight="false" outlineLevel="0" collapsed="false">
      <c r="A183" s="39" t="str">
        <v>57889B</v>
      </c>
      <c r="B183" s="44" t="str">
        <v>Thu,22-June-2023 ,05:47 PM</v>
      </c>
      <c r="C183" s="39" t="str">
        <v>Guard Long Grain Rice 1kg Rs225</v>
      </c>
      <c r="D183" s="39" t="str">
        <v>Guard Agri</v>
      </c>
      <c r="E183" s="39" t="str">
        <v>Damaged Stock</v>
      </c>
      <c r="F183" s="45" t="n">
        <v>555</v>
      </c>
      <c r="G183" s="40" t="str">
        <v>[Code: 57889B] Content Spoiled (found susri in pouch)</v>
      </c>
      <c r="H183" s="39" t="str">
        <v>Ali Raza </v>
      </c>
      <c r="I183" s="39" t="str">
        <f aca="false">IF(ISBLANK(H183),"", IF($H$2:$H1682 = "Gohar Rehan","Overnight",IF($H$2:$H1682 = "Taufeeq Akhtar ","Overnight",IF($H$2:$H1682 = "Zeeshan Ali Malik","Audit",IF($H$2:$H1682 = "Ali Raza ","Receiving",IF($H$2:$H1682 = "Ali Ahmad","Full-In"))))))</f>
        <v>Receiving</v>
      </c>
      <c r="J183" s="29"/>
      <c r="K183" s="40" t="s">
        <v>2299</v>
      </c>
      <c r="L183" s="51" t="s">
        <v>2300</v>
      </c>
      <c r="M183" s="41" t="n">
        <v>555</v>
      </c>
      <c r="N183" s="39" t="s">
        <v>2212</v>
      </c>
      <c r="O183" s="42" t="b">
        <f aca="false">TRUE()</f>
        <v>1</v>
      </c>
      <c r="P183" s="20" t="n">
        <v>191.67</v>
      </c>
      <c r="Q183" s="45" t="n">
        <v>106376.85</v>
      </c>
      <c r="R183" s="43" t="n">
        <v>45099</v>
      </c>
      <c r="S183" s="20" t="str">
        <v>Rice</v>
      </c>
    </row>
    <row r="184" customFormat="false" ht="15.75" hidden="false" customHeight="false" outlineLevel="0" collapsed="false">
      <c r="A184" s="39" t="str">
        <v>799GJL</v>
      </c>
      <c r="B184" s="44" t="str">
        <v>Fri,23-June-2023 ,05:48 PM</v>
      </c>
      <c r="C184" s="39" t="str">
        <v>Coca Cola plastic 1.5L</v>
      </c>
      <c r="D184" s="39" t="str">
        <v>Coca Cola</v>
      </c>
      <c r="E184" s="39" t="str">
        <v>Damaged Stock</v>
      </c>
      <c r="F184" s="45" t="n">
        <v>2</v>
      </c>
      <c r="G184" s="40" t="str">
        <v>[Code: 799GJL] TA: Found in Loose condition during sorting.</v>
      </c>
      <c r="H184" s="39" t="str">
        <v>Taufeeq Akhtar </v>
      </c>
      <c r="I184" s="39" t="str">
        <f aca="false">IF(ISBLANK(H184),"", IF($H$2:$H1683 = "Gohar Rehan","Overnight",IF($H$2:$H1683 = "Taufeeq Akhtar ","Overnight",IF($H$2:$H1683 = "Zeeshan Ali Malik","Audit",IF($H$2:$H1683 = "Ali Raza ","Receiving",IF($H$2:$H1683 = "Ali Ahmad","Full-In"))))))</f>
        <v>Overnight</v>
      </c>
      <c r="J184" s="29"/>
      <c r="K184" s="40" t="s">
        <v>2301</v>
      </c>
      <c r="L184" s="40" t="s">
        <v>2290</v>
      </c>
      <c r="M184" s="45" t="n">
        <v>2</v>
      </c>
      <c r="N184" s="39" t="s">
        <v>2212</v>
      </c>
      <c r="O184" s="42" t="b">
        <f aca="false">TRUE()</f>
        <v>1</v>
      </c>
      <c r="P184" s="20" t="n">
        <v>847</v>
      </c>
      <c r="Q184" s="45" t="n">
        <v>1694</v>
      </c>
      <c r="R184" s="43" t="n">
        <v>45100</v>
      </c>
      <c r="S184" s="20" t="str">
        <v>Beverages</v>
      </c>
    </row>
    <row r="185" customFormat="false" ht="15.75" hidden="false" customHeight="false" outlineLevel="0" collapsed="false">
      <c r="A185" s="39" t="str">
        <v>3FGJKM</v>
      </c>
      <c r="B185" s="44" t="str">
        <v>Sat,24-June-2023 ,10:08 AM</v>
      </c>
      <c r="C185" s="39" t="str">
        <v>Guard Long Grain Rice 1kg Rs225</v>
      </c>
      <c r="D185" s="39" t="str">
        <v>Guard Agri</v>
      </c>
      <c r="E185" s="39" t="str">
        <v>Damaged Stock</v>
      </c>
      <c r="F185" s="45" t="n">
        <v>555</v>
      </c>
      <c r="G185" s="40" t="str">
        <v>[Code: 3FGJKM] 555 units damaged due to insects </v>
      </c>
      <c r="H185" s="39" t="str">
        <v>Ali Raza </v>
      </c>
      <c r="I185" s="39" t="str">
        <f aca="false">IF(ISBLANK(H185),"", IF($H$2:$H1684 = "Gohar Rehan","Overnight",IF($H$2:$H1684 = "Taufeeq Akhtar ","Overnight",IF($H$2:$H1684 = "Zeeshan Ali Malik","Audit",IF($H$2:$H1684 = "Ali Raza ","Receiving",IF($H$2:$H1684 = "Ali Ahmad","Full-In"))))))</f>
        <v>Receiving</v>
      </c>
      <c r="J185" s="29"/>
      <c r="K185" s="40" t="s">
        <v>2299</v>
      </c>
      <c r="L185" s="40" t="s">
        <v>2292</v>
      </c>
      <c r="M185" s="41" t="n">
        <v>555</v>
      </c>
      <c r="N185" s="39" t="s">
        <v>2212</v>
      </c>
      <c r="O185" s="42" t="b">
        <f aca="false">TRUE()</f>
        <v>1</v>
      </c>
      <c r="P185" s="20" t="n">
        <v>191.67</v>
      </c>
      <c r="Q185" s="45" t="n">
        <v>106376.85</v>
      </c>
      <c r="R185" s="43" t="n">
        <v>45101</v>
      </c>
      <c r="S185" s="20" t="str">
        <v>Rice</v>
      </c>
    </row>
    <row r="186" customFormat="false" ht="15.75" hidden="false" customHeight="false" outlineLevel="0" collapsed="false">
      <c r="A186" s="39" t="str">
        <v>3468BE</v>
      </c>
      <c r="B186" s="44" t="str">
        <v>Sat,24-June-2023 ,10:13 AM</v>
      </c>
      <c r="C186" s="39" t="str">
        <v>Yadgar Super Special Atta 15kg</v>
      </c>
      <c r="D186" s="39" t="str">
        <v>Yadgar Atta</v>
      </c>
      <c r="E186" s="39" t="str">
        <v>Damaged Stock</v>
      </c>
      <c r="F186" s="45" t="n">
        <v>370</v>
      </c>
      <c r="G186" s="40" t="str">
        <v>[Code: 3468BE]  370 units damaged due to insects </v>
      </c>
      <c r="H186" s="39" t="str">
        <v>Ali Raza </v>
      </c>
      <c r="I186" s="39" t="str">
        <f aca="false">IF(ISBLANK(H186),"", IF($H$2:$H1685 = "Gohar Rehan","Overnight",IF($H$2:$H1685 = "Taufeeq Akhtar ","Overnight",IF($H$2:$H1685 = "Zeeshan Ali Malik","Audit",IF($H$2:$H1685 = "Ali Raza ","Receiving",IF($H$2:$H1685 = "Ali Ahmad","Full-In"))))))</f>
        <v>Receiving</v>
      </c>
      <c r="J186" s="29"/>
      <c r="K186" s="40" t="s">
        <v>2299</v>
      </c>
      <c r="L186" s="40" t="s">
        <v>2302</v>
      </c>
      <c r="M186" s="41"/>
      <c r="N186" s="39" t="s">
        <v>2212</v>
      </c>
      <c r="O186" s="46" t="b">
        <f aca="false">FALSE()</f>
        <v>0</v>
      </c>
      <c r="P186" s="20" t="n">
        <v>2100</v>
      </c>
      <c r="Q186" s="45" t="n">
        <v>777000</v>
      </c>
      <c r="R186" s="43" t="n">
        <v>45101</v>
      </c>
      <c r="S186" s="20" t="str">
        <v>Flour</v>
      </c>
    </row>
    <row r="187" customFormat="false" ht="15.75" hidden="false" customHeight="false" outlineLevel="0" collapsed="false">
      <c r="A187" s="39" t="str">
        <v>333579</v>
      </c>
      <c r="B187" s="44" t="str">
        <v>Sun,25-June-2023 ,12:30 AM</v>
      </c>
      <c r="C187" s="39" t="str">
        <v>Mirinda plastic 345ml (Other city stock)</v>
      </c>
      <c r="D187" s="39" t="str">
        <v>Mirinda</v>
      </c>
      <c r="E187" s="39" t="str">
        <v>Damaged Stock</v>
      </c>
      <c r="F187" s="45" t="n">
        <v>1</v>
      </c>
      <c r="G187" s="40" t="str">
        <v>[Code: 333579] TA: damaged because of mouse bite.</v>
      </c>
      <c r="H187" s="39" t="str">
        <v>Taufeeq Akhtar </v>
      </c>
      <c r="I187" s="39" t="str">
        <f aca="false">IF(ISBLANK(H187),"", IF($H$2:$H1686 = "Gohar Rehan","Overnight",IF($H$2:$H1686 = "Taufeeq Akhtar ","Overnight",IF($H$2:$H1686 = "Zeeshan Ali Malik","Audit",IF($H$2:$H1686 = "Ali Raza ","Receiving",IF($H$2:$H1686 = "Ali Ahmad","Full-In"))))))</f>
        <v>Overnight</v>
      </c>
      <c r="J187" s="29"/>
      <c r="K187" s="40" t="s">
        <v>2303</v>
      </c>
      <c r="L187" s="40" t="s">
        <v>2290</v>
      </c>
      <c r="M187" s="41" t="n">
        <v>1</v>
      </c>
      <c r="N187" s="39" t="s">
        <v>2212</v>
      </c>
      <c r="O187" s="42" t="b">
        <f aca="false">TRUE()</f>
        <v>1</v>
      </c>
      <c r="P187" s="20" t="n">
        <v>520</v>
      </c>
      <c r="Q187" s="45" t="n">
        <v>520</v>
      </c>
      <c r="R187" s="43" t="n">
        <v>45102</v>
      </c>
      <c r="S187" s="20" t="str">
        <v>Beverages</v>
      </c>
    </row>
    <row r="188" customFormat="false" ht="15.75" hidden="false" customHeight="false" outlineLevel="0" collapsed="false">
      <c r="A188" s="39" t="str">
        <v>23BBCE</v>
      </c>
      <c r="B188" s="44" t="str">
        <v>Sun,25-June-2023 ,12:31 AM</v>
      </c>
      <c r="C188" s="39" t="str">
        <v>Coca Cola plastic 1.5L</v>
      </c>
      <c r="D188" s="39" t="str">
        <v>Coca Cola</v>
      </c>
      <c r="E188" s="39" t="str">
        <v>Damaged Stock</v>
      </c>
      <c r="F188" s="45" t="n">
        <v>2</v>
      </c>
      <c r="G188" s="40" t="str">
        <v>[Code: 23BBCE] TA: Found in Loose condition (Company end issue)</v>
      </c>
      <c r="H188" s="39" t="str">
        <v>Taufeeq Akhtar </v>
      </c>
      <c r="I188" s="39" t="str">
        <f aca="false">IF(ISBLANK(H188),"", IF($H$2:$H1687 = "Gohar Rehan","Overnight",IF($H$2:$H1687 = "Taufeeq Akhtar ","Overnight",IF($H$2:$H1687 = "Zeeshan Ali Malik","Audit",IF($H$2:$H1687 = "Ali Raza ","Receiving",IF($H$2:$H1687 = "Ali Ahmad","Full-In"))))))</f>
        <v>Overnight</v>
      </c>
      <c r="J188" s="29"/>
      <c r="K188" s="40" t="s">
        <v>2303</v>
      </c>
      <c r="L188" s="40" t="s">
        <v>2290</v>
      </c>
      <c r="M188" s="45" t="n">
        <v>2</v>
      </c>
      <c r="N188" s="39" t="s">
        <v>2212</v>
      </c>
      <c r="O188" s="42" t="b">
        <f aca="false">TRUE()</f>
        <v>1</v>
      </c>
      <c r="P188" s="20" t="n">
        <v>813</v>
      </c>
      <c r="Q188" s="45" t="n">
        <v>1626</v>
      </c>
      <c r="R188" s="43" t="n">
        <v>45102</v>
      </c>
      <c r="S188" s="20" t="str">
        <v>Beverages</v>
      </c>
    </row>
    <row r="189" customFormat="false" ht="15.75" hidden="false" customHeight="false" outlineLevel="0" collapsed="false">
      <c r="A189" s="39" t="str">
        <v>245678</v>
      </c>
      <c r="B189" s="44" t="str">
        <v>Sun,25-June-2023 ,12:33 AM</v>
      </c>
      <c r="C189" s="39" t="str">
        <v>Sprite plastic 1.5L</v>
      </c>
      <c r="D189" s="39" t="str">
        <v>Sprite</v>
      </c>
      <c r="E189" s="39" t="str">
        <v>Damaged Stock</v>
      </c>
      <c r="F189" s="45" t="n">
        <v>1</v>
      </c>
      <c r="G189" s="40" t="str">
        <v>[Code: 245678] TA: Found in Loose condition(Company end issue)</v>
      </c>
      <c r="H189" s="39" t="str">
        <v>Taufeeq Akhtar </v>
      </c>
      <c r="I189" s="39" t="str">
        <f aca="false">IF(ISBLANK(H189),"", IF($H$2:$H1688 = "Gohar Rehan","Overnight",IF($H$2:$H1688 = "Taufeeq Akhtar ","Overnight",IF($H$2:$H1688 = "Zeeshan Ali Malik","Audit",IF($H$2:$H1688 = "Ali Raza ","Receiving",IF($H$2:$H1688 = "Ali Ahmad","Full-In"))))))</f>
        <v>Overnight</v>
      </c>
      <c r="J189" s="29"/>
      <c r="K189" s="40" t="s">
        <v>2303</v>
      </c>
      <c r="L189" s="40" t="s">
        <v>2290</v>
      </c>
      <c r="M189" s="45" t="n">
        <v>1</v>
      </c>
      <c r="N189" s="39" t="s">
        <v>2212</v>
      </c>
      <c r="O189" s="42" t="b">
        <f aca="false">TRUE()</f>
        <v>1</v>
      </c>
      <c r="P189" s="20" t="n">
        <v>813</v>
      </c>
      <c r="Q189" s="45" t="n">
        <v>813</v>
      </c>
      <c r="R189" s="43" t="n">
        <v>45102</v>
      </c>
      <c r="S189" s="20" t="str">
        <v>Beverages</v>
      </c>
    </row>
    <row r="190" customFormat="false" ht="15.75" hidden="false" customHeight="false" outlineLevel="0" collapsed="false">
      <c r="A190" s="39" t="str">
        <v>BDFFGM</v>
      </c>
      <c r="B190" s="44" t="str">
        <v>Sun,25-June-2023 ,12:36 AM</v>
      </c>
      <c r="C190" s="39" t="str">
        <v>Sprite plastic 1L</v>
      </c>
      <c r="D190" s="39" t="str">
        <v>Sprite</v>
      </c>
      <c r="E190" s="39" t="str">
        <v>Damaged Stock</v>
      </c>
      <c r="F190" s="45" t="n">
        <v>1</v>
      </c>
      <c r="G190" s="40" t="str">
        <v>[Code: BDFFGM] TA: Found loose condition during sorting.</v>
      </c>
      <c r="H190" s="39" t="str">
        <v>Taufeeq Akhtar </v>
      </c>
      <c r="I190" s="39" t="str">
        <f aca="false">IF(ISBLANK(H190),"", IF($H$2:$H1689 = "Gohar Rehan","Overnight",IF($H$2:$H1689 = "Taufeeq Akhtar ","Overnight",IF($H$2:$H1689 = "Zeeshan Ali Malik","Audit",IF($H$2:$H1689 = "Ali Raza ","Receiving",IF($H$2:$H1689 = "Ali Ahmad","Full-In"))))))</f>
        <v>Overnight</v>
      </c>
      <c r="J190" s="29"/>
      <c r="K190" s="40" t="s">
        <v>2303</v>
      </c>
      <c r="L190" s="40" t="s">
        <v>2290</v>
      </c>
      <c r="M190" s="45" t="n">
        <v>1</v>
      </c>
      <c r="N190" s="39" t="s">
        <v>2212</v>
      </c>
      <c r="O190" s="42" t="b">
        <f aca="false">TRUE()</f>
        <v>1</v>
      </c>
      <c r="P190" s="20" t="n">
        <v>672</v>
      </c>
      <c r="Q190" s="45" t="n">
        <v>672</v>
      </c>
      <c r="R190" s="43" t="n">
        <v>45102</v>
      </c>
      <c r="S190" s="20" t="str">
        <v>Beverages</v>
      </c>
    </row>
    <row r="191" customFormat="false" ht="15.75" hidden="false" customHeight="false" outlineLevel="0" collapsed="false">
      <c r="A191" s="39" t="str">
        <v>28AGHL</v>
      </c>
      <c r="B191" s="44" t="str">
        <v>Mon,26-June-2023 ,12:19 AM</v>
      </c>
      <c r="C191" s="39" t="str">
        <v>Coca Cola plastic 1.5L</v>
      </c>
      <c r="D191" s="39" t="str">
        <v>Coca Cola</v>
      </c>
      <c r="E191" s="39" t="str">
        <v>Damaged Stock</v>
      </c>
      <c r="F191" s="45" t="n">
        <v>2</v>
      </c>
      <c r="G191" s="40" t="str">
        <v>[Code: 28AGHL] TA: Found loose during sorting.</v>
      </c>
      <c r="H191" s="39" t="str">
        <v>Taufeeq Akhtar </v>
      </c>
      <c r="I191" s="39" t="str">
        <f aca="false">IF(ISBLANK(H191),"", IF($H$2:$H1690 = "Gohar Rehan","Overnight",IF($H$2:$H1690 = "Taufeeq Akhtar ","Overnight",IF($H$2:$H1690 = "Zeeshan Ali Malik","Audit",IF($H$2:$H1690 = "Ali Raza ","Receiving",IF($H$2:$H1690 = "Ali Ahmad","Full-In"))))))</f>
        <v>Overnight</v>
      </c>
      <c r="J191" s="29"/>
      <c r="K191" s="40" t="s">
        <v>2303</v>
      </c>
      <c r="L191" s="40" t="s">
        <v>2290</v>
      </c>
      <c r="M191" s="45" t="n">
        <v>2</v>
      </c>
      <c r="N191" s="39" t="s">
        <v>2212</v>
      </c>
      <c r="O191" s="42" t="b">
        <f aca="false">TRUE()</f>
        <v>1</v>
      </c>
      <c r="P191" s="20" t="n">
        <v>813</v>
      </c>
      <c r="Q191" s="45" t="n">
        <v>1626</v>
      </c>
      <c r="R191" s="43" t="n">
        <v>45103</v>
      </c>
      <c r="S191" s="20" t="str">
        <v>Beverages</v>
      </c>
    </row>
    <row r="192" customFormat="false" ht="15.75" hidden="false" customHeight="false" outlineLevel="0" collapsed="false">
      <c r="A192" s="39" t="str">
        <v>233458</v>
      </c>
      <c r="B192" s="44" t="str">
        <v>Mon,26-June-2023 ,12:20 AM</v>
      </c>
      <c r="C192" s="39" t="str">
        <v>Sprite plastic 1.5L</v>
      </c>
      <c r="D192" s="39" t="str">
        <v>Sprite</v>
      </c>
      <c r="E192" s="39" t="str">
        <v>Damaged Stock</v>
      </c>
      <c r="F192" s="45" t="n">
        <v>1</v>
      </c>
      <c r="G192" s="40" t="str">
        <v>[Code: 233458] TA: found in loose condition during sorting.</v>
      </c>
      <c r="H192" s="39" t="str">
        <v>Taufeeq Akhtar </v>
      </c>
      <c r="I192" s="39" t="str">
        <f aca="false">IF(ISBLANK(H192),"", IF($H$2:$H1691 = "Gohar Rehan","Overnight",IF($H$2:$H1691 = "Taufeeq Akhtar ","Overnight",IF($H$2:$H1691 = "Zeeshan Ali Malik","Audit",IF($H$2:$H1691 = "Ali Raza ","Receiving",IF($H$2:$H1691 = "Ali Ahmad","Full-In"))))))</f>
        <v>Overnight</v>
      </c>
      <c r="J192" s="29"/>
      <c r="K192" s="40" t="s">
        <v>2304</v>
      </c>
      <c r="L192" s="40" t="s">
        <v>2290</v>
      </c>
      <c r="M192" s="45" t="n">
        <v>1</v>
      </c>
      <c r="N192" s="39" t="s">
        <v>2212</v>
      </c>
      <c r="O192" s="42" t="b">
        <f aca="false">TRUE()</f>
        <v>1</v>
      </c>
      <c r="P192" s="20" t="n">
        <v>813</v>
      </c>
      <c r="Q192" s="45" t="n">
        <v>813</v>
      </c>
      <c r="R192" s="43" t="n">
        <v>45103</v>
      </c>
      <c r="S192" s="20" t="str">
        <v>Beverages</v>
      </c>
    </row>
    <row r="193" customFormat="false" ht="15.75" hidden="false" customHeight="false" outlineLevel="0" collapsed="false">
      <c r="A193" s="39" t="str">
        <v>34446A</v>
      </c>
      <c r="B193" s="44" t="str">
        <v>Mon,26-June-2023 ,12:21 AM</v>
      </c>
      <c r="C193" s="39" t="str">
        <v>Sprite plastic 1L</v>
      </c>
      <c r="D193" s="39" t="str">
        <v>Sprite</v>
      </c>
      <c r="E193" s="39" t="str">
        <v>Damaged Stock</v>
      </c>
      <c r="F193" s="45" t="n">
        <v>1</v>
      </c>
      <c r="G193" s="40" t="str">
        <v>[Code: 34446A] TA:  Found in Loose condition during sorting</v>
      </c>
      <c r="H193" s="39" t="str">
        <v>Taufeeq Akhtar </v>
      </c>
      <c r="I193" s="39" t="str">
        <f aca="false">IF(ISBLANK(H193),"", IF($H$2:$H1692 = "Gohar Rehan","Overnight",IF($H$2:$H1692 = "Taufeeq Akhtar ","Overnight",IF($H$2:$H1692 = "Zeeshan Ali Malik","Audit",IF($H$2:$H1692 = "Ali Raza ","Receiving",IF($H$2:$H1692 = "Ali Ahmad","Full-In"))))))</f>
        <v>Overnight</v>
      </c>
      <c r="J193" s="29"/>
      <c r="K193" s="40" t="s">
        <v>2304</v>
      </c>
      <c r="L193" s="40" t="s">
        <v>2290</v>
      </c>
      <c r="M193" s="45" t="n">
        <v>1</v>
      </c>
      <c r="N193" s="39" t="s">
        <v>2212</v>
      </c>
      <c r="O193" s="42" t="b">
        <f aca="false">TRUE()</f>
        <v>1</v>
      </c>
      <c r="P193" s="20" t="n">
        <v>672</v>
      </c>
      <c r="Q193" s="45" t="n">
        <v>672</v>
      </c>
      <c r="R193" s="43" t="n">
        <v>45103</v>
      </c>
      <c r="S193" s="20" t="str">
        <v>Beverages</v>
      </c>
    </row>
    <row r="194" customFormat="false" ht="15.75" hidden="false" customHeight="false" outlineLevel="0" collapsed="false">
      <c r="A194" s="39" t="str">
        <v>46BCGH</v>
      </c>
      <c r="B194" s="44" t="str">
        <v>Mon,26-June-2023 ,12:23 AM</v>
      </c>
      <c r="C194" s="39" t="str">
        <v>Shangrila Tomato Ketchup x6 Bundle 225g</v>
      </c>
      <c r="D194" s="39" t="str">
        <v>Shangrila</v>
      </c>
      <c r="E194" s="39" t="str">
        <v>Damaged Stock</v>
      </c>
      <c r="F194" s="45" t="n">
        <v>1</v>
      </c>
      <c r="G194" s="40" t="str">
        <v>[Code: 46BCGH] TA: Box May say damaged nikla display krtay wqt.</v>
      </c>
      <c r="H194" s="39" t="str">
        <v>Taufeeq Akhtar </v>
      </c>
      <c r="I194" s="39" t="str">
        <f aca="false">IF(ISBLANK(H194),"", IF($H$2:$H1693 = "Gohar Rehan","Overnight",IF($H$2:$H1693 = "Taufeeq Akhtar ","Overnight",IF($H$2:$H1693 = "Zeeshan Ali Malik","Audit",IF($H$2:$H1693 = "Ali Raza ","Receiving",IF($H$2:$H1693 = "Ali Ahmad","Full-In"))))))</f>
        <v>Overnight</v>
      </c>
      <c r="J194" s="29"/>
      <c r="K194" s="40" t="s">
        <v>2248</v>
      </c>
      <c r="L194" s="40" t="s">
        <v>2292</v>
      </c>
      <c r="M194" s="45" t="n">
        <v>1</v>
      </c>
      <c r="N194" s="39" t="s">
        <v>2212</v>
      </c>
      <c r="O194" s="42" t="b">
        <f aca="false">TRUE()</f>
        <v>1</v>
      </c>
      <c r="P194" s="20" t="n">
        <v>614.12</v>
      </c>
      <c r="Q194" s="45" t="n">
        <v>614.12</v>
      </c>
      <c r="R194" s="43" t="n">
        <v>45103</v>
      </c>
      <c r="S194" s="20" t="str">
        <v>Sauces</v>
      </c>
    </row>
    <row r="195" customFormat="false" ht="15.75" hidden="false" customHeight="false" outlineLevel="0" collapsed="false">
      <c r="A195" s="39" t="str">
        <v>24566A</v>
      </c>
      <c r="B195" s="44" t="str">
        <v>Mon,26-June-2023 ,12:26 AM</v>
      </c>
      <c r="C195" s="39" t="str">
        <v>Shangrila Tomato Ketchup x3 Bundle 400g</v>
      </c>
      <c r="D195" s="39" t="str">
        <v>Shangrila</v>
      </c>
      <c r="E195" s="39" t="str">
        <v>Damaged Stock</v>
      </c>
      <c r="F195" s="45" t="n">
        <v>1</v>
      </c>
      <c r="G195" s="40" t="str">
        <v>[Code: 24566A] TA: Diplay krtay waqt box may say damaged nikla</v>
      </c>
      <c r="H195" s="39" t="str">
        <v>Taufeeq Akhtar </v>
      </c>
      <c r="I195" s="39" t="str">
        <f aca="false">IF(ISBLANK(H195),"", IF($H$2:$H1694 = "Gohar Rehan","Overnight",IF($H$2:$H1694 = "Taufeeq Akhtar ","Overnight",IF($H$2:$H1694 = "Zeeshan Ali Malik","Audit",IF($H$2:$H1694 = "Ali Raza ","Receiving",IF($H$2:$H1694 = "Ali Ahmad","Full-In"))))))</f>
        <v>Overnight</v>
      </c>
      <c r="J195" s="29"/>
      <c r="K195" s="40" t="s">
        <v>2248</v>
      </c>
      <c r="L195" s="40" t="s">
        <v>2292</v>
      </c>
      <c r="M195" s="45" t="n">
        <v>1</v>
      </c>
      <c r="N195" s="39" t="s">
        <v>2212</v>
      </c>
      <c r="O195" s="42" t="b">
        <f aca="false">TRUE()</f>
        <v>1</v>
      </c>
      <c r="P195" s="20" t="n">
        <v>540.66</v>
      </c>
      <c r="Q195" s="45" t="n">
        <v>540.66</v>
      </c>
      <c r="R195" s="43" t="n">
        <v>45103</v>
      </c>
      <c r="S195" s="20" t="str">
        <v>Sauces</v>
      </c>
    </row>
    <row r="196" customFormat="false" ht="15.75" hidden="false" customHeight="false" outlineLevel="0" collapsed="false">
      <c r="A196" s="39" t="str">
        <v>35689A</v>
      </c>
      <c r="B196" s="44" t="str">
        <v>Tue,27-June-2023 ,12:42 AM</v>
      </c>
      <c r="C196" s="39" t="str">
        <v>Sprite plastic 1.5L</v>
      </c>
      <c r="D196" s="39" t="str">
        <v>Sprite</v>
      </c>
      <c r="E196" s="39" t="str">
        <v>Damaged Stock</v>
      </c>
      <c r="F196" s="45" t="n">
        <v>1</v>
      </c>
      <c r="G196" s="40" t="str">
        <v>[Code: 35689A] TA:Found in Loose condition during sorting.</v>
      </c>
      <c r="H196" s="39" t="str">
        <v>Taufeeq Akhtar </v>
      </c>
      <c r="I196" s="39" t="str">
        <f aca="false">IF(ISBLANK(H196),"", IF($H$2:$H1695 = "Gohar Rehan","Overnight",IF($H$2:$H1695 = "Taufeeq Akhtar ","Overnight",IF($H$2:$H1695 = "Zeeshan Ali Malik","Audit",IF($H$2:$H1695 = "Ali Raza ","Receiving",IF($H$2:$H1695 = "Ali Ahmad","Full-In"))))))</f>
        <v>Overnight</v>
      </c>
      <c r="J196" s="29"/>
      <c r="K196" s="40" t="s">
        <v>2305</v>
      </c>
      <c r="L196" s="40" t="s">
        <v>2290</v>
      </c>
      <c r="M196" s="45" t="n">
        <v>1</v>
      </c>
      <c r="N196" s="39" t="s">
        <v>2212</v>
      </c>
      <c r="O196" s="42" t="b">
        <f aca="false">TRUE()</f>
        <v>1</v>
      </c>
      <c r="P196" s="20" t="n">
        <v>813</v>
      </c>
      <c r="Q196" s="45" t="n">
        <v>813</v>
      </c>
      <c r="R196" s="43" t="n">
        <v>45104</v>
      </c>
      <c r="S196" s="20" t="str">
        <v>Beverages</v>
      </c>
    </row>
    <row r="197" customFormat="false" ht="15.75" hidden="false" customHeight="false" outlineLevel="0" collapsed="false">
      <c r="A197" s="39" t="str">
        <v>5668AA</v>
      </c>
      <c r="B197" s="44" t="str">
        <v>Tue,27-June-2023 ,12:45 AM</v>
      </c>
      <c r="C197" s="39" t="str">
        <v>Coca Cola plastic 1.5L</v>
      </c>
      <c r="D197" s="39" t="str">
        <v>Coca Cola</v>
      </c>
      <c r="E197" s="39" t="str">
        <v>Damaged Stock</v>
      </c>
      <c r="F197" s="45" t="n">
        <v>1</v>
      </c>
      <c r="G197" s="40" t="str">
        <v>[Code: 5668AA] TA: Found looase and empty bottels </v>
      </c>
      <c r="H197" s="39" t="str">
        <v>Taufeeq Akhtar </v>
      </c>
      <c r="I197" s="39" t="str">
        <f aca="false">IF(ISBLANK(H197),"", IF($H$2:$H1696 = "Gohar Rehan","Overnight",IF($H$2:$H1696 = "Taufeeq Akhtar ","Overnight",IF($H$2:$H1696 = "Zeeshan Ali Malik","Audit",IF($H$2:$H1696 = "Ali Raza ","Receiving",IF($H$2:$H1696 = "Ali Ahmad","Full-In"))))))</f>
        <v>Overnight</v>
      </c>
      <c r="J197" s="29"/>
      <c r="K197" s="40" t="s">
        <v>2305</v>
      </c>
      <c r="L197" s="40" t="s">
        <v>2290</v>
      </c>
      <c r="M197" s="45" t="n">
        <v>1</v>
      </c>
      <c r="N197" s="39" t="s">
        <v>2212</v>
      </c>
      <c r="O197" s="42" t="b">
        <f aca="false">TRUE()</f>
        <v>1</v>
      </c>
      <c r="P197" s="20" t="n">
        <v>813</v>
      </c>
      <c r="Q197" s="45" t="n">
        <v>813</v>
      </c>
      <c r="R197" s="43" t="n">
        <v>45104</v>
      </c>
      <c r="S197" s="20" t="str">
        <v>Beverages</v>
      </c>
    </row>
    <row r="198" customFormat="false" ht="15.75" hidden="false" customHeight="false" outlineLevel="0" collapsed="false">
      <c r="A198" s="39" t="str">
        <v>344CCF</v>
      </c>
      <c r="B198" s="44" t="str">
        <v>Tue,27-June-2023 ,12:47 AM</v>
      </c>
      <c r="C198" s="39" t="str">
        <v>Engro Tarang Liquid Tea Whitener x24 Crate 175ml</v>
      </c>
      <c r="D198" s="39" t="str">
        <v>Tarang</v>
      </c>
      <c r="E198" s="39" t="str">
        <v>Damaged Stock</v>
      </c>
      <c r="F198" s="45" t="n">
        <v>1</v>
      </c>
      <c r="G198" s="40" t="str">
        <v>[Code: 344CCF] TA: ulli lagi hay leak honay ki wajah say.</v>
      </c>
      <c r="H198" s="39" t="str">
        <v>Taufeeq Akhtar </v>
      </c>
      <c r="I198" s="39" t="str">
        <f aca="false">IF(ISBLANK(H198),"", IF($H$2:$H1697 = "Gohar Rehan","Overnight",IF($H$2:$H1697 = "Taufeeq Akhtar ","Overnight",IF($H$2:$H1697 = "Zeeshan Ali Malik","Audit",IF($H$2:$H1697 = "Ali Raza ","Receiving",IF($H$2:$H1697 = "Ali Ahmad","Full-In"))))))</f>
        <v>Overnight</v>
      </c>
      <c r="J198" s="29"/>
      <c r="K198" s="40" t="s">
        <v>2248</v>
      </c>
      <c r="L198" s="40" t="s">
        <v>2306</v>
      </c>
      <c r="M198" s="41" t="n">
        <v>1</v>
      </c>
      <c r="N198" s="39" t="s">
        <v>2212</v>
      </c>
      <c r="O198" s="42" t="b">
        <f aca="false">TRUE()</f>
        <v>1</v>
      </c>
      <c r="P198" s="20" t="n">
        <v>870</v>
      </c>
      <c r="Q198" s="45" t="n">
        <v>870</v>
      </c>
      <c r="R198" s="43" t="n">
        <v>45104</v>
      </c>
      <c r="S198" s="20" t="str">
        <v>Dairy</v>
      </c>
    </row>
    <row r="199" customFormat="false" ht="15.75" hidden="false" customHeight="false" outlineLevel="0" collapsed="false">
      <c r="A199" s="39" t="str">
        <v>2348AA</v>
      </c>
      <c r="B199" s="44" t="str">
        <v>Tue,27-June-2023 ,11:52 PM</v>
      </c>
      <c r="C199" s="39" t="str">
        <v>Engro Olpers Milk x8 Carton 1.5L</v>
      </c>
      <c r="D199" s="39" t="str">
        <v>Olpers</v>
      </c>
      <c r="E199" s="39" t="str">
        <v>Damaged Stock</v>
      </c>
      <c r="F199" s="45" t="n">
        <v>1</v>
      </c>
      <c r="G199" s="40" t="str">
        <v>[Code: 2348AA] TA; 1unit Damage found during sorting (Unit me one piece leak he )</v>
      </c>
      <c r="H199" s="39" t="str">
        <v>Taufeeq Akhtar </v>
      </c>
      <c r="I199" s="39" t="str">
        <f aca="false">IF(ISBLANK(H199),"", IF($H$2:$H1698 = "Gohar Rehan","Overnight",IF($H$2:$H1698 = "Taufeeq Akhtar ","Overnight",IF($H$2:$H1698 = "Zeeshan Ali Malik","Audit",IF($H$2:$H1698 = "Ali Raza ","Receiving",IF($H$2:$H1698 = "Ali Ahmad","Full-In"))))))</f>
        <v>Overnight</v>
      </c>
      <c r="J199" s="29"/>
      <c r="K199" s="40" t="s">
        <v>2248</v>
      </c>
      <c r="L199" s="40" t="s">
        <v>2306</v>
      </c>
      <c r="M199" s="41" t="n">
        <v>1</v>
      </c>
      <c r="N199" s="39" t="s">
        <v>2212</v>
      </c>
      <c r="O199" s="42" t="b">
        <f aca="false">TRUE()</f>
        <v>1</v>
      </c>
      <c r="P199" s="20" t="n">
        <v>2690</v>
      </c>
      <c r="Q199" s="45" t="n">
        <v>2690</v>
      </c>
      <c r="R199" s="43" t="n">
        <v>45104</v>
      </c>
      <c r="S199" s="20" t="str">
        <v>Dairy</v>
      </c>
    </row>
    <row r="200" customFormat="false" ht="15.75" hidden="false" customHeight="false" outlineLevel="0" collapsed="false">
      <c r="A200" s="39" t="str">
        <v>44AACD</v>
      </c>
      <c r="B200" s="44" t="str">
        <v>Wed,28-June-2023 ,01:16 AM</v>
      </c>
      <c r="C200" s="39" t="str">
        <v>National Mango Jam 200g</v>
      </c>
      <c r="D200" s="39" t="str">
        <v>National</v>
      </c>
      <c r="E200" s="39" t="str">
        <v>Damaged Stock</v>
      </c>
      <c r="F200" s="45" t="n">
        <v>1</v>
      </c>
      <c r="G200" s="40" t="str">
        <v>[Code: 44AACD] TA: box may say damage nikla display krtay waqt.</v>
      </c>
      <c r="H200" s="39" t="str">
        <v>Taufeeq Akhtar </v>
      </c>
      <c r="I200" s="39" t="str">
        <f aca="false">IF(ISBLANK(H200),"", IF($H$2:$H1699 = "Gohar Rehan","Overnight",IF($H$2:$H1699 = "Taufeeq Akhtar ","Overnight",IF($H$2:$H1699 = "Zeeshan Ali Malik","Audit",IF($H$2:$H1699 = "Ali Raza ","Receiving",IF($H$2:$H1699 = "Ali Ahmad","Full-In"))))))</f>
        <v>Overnight</v>
      </c>
      <c r="J200" s="29"/>
      <c r="K200" s="40" t="s">
        <v>2248</v>
      </c>
      <c r="L200" s="40" t="s">
        <v>2295</v>
      </c>
      <c r="M200" s="41"/>
      <c r="N200" s="39" t="s">
        <v>2212</v>
      </c>
      <c r="O200" s="46" t="b">
        <f aca="false">FALSE()</f>
        <v>0</v>
      </c>
      <c r="P200" s="20" t="n">
        <v>142.08</v>
      </c>
      <c r="Q200" s="45" t="n">
        <v>142.08</v>
      </c>
      <c r="R200" s="43" t="n">
        <v>45105</v>
      </c>
      <c r="S200" s="20" t="str">
        <v>Grocery</v>
      </c>
    </row>
    <row r="201" customFormat="false" ht="15.75" hidden="false" customHeight="false" outlineLevel="0" collapsed="false">
      <c r="A201" s="39" t="str">
        <v>24ADEF</v>
      </c>
      <c r="B201" s="44" t="str">
        <v>Wed,28-June-2023 ,01:19 AM</v>
      </c>
      <c r="C201" s="39" t="str">
        <v>National Mango Jam 200g</v>
      </c>
      <c r="D201" s="39" t="str">
        <v>National</v>
      </c>
      <c r="E201" s="39" t="str">
        <v>Damaged Stock</v>
      </c>
      <c r="F201" s="45" t="n">
        <v>1</v>
      </c>
      <c r="G201" s="40" t="str">
        <v>[Code: 24ADEF] TA: Box May say damaged nikla.</v>
      </c>
      <c r="H201" s="39" t="str">
        <v>Taufeeq Akhtar </v>
      </c>
      <c r="I201" s="39" t="str">
        <f aca="false">IF(ISBLANK(H201),"", IF($H$2:$H1700 = "Gohar Rehan","Overnight",IF($H$2:$H1700 = "Taufeeq Akhtar ","Overnight",IF($H$2:$H1700 = "Zeeshan Ali Malik","Audit",IF($H$2:$H1700 = "Ali Raza ","Receiving",IF($H$2:$H1700 = "Ali Ahmad","Full-In"))))))</f>
        <v>Overnight</v>
      </c>
      <c r="J201" s="29"/>
      <c r="K201" s="40" t="s">
        <v>2248</v>
      </c>
      <c r="L201" s="40" t="s">
        <v>2295</v>
      </c>
      <c r="M201" s="41"/>
      <c r="N201" s="39" t="s">
        <v>2212</v>
      </c>
      <c r="O201" s="46" t="b">
        <f aca="false">FALSE()</f>
        <v>0</v>
      </c>
      <c r="P201" s="20" t="n">
        <v>142.08</v>
      </c>
      <c r="Q201" s="45" t="n">
        <v>142.08</v>
      </c>
      <c r="R201" s="43" t="n">
        <v>45105</v>
      </c>
      <c r="S201" s="20" t="str">
        <v>Grocery</v>
      </c>
    </row>
    <row r="202" customFormat="false" ht="15.75" hidden="false" customHeight="false" outlineLevel="0" collapsed="false">
      <c r="A202" s="39" t="str">
        <v>555566</v>
      </c>
      <c r="B202" s="44" t="str">
        <v>Wed,28-June-2023 ,02:13 AM</v>
      </c>
      <c r="C202" s="39" t="str">
        <v>Coca Cola plastic 2.25L (Jumbo)</v>
      </c>
      <c r="D202" s="39" t="str">
        <v>Coca Cola</v>
      </c>
      <c r="E202" s="39" t="str">
        <v>Damaged Stock</v>
      </c>
      <c r="F202" s="45" t="n">
        <v>1</v>
      </c>
      <c r="G202" s="40" t="str">
        <v>[Code: 555566] TA: 1 unit Damage found (stock sy lose bottel mili hain</v>
      </c>
      <c r="H202" s="39" t="str">
        <v>Taufeeq Akhtar </v>
      </c>
      <c r="I202" s="39" t="str">
        <f aca="false">IF(ISBLANK(H202),"", IF($H$2:$H1701 = "Gohar Rehan","Overnight",IF($H$2:$H1701 = "Taufeeq Akhtar ","Overnight",IF($H$2:$H1701 = "Zeeshan Ali Malik","Audit",IF($H$2:$H1701 = "Ali Raza ","Receiving",IF($H$2:$H1701 = "Ali Ahmad","Full-In"))))))</f>
        <v>Overnight</v>
      </c>
      <c r="J202" s="29"/>
      <c r="K202" s="40" t="s">
        <v>2307</v>
      </c>
      <c r="L202" s="40" t="s">
        <v>2308</v>
      </c>
      <c r="M202" s="45" t="n">
        <v>1</v>
      </c>
      <c r="N202" s="39" t="s">
        <v>2212</v>
      </c>
      <c r="O202" s="42" t="b">
        <f aca="false">TRUE()</f>
        <v>1</v>
      </c>
      <c r="P202" s="20" t="n">
        <v>1196</v>
      </c>
      <c r="Q202" s="45" t="n">
        <v>1196</v>
      </c>
      <c r="R202" s="43" t="n">
        <v>45105</v>
      </c>
      <c r="S202" s="20" t="str">
        <v>Beverages</v>
      </c>
    </row>
    <row r="203" customFormat="false" ht="15.75" hidden="false" customHeight="false" outlineLevel="0" collapsed="false">
      <c r="A203" s="39" t="str">
        <v>44667A</v>
      </c>
      <c r="B203" s="44" t="str">
        <v>Wed,28-June-2023 ,02:14 AM</v>
      </c>
      <c r="C203" s="39" t="str">
        <v>Sprite plastic 1L</v>
      </c>
      <c r="D203" s="39" t="str">
        <v>Sprite</v>
      </c>
      <c r="E203" s="39" t="str">
        <v>Damaged Stock</v>
      </c>
      <c r="F203" s="45" t="n">
        <v>1</v>
      </c>
      <c r="G203" s="40" t="str">
        <v>[Code: 44667A] TA: 1 unit Damage found (stock sy lose bottel mili hain )</v>
      </c>
      <c r="H203" s="39" t="str">
        <v>Taufeeq Akhtar </v>
      </c>
      <c r="I203" s="39" t="str">
        <f aca="false">IF(ISBLANK(H203),"", IF($H$2:$H1702 = "Gohar Rehan","Overnight",IF($H$2:$H1702 = "Taufeeq Akhtar ","Overnight",IF($H$2:$H1702 = "Zeeshan Ali Malik","Audit",IF($H$2:$H1702 = "Ali Raza ","Receiving",IF($H$2:$H1702 = "Ali Ahmad","Full-In"))))))</f>
        <v>Overnight</v>
      </c>
      <c r="J203" s="29"/>
      <c r="K203" s="40" t="s">
        <v>2307</v>
      </c>
      <c r="L203" s="40" t="s">
        <v>2308</v>
      </c>
      <c r="M203" s="45" t="n">
        <v>1</v>
      </c>
      <c r="N203" s="39" t="s">
        <v>2212</v>
      </c>
      <c r="O203" s="42" t="b">
        <f aca="false">TRUE()</f>
        <v>1</v>
      </c>
      <c r="P203" s="20" t="n">
        <v>672</v>
      </c>
      <c r="Q203" s="45" t="n">
        <v>672</v>
      </c>
      <c r="R203" s="43" t="n">
        <v>45105</v>
      </c>
      <c r="S203" s="20" t="str">
        <v>Beverages</v>
      </c>
    </row>
    <row r="204" customFormat="false" ht="15.75" hidden="false" customHeight="false" outlineLevel="0" collapsed="false">
      <c r="A204" s="39" t="str">
        <v>249BBB</v>
      </c>
      <c r="B204" s="44" t="str">
        <v>Sun,02-July-2023 ,10:01 PM</v>
      </c>
      <c r="C204" s="39" t="str">
        <v>National Mixed Fruit Jam 440g</v>
      </c>
      <c r="D204" s="39" t="str">
        <v>National</v>
      </c>
      <c r="E204" s="39" t="str">
        <v>Damaged Stock</v>
      </c>
      <c r="F204" s="45" t="n">
        <v>1</v>
      </c>
      <c r="G204" s="40" t="str">
        <v>[Code: 249BBB] TA:Dispaly krtay waqt box may say damaged nikla(Company end issue)</v>
      </c>
      <c r="H204" s="39" t="str">
        <v>Taufeeq Akhtar </v>
      </c>
      <c r="I204" s="39" t="str">
        <f aca="false">IF(ISBLANK(H204),"", IF($H$2:$H1703 = "Gohar Rehan","Overnight",IF($H$2:$H1703 = "Taufeeq Akhtar ","Overnight",IF($H$2:$H1703 = "Zeeshan Ali Malik","Audit",IF($H$2:$H1703 = "Ali Raza ","Receiving",IF($H$2:$H1703 = "Ali Ahmad","Full-In"))))))</f>
        <v>Overnight</v>
      </c>
      <c r="J204" s="29"/>
      <c r="K204" s="40" t="s">
        <v>2248</v>
      </c>
      <c r="L204" s="40" t="s">
        <v>2295</v>
      </c>
      <c r="M204" s="41"/>
      <c r="N204" s="39" t="s">
        <v>2212</v>
      </c>
      <c r="O204" s="46" t="b">
        <f aca="false">FALSE()</f>
        <v>0</v>
      </c>
      <c r="P204" s="20" t="n">
        <v>242.5</v>
      </c>
      <c r="Q204" s="45" t="n">
        <v>242.5</v>
      </c>
      <c r="R204" s="43" t="n">
        <v>45109</v>
      </c>
      <c r="S204" s="20" t="str">
        <v>Grocery</v>
      </c>
    </row>
    <row r="205" customFormat="false" ht="15.75" hidden="false" customHeight="false" outlineLevel="0" collapsed="false">
      <c r="A205" s="39" t="str">
        <v>57AACE</v>
      </c>
      <c r="B205" s="44" t="str">
        <v>Mon,03-July-2023 ,06:27 PM</v>
      </c>
      <c r="C205" s="39" t="str">
        <v>Sultan Banaspati Ghee 5kg Tin Rs2740</v>
      </c>
      <c r="D205" s="39" t="str">
        <v>Sultan</v>
      </c>
      <c r="E205" s="39" t="str">
        <v>Damaged Stock</v>
      </c>
      <c r="F205" s="45" t="n">
        <v>1</v>
      </c>
      <c r="G205" s="40" t="str">
        <v>[Code: 57AACE] ZA: Stock found damage on floor during Audit</v>
      </c>
      <c r="H205" s="39" t="str">
        <v>Zeeshan Ali Malik</v>
      </c>
      <c r="I205" s="39" t="str">
        <f aca="false">IF(ISBLANK(H205),"", IF($H$2:$H1704 = "Gohar Rehan","Overnight",IF($H$2:$H1704 = "Taufeeq Akhtar ","Overnight",IF($H$2:$H1704 = "Zeeshan Ali Malik","Audit",IF($H$2:$H1704 = "Ali Raza ","Receiving",IF($H$2:$H1704 = "Ali Ahmad","Full-In"))))))</f>
        <v>Audit</v>
      </c>
      <c r="J205" s="29"/>
      <c r="K205" s="40" t="s">
        <v>2248</v>
      </c>
      <c r="L205" s="40" t="s">
        <v>2306</v>
      </c>
      <c r="M205" s="41"/>
      <c r="N205" s="39" t="s">
        <v>2250</v>
      </c>
      <c r="O205" s="46" t="b">
        <f aca="false">FALSE()</f>
        <v>0</v>
      </c>
      <c r="P205" s="20" t="n">
        <v>2430.16</v>
      </c>
      <c r="Q205" s="45" t="n">
        <v>2430.16</v>
      </c>
      <c r="R205" s="43" t="n">
        <v>45110</v>
      </c>
      <c r="S205" s="20" t="str">
        <v>Ghee and Oil</v>
      </c>
    </row>
    <row r="206" customFormat="false" ht="15.75" hidden="false" customHeight="false" outlineLevel="0" collapsed="false">
      <c r="A206" s="39" t="str">
        <v>24899A</v>
      </c>
      <c r="B206" s="44" t="str">
        <v>Mon,03-July-2023 ,06:42 PM</v>
      </c>
      <c r="C206" s="39" t="str">
        <v>Swadi Besan 5kg</v>
      </c>
      <c r="D206" s="39" t="str">
        <v>Swadi</v>
      </c>
      <c r="E206" s="39" t="str">
        <v>Damaged Stock</v>
      </c>
      <c r="F206" s="45" t="n">
        <v>6</v>
      </c>
      <c r="G206" s="40" t="str">
        <v>[Code: 24899A] ZA: Stock Removed due to Quality Issue</v>
      </c>
      <c r="H206" s="39" t="str">
        <v>Zeeshan Ali Malik</v>
      </c>
      <c r="I206" s="39" t="str">
        <f aca="false">IF(ISBLANK(H206),"", IF($H$2:$H1705 = "Gohar Rehan","Overnight",IF($H$2:$H1705 = "Taufeeq Akhtar ","Overnight",IF($H$2:$H1705 = "Zeeshan Ali Malik","Audit",IF($H$2:$H1705 = "Ali Raza ","Receiving",IF($H$2:$H1705 = "Ali Ahmad","Full-In"))))))</f>
        <v>Audit</v>
      </c>
      <c r="J206" s="29"/>
      <c r="K206" s="40" t="s">
        <v>2309</v>
      </c>
      <c r="L206" s="40" t="s">
        <v>2310</v>
      </c>
      <c r="M206" s="41"/>
      <c r="N206" s="39" t="s">
        <v>2212</v>
      </c>
      <c r="O206" s="46" t="b">
        <f aca="false">FALSE()</f>
        <v>0</v>
      </c>
      <c r="P206" s="20" t="n">
        <v>1150</v>
      </c>
      <c r="Q206" s="45" t="n">
        <v>6900</v>
      </c>
      <c r="R206" s="43" t="n">
        <v>45110</v>
      </c>
      <c r="S206" s="20" t="str">
        <v>Pulses</v>
      </c>
    </row>
    <row r="207" customFormat="false" ht="15.75" hidden="false" customHeight="false" outlineLevel="0" collapsed="false">
      <c r="A207" s="39" t="str">
        <v>457CEJ</v>
      </c>
      <c r="B207" s="44" t="str">
        <v>Mon,03-July-2023 ,07:08 PM</v>
      </c>
      <c r="C207" s="39" t="str">
        <v>Coca Cola plastic 2.25L (Jumbo)</v>
      </c>
      <c r="D207" s="39" t="str">
        <v>Coca Cola</v>
      </c>
      <c r="E207" s="39" t="str">
        <v>Damaged Stock</v>
      </c>
      <c r="F207" s="45" t="n">
        <v>1</v>
      </c>
      <c r="G207" s="40" t="str">
        <v>[Code: 457CEJ] TA: Found in loose condition during sorting</v>
      </c>
      <c r="H207" s="39" t="str">
        <v>Taufeeq Akhtar </v>
      </c>
      <c r="I207" s="39" t="str">
        <f aca="false">IF(ISBLANK(H207),"", IF($H$2:$H1706 = "Gohar Rehan","Overnight",IF($H$2:$H1706 = "Taufeeq Akhtar ","Overnight",IF($H$2:$H1706 = "Zeeshan Ali Malik","Audit",IF($H$2:$H1706 = "Ali Raza ","Receiving",IF($H$2:$H1706 = "Ali Ahmad","Full-In"))))))</f>
        <v>Overnight</v>
      </c>
      <c r="J207" s="29"/>
      <c r="K207" s="40" t="s">
        <v>2307</v>
      </c>
      <c r="L207" s="40" t="s">
        <v>2308</v>
      </c>
      <c r="M207" s="45" t="n">
        <v>1</v>
      </c>
      <c r="N207" s="39" t="s">
        <v>2212</v>
      </c>
      <c r="O207" s="42" t="b">
        <f aca="false">TRUE()</f>
        <v>1</v>
      </c>
      <c r="P207" s="20" t="n">
        <v>1196</v>
      </c>
      <c r="Q207" s="45" t="n">
        <v>1196</v>
      </c>
      <c r="R207" s="43" t="n">
        <v>45110</v>
      </c>
      <c r="S207" s="20" t="str">
        <v>Beverages</v>
      </c>
    </row>
    <row r="208" customFormat="false" ht="15.75" hidden="false" customHeight="false" outlineLevel="0" collapsed="false">
      <c r="A208" s="39" t="str">
        <v>335556</v>
      </c>
      <c r="B208" s="44" t="str">
        <v>Mon,03-July-2023 ,08:41 PM</v>
      </c>
      <c r="C208" s="39" t="str">
        <v>Head and Shoulders Classic Clean Shampoo 75ml Rs220</v>
      </c>
      <c r="D208" s="39" t="str">
        <v>Head and Shoulders</v>
      </c>
      <c r="E208" s="39" t="str">
        <v>Damaged Stock</v>
      </c>
      <c r="F208" s="45" t="n">
        <v>1</v>
      </c>
      <c r="G208" s="40" t="str">
        <v>[Code: 335556] TA:BOx may say damaged nikla display krtay waqt.</v>
      </c>
      <c r="H208" s="39" t="str">
        <v>Taufeeq Akhtar </v>
      </c>
      <c r="I208" s="39" t="str">
        <f aca="false">IF(ISBLANK(H208),"", IF($H$2:$H1707 = "Gohar Rehan","Overnight",IF($H$2:$H1707 = "Taufeeq Akhtar ","Overnight",IF($H$2:$H1707 = "Zeeshan Ali Malik","Audit",IF($H$2:$H1707 = "Ali Raza ","Receiving",IF($H$2:$H1707 = "Ali Ahmad","Full-In"))))))</f>
        <v>Overnight</v>
      </c>
      <c r="J208" s="29"/>
      <c r="K208" s="40" t="s">
        <v>2248</v>
      </c>
      <c r="L208" s="48" t="s">
        <v>2236</v>
      </c>
      <c r="M208" s="41"/>
      <c r="N208" s="39" t="s">
        <v>2212</v>
      </c>
      <c r="O208" s="46" t="b">
        <f aca="false">FALSE()</f>
        <v>0</v>
      </c>
      <c r="P208" s="20" t="n">
        <v>189.3</v>
      </c>
      <c r="Q208" s="45" t="n">
        <v>189.3</v>
      </c>
      <c r="R208" s="43" t="n">
        <v>45110</v>
      </c>
      <c r="S208" s="20" t="str">
        <v>Shampoo</v>
      </c>
    </row>
    <row r="209" customFormat="false" ht="15.75" hidden="false" customHeight="false" outlineLevel="0" collapsed="false">
      <c r="A209" s="39" t="str">
        <v>334469</v>
      </c>
      <c r="B209" s="44" t="str">
        <v>Mon,03-July-2023 ,08:51 PM</v>
      </c>
      <c r="C209" s="39" t="str">
        <v>Super Blue Liquid 150ml</v>
      </c>
      <c r="D209" s="39" t="str">
        <v>Super</v>
      </c>
      <c r="E209" s="39" t="str">
        <v>Damaged Stock</v>
      </c>
      <c r="F209" s="45" t="n">
        <v>1</v>
      </c>
      <c r="G209" s="40" t="str">
        <v>[Code: 334469] TA: BOX may sayy damaged nikla.</v>
      </c>
      <c r="H209" s="39" t="str">
        <v>Taufeeq Akhtar </v>
      </c>
      <c r="I209" s="39" t="str">
        <f aca="false">IF(ISBLANK(H209),"", IF($H$2:$H1708 = "Gohar Rehan","Overnight",IF($H$2:$H1708 = "Taufeeq Akhtar ","Overnight",IF($H$2:$H1708 = "Zeeshan Ali Malik","Audit",IF($H$2:$H1708 = "Ali Raza ","Receiving",IF($H$2:$H1708 = "Ali Ahmad","Full-In"))))))</f>
        <v>Overnight</v>
      </c>
      <c r="J209" s="29"/>
      <c r="K209" s="40" t="s">
        <v>2248</v>
      </c>
      <c r="L209" s="40" t="s">
        <v>2311</v>
      </c>
      <c r="M209" s="41" t="n">
        <v>1</v>
      </c>
      <c r="N209" s="39" t="s">
        <v>2212</v>
      </c>
      <c r="O209" s="46" t="b">
        <f aca="false">FALSE()</f>
        <v>0</v>
      </c>
      <c r="P209" s="20" t="n">
        <v>119</v>
      </c>
      <c r="Q209" s="45" t="n">
        <v>119</v>
      </c>
      <c r="R209" s="43" t="n">
        <v>45110</v>
      </c>
      <c r="S209" s="20" t="str">
        <v>Surf, Bleach</v>
      </c>
    </row>
    <row r="210" customFormat="false" ht="15.75" hidden="false" customHeight="false" outlineLevel="0" collapsed="false">
      <c r="A210" s="39" t="str">
        <v>37AFFH</v>
      </c>
      <c r="B210" s="44" t="str">
        <v>Mon,03-July-2023 ,08:54 PM</v>
      </c>
      <c r="C210" s="39" t="str">
        <v>Express power 1kg Rs450</v>
      </c>
      <c r="D210" s="39" t="str">
        <v>Express Surf</v>
      </c>
      <c r="E210" s="39" t="str">
        <v>Damaged Stock</v>
      </c>
      <c r="F210" s="45" t="n">
        <v>2</v>
      </c>
      <c r="G210" s="40" t="str">
        <v>[Code: 37AFFH] TA: box may say damaged nikla .</v>
      </c>
      <c r="H210" s="39" t="str">
        <v>Taufeeq Akhtar </v>
      </c>
      <c r="I210" s="39" t="str">
        <f aca="false">IF(ISBLANK(H210),"", IF($H$2:$H1709 = "Gohar Rehan","Overnight",IF($H$2:$H1709 = "Taufeeq Akhtar ","Overnight",IF($H$2:$H1709 = "Zeeshan Ali Malik","Audit",IF($H$2:$H1709 = "Ali Raza ","Receiving",IF($H$2:$H1709 = "Ali Ahmad","Full-In"))))))</f>
        <v>Overnight</v>
      </c>
      <c r="J210" s="29"/>
      <c r="K210" s="40" t="s">
        <v>2248</v>
      </c>
      <c r="L210" s="40" t="s">
        <v>2311</v>
      </c>
      <c r="M210" s="41" t="n">
        <v>2</v>
      </c>
      <c r="N210" s="39" t="s">
        <v>2212</v>
      </c>
      <c r="O210" s="42" t="b">
        <f aca="false">TRUE()</f>
        <v>1</v>
      </c>
      <c r="P210" s="20" t="n">
        <v>399.79</v>
      </c>
      <c r="Q210" s="45" t="n">
        <v>799.58</v>
      </c>
      <c r="R210" s="43" t="n">
        <v>45110</v>
      </c>
      <c r="S210" s="20" t="str">
        <v>Surf, Bleach</v>
      </c>
    </row>
    <row r="211" customFormat="false" ht="15.75" hidden="false" customHeight="false" outlineLevel="0" collapsed="false">
      <c r="A211" s="39" t="str">
        <v>234789</v>
      </c>
      <c r="B211" s="44" t="str">
        <v>Mon,03-July-2023 ,09:00 PM</v>
      </c>
      <c r="C211" s="39" t="str">
        <v>Ariel Original Surf 500g Rs325</v>
      </c>
      <c r="D211" s="39" t="str">
        <v>Ariel Surf</v>
      </c>
      <c r="E211" s="39" t="str">
        <v>Damaged Stock</v>
      </c>
      <c r="F211" s="45" t="n">
        <v>1</v>
      </c>
      <c r="G211" s="40" t="str">
        <v>[Code: 234789] TA: box may say damaged nikla </v>
      </c>
      <c r="H211" s="39" t="str">
        <v>Taufeeq Akhtar </v>
      </c>
      <c r="I211" s="39" t="str">
        <f aca="false">IF(ISBLANK(H211),"", IF($H$2:$H1710 = "Gohar Rehan","Overnight",IF($H$2:$H1710 = "Taufeeq Akhtar ","Overnight",IF($H$2:$H1710 = "Zeeshan Ali Malik","Audit",IF($H$2:$H1710 = "Ali Raza ","Receiving",IF($H$2:$H1710 = "Ali Ahmad","Full-In"))))))</f>
        <v>Overnight</v>
      </c>
      <c r="J211" s="29"/>
      <c r="K211" s="40" t="s">
        <v>2248</v>
      </c>
      <c r="L211" s="48" t="s">
        <v>2236</v>
      </c>
      <c r="M211" s="41"/>
      <c r="N211" s="39" t="s">
        <v>2212</v>
      </c>
      <c r="O211" s="46" t="b">
        <f aca="false">FALSE()</f>
        <v>0</v>
      </c>
      <c r="P211" s="20" t="n">
        <v>289.5</v>
      </c>
      <c r="Q211" s="45" t="n">
        <v>289.5</v>
      </c>
      <c r="R211" s="43" t="n">
        <v>45110</v>
      </c>
      <c r="S211" s="20" t="str">
        <v>Surf, Bleach</v>
      </c>
    </row>
    <row r="212" customFormat="false" ht="15.75" hidden="false" customHeight="false" outlineLevel="0" collapsed="false">
      <c r="A212" s="39" t="str">
        <v>233578</v>
      </c>
      <c r="B212" s="44" t="str">
        <v>Tue,04-July-2023 ,08:39 AM</v>
      </c>
      <c r="C212" s="39" t="str">
        <v>Sherdil White Chana Bareek 5kg</v>
      </c>
      <c r="D212" s="39" t="str">
        <v>Sherdil</v>
      </c>
      <c r="E212" s="39" t="str">
        <v>Damaged Stock</v>
      </c>
      <c r="F212" s="45" t="n">
        <v>1</v>
      </c>
      <c r="G212" s="40" t="str">
        <v>[Code: 233578] 01 unit has quality issue (Content Spoiled)</v>
      </c>
      <c r="H212" s="39" t="str">
        <v>Ali Raza </v>
      </c>
      <c r="I212" s="39" t="str">
        <f aca="false">IF(ISBLANK(H212),"", IF($H$2:$H1711 = "Gohar Rehan","Overnight",IF($H$2:$H1711 = "Taufeeq Akhtar ","Overnight",IF($H$2:$H1711 = "Zeeshan Ali Malik","Audit",IF($H$2:$H1711 = "Ali Raza ","Receiving",IF($H$2:$H1711 = "Ali Ahmad","Full-In"))))))</f>
        <v>Receiving</v>
      </c>
      <c r="J212" s="29"/>
      <c r="K212" s="40" t="s">
        <v>2248</v>
      </c>
      <c r="L212" s="47" t="s">
        <v>2312</v>
      </c>
      <c r="M212" s="41"/>
      <c r="N212" s="39" t="s">
        <v>2212</v>
      </c>
      <c r="O212" s="46" t="b">
        <f aca="false">FALSE()</f>
        <v>0</v>
      </c>
      <c r="P212" s="20" t="n">
        <v>1843</v>
      </c>
      <c r="Q212" s="45" t="n">
        <v>1843</v>
      </c>
      <c r="R212" s="43" t="n">
        <v>45111</v>
      </c>
      <c r="S212" s="20" t="str">
        <v>Pulses</v>
      </c>
    </row>
    <row r="213" customFormat="false" ht="15.75" hidden="false" customHeight="false" outlineLevel="0" collapsed="false">
      <c r="A213" s="39" t="str">
        <v>357AHK</v>
      </c>
      <c r="B213" s="44" t="str">
        <v>Tue,04-July-2023 ,08:39 PM</v>
      </c>
      <c r="C213" s="39" t="str">
        <v>Sherdil Dal Mash Wash 1kg</v>
      </c>
      <c r="D213" s="39" t="str">
        <v>Sherdil</v>
      </c>
      <c r="E213" s="39" t="str">
        <v>Damaged Stock</v>
      </c>
      <c r="F213" s="45" t="n">
        <v>11</v>
      </c>
      <c r="G213" s="40" t="str">
        <v>[Code: 357AHK] TA: quality sahi nahi hay(Fungus lagi hay)</v>
      </c>
      <c r="H213" s="39" t="str">
        <v>Taufeeq Akhtar </v>
      </c>
      <c r="I213" s="39" t="str">
        <f aca="false">IF(ISBLANK(H213),"", IF($H$2:$H1712 = "Gohar Rehan","Overnight",IF($H$2:$H1712 = "Taufeeq Akhtar ","Overnight",IF($H$2:$H1712 = "Zeeshan Ali Malik","Audit",IF($H$2:$H1712 = "Ali Raza ","Receiving",IF($H$2:$H1712 = "Ali Ahmad","Full-In"))))))</f>
        <v>Overnight</v>
      </c>
      <c r="J213" s="29"/>
      <c r="K213" s="40" t="s">
        <v>2248</v>
      </c>
      <c r="L213" s="47" t="s">
        <v>2312</v>
      </c>
      <c r="M213" s="41"/>
      <c r="N213" s="39" t="s">
        <v>2212</v>
      </c>
      <c r="O213" s="46" t="b">
        <f aca="false">FALSE()</f>
        <v>0</v>
      </c>
      <c r="P213" s="20" t="n">
        <v>497</v>
      </c>
      <c r="Q213" s="45" t="n">
        <v>5467</v>
      </c>
      <c r="R213" s="43" t="n">
        <v>45111</v>
      </c>
      <c r="S213" s="20" t="str">
        <v>Pulses</v>
      </c>
    </row>
    <row r="214" customFormat="false" ht="15.75" hidden="false" customHeight="false" outlineLevel="0" collapsed="false">
      <c r="A214" s="39" t="str">
        <v>222CFG</v>
      </c>
      <c r="B214" s="44" t="str">
        <v>Tue,04-July-2023 ,09:28 PM</v>
      </c>
      <c r="C214" s="39" t="str">
        <v>Shangrila Chilli Garlic Sauce x6 Bundle 70g</v>
      </c>
      <c r="D214" s="39" t="str">
        <v>Shangrila</v>
      </c>
      <c r="E214" s="39" t="str">
        <v>Damaged Stock</v>
      </c>
      <c r="F214" s="45" t="n">
        <v>1</v>
      </c>
      <c r="G214" s="40" t="str">
        <v>[Code: 222CFG] TA: Found damaged from box during display.</v>
      </c>
      <c r="H214" s="39" t="str">
        <v>Taufeeq Akhtar </v>
      </c>
      <c r="I214" s="39" t="str">
        <f aca="false">IF(ISBLANK(H214),"", IF($H$2:$H1713 = "Gohar Rehan","Overnight",IF($H$2:$H1713 = "Taufeeq Akhtar ","Overnight",IF($H$2:$H1713 = "Zeeshan Ali Malik","Audit",IF($H$2:$H1713 = "Ali Raza ","Receiving",IF($H$2:$H1713 = "Ali Ahmad","Full-In"))))))</f>
        <v>Overnight</v>
      </c>
      <c r="J214" s="29"/>
      <c r="K214" s="40" t="s">
        <v>2248</v>
      </c>
      <c r="L214" s="40" t="s">
        <v>2313</v>
      </c>
      <c r="M214" s="45" t="n">
        <v>1</v>
      </c>
      <c r="N214" s="39" t="s">
        <v>2212</v>
      </c>
      <c r="O214" s="42" t="b">
        <f aca="false">TRUE()</f>
        <v>1</v>
      </c>
      <c r="P214" s="20" t="n">
        <v>188.49</v>
      </c>
      <c r="Q214" s="45" t="n">
        <v>188.49</v>
      </c>
      <c r="R214" s="43" t="n">
        <v>45111</v>
      </c>
      <c r="S214" s="20" t="str">
        <v>Sauces</v>
      </c>
    </row>
    <row r="215" customFormat="false" ht="15.75" hidden="false" customHeight="false" outlineLevel="0" collapsed="false">
      <c r="A215" s="39" t="str">
        <v>2489GK</v>
      </c>
      <c r="B215" s="44" t="str">
        <v>Wed,05-July-2023 ,09:35 PM</v>
      </c>
      <c r="C215" s="39" t="str">
        <v>Bio Amla Shampoo 280ml Rs300</v>
      </c>
      <c r="D215" s="39" t="str">
        <v>Bio Amla</v>
      </c>
      <c r="E215" s="39" t="str">
        <v>Damaged Stock</v>
      </c>
      <c r="F215" s="45" t="n">
        <v>1</v>
      </c>
      <c r="G215" s="40" t="str">
        <v>[Code: 2489GK] TA: found empty botel from box during display.</v>
      </c>
      <c r="H215" s="39" t="str">
        <v>Taufeeq Akhtar </v>
      </c>
      <c r="I215" s="39" t="str">
        <f aca="false">IF(ISBLANK(H215),"", IF($H$2:$H1714 = "Gohar Rehan","Overnight",IF($H$2:$H1714 = "Taufeeq Akhtar ","Overnight",IF($H$2:$H1714 = "Zeeshan Ali Malik","Audit",IF($H$2:$H1714 = "Ali Raza ","Receiving",IF($H$2:$H1714 = "Ali Ahmad","Full-In"))))))</f>
        <v>Overnight</v>
      </c>
      <c r="J215" s="29"/>
      <c r="K215" s="40" t="s">
        <v>2248</v>
      </c>
      <c r="L215" s="40" t="s">
        <v>2311</v>
      </c>
      <c r="M215" s="41"/>
      <c r="N215" s="39" t="s">
        <v>2250</v>
      </c>
      <c r="O215" s="46" t="b">
        <f aca="false">FALSE()</f>
        <v>0</v>
      </c>
      <c r="P215" s="20" t="n">
        <v>191.25</v>
      </c>
      <c r="Q215" s="45" t="n">
        <v>191.25</v>
      </c>
      <c r="R215" s="43" t="n">
        <v>45112</v>
      </c>
      <c r="S215" s="20" t="str">
        <v>Shampoo</v>
      </c>
    </row>
    <row r="216" customFormat="false" ht="15.75" hidden="false" customHeight="false" outlineLevel="0" collapsed="false">
      <c r="A216" s="39" t="str">
        <v>3668GG</v>
      </c>
      <c r="B216" s="44" t="str">
        <v>Fri,07-July-2023 ,04:09 PM</v>
      </c>
      <c r="C216" s="39" t="str">
        <v>7up plastic 1L</v>
      </c>
      <c r="D216" s="39" t="str">
        <v>7up</v>
      </c>
      <c r="E216" s="39" t="str">
        <v>Damaged Stock</v>
      </c>
      <c r="F216" s="45" t="n">
        <v>1</v>
      </c>
      <c r="G216" s="40" t="str">
        <v>[Code: 3668GG] TA: empty bottels found from pet during sorting.</v>
      </c>
      <c r="H216" s="39" t="str">
        <v>Taufeeq Akhtar </v>
      </c>
      <c r="I216" s="39" t="str">
        <f aca="false">IF(ISBLANK(H216),"", IF($H$2:$H1715 = "Gohar Rehan","Overnight",IF($H$2:$H1715 = "Taufeeq Akhtar ","Overnight",IF($H$2:$H1715 = "Zeeshan Ali Malik","Audit",IF($H$2:$H1715 = "Ali Raza ","Receiving",IF($H$2:$H1715 = "Ali Ahmad","Full-In"))))))</f>
        <v>Overnight</v>
      </c>
      <c r="J216" s="29"/>
      <c r="K216" s="40" t="s">
        <v>2248</v>
      </c>
      <c r="L216" s="40" t="s">
        <v>2313</v>
      </c>
      <c r="M216" s="41"/>
      <c r="N216" s="39" t="s">
        <v>2250</v>
      </c>
      <c r="O216" s="46" t="b">
        <f aca="false">FALSE()</f>
        <v>0</v>
      </c>
      <c r="P216" s="20" t="n">
        <v>576</v>
      </c>
      <c r="Q216" s="45" t="n">
        <v>576</v>
      </c>
      <c r="R216" s="43" t="n">
        <v>45114</v>
      </c>
      <c r="S216" s="20" t="str">
        <v>Beverages</v>
      </c>
    </row>
    <row r="217" customFormat="false" ht="15.75" hidden="false" customHeight="false" outlineLevel="0" collapsed="false">
      <c r="A217" s="39" t="str">
        <v>3589AB</v>
      </c>
      <c r="B217" s="44" t="str">
        <v>Fri,07-July-2023 ,06:07 PM</v>
      </c>
      <c r="C217" s="39" t="str">
        <v>National Mango Jam 440g</v>
      </c>
      <c r="D217" s="39" t="str">
        <v>National</v>
      </c>
      <c r="E217" s="39" t="str">
        <v>Damaged Stock</v>
      </c>
      <c r="F217" s="45" t="n">
        <v>1</v>
      </c>
      <c r="G217" s="40" t="str">
        <v>[Code: 3589AB] TA; 1unit Damage Found during Sorting</v>
      </c>
      <c r="H217" s="39" t="str">
        <v>Taufeeq Akhtar </v>
      </c>
      <c r="I217" s="39" t="str">
        <f aca="false">IF(ISBLANK(H217),"", IF($H$2:$H1716 = "Gohar Rehan","Overnight",IF($H$2:$H1716 = "Taufeeq Akhtar ","Overnight",IF($H$2:$H1716 = "Zeeshan Ali Malik","Audit",IF($H$2:$H1716 = "Ali Raza ","Receiving",IF($H$2:$H1716 = "Ali Ahmad","Full-In"))))))</f>
        <v>Overnight</v>
      </c>
      <c r="J217" s="29"/>
      <c r="K217" s="40" t="s">
        <v>2248</v>
      </c>
      <c r="L217" s="40" t="s">
        <v>2295</v>
      </c>
      <c r="M217" s="41"/>
      <c r="N217" s="39" t="s">
        <v>2212</v>
      </c>
      <c r="O217" s="46" t="b">
        <f aca="false">FALSE()</f>
        <v>0</v>
      </c>
      <c r="P217" s="20" t="n">
        <v>242.5</v>
      </c>
      <c r="Q217" s="45" t="n">
        <v>242.5</v>
      </c>
      <c r="R217" s="43" t="n">
        <v>45114</v>
      </c>
      <c r="S217" s="20" t="str">
        <v>Grocery</v>
      </c>
    </row>
    <row r="218" customFormat="false" ht="15.75" hidden="false" customHeight="false" outlineLevel="0" collapsed="false">
      <c r="A218" s="39" t="str">
        <v>9ABDHP</v>
      </c>
      <c r="B218" s="44" t="str">
        <v>Sat,08-July-2023 ,09:16 PM</v>
      </c>
      <c r="C218" s="39" t="str">
        <v>7up plastic 1L</v>
      </c>
      <c r="D218" s="39" t="str">
        <v>7up</v>
      </c>
      <c r="E218" s="39" t="str">
        <v>Damaged Stock</v>
      </c>
      <c r="F218" s="45" t="n">
        <v>1</v>
      </c>
      <c r="G218" s="40" t="str">
        <v>[Code: 9ABDHP]  TA: Found in loose condition during sorting</v>
      </c>
      <c r="H218" s="39" t="str">
        <v>Taufeeq Akhtar </v>
      </c>
      <c r="I218" s="39" t="str">
        <f aca="false">IF(ISBLANK(H218),"", IF($H$2:$H1717 = "Gohar Rehan","Overnight",IF($H$2:$H1717 = "Taufeeq Akhtar ","Overnight",IF($H$2:$H1717 = "Zeeshan Ali Malik","Audit",IF($H$2:$H1717 = "Ali Raza ","Receiving",IF($H$2:$H1717 = "Ali Ahmad","Full-In"))))))</f>
        <v>Overnight</v>
      </c>
      <c r="J218" s="29"/>
      <c r="K218" s="40" t="s">
        <v>2248</v>
      </c>
      <c r="L218" s="40" t="s">
        <v>2313</v>
      </c>
      <c r="M218" s="41"/>
      <c r="N218" s="39" t="s">
        <v>2250</v>
      </c>
      <c r="O218" s="46" t="b">
        <f aca="false">FALSE()</f>
        <v>0</v>
      </c>
      <c r="P218" s="20" t="n">
        <v>576</v>
      </c>
      <c r="Q218" s="45" t="n">
        <v>576</v>
      </c>
      <c r="R218" s="43" t="n">
        <v>45115</v>
      </c>
      <c r="S218" s="20" t="str">
        <v>Beverages</v>
      </c>
    </row>
    <row r="219" customFormat="false" ht="15.75" hidden="false" customHeight="false" outlineLevel="0" collapsed="false">
      <c r="A219" s="39" t="str">
        <v>6BCDEE</v>
      </c>
      <c r="B219" s="44" t="str">
        <v>Sat,08-July-2023 ,09:17 PM</v>
      </c>
      <c r="C219" s="39" t="str">
        <v>Coca Cola plastic 1.5L</v>
      </c>
      <c r="D219" s="39" t="str">
        <v>Coca Cola</v>
      </c>
      <c r="E219" s="39" t="str">
        <v>Damaged Stock</v>
      </c>
      <c r="F219" s="45" t="n">
        <v>1</v>
      </c>
      <c r="G219" s="40" t="str">
        <v>[Code: 6BCDEE]  TA: Found in loose and empty bottels during sorting.</v>
      </c>
      <c r="H219" s="39" t="str">
        <v>Taufeeq Akhtar </v>
      </c>
      <c r="I219" s="39" t="str">
        <f aca="false">IF(ISBLANK(H219),"", IF($H$2:$H1718 = "Gohar Rehan","Overnight",IF($H$2:$H1718 = "Taufeeq Akhtar ","Overnight",IF($H$2:$H1718 = "Zeeshan Ali Malik","Audit",IF($H$2:$H1718 = "Ali Raza ","Receiving",IF($H$2:$H1718 = "Ali Ahmad","Full-In"))))))</f>
        <v>Overnight</v>
      </c>
      <c r="J219" s="29"/>
      <c r="K219" s="40" t="s">
        <v>2248</v>
      </c>
      <c r="L219" s="40" t="s">
        <v>2313</v>
      </c>
      <c r="M219" s="45" t="n">
        <v>1</v>
      </c>
      <c r="N219" s="39" t="s">
        <v>2212</v>
      </c>
      <c r="O219" s="42" t="b">
        <f aca="false">TRUE()</f>
        <v>1</v>
      </c>
      <c r="P219" s="20" t="n">
        <v>872</v>
      </c>
      <c r="Q219" s="45" t="n">
        <v>872</v>
      </c>
      <c r="R219" s="43" t="n">
        <v>45115</v>
      </c>
      <c r="S219" s="20" t="str">
        <v>Beverages</v>
      </c>
    </row>
    <row r="220" customFormat="false" ht="15.75" hidden="false" customHeight="false" outlineLevel="0" collapsed="false">
      <c r="A220" s="39" t="str">
        <v>577DGL</v>
      </c>
      <c r="B220" s="44" t="str">
        <v>Sat,08-July-2023 ,09:18 PM</v>
      </c>
      <c r="C220" s="39" t="str">
        <v>Sprite plastic 1L</v>
      </c>
      <c r="D220" s="39" t="str">
        <v>Sprite</v>
      </c>
      <c r="E220" s="39" t="str">
        <v>Damaged Stock</v>
      </c>
      <c r="F220" s="45" t="n">
        <v>1</v>
      </c>
      <c r="G220" s="40" t="str">
        <v>[Code: 577DGL] TA: Found in loose condition during Loading</v>
      </c>
      <c r="H220" s="39" t="str">
        <v>Taufeeq Akhtar </v>
      </c>
      <c r="I220" s="39" t="str">
        <f aca="false">IF(ISBLANK(H220),"", IF($H$2:$H1719 = "Gohar Rehan","Overnight",IF($H$2:$H1719 = "Taufeeq Akhtar ","Overnight",IF($H$2:$H1719 = "Zeeshan Ali Malik","Audit",IF($H$2:$H1719 = "Ali Raza ","Receiving",IF($H$2:$H1719 = "Ali Ahmad","Full-In"))))))</f>
        <v>Overnight</v>
      </c>
      <c r="J220" s="29"/>
      <c r="K220" s="40" t="s">
        <v>2248</v>
      </c>
      <c r="L220" s="40" t="s">
        <v>2313</v>
      </c>
      <c r="M220" s="45" t="n">
        <v>1</v>
      </c>
      <c r="N220" s="39" t="s">
        <v>2212</v>
      </c>
      <c r="O220" s="42" t="b">
        <f aca="false">TRUE()</f>
        <v>1</v>
      </c>
      <c r="P220" s="20" t="n">
        <v>677.4</v>
      </c>
      <c r="Q220" s="45" t="n">
        <v>677.4</v>
      </c>
      <c r="R220" s="43" t="n">
        <v>45115</v>
      </c>
      <c r="S220" s="20" t="str">
        <v>Beverages</v>
      </c>
    </row>
    <row r="221" customFormat="false" ht="15.75" hidden="false" customHeight="false" outlineLevel="0" collapsed="false">
      <c r="A221" s="39" t="str">
        <v>678ADD</v>
      </c>
      <c r="B221" s="44" t="str">
        <v>Sun,09-July-2023 ,12:00 AM</v>
      </c>
      <c r="C221" s="39" t="str">
        <v>Bonus tristar yellow surf 240g Rs50</v>
      </c>
      <c r="D221" s="39" t="str">
        <v>Bonus Surf</v>
      </c>
      <c r="E221" s="39" t="str">
        <v>Damaged Stock</v>
      </c>
      <c r="F221" s="45" t="n">
        <v>2</v>
      </c>
      <c r="G221" s="40" t="str">
        <v>[Code: 678ADD] TA:bag may say damaged niklay display k doran.</v>
      </c>
      <c r="H221" s="39" t="str">
        <v>Taufeeq Akhtar </v>
      </c>
      <c r="I221" s="39" t="str">
        <f aca="false">IF(ISBLANK(H221),"", IF($H$2:$H1720 = "Gohar Rehan","Overnight",IF($H$2:$H1720 = "Taufeeq Akhtar ","Overnight",IF($H$2:$H1720 = "Zeeshan Ali Malik","Audit",IF($H$2:$H1720 = "Ali Raza ","Receiving",IF($H$2:$H1720 = "Ali Ahmad","Full-In"))))))</f>
        <v>Overnight</v>
      </c>
      <c r="J221" s="29"/>
      <c r="K221" s="40" t="s">
        <v>2248</v>
      </c>
      <c r="L221" s="40" t="s">
        <v>2311</v>
      </c>
      <c r="M221" s="45" t="n">
        <v>2</v>
      </c>
      <c r="N221" s="39" t="s">
        <v>2212</v>
      </c>
      <c r="O221" s="42" t="b">
        <f aca="false">TRUE()</f>
        <v>1</v>
      </c>
      <c r="P221" s="20" t="n">
        <v>45.59</v>
      </c>
      <c r="Q221" s="45" t="n">
        <v>91.18</v>
      </c>
      <c r="R221" s="43" t="n">
        <v>45116</v>
      </c>
      <c r="S221" s="20" t="str">
        <v>Surf, Bleach</v>
      </c>
    </row>
    <row r="222" customFormat="false" ht="15.75" hidden="false" customHeight="false" outlineLevel="0" collapsed="false">
      <c r="A222" s="39" t="str">
        <v>33689A</v>
      </c>
      <c r="B222" s="44" t="str">
        <v>Sun,09-July-2023 ,12:01 AM</v>
      </c>
      <c r="C222" s="39" t="str">
        <v>Brite Surf x12 bundle 23g Rs 10</v>
      </c>
      <c r="D222" s="39" t="str">
        <v>Brite Surf</v>
      </c>
      <c r="E222" s="39" t="str">
        <v>Damaged Stock</v>
      </c>
      <c r="F222" s="45" t="n">
        <v>1</v>
      </c>
      <c r="G222" s="40" t="str">
        <v>[Code: 33689A] TA:bag may say damaged nikla display k doran.</v>
      </c>
      <c r="H222" s="39" t="str">
        <v>Taufeeq Akhtar </v>
      </c>
      <c r="I222" s="39" t="str">
        <f aca="false">IF(ISBLANK(H222),"", IF($H$2:$H1721 = "Gohar Rehan","Overnight",IF($H$2:$H1721 = "Taufeeq Akhtar ","Overnight",IF($H$2:$H1721 = "Zeeshan Ali Malik","Audit",IF($H$2:$H1721 = "Ali Raza ","Receiving",IF($H$2:$H1721 = "Ali Ahmad","Full-In"))))))</f>
        <v>Overnight</v>
      </c>
      <c r="J222" s="29"/>
      <c r="K222" s="40" t="s">
        <v>2248</v>
      </c>
      <c r="L222" s="40" t="s">
        <v>2311</v>
      </c>
      <c r="M222" s="45" t="n">
        <v>1</v>
      </c>
      <c r="N222" s="39" t="s">
        <v>2212</v>
      </c>
      <c r="O222" s="46" t="b">
        <f aca="false">FALSE()</f>
        <v>0</v>
      </c>
      <c r="P222" s="20" t="n">
        <v>107.91</v>
      </c>
      <c r="Q222" s="45" t="n">
        <v>107.91</v>
      </c>
      <c r="R222" s="43" t="n">
        <v>45116</v>
      </c>
      <c r="S222" s="20" t="str">
        <v>Surf, Bleach</v>
      </c>
    </row>
    <row r="223" customFormat="false" ht="15.75" hidden="false" customHeight="false" outlineLevel="0" collapsed="false">
      <c r="A223" s="39" t="str">
        <v>35578A</v>
      </c>
      <c r="B223" s="44" t="str">
        <v>Sun,09-July-2023 ,08:21 PM</v>
      </c>
      <c r="C223" s="39" t="str">
        <v>Chill Up Salted Lemon Can x12 Crate 250ml</v>
      </c>
      <c r="D223" s="39" t="str">
        <v>Chill Up</v>
      </c>
      <c r="E223" s="39" t="str">
        <v>Damaged Stock</v>
      </c>
      <c r="F223" s="45" t="n">
        <v>1</v>
      </c>
      <c r="G223" s="40" t="str">
        <v>[Code: 35578A] TA:Found few bottels damaged during sorting.</v>
      </c>
      <c r="H223" s="39" t="str">
        <v>Taufeeq Akhtar </v>
      </c>
      <c r="I223" s="39" t="str">
        <f aca="false">IF(ISBLANK(H223),"", IF($H$2:$H1722 = "Gohar Rehan","Overnight",IF($H$2:$H1722 = "Taufeeq Akhtar ","Overnight",IF($H$2:$H1722 = "Zeeshan Ali Malik","Audit",IF($H$2:$H1722 = "Ali Raza ","Receiving",IF($H$2:$H1722 = "Ali Ahmad","Full-In"))))))</f>
        <v>Overnight</v>
      </c>
      <c r="J223" s="29"/>
      <c r="K223" s="40" t="s">
        <v>2248</v>
      </c>
      <c r="L223" s="40" t="s">
        <v>2313</v>
      </c>
      <c r="M223" s="41"/>
      <c r="N223" s="39" t="s">
        <v>2250</v>
      </c>
      <c r="O223" s="46" t="b">
        <f aca="false">FALSE()</f>
        <v>0</v>
      </c>
      <c r="P223" s="20" t="n">
        <v>994.35</v>
      </c>
      <c r="Q223" s="45" t="n">
        <v>994.35</v>
      </c>
      <c r="R223" s="43" t="n">
        <v>45116</v>
      </c>
      <c r="S223" s="20" t="str">
        <v>Beverages</v>
      </c>
    </row>
    <row r="224" customFormat="false" ht="15.75" hidden="false" customHeight="false" outlineLevel="0" collapsed="false">
      <c r="A224" s="39" t="str">
        <v>244888</v>
      </c>
      <c r="B224" s="44" t="str">
        <v>Mon,10-July-2023 ,06:45 PM</v>
      </c>
      <c r="C224" s="39" t="str">
        <v>Sherdil White Chana Mota 500g</v>
      </c>
      <c r="D224" s="39" t="str">
        <v>Sherdil</v>
      </c>
      <c r="E224" s="39" t="str">
        <v>Damaged Stock</v>
      </c>
      <c r="F224" s="45" t="n">
        <v>14</v>
      </c>
      <c r="G224" s="40" t="str">
        <v>[Code: 244888] TA: quality sahi nahi hay ulli lagi hay chano may.</v>
      </c>
      <c r="H224" s="39" t="str">
        <v>Taufeeq Akhtar </v>
      </c>
      <c r="I224" s="39" t="str">
        <f aca="false">IF(ISBLANK(H224),"", IF($H$2:$H1723 = "Gohar Rehan","Overnight",IF($H$2:$H1723 = "Taufeeq Akhtar ","Overnight",IF($H$2:$H1723 = "Zeeshan Ali Malik","Audit",IF($H$2:$H1723 = "Ali Raza ","Receiving",IF($H$2:$H1723 = "Ali Ahmad","Full-In"))))))</f>
        <v>Overnight</v>
      </c>
      <c r="J224" s="29"/>
      <c r="K224" s="40" t="s">
        <v>2248</v>
      </c>
      <c r="L224" s="47" t="s">
        <v>2312</v>
      </c>
      <c r="M224" s="41"/>
      <c r="N224" s="39" t="s">
        <v>2212</v>
      </c>
      <c r="O224" s="46" t="b">
        <f aca="false">FALSE()</f>
        <v>0</v>
      </c>
      <c r="P224" s="20" t="n">
        <v>225</v>
      </c>
      <c r="Q224" s="45" t="n">
        <v>3150</v>
      </c>
      <c r="R224" s="43" t="n">
        <v>45117</v>
      </c>
      <c r="S224" s="20" t="str">
        <v>Pulses</v>
      </c>
    </row>
    <row r="225" customFormat="false" ht="15.75" hidden="false" customHeight="false" outlineLevel="0" collapsed="false">
      <c r="A225" s="39" t="str">
        <v>22255A</v>
      </c>
      <c r="B225" s="44" t="str">
        <v>Mon,10-July-2023 ,09:45 PM</v>
      </c>
      <c r="C225" s="39" t="str">
        <v>Coca Cola plastic 1.5L</v>
      </c>
      <c r="D225" s="39" t="str">
        <v>Coca Cola</v>
      </c>
      <c r="E225" s="39" t="str">
        <v>Damaged Stock</v>
      </c>
      <c r="F225" s="45" t="n">
        <v>1</v>
      </c>
      <c r="G225" s="40" t="str">
        <v>[Code: 22255A]   TA: Found in loose and empty bottels during sorting.</v>
      </c>
      <c r="H225" s="39" t="str">
        <v>Taufeeq Akhtar </v>
      </c>
      <c r="I225" s="39" t="str">
        <f aca="false">IF(ISBLANK(H225),"", IF($H$2:$H1724 = "Gohar Rehan","Overnight",IF($H$2:$H1724 = "Taufeeq Akhtar ","Overnight",IF($H$2:$H1724 = "Zeeshan Ali Malik","Audit",IF($H$2:$H1724 = "Ali Raza ","Receiving",IF($H$2:$H1724 = "Ali Ahmad","Full-In"))))))</f>
        <v>Overnight</v>
      </c>
      <c r="J225" s="29"/>
      <c r="K225" s="40" t="s">
        <v>2248</v>
      </c>
      <c r="L225" s="40" t="s">
        <v>2313</v>
      </c>
      <c r="M225" s="45" t="n">
        <v>1</v>
      </c>
      <c r="N225" s="39" t="s">
        <v>2212</v>
      </c>
      <c r="O225" s="42" t="b">
        <f aca="false">TRUE()</f>
        <v>1</v>
      </c>
      <c r="P225" s="20" t="n">
        <v>856</v>
      </c>
      <c r="Q225" s="45" t="n">
        <v>856</v>
      </c>
      <c r="R225" s="43" t="n">
        <v>45117</v>
      </c>
      <c r="S225" s="20" t="str">
        <v>Beverages</v>
      </c>
    </row>
    <row r="226" customFormat="false" ht="15.75" hidden="false" customHeight="false" outlineLevel="0" collapsed="false">
      <c r="A226" s="39" t="str">
        <v>679AAA</v>
      </c>
      <c r="B226" s="44" t="str">
        <v>Mon,10-July-2023 ,11:19 PM</v>
      </c>
      <c r="C226" s="39" t="str">
        <v>Quality Grains Daal Mash Wash 1kg</v>
      </c>
      <c r="D226" s="39" t="str">
        <v>Quality Grains</v>
      </c>
      <c r="E226" s="39" t="str">
        <v>Damaged Stock</v>
      </c>
      <c r="F226" s="45" t="n">
        <v>6</v>
      </c>
      <c r="G226" s="40" t="str">
        <v>[Code: 679AAA] TA: aik unit para hay lakin quality  sahi nahi or 5 unit floor pr available nahi hay.</v>
      </c>
      <c r="H226" s="39" t="str">
        <v>Taufeeq Akhtar </v>
      </c>
      <c r="I226" s="39" t="str">
        <f aca="false">IF(ISBLANK(H226),"", IF($H$2:$H1725 = "Gohar Rehan","Overnight",IF($H$2:$H1725 = "Taufeeq Akhtar ","Overnight",IF($H$2:$H1725 = "Zeeshan Ali Malik","Audit",IF($H$2:$H1725 = "Ali Raza ","Receiving",IF($H$2:$H1725 = "Ali Ahmad","Full-In"))))))</f>
        <v>Overnight</v>
      </c>
      <c r="J226" s="29"/>
      <c r="K226" s="40" t="s">
        <v>2248</v>
      </c>
      <c r="L226" s="40" t="s">
        <v>2313</v>
      </c>
      <c r="M226" s="41" t="n">
        <v>6</v>
      </c>
      <c r="N226" s="39" t="s">
        <v>2212</v>
      </c>
      <c r="O226" s="42" t="b">
        <f aca="false">TRUE()</f>
        <v>1</v>
      </c>
      <c r="P226" s="20" t="n">
        <v>500</v>
      </c>
      <c r="Q226" s="45" t="n">
        <v>3000</v>
      </c>
      <c r="R226" s="43" t="n">
        <v>45117</v>
      </c>
      <c r="S226" s="20" t="str">
        <v>Pulses</v>
      </c>
    </row>
    <row r="227" customFormat="false" ht="15.75" hidden="false" customHeight="false" outlineLevel="0" collapsed="false">
      <c r="A227" s="39" t="str">
        <v>299BDE</v>
      </c>
      <c r="B227" s="44" t="str">
        <v>Mon,10-July-2023 ,11:26 PM</v>
      </c>
      <c r="C227" s="39" t="str">
        <v>Quality Grains Daal Mash Wash 500g</v>
      </c>
      <c r="D227" s="39" t="str">
        <v>Quality Grains</v>
      </c>
      <c r="E227" s="39" t="str">
        <v>Damaged Stock</v>
      </c>
      <c r="F227" s="45" t="n">
        <v>6</v>
      </c>
      <c r="G227" s="40" t="str">
        <v>[Code: 299BDE] TA: Aik unit ki quality sahi nahi thi or 5 units floor pr available nahi thay...</v>
      </c>
      <c r="H227" s="39" t="str">
        <v>Taufeeq Akhtar </v>
      </c>
      <c r="I227" s="39" t="str">
        <f aca="false">IF(ISBLANK(H227),"", IF($H$2:$H1726 = "Gohar Rehan","Overnight",IF($H$2:$H1726 = "Taufeeq Akhtar ","Overnight",IF($H$2:$H1726 = "Zeeshan Ali Malik","Audit",IF($H$2:$H1726 = "Ali Raza ","Receiving",IF($H$2:$H1726 = "Ali Ahmad","Full-In"))))))</f>
        <v>Overnight</v>
      </c>
      <c r="J227" s="29"/>
      <c r="K227" s="40" t="s">
        <v>2248</v>
      </c>
      <c r="L227" s="40" t="s">
        <v>2313</v>
      </c>
      <c r="M227" s="41" t="n">
        <v>6</v>
      </c>
      <c r="N227" s="39" t="s">
        <v>2212</v>
      </c>
      <c r="O227" s="42" t="b">
        <f aca="false">TRUE()</f>
        <v>1</v>
      </c>
      <c r="P227" s="20" t="n">
        <v>246</v>
      </c>
      <c r="Q227" s="45" t="n">
        <v>1476</v>
      </c>
      <c r="R227" s="43" t="n">
        <v>45117</v>
      </c>
      <c r="S227" s="20" t="str">
        <v>Pulses</v>
      </c>
    </row>
    <row r="228" customFormat="false" ht="15.75" hidden="false" customHeight="false" outlineLevel="0" collapsed="false">
      <c r="A228" s="39" t="str">
        <v>58CHHJ</v>
      </c>
      <c r="B228" s="44" t="str">
        <v>Tue,11-July-2023 ,12:38 PM</v>
      </c>
      <c r="C228" s="39" t="str">
        <v>Quality Grains Daal Chana Budget 1kg</v>
      </c>
      <c r="D228" s="39" t="str">
        <v>Quality Grains</v>
      </c>
      <c r="E228" s="39" t="str">
        <v>Damaged Stock</v>
      </c>
      <c r="F228" s="45" t="n">
        <v>181</v>
      </c>
      <c r="G228" s="40" t="str">
        <v>[Code: 58CHHJ] 181 units damaged due to fungus</v>
      </c>
      <c r="H228" s="39" t="str">
        <v>Ali Raza </v>
      </c>
      <c r="I228" s="39" t="str">
        <f aca="false">IF(ISBLANK(H228),"", IF($H$2:$H1727 = "Gohar Rehan","Overnight",IF($H$2:$H1727 = "Taufeeq Akhtar ","Overnight",IF($H$2:$H1727 = "Zeeshan Ali Malik","Audit",IF($H$2:$H1727 = "Ali Raza ","Receiving",IF($H$2:$H1727 = "Ali Ahmad","Full-In"))))))</f>
        <v>Receiving</v>
      </c>
      <c r="J228" s="29"/>
      <c r="K228" s="40" t="s">
        <v>2248</v>
      </c>
      <c r="L228" s="40" t="s">
        <v>2313</v>
      </c>
      <c r="M228" s="41"/>
      <c r="N228" s="39" t="s">
        <v>2212</v>
      </c>
      <c r="O228" s="46" t="b">
        <f aca="false">FALSE()</f>
        <v>0</v>
      </c>
      <c r="P228" s="20" t="n">
        <v>234</v>
      </c>
      <c r="Q228" s="45" t="n">
        <v>42354</v>
      </c>
      <c r="R228" s="43" t="n">
        <v>45118</v>
      </c>
      <c r="S228" s="20" t="str">
        <v>Pulses</v>
      </c>
    </row>
    <row r="229" customFormat="false" ht="15.75" hidden="false" customHeight="false" outlineLevel="0" collapsed="false">
      <c r="A229" s="39" t="str">
        <v>5779EF</v>
      </c>
      <c r="B229" s="44" t="str">
        <v>Tue,11-July-2023 ,12:39 PM</v>
      </c>
      <c r="C229" s="39" t="str">
        <v>Sherdil White Chana Mota 5kg</v>
      </c>
      <c r="D229" s="39" t="str">
        <v>Sherdil</v>
      </c>
      <c r="E229" s="39" t="str">
        <v>Damaged Stock</v>
      </c>
      <c r="F229" s="45" t="n">
        <v>2</v>
      </c>
      <c r="G229" s="40" t="str">
        <v>[Code: 5779EF] 2 units damaged due to due to insects (Quality Issue)</v>
      </c>
      <c r="H229" s="39" t="str">
        <v>Ali Raza </v>
      </c>
      <c r="I229" s="39" t="str">
        <f aca="false">IF(ISBLANK(H229),"", IF($H$2:$H1728 = "Gohar Rehan","Overnight",IF($H$2:$H1728 = "Taufeeq Akhtar ","Overnight",IF($H$2:$H1728 = "Zeeshan Ali Malik","Audit",IF($H$2:$H1728 = "Ali Raza ","Receiving",IF($H$2:$H1728 = "Ali Ahmad","Full-In"))))))</f>
        <v>Receiving</v>
      </c>
      <c r="J229" s="29"/>
      <c r="K229" s="40" t="s">
        <v>2248</v>
      </c>
      <c r="L229" s="47" t="s">
        <v>2312</v>
      </c>
      <c r="M229" s="41"/>
      <c r="N229" s="39" t="s">
        <v>2212</v>
      </c>
      <c r="O229" s="46" t="b">
        <f aca="false">FALSE()</f>
        <v>0</v>
      </c>
      <c r="P229" s="20" t="n">
        <v>2180</v>
      </c>
      <c r="Q229" s="45" t="n">
        <v>4360</v>
      </c>
      <c r="R229" s="43" t="n">
        <v>45118</v>
      </c>
      <c r="S229" s="20" t="str">
        <v>Pulses</v>
      </c>
    </row>
    <row r="230" customFormat="false" ht="15.75" hidden="false" customHeight="false" outlineLevel="0" collapsed="false">
      <c r="A230" s="39" t="str">
        <v>567788</v>
      </c>
      <c r="B230" s="44" t="str">
        <v>Tue,11-July-2023 ,12:40 PM</v>
      </c>
      <c r="C230" s="39" t="str">
        <v>Sherdil White Chana Bareek 500g</v>
      </c>
      <c r="D230" s="39" t="str">
        <v>Sherdil</v>
      </c>
      <c r="E230" s="39" t="str">
        <v>Damaged Stock</v>
      </c>
      <c r="F230" s="45" t="n">
        <v>1</v>
      </c>
      <c r="G230" s="40" t="str">
        <v>[Code: 567788] 1 unit found damaged due to insects (Quality Issue0</v>
      </c>
      <c r="H230" s="39" t="str">
        <v>Ali Raza </v>
      </c>
      <c r="I230" s="39" t="str">
        <f aca="false">IF(ISBLANK(H230),"", IF($H$2:$H1729 = "Gohar Rehan","Overnight",IF($H$2:$H1729 = "Taufeeq Akhtar ","Overnight",IF($H$2:$H1729 = "Zeeshan Ali Malik","Audit",IF($H$2:$H1729 = "Ali Raza ","Receiving",IF($H$2:$H1729 = "Ali Ahmad","Full-In"))))))</f>
        <v>Receiving</v>
      </c>
      <c r="J230" s="29"/>
      <c r="K230" s="40" t="s">
        <v>2248</v>
      </c>
      <c r="L230" s="47" t="s">
        <v>2312</v>
      </c>
      <c r="M230" s="41"/>
      <c r="N230" s="39" t="s">
        <v>2212</v>
      </c>
      <c r="O230" s="46" t="b">
        <f aca="false">FALSE()</f>
        <v>0</v>
      </c>
      <c r="P230" s="20" t="n">
        <v>190</v>
      </c>
      <c r="Q230" s="45" t="n">
        <v>190</v>
      </c>
      <c r="R230" s="43" t="n">
        <v>45118</v>
      </c>
      <c r="S230" s="20" t="str">
        <v>Pulses</v>
      </c>
    </row>
    <row r="231" customFormat="false" ht="15.75" hidden="false" customHeight="false" outlineLevel="0" collapsed="false">
      <c r="A231" s="39" t="str">
        <v>334779</v>
      </c>
      <c r="B231" s="44" t="str">
        <v>Tue,11-July-2023 ,12:42 PM</v>
      </c>
      <c r="C231" s="39" t="str">
        <v>Sherdil Daal Mash Wash 5kg</v>
      </c>
      <c r="D231" s="39" t="str">
        <v>Sherdil</v>
      </c>
      <c r="E231" s="39" t="str">
        <v>Damaged Stock</v>
      </c>
      <c r="F231" s="45" t="n">
        <v>4</v>
      </c>
      <c r="G231" s="40" t="str">
        <v>[Code: 334779] 4 units found damaged due to fungus</v>
      </c>
      <c r="H231" s="39" t="str">
        <v>Ali Raza </v>
      </c>
      <c r="I231" s="39" t="str">
        <f aca="false">IF(ISBLANK(H231),"", IF($H$2:$H1730 = "Gohar Rehan","Overnight",IF($H$2:$H1730 = "Taufeeq Akhtar ","Overnight",IF($H$2:$H1730 = "Zeeshan Ali Malik","Audit",IF($H$2:$H1730 = "Ali Raza ","Receiving",IF($H$2:$H1730 = "Ali Ahmad","Full-In"))))))</f>
        <v>Receiving</v>
      </c>
      <c r="J231" s="29"/>
      <c r="K231" s="40" t="s">
        <v>2248</v>
      </c>
      <c r="L231" s="47" t="s">
        <v>2312</v>
      </c>
      <c r="M231" s="41"/>
      <c r="N231" s="39" t="s">
        <v>2212</v>
      </c>
      <c r="O231" s="46" t="b">
        <f aca="false">FALSE()</f>
        <v>0</v>
      </c>
      <c r="P231" s="20" t="n">
        <v>2432</v>
      </c>
      <c r="Q231" s="45" t="n">
        <v>9728</v>
      </c>
      <c r="R231" s="43" t="n">
        <v>45118</v>
      </c>
      <c r="S231" s="20" t="str">
        <v>Pulses</v>
      </c>
    </row>
    <row r="232" customFormat="false" ht="15.75" hidden="false" customHeight="false" outlineLevel="0" collapsed="false">
      <c r="A232" s="39" t="str">
        <v>24577A</v>
      </c>
      <c r="B232" s="44" t="str">
        <v>Tue,11-July-2023 ,12:42 PM</v>
      </c>
      <c r="C232" s="39" t="str">
        <v>Sherdil Daal Moong Wash 5kg</v>
      </c>
      <c r="D232" s="39" t="str">
        <v>Sherdil</v>
      </c>
      <c r="E232" s="39" t="str">
        <v>Damaged Stock</v>
      </c>
      <c r="F232" s="45" t="n">
        <v>1</v>
      </c>
      <c r="G232" s="40" t="str">
        <v>[Code: 24577A] 1 unit found damaged due to fungus</v>
      </c>
      <c r="H232" s="39" t="str">
        <v>Ali Raza </v>
      </c>
      <c r="I232" s="39" t="str">
        <f aca="false">IF(ISBLANK(H232),"", IF($H$2:$H1731 = "Gohar Rehan","Overnight",IF($H$2:$H1731 = "Taufeeq Akhtar ","Overnight",IF($H$2:$H1731 = "Zeeshan Ali Malik","Audit",IF($H$2:$H1731 = "Ali Raza ","Receiving",IF($H$2:$H1731 = "Ali Ahmad","Full-In"))))))</f>
        <v>Receiving</v>
      </c>
      <c r="J232" s="29"/>
      <c r="K232" s="40" t="s">
        <v>2248</v>
      </c>
      <c r="L232" s="47" t="s">
        <v>2312</v>
      </c>
      <c r="M232" s="41"/>
      <c r="N232" s="39" t="s">
        <v>2212</v>
      </c>
      <c r="O232" s="46" t="b">
        <f aca="false">FALSE()</f>
        <v>0</v>
      </c>
      <c r="P232" s="20" t="n">
        <v>1357</v>
      </c>
      <c r="Q232" s="45" t="n">
        <v>1357</v>
      </c>
      <c r="R232" s="43" t="n">
        <v>45118</v>
      </c>
      <c r="S232" s="20" t="str">
        <v>Pulses</v>
      </c>
    </row>
    <row r="233" customFormat="false" ht="15.75" hidden="false" customHeight="false" outlineLevel="0" collapsed="false">
      <c r="A233" s="39" t="str">
        <v>24DGHJ</v>
      </c>
      <c r="B233" s="44" t="str">
        <v>Tue,11-July-2023 ,11:29 PM</v>
      </c>
      <c r="C233" s="39" t="str">
        <v>Sprite plastic 1.5L</v>
      </c>
      <c r="D233" s="39" t="str">
        <v>Sprite</v>
      </c>
      <c r="E233" s="39" t="str">
        <v>Damaged Stock</v>
      </c>
      <c r="F233" s="45" t="n">
        <v>1</v>
      </c>
      <c r="G233" s="40" t="str">
        <v>[Code: 24DGHJ] TA: 4 bottels found loose during sorting.</v>
      </c>
      <c r="H233" s="39" t="str">
        <v>Taufeeq Akhtar </v>
      </c>
      <c r="I233" s="39" t="str">
        <f aca="false">IF(ISBLANK(H233),"", IF($H$2:$H1732 = "Gohar Rehan","Overnight",IF($H$2:$H1732 = "Taufeeq Akhtar ","Overnight",IF($H$2:$H1732 = "Zeeshan Ali Malik","Audit",IF($H$2:$H1732 = "Ali Raza ","Receiving",IF($H$2:$H1732 = "Ali Ahmad","Full-In"))))))</f>
        <v>Overnight</v>
      </c>
      <c r="J233" s="29"/>
      <c r="K233" s="40" t="s">
        <v>2248</v>
      </c>
      <c r="L233" s="40" t="s">
        <v>2313</v>
      </c>
      <c r="M233" s="45" t="n">
        <v>1</v>
      </c>
      <c r="N233" s="39" t="s">
        <v>2212</v>
      </c>
      <c r="O233" s="42" t="b">
        <f aca="false">TRUE()</f>
        <v>1</v>
      </c>
      <c r="P233" s="20" t="n">
        <v>856</v>
      </c>
      <c r="Q233" s="45" t="n">
        <v>856</v>
      </c>
      <c r="R233" s="43" t="n">
        <v>45118</v>
      </c>
      <c r="S233" s="20" t="str">
        <v>Beverages</v>
      </c>
    </row>
    <row r="234" customFormat="false" ht="15.75" hidden="false" customHeight="false" outlineLevel="0" collapsed="false">
      <c r="A234" s="39" t="str">
        <v>6889BC</v>
      </c>
      <c r="B234" s="44" t="str">
        <v>Wed,12-July-2023 ,10:05 PM</v>
      </c>
      <c r="C234" s="39" t="str">
        <v>7up plastic 1L (Other city stock)</v>
      </c>
      <c r="D234" s="39" t="str">
        <v>7up</v>
      </c>
      <c r="E234" s="39" t="str">
        <v>Damaged Stock</v>
      </c>
      <c r="F234" s="45" t="n">
        <v>1</v>
      </c>
      <c r="G234" s="40" t="str">
        <v>[Code: 6889BC] TA: Found in loose and empty bottels during sorting.</v>
      </c>
      <c r="H234" s="39" t="str">
        <v>Taufeeq Akhtar </v>
      </c>
      <c r="I234" s="39" t="str">
        <f aca="false">IF(ISBLANK(H234),"", IF($H$2:$H1733 = "Gohar Rehan","Overnight",IF($H$2:$H1733 = "Taufeeq Akhtar ","Overnight",IF($H$2:$H1733 = "Zeeshan Ali Malik","Audit",IF($H$2:$H1733 = "Ali Raza ","Receiving",IF($H$2:$H1733 = "Ali Ahmad","Full-In"))))))</f>
        <v>Overnight</v>
      </c>
      <c r="J234" s="29"/>
      <c r="K234" s="40" t="s">
        <v>2248</v>
      </c>
      <c r="L234" s="40" t="s">
        <v>2313</v>
      </c>
      <c r="M234" s="41"/>
      <c r="N234" s="39" t="s">
        <v>2250</v>
      </c>
      <c r="O234" s="46" t="b">
        <f aca="false">FALSE()</f>
        <v>0</v>
      </c>
      <c r="P234" s="20" t="n">
        <v>576</v>
      </c>
      <c r="Q234" s="45" t="n">
        <v>576</v>
      </c>
      <c r="R234" s="43" t="n">
        <v>45119</v>
      </c>
      <c r="S234" s="20" t="str">
        <v>Beverages</v>
      </c>
    </row>
    <row r="235" customFormat="false" ht="15.75" hidden="false" customHeight="false" outlineLevel="0" collapsed="false">
      <c r="A235" s="39" t="str">
        <v>4589AD</v>
      </c>
      <c r="B235" s="44" t="str">
        <v>Wed,12-July-2023 ,10:36 PM</v>
      </c>
      <c r="C235" s="39" t="str">
        <v>Surf Excel x6 bundle 35g Rs20</v>
      </c>
      <c r="D235" s="39" t="str">
        <v>Surf Excel</v>
      </c>
      <c r="E235" s="39" t="str">
        <v>Damaged Stock</v>
      </c>
      <c r="F235" s="45" t="n">
        <v>8</v>
      </c>
      <c r="G235" s="40" t="str">
        <v>[Code: 4589AD] TA: bag may say damaged milay display krnay kay doran.</v>
      </c>
      <c r="H235" s="39" t="str">
        <v>Taufeeq Akhtar </v>
      </c>
      <c r="I235" s="39" t="str">
        <f aca="false">IF(ISBLANK(H235),"", IF($H$2:$H1734 = "Gohar Rehan","Overnight",IF($H$2:$H1734 = "Taufeeq Akhtar ","Overnight",IF($H$2:$H1734 = "Zeeshan Ali Malik","Audit",IF($H$2:$H1734 = "Ali Raza ","Receiving",IF($H$2:$H1734 = "Ali Ahmad","Full-In"))))))</f>
        <v>Overnight</v>
      </c>
      <c r="J235" s="29"/>
      <c r="K235" s="40" t="s">
        <v>2248</v>
      </c>
      <c r="L235" s="40" t="s">
        <v>2311</v>
      </c>
      <c r="M235" s="41"/>
      <c r="N235" s="39" t="s">
        <v>2212</v>
      </c>
      <c r="O235" s="46" t="b">
        <f aca="false">FALSE()</f>
        <v>0</v>
      </c>
      <c r="P235" s="20" t="n">
        <v>111</v>
      </c>
      <c r="Q235" s="45" t="n">
        <v>888</v>
      </c>
      <c r="R235" s="43" t="n">
        <v>45119</v>
      </c>
      <c r="S235" s="20" t="str">
        <v>Surf, Bleach</v>
      </c>
    </row>
    <row r="236" customFormat="false" ht="15.75" hidden="false" customHeight="false" outlineLevel="0" collapsed="false">
      <c r="A236" s="39" t="str">
        <v>347ACD</v>
      </c>
      <c r="B236" s="44" t="str">
        <v>Wed,12-July-2023 ,10:41 PM</v>
      </c>
      <c r="C236" s="39" t="str">
        <v>Surf Excel x6 bundle 95g Rs50</v>
      </c>
      <c r="D236" s="39" t="str">
        <v>Surf Excel</v>
      </c>
      <c r="E236" s="39" t="str">
        <v>Damaged Stock</v>
      </c>
      <c r="F236" s="45" t="n">
        <v>1</v>
      </c>
      <c r="G236" s="40" t="str">
        <v>[Code: 347ACD] TA: bag may say damaged mila display karnay kay doran.</v>
      </c>
      <c r="H236" s="39" t="str">
        <v>Taufeeq Akhtar </v>
      </c>
      <c r="I236" s="39" t="str">
        <f aca="false">IF(ISBLANK(H236),"", IF($H$2:$H1735 = "Gohar Rehan","Overnight",IF($H$2:$H1735 = "Taufeeq Akhtar ","Overnight",IF($H$2:$H1735 = "Zeeshan Ali Malik","Audit",IF($H$2:$H1735 = "Ali Raza ","Receiving",IF($H$2:$H1735 = "Ali Ahmad","Full-In"))))))</f>
        <v>Overnight</v>
      </c>
      <c r="J236" s="29"/>
      <c r="K236" s="40" t="s">
        <v>2248</v>
      </c>
      <c r="L236" s="40" t="s">
        <v>2311</v>
      </c>
      <c r="M236" s="41"/>
      <c r="N236" s="39" t="s">
        <v>2212</v>
      </c>
      <c r="O236" s="46" t="b">
        <f aca="false">FALSE()</f>
        <v>0</v>
      </c>
      <c r="P236" s="20" t="n">
        <v>274.5</v>
      </c>
      <c r="Q236" s="45" t="n">
        <v>274.5</v>
      </c>
      <c r="R236" s="43" t="n">
        <v>45119</v>
      </c>
      <c r="S236" s="20" t="str">
        <v>Surf, Bleach</v>
      </c>
    </row>
    <row r="237" customFormat="false" ht="15.75" hidden="false" customHeight="false" outlineLevel="0" collapsed="false">
      <c r="A237" s="39" t="str">
        <v>36ACEE</v>
      </c>
      <c r="B237" s="44" t="str">
        <v>Wed,12-July-2023 ,10:42 PM</v>
      </c>
      <c r="C237" s="39" t="str">
        <v>Brite Surf x12 bundle 23g Rs 10</v>
      </c>
      <c r="D237" s="39" t="str">
        <v>Brite Surf</v>
      </c>
      <c r="E237" s="39" t="str">
        <v>Damaged Stock</v>
      </c>
      <c r="F237" s="45" t="n">
        <v>2</v>
      </c>
      <c r="G237" s="40" t="str">
        <v>[Code: 36ACEE] TA: bag may say damaged milay display k doran.</v>
      </c>
      <c r="H237" s="39" t="str">
        <v>Taufeeq Akhtar </v>
      </c>
      <c r="I237" s="39" t="str">
        <f aca="false">IF(ISBLANK(H237),"", IF($H$2:$H1736 = "Gohar Rehan","Overnight",IF($H$2:$H1736 = "Taufeeq Akhtar ","Overnight",IF($H$2:$H1736 = "Zeeshan Ali Malik","Audit",IF($H$2:$H1736 = "Ali Raza ","Receiving",IF($H$2:$H1736 = "Ali Ahmad","Full-In"))))))</f>
        <v>Overnight</v>
      </c>
      <c r="J237" s="29"/>
      <c r="K237" s="40" t="s">
        <v>2248</v>
      </c>
      <c r="L237" s="40" t="s">
        <v>2311</v>
      </c>
      <c r="M237" s="41" t="n">
        <v>2</v>
      </c>
      <c r="N237" s="39" t="s">
        <v>2212</v>
      </c>
      <c r="O237" s="46" t="b">
        <f aca="false">FALSE()</f>
        <v>0</v>
      </c>
      <c r="P237" s="20" t="n">
        <v>107.91</v>
      </c>
      <c r="Q237" s="45" t="n">
        <v>215.82</v>
      </c>
      <c r="R237" s="43" t="n">
        <v>45119</v>
      </c>
      <c r="S237" s="20" t="str">
        <v>Surf, Bleach</v>
      </c>
    </row>
    <row r="238" customFormat="false" ht="15.75" hidden="false" customHeight="false" outlineLevel="0" collapsed="false">
      <c r="A238" s="39" t="str">
        <v>67CCGH</v>
      </c>
      <c r="B238" s="44" t="str">
        <v>Sat,15-July-2023 ,08:38 PM</v>
      </c>
      <c r="C238" s="39" t="str">
        <v>Coca Cola plastic 2.25L (Jumbo)</v>
      </c>
      <c r="D238" s="39" t="str">
        <v>Coca Cola</v>
      </c>
      <c r="E238" s="39" t="str">
        <v>Damaged Stock</v>
      </c>
      <c r="F238" s="45" t="n">
        <v>1</v>
      </c>
      <c r="G238" s="40" t="str">
        <v>[Code: 67CCGH] TA: 4 bottels Found Loose during Sorting.(Company end issue)</v>
      </c>
      <c r="H238" s="39" t="str">
        <v>Taufeeq Akhtar </v>
      </c>
      <c r="I238" s="39" t="str">
        <f aca="false">IF(ISBLANK(H238),"", IF($H$2:$H1737 = "Gohar Rehan","Overnight",IF($H$2:$H1737 = "Taufeeq Akhtar ","Overnight",IF($H$2:$H1737 = "Zeeshan Ali Malik","Audit",IF($H$2:$H1737 = "Ali Raza ","Receiving",IF($H$2:$H1737 = "Ali Ahmad","Full-In"))))))</f>
        <v>Overnight</v>
      </c>
      <c r="J238" s="29"/>
      <c r="K238" s="40" t="s">
        <v>2248</v>
      </c>
      <c r="L238" s="40" t="s">
        <v>2313</v>
      </c>
      <c r="M238" s="41"/>
      <c r="N238" s="39" t="s">
        <v>2250</v>
      </c>
      <c r="O238" s="46" t="b">
        <f aca="false">FALSE()</f>
        <v>0</v>
      </c>
      <c r="P238" s="20" t="n">
        <v>1226</v>
      </c>
      <c r="Q238" s="45" t="n">
        <v>1226</v>
      </c>
      <c r="R238" s="43" t="n">
        <v>45122</v>
      </c>
      <c r="S238" s="20" t="str">
        <v>Beverages</v>
      </c>
    </row>
    <row r="239" customFormat="false" ht="15.75" hidden="false" customHeight="false" outlineLevel="0" collapsed="false">
      <c r="A239" s="39" t="str">
        <v>5688AA</v>
      </c>
      <c r="B239" s="44" t="str">
        <v>Sat,15-July-2023 ,09:56 PM</v>
      </c>
      <c r="C239" s="39" t="str">
        <v>Sprite Plastic 2.25L (Jumbo)</v>
      </c>
      <c r="D239" s="39" t="str">
        <v>Sprite</v>
      </c>
      <c r="E239" s="39" t="str">
        <v>Damaged Stock</v>
      </c>
      <c r="F239" s="45" t="n">
        <v>1</v>
      </c>
      <c r="G239" s="40" t="str">
        <v>[Code: 5688AA] TA: Found in loose and empty bottels during sorting.</v>
      </c>
      <c r="H239" s="39" t="str">
        <v>Taufeeq Akhtar </v>
      </c>
      <c r="I239" s="39" t="str">
        <f aca="false">IF(ISBLANK(H239),"", IF($H$2:$H1738 = "Gohar Rehan","Overnight",IF($H$2:$H1738 = "Taufeeq Akhtar ","Overnight",IF($H$2:$H1738 = "Zeeshan Ali Malik","Audit",IF($H$2:$H1738 = "Ali Raza ","Receiving",IF($H$2:$H1738 = "Ali Ahmad","Full-In"))))))</f>
        <v>Overnight</v>
      </c>
      <c r="J239" s="29"/>
      <c r="K239" s="40" t="s">
        <v>2248</v>
      </c>
      <c r="L239" s="40" t="s">
        <v>2313</v>
      </c>
      <c r="M239" s="41"/>
      <c r="N239" s="39" t="s">
        <v>2250</v>
      </c>
      <c r="O239" s="46" t="b">
        <f aca="false">FALSE()</f>
        <v>0</v>
      </c>
      <c r="P239" s="20" t="n">
        <v>1206</v>
      </c>
      <c r="Q239" s="45" t="n">
        <v>1206</v>
      </c>
      <c r="R239" s="43" t="n">
        <v>45122</v>
      </c>
      <c r="S239" s="20" t="str">
        <v>Beverages</v>
      </c>
    </row>
    <row r="240" customFormat="false" ht="15.75" hidden="false" customHeight="false" outlineLevel="0" collapsed="false">
      <c r="A240" s="39" t="str">
        <v>356AEG</v>
      </c>
      <c r="B240" s="44" t="str">
        <v>Sat,15-July-2023 ,11:13 PM</v>
      </c>
      <c r="C240" s="39" t="str">
        <v>Coca Cola plastic 1.5L</v>
      </c>
      <c r="D240" s="39" t="str">
        <v>Coca Cola</v>
      </c>
      <c r="E240" s="39" t="str">
        <v>Damaged Stock</v>
      </c>
      <c r="F240" s="45" t="n">
        <v>3</v>
      </c>
      <c r="G240" s="40" t="str">
        <v>[Code: 356AEG] TA:Found Loose bottels during sorting.(Company end issue)</v>
      </c>
      <c r="H240" s="39" t="str">
        <v>Taufeeq Akhtar </v>
      </c>
      <c r="I240" s="39" t="str">
        <f aca="false">IF(ISBLANK(H240),"", IF($H$2:$H1739 = "Gohar Rehan","Overnight",IF($H$2:$H1739 = "Taufeeq Akhtar ","Overnight",IF($H$2:$H1739 = "Zeeshan Ali Malik","Audit",IF($H$2:$H1739 = "Ali Raza ","Receiving",IF($H$2:$H1739 = "Ali Ahmad","Full-In"))))))</f>
        <v>Overnight</v>
      </c>
      <c r="J240" s="29"/>
      <c r="K240" s="40" t="s">
        <v>2248</v>
      </c>
      <c r="L240" s="40" t="s">
        <v>2313</v>
      </c>
      <c r="M240" s="41" t="n">
        <v>3</v>
      </c>
      <c r="N240" s="39" t="s">
        <v>2212</v>
      </c>
      <c r="O240" s="46" t="b">
        <f aca="false">FALSE()</f>
        <v>0</v>
      </c>
      <c r="P240" s="20" t="n">
        <v>885</v>
      </c>
      <c r="Q240" s="45" t="n">
        <v>2655</v>
      </c>
      <c r="R240" s="43" t="n">
        <v>45122</v>
      </c>
      <c r="S240" s="20" t="str">
        <v>Beverages</v>
      </c>
    </row>
    <row r="241" customFormat="false" ht="15.75" hidden="false" customHeight="false" outlineLevel="0" collapsed="false">
      <c r="A241" s="39" t="str">
        <v>24567C</v>
      </c>
      <c r="B241" s="44" t="str">
        <v>Sat,15-July-2023 ,11:15 PM</v>
      </c>
      <c r="C241" s="39" t="str">
        <v>Sprite plastic 1L</v>
      </c>
      <c r="D241" s="39" t="str">
        <v>Sprite</v>
      </c>
      <c r="E241" s="39" t="str">
        <v>Damaged Stock</v>
      </c>
      <c r="F241" s="45" t="n">
        <v>1</v>
      </c>
      <c r="G241" s="40" t="str">
        <v>[Code: 24567C] TA: Found loose bottles During Sorting(Company end issue)</v>
      </c>
      <c r="H241" s="39" t="str">
        <v>Taufeeq Akhtar </v>
      </c>
      <c r="I241" s="39" t="str">
        <f aca="false">IF(ISBLANK(H241),"", IF($H$2:$H1740 = "Gohar Rehan","Overnight",IF($H$2:$H1740 = "Taufeeq Akhtar ","Overnight",IF($H$2:$H1740 = "Zeeshan Ali Malik","Audit",IF($H$2:$H1740 = "Ali Raza ","Receiving",IF($H$2:$H1740 = "Ali Ahmad","Full-In"))))))</f>
        <v>Overnight</v>
      </c>
      <c r="J241" s="29"/>
      <c r="K241" s="40" t="s">
        <v>2248</v>
      </c>
      <c r="L241" s="40" t="s">
        <v>2313</v>
      </c>
      <c r="M241" s="41" t="n">
        <v>1</v>
      </c>
      <c r="N241" s="39" t="s">
        <v>2212</v>
      </c>
      <c r="O241" s="42" t="b">
        <f aca="false">TRUE()</f>
        <v>1</v>
      </c>
      <c r="P241" s="20" t="n">
        <v>670</v>
      </c>
      <c r="Q241" s="45" t="n">
        <v>670</v>
      </c>
      <c r="R241" s="43" t="n">
        <v>45122</v>
      </c>
      <c r="S241" s="20" t="str">
        <v>Beverages</v>
      </c>
    </row>
    <row r="242" customFormat="false" ht="15.75" hidden="false" customHeight="false" outlineLevel="0" collapsed="false">
      <c r="A242" s="39" t="str">
        <v>24567C</v>
      </c>
      <c r="B242" s="44" t="str">
        <v>Sat,15-July-2023 ,11:15 PM</v>
      </c>
      <c r="C242" s="39" t="str">
        <v>Sprite plastic 1L</v>
      </c>
      <c r="D242" s="39" t="str">
        <v>Sprite</v>
      </c>
      <c r="E242" s="39" t="str">
        <v>Damaged Stock</v>
      </c>
      <c r="F242" s="45" t="n">
        <v>1</v>
      </c>
      <c r="G242" s="40" t="str">
        <v>[Code: 24567C] TA: Found loose bottles During Sorting(Company end issue)</v>
      </c>
      <c r="H242" s="39" t="str">
        <v>Taufeeq Akhtar </v>
      </c>
      <c r="I242" s="39" t="str">
        <f aca="false">IF(ISBLANK(H242),"", IF($H$2:$H1741 = "Gohar Rehan","Overnight",IF($H$2:$H1741 = "Taufeeq Akhtar ","Overnight",IF($H$2:$H1741 = "Zeeshan Ali Malik","Audit",IF($H$2:$H1741 = "Ali Raza ","Receiving",IF($H$2:$H1741 = "Ali Ahmad","Full-In"))))))</f>
        <v>Overnight</v>
      </c>
      <c r="J242" s="29"/>
      <c r="K242" s="40" t="s">
        <v>2248</v>
      </c>
      <c r="L242" s="40" t="s">
        <v>2313</v>
      </c>
      <c r="M242" s="41" t="n">
        <v>1</v>
      </c>
      <c r="N242" s="39" t="s">
        <v>2212</v>
      </c>
      <c r="O242" s="42" t="b">
        <f aca="false">TRUE()</f>
        <v>1</v>
      </c>
      <c r="P242" s="20" t="n">
        <v>670</v>
      </c>
      <c r="Q242" s="45" t="n">
        <v>670</v>
      </c>
      <c r="R242" s="43" t="n">
        <v>45122</v>
      </c>
      <c r="S242" s="20" t="str">
        <v>Beverages</v>
      </c>
    </row>
    <row r="243" customFormat="false" ht="15.75" hidden="false" customHeight="false" outlineLevel="0" collapsed="false">
      <c r="A243" s="39" t="str">
        <v>345677</v>
      </c>
      <c r="B243" s="44" t="str">
        <v>Sun,16-July-2023 ,10:00 PM</v>
      </c>
      <c r="C243" s="39" t="str">
        <v>Pepsi plastic 1L</v>
      </c>
      <c r="D243" s="39" t="str">
        <v>Pepsi</v>
      </c>
      <c r="E243" s="39" t="str">
        <v>Damaged Stock</v>
      </c>
      <c r="F243" s="45" t="n">
        <v>1</v>
      </c>
      <c r="G243" s="40" t="str">
        <v>[Code: 345677] TA: Found in loose and Empty bottels during sorting.</v>
      </c>
      <c r="H243" s="39" t="str">
        <v>Taufeeq Akhtar </v>
      </c>
      <c r="I243" s="39" t="str">
        <f aca="false">IF(ISBLANK(H243),"", IF($H$2:$H1742 = "Gohar Rehan","Overnight",IF($H$2:$H1742 = "Taufeeq Akhtar ","Overnight",IF($H$2:$H1742 = "Zeeshan Ali Malik","Audit",IF($H$2:$H1742 = "Ali Raza ","Receiving",IF($H$2:$H1742 = "Ali Ahmad","Full-In"))))))</f>
        <v>Overnight</v>
      </c>
      <c r="J243" s="29"/>
      <c r="K243" s="40" t="s">
        <v>2248</v>
      </c>
      <c r="L243" s="40" t="s">
        <v>2313</v>
      </c>
      <c r="M243" s="41"/>
      <c r="N243" s="39" t="s">
        <v>2250</v>
      </c>
      <c r="O243" s="46" t="b">
        <f aca="false">FALSE()</f>
        <v>0</v>
      </c>
      <c r="P243" s="20" t="n">
        <v>556</v>
      </c>
      <c r="Q243" s="45" t="n">
        <v>556</v>
      </c>
      <c r="R243" s="43" t="n">
        <v>45123</v>
      </c>
      <c r="S243" s="20" t="str">
        <v>Beverages</v>
      </c>
    </row>
    <row r="244" customFormat="false" ht="15.75" hidden="false" customHeight="false" outlineLevel="0" collapsed="false">
      <c r="A244" s="39" t="str">
        <v>2357AB</v>
      </c>
      <c r="B244" s="44" t="str">
        <v>Sun,16-July-2023 ,10:02 PM</v>
      </c>
      <c r="C244" s="39" t="str">
        <v>Bonus tristar yellow surf 1kg Rs220</v>
      </c>
      <c r="D244" s="39" t="str">
        <v>Bonus Surf</v>
      </c>
      <c r="E244" s="39" t="str">
        <v>Damaged Stock</v>
      </c>
      <c r="F244" s="45" t="n">
        <v>1</v>
      </c>
      <c r="G244" s="40" t="str">
        <v>[Code: 2357AB] TA: bag may say damaged nikla display krtay waqt.</v>
      </c>
      <c r="H244" s="39" t="str">
        <v>Taufeeq Akhtar </v>
      </c>
      <c r="I244" s="39" t="str">
        <f aca="false">IF(ISBLANK(H244),"", IF($H$2:$H1743 = "Gohar Rehan","Overnight",IF($H$2:$H1743 = "Taufeeq Akhtar ","Overnight",IF($H$2:$H1743 = "Zeeshan Ali Malik","Audit",IF($H$2:$H1743 = "Ali Raza ","Receiving",IF($H$2:$H1743 = "Ali Ahmad","Full-In"))))))</f>
        <v>Overnight</v>
      </c>
      <c r="J244" s="29"/>
      <c r="K244" s="40" t="s">
        <v>2248</v>
      </c>
      <c r="L244" s="40" t="s">
        <v>2311</v>
      </c>
      <c r="M244" s="41" t="n">
        <v>1</v>
      </c>
      <c r="N244" s="39" t="s">
        <v>2212</v>
      </c>
      <c r="O244" s="42" t="b">
        <f aca="false">TRUE()</f>
        <v>1</v>
      </c>
      <c r="P244" s="20" t="n">
        <v>201.18</v>
      </c>
      <c r="Q244" s="45" t="n">
        <v>201.18</v>
      </c>
      <c r="R244" s="43" t="n">
        <v>45123</v>
      </c>
      <c r="S244" s="20" t="str">
        <v>Surf, Bleach</v>
      </c>
    </row>
    <row r="245" customFormat="false" ht="15.75" hidden="false" customHeight="false" outlineLevel="0" collapsed="false">
      <c r="A245" s="39" t="str">
        <v>669BCE</v>
      </c>
      <c r="B245" s="44" t="str">
        <v>Sun,16-July-2023 ,10:03 PM</v>
      </c>
      <c r="C245" s="39" t="str">
        <v>Bonus tristar yellow surf 240g Rs50</v>
      </c>
      <c r="D245" s="39" t="str">
        <v>Bonus Surf</v>
      </c>
      <c r="E245" s="39" t="str">
        <v>Damaged Stock</v>
      </c>
      <c r="F245" s="45" t="n">
        <v>1</v>
      </c>
      <c r="G245" s="40" t="str">
        <v>[Code: 669BCE] TA: bag may say damaged mila.</v>
      </c>
      <c r="H245" s="39" t="str">
        <v>Taufeeq Akhtar </v>
      </c>
      <c r="I245" s="39" t="str">
        <f aca="false">IF(ISBLANK(H245),"", IF($H$2:$H1744 = "Gohar Rehan","Overnight",IF($H$2:$H1744 = "Taufeeq Akhtar ","Overnight",IF($H$2:$H1744 = "Zeeshan Ali Malik","Audit",IF($H$2:$H1744 = "Ali Raza ","Receiving",IF($H$2:$H1744 = "Ali Ahmad","Full-In"))))))</f>
        <v>Overnight</v>
      </c>
      <c r="J245" s="29"/>
      <c r="K245" s="40" t="s">
        <v>2248</v>
      </c>
      <c r="L245" s="40" t="s">
        <v>2311</v>
      </c>
      <c r="M245" s="45" t="n">
        <v>1</v>
      </c>
      <c r="N245" s="39" t="s">
        <v>2212</v>
      </c>
      <c r="O245" s="42" t="b">
        <f aca="false">FALSE()</f>
        <v>0</v>
      </c>
      <c r="P245" s="20" t="n">
        <v>45.59</v>
      </c>
      <c r="Q245" s="45" t="n">
        <v>45.59</v>
      </c>
      <c r="R245" s="43" t="n">
        <v>45123</v>
      </c>
      <c r="S245" s="20" t="str">
        <v>Surf, Bleach</v>
      </c>
    </row>
    <row r="246" customFormat="false" ht="15.75" hidden="false" customHeight="false" outlineLevel="0" collapsed="false">
      <c r="A246" s="39" t="str">
        <v>689ACE</v>
      </c>
      <c r="B246" s="44" t="str">
        <v>Mon,17-July-2023 ,08:52 PM</v>
      </c>
      <c r="C246" s="39" t="str">
        <v>Coca Cola plastic 1.5L</v>
      </c>
      <c r="D246" s="39" t="str">
        <v>Coca Cola</v>
      </c>
      <c r="E246" s="39" t="str">
        <v>Damaged Stock</v>
      </c>
      <c r="F246" s="45" t="n">
        <v>2</v>
      </c>
      <c r="G246" s="40" t="str">
        <v>[Code: 689ACE]  TA: Found loose bottles During Sorting(Company end issue)</v>
      </c>
      <c r="H246" s="39" t="str">
        <v>Taufeeq Akhtar </v>
      </c>
      <c r="I246" s="39" t="str">
        <f aca="false">IF(ISBLANK(H246),"", IF($H$2:$H1745 = "Gohar Rehan","Overnight",IF($H$2:$H1745 = "Taufeeq Akhtar ","Overnight",IF($H$2:$H1745 = "Zeeshan Ali Malik","Audit",IF($H$2:$H1745 = "Ali Raza ","Receiving",IF($H$2:$H1745 = "Ali Ahmad","Full-In"))))))</f>
        <v>Overnight</v>
      </c>
      <c r="J246" s="29"/>
      <c r="K246" s="50" t="s">
        <v>2248</v>
      </c>
      <c r="L246" s="50" t="s">
        <v>2313</v>
      </c>
      <c r="M246" s="41"/>
      <c r="N246" s="39" t="s">
        <v>2250</v>
      </c>
      <c r="O246" s="46" t="b">
        <f aca="false">FALSE()</f>
        <v>0</v>
      </c>
      <c r="P246" s="20" t="n">
        <v>885</v>
      </c>
      <c r="Q246" s="45" t="n">
        <v>1770</v>
      </c>
      <c r="R246" s="43" t="n">
        <v>45124</v>
      </c>
      <c r="S246" s="20" t="str">
        <v>Beverages</v>
      </c>
    </row>
    <row r="247" customFormat="false" ht="15.75" hidden="false" customHeight="false" outlineLevel="0" collapsed="false">
      <c r="A247" s="39" t="str">
        <v>222457</v>
      </c>
      <c r="B247" s="44" t="str">
        <v>Tue,18-July-2023 ,08:40 PM</v>
      </c>
      <c r="C247" s="39" t="str">
        <v>Coca Cola plastic 1L</v>
      </c>
      <c r="D247" s="39" t="str">
        <v>Coca Cola</v>
      </c>
      <c r="E247" s="39" t="str">
        <v>Damaged Stock</v>
      </c>
      <c r="F247" s="45" t="n">
        <v>1</v>
      </c>
      <c r="G247" s="40" t="str">
        <v>[Code: 222457]  TA: Found in loose and empty bottels during sorting.</v>
      </c>
      <c r="H247" s="39" t="str">
        <v>Taufeeq Akhtar </v>
      </c>
      <c r="I247" s="39" t="str">
        <f aca="false">IF(ISBLANK(H247),"", IF($H$2:$H1746 = "Gohar Rehan","Overnight",IF($H$2:$H1746 = "Taufeeq Akhtar ","Overnight",IF($H$2:$H1746 = "Zeeshan Ali Malik","Audit",IF($H$2:$H1746 = "Ali Raza ","Receiving",IF($H$2:$H1746 = "Ali Ahmad","Full-In"))))))</f>
        <v>Overnight</v>
      </c>
      <c r="J247" s="29"/>
      <c r="K247" s="50" t="s">
        <v>2248</v>
      </c>
      <c r="L247" s="50" t="s">
        <v>2313</v>
      </c>
      <c r="M247" s="41" t="n">
        <v>1</v>
      </c>
      <c r="N247" s="39" t="s">
        <v>2212</v>
      </c>
      <c r="O247" s="42" t="b">
        <f aca="false">TRUE()</f>
        <v>1</v>
      </c>
      <c r="P247" s="20" t="n">
        <v>698</v>
      </c>
      <c r="Q247" s="45" t="n">
        <v>698</v>
      </c>
      <c r="R247" s="43" t="n">
        <v>45125</v>
      </c>
      <c r="S247" s="20" t="str">
        <v>Beverages</v>
      </c>
    </row>
    <row r="248" customFormat="false" ht="15.75" hidden="false" customHeight="false" outlineLevel="0" collapsed="false">
      <c r="A248" s="39" t="str">
        <v>66777A</v>
      </c>
      <c r="B248" s="44" t="str">
        <v>Wed,19-July-2023 ,02:48 PM</v>
      </c>
      <c r="C248" s="39" t="str">
        <v>Ultra Pure Dish Wash Liquid 1000ml Rs350</v>
      </c>
      <c r="D248" s="39" t="str">
        <v>Ultra Pure</v>
      </c>
      <c r="E248" s="39" t="str">
        <v>Damaged Stock</v>
      </c>
      <c r="F248" s="45" t="n">
        <v>1</v>
      </c>
      <c r="G248" s="40" t="str">
        <v>[Code: 66777A] 01 unit found cap damaged </v>
      </c>
      <c r="H248" s="39" t="str">
        <v>Ali Raza </v>
      </c>
      <c r="I248" s="39" t="str">
        <f aca="false">IF(ISBLANK(H248),"", IF($H$2:$H1747 = "Gohar Rehan","Overnight",IF($H$2:$H1747 = "Taufeeq Akhtar ","Overnight",IF($H$2:$H1747 = "Zeeshan Ali Malik","Audit",IF($H$2:$H1747 = "Ali Raza ","Receiving",IF($H$2:$H1747 = "Ali Ahmad","Full-In"))))))</f>
        <v>Receiving</v>
      </c>
      <c r="J248" s="29"/>
      <c r="K248" s="50" t="s">
        <v>2248</v>
      </c>
      <c r="L248" s="40" t="s">
        <v>2311</v>
      </c>
      <c r="M248" s="41" t="n">
        <v>1</v>
      </c>
      <c r="N248" s="39" t="s">
        <v>2212</v>
      </c>
      <c r="O248" s="42" t="b">
        <f aca="false">TRUE()</f>
        <v>1</v>
      </c>
      <c r="P248" s="20" t="n">
        <v>184</v>
      </c>
      <c r="Q248" s="45" t="n">
        <v>184</v>
      </c>
      <c r="R248" s="43" t="n">
        <v>45126</v>
      </c>
      <c r="S248" s="20" t="str">
        <v>Home Care</v>
      </c>
    </row>
    <row r="249" customFormat="false" ht="15.75" hidden="false" customHeight="false" outlineLevel="0" collapsed="false">
      <c r="A249" s="39" t="str">
        <v>599BEF</v>
      </c>
      <c r="B249" s="44" t="str">
        <v>Wed,19-July-2023 ,09:20 PM</v>
      </c>
      <c r="C249" s="39" t="str">
        <v>Giggly Opus Bar Caramel Filled Chocolate 15Pcs Rs10 (caramel bar)</v>
      </c>
      <c r="D249" s="39" t="str">
        <v>Giggly</v>
      </c>
      <c r="E249" s="39" t="str">
        <v>Damaged Stock</v>
      </c>
      <c r="F249" s="45" t="n">
        <v>1</v>
      </c>
      <c r="G249" s="40" t="str">
        <v>[Code: 599BEF] TA: Found damaged from rack and few pieces are missing from the box.</v>
      </c>
      <c r="H249" s="39" t="str">
        <v>Taufeeq Akhtar </v>
      </c>
      <c r="I249" s="39" t="str">
        <f aca="false">IF(ISBLANK(H249),"", IF($H$2:$H1748 = "Gohar Rehan","Overnight",IF($H$2:$H1748 = "Taufeeq Akhtar ","Overnight",IF($H$2:$H1748 = "Zeeshan Ali Malik","Audit",IF($H$2:$H1748 = "Ali Raza ","Receiving",IF($H$2:$H1748 = "Ali Ahmad","Full-In"))))))</f>
        <v>Overnight</v>
      </c>
      <c r="J249" s="29"/>
      <c r="K249" s="50" t="s">
        <v>2248</v>
      </c>
      <c r="L249" s="40" t="s">
        <v>2314</v>
      </c>
      <c r="M249" s="41"/>
      <c r="N249" s="39" t="s">
        <v>2250</v>
      </c>
      <c r="O249" s="46" t="b">
        <f aca="false">FALSE()</f>
        <v>0</v>
      </c>
      <c r="P249" s="20" t="n">
        <v>119.41</v>
      </c>
      <c r="Q249" s="45" t="n">
        <v>119.41</v>
      </c>
      <c r="R249" s="43" t="n">
        <v>45126</v>
      </c>
      <c r="S249" s="20" t="str">
        <v>Confectionary</v>
      </c>
    </row>
    <row r="250" customFormat="false" ht="15.75" hidden="false" customHeight="false" outlineLevel="0" collapsed="false">
      <c r="A250" s="39" t="str">
        <v>478899</v>
      </c>
      <c r="B250" s="44" t="str">
        <v>Wed,19-July-2023 ,09:24 PM</v>
      </c>
      <c r="C250" s="39" t="str">
        <v>Bisconni Chocolatto Filled Biscuits 8pcs Rs30</v>
      </c>
      <c r="D250" s="39" t="str">
        <v>Bisconni</v>
      </c>
      <c r="E250" s="39" t="str">
        <v>Damaged Stock</v>
      </c>
      <c r="F250" s="45" t="n">
        <v>3</v>
      </c>
      <c r="G250" s="40" t="str">
        <v>[Code: 478899] TA: 3 Units less in floor(Night audit).</v>
      </c>
      <c r="H250" s="39" t="str">
        <v>Taufeeq Akhtar </v>
      </c>
      <c r="I250" s="39" t="str">
        <f aca="false">IF(ISBLANK(H250),"", IF($H$2:$H1749 = "Gohar Rehan","Overnight",IF($H$2:$H1749 = "Taufeeq Akhtar ","Overnight",IF($H$2:$H1749 = "Zeeshan Ali Malik","Audit",IF($H$2:$H1749 = "Ali Raza ","Receiving",IF($H$2:$H1749 = "Ali Ahmad","Full-In"))))))</f>
        <v>Overnight</v>
      </c>
      <c r="J250" s="29"/>
      <c r="K250" s="50" t="s">
        <v>2248</v>
      </c>
      <c r="L250" s="40" t="s">
        <v>2314</v>
      </c>
      <c r="M250" s="41" t="n">
        <v>3</v>
      </c>
      <c r="N250" s="39" t="s">
        <v>2212</v>
      </c>
      <c r="O250" s="42" t="b">
        <f aca="false">TRUE()</f>
        <v>1</v>
      </c>
      <c r="P250" s="20" t="n">
        <v>213</v>
      </c>
      <c r="Q250" s="45" t="n">
        <v>639</v>
      </c>
      <c r="R250" s="43" t="n">
        <v>45126</v>
      </c>
      <c r="S250" s="20" t="str">
        <v>Biscuits, Wafers</v>
      </c>
    </row>
    <row r="251" customFormat="false" ht="15.75" hidden="false" customHeight="false" outlineLevel="0" collapsed="false">
      <c r="A251" s="39" t="str">
        <v>23889C</v>
      </c>
      <c r="B251" s="44" t="str">
        <v>Fri,21-July-2023 ,02:51 PM</v>
      </c>
      <c r="C251" s="39" t="str">
        <v>Crown Chakki Atta 5kg</v>
      </c>
      <c r="D251" s="39" t="str">
        <v>Crown Chakki Atta</v>
      </c>
      <c r="E251" s="39" t="str">
        <v>Damaged Stock</v>
      </c>
      <c r="F251" s="45" t="n">
        <v>92</v>
      </c>
      <c r="G251" s="40" t="str">
        <v>[Code: 23889C] TA: fangus lagi hay. quality issue(company end)</v>
      </c>
      <c r="H251" s="39" t="str">
        <v>Taufeeq Akhtar </v>
      </c>
      <c r="I251" s="39" t="str">
        <f aca="false">IF(ISBLANK(H251),"", IF($H$2:$H1750 = "Gohar Rehan","Overnight",IF($H$2:$H1750 = "Taufeeq Akhtar ","Overnight",IF($H$2:$H1750 = "Zeeshan Ali Malik","Audit",IF($H$2:$H1750 = "Ali Raza ","Receiving",IF($H$2:$H1750 = "Ali Ahmad","Full-In"))))))</f>
        <v>Overnight</v>
      </c>
      <c r="J251" s="29"/>
      <c r="K251" s="50" t="s">
        <v>2248</v>
      </c>
      <c r="L251" s="40" t="s">
        <v>2295</v>
      </c>
      <c r="M251" s="45" t="n">
        <v>92</v>
      </c>
      <c r="N251" s="39" t="s">
        <v>2212</v>
      </c>
      <c r="O251" s="42" t="b">
        <f aca="false">TRUE()</f>
        <v>1</v>
      </c>
      <c r="P251" s="20" t="n">
        <v>690</v>
      </c>
      <c r="Q251" s="45" t="n">
        <v>63480</v>
      </c>
      <c r="R251" s="43" t="n">
        <v>45128</v>
      </c>
      <c r="S251" s="20" t="str">
        <v>Flour</v>
      </c>
    </row>
    <row r="252" customFormat="false" ht="15.75" hidden="false" customHeight="false" outlineLevel="0" collapsed="false">
      <c r="A252" s="39" t="str">
        <v>69AFGG</v>
      </c>
      <c r="B252" s="44" t="str">
        <v>Fri,21-July-2023 ,02:53 PM</v>
      </c>
      <c r="C252" s="39" t="str">
        <v>A One Fine Atta 15kg</v>
      </c>
      <c r="D252" s="39" t="str">
        <v>A One Atta</v>
      </c>
      <c r="E252" s="39" t="str">
        <v>Damaged Stock</v>
      </c>
      <c r="F252" s="45" t="n">
        <v>143</v>
      </c>
      <c r="G252" s="40" t="str">
        <v>[Code: 69AFGG] TA:quality sahi nahi hay (fangus laga hay.)</v>
      </c>
      <c r="H252" s="39" t="str">
        <v>Taufeeq Akhtar </v>
      </c>
      <c r="I252" s="39" t="str">
        <f aca="false">IF(ISBLANK(H252),"", IF($H$2:$H1751 = "Gohar Rehan","Overnight",IF($H$2:$H1751 = "Taufeeq Akhtar ","Overnight",IF($H$2:$H1751 = "Zeeshan Ali Malik","Audit",IF($H$2:$H1751 = "Ali Raza ","Receiving",IF($H$2:$H1751 = "Ali Ahmad","Full-In"))))))</f>
        <v>Overnight</v>
      </c>
      <c r="J252" s="29"/>
      <c r="K252" s="50" t="s">
        <v>2248</v>
      </c>
      <c r="L252" s="40" t="s">
        <v>2295</v>
      </c>
      <c r="M252" s="45" t="n">
        <v>143</v>
      </c>
      <c r="N252" s="39" t="s">
        <v>2212</v>
      </c>
      <c r="O252" s="42" t="b">
        <f aca="false">TRUE()</f>
        <v>1</v>
      </c>
      <c r="P252" s="20" t="n">
        <v>2050</v>
      </c>
      <c r="Q252" s="45" t="n">
        <v>293150</v>
      </c>
      <c r="R252" s="43" t="n">
        <v>45128</v>
      </c>
      <c r="S252" s="20" t="str">
        <v>Flour</v>
      </c>
    </row>
    <row r="253" customFormat="false" ht="15.75" hidden="false" customHeight="false" outlineLevel="0" collapsed="false">
      <c r="A253" s="39" t="str">
        <v>ADFFGH</v>
      </c>
      <c r="B253" s="44" t="str">
        <v>Fri,21-July-2023 ,04:44 PM</v>
      </c>
      <c r="C253" s="39" t="str">
        <v>Super Shaheen Atta 10kg</v>
      </c>
      <c r="D253" s="39" t="str">
        <v>Khalid Flour &amp; General Mills</v>
      </c>
      <c r="E253" s="39" t="str">
        <v>Damaged Stock</v>
      </c>
      <c r="F253" s="45" t="n">
        <v>43</v>
      </c>
      <c r="G253" s="40" t="str">
        <v>[Code: ADFFGH] TA:quality sahi nahi hay.(Fungus lagi hay).</v>
      </c>
      <c r="H253" s="39" t="str">
        <v>Taufeeq Akhtar </v>
      </c>
      <c r="I253" s="39" t="str">
        <f aca="false">IF(ISBLANK(H253),"", IF($H$2:$H1752 = "Gohar Rehan","Overnight",IF($H$2:$H1752 = "Taufeeq Akhtar ","Overnight",IF($H$2:$H1752 = "Zeeshan Ali Malik","Audit",IF($H$2:$H1752 = "Ali Raza ","Receiving",IF($H$2:$H1752 = "Ali Ahmad","Full-In"))))))</f>
        <v>Overnight</v>
      </c>
      <c r="J253" s="29"/>
      <c r="K253" s="50" t="s">
        <v>2248</v>
      </c>
      <c r="L253" s="40" t="s">
        <v>2295</v>
      </c>
      <c r="M253" s="45" t="s">
        <v>2315</v>
      </c>
      <c r="N253" s="39" t="s">
        <v>2212</v>
      </c>
      <c r="O253" s="42" t="b">
        <f aca="false">TRUE()</f>
        <v>1</v>
      </c>
      <c r="P253" s="20" t="n">
        <v>1330</v>
      </c>
      <c r="Q253" s="45" t="n">
        <v>57190</v>
      </c>
      <c r="R253" s="43" t="n">
        <v>45128</v>
      </c>
      <c r="S253" s="20" t="str">
        <v>Flour</v>
      </c>
    </row>
    <row r="254" customFormat="false" ht="15.75" hidden="false" customHeight="false" outlineLevel="0" collapsed="false">
      <c r="A254" s="39" t="str">
        <v>2668DD</v>
      </c>
      <c r="B254" s="44" t="str">
        <v>Fri,21-July-2023 ,06:14 PM</v>
      </c>
      <c r="C254" s="39" t="str">
        <v>Surf Excel x6 bundle 20g Rs 10</v>
      </c>
      <c r="D254" s="39" t="str">
        <v>Surf Excel</v>
      </c>
      <c r="E254" s="39" t="str">
        <v>Damaged Stock</v>
      </c>
      <c r="F254" s="45" t="n">
        <v>4</v>
      </c>
      <c r="G254" s="40" t="str">
        <v>[Code: 2668DD] TA: found in damaged from bag during display.</v>
      </c>
      <c r="H254" s="39" t="str">
        <v>Taufeeq Akhtar </v>
      </c>
      <c r="I254" s="39" t="str">
        <f aca="false">IF(ISBLANK(H254),"", IF($H$2:$H1753 = "Gohar Rehan","Overnight",IF($H$2:$H1753 = "Taufeeq Akhtar ","Overnight",IF($H$2:$H1753 = "Zeeshan Ali Malik","Audit",IF($H$2:$H1753 = "Ali Raza ","Receiving",IF($H$2:$H1753 = "Ali Ahmad","Full-In"))))))</f>
        <v>Overnight</v>
      </c>
      <c r="J254" s="29"/>
      <c r="K254" s="50" t="s">
        <v>2248</v>
      </c>
      <c r="L254" s="40" t="s">
        <v>2316</v>
      </c>
      <c r="M254" s="41"/>
      <c r="N254" s="39" t="s">
        <v>2212</v>
      </c>
      <c r="O254" s="46" t="b">
        <f aca="false">FALSE()</f>
        <v>0</v>
      </c>
      <c r="P254" s="20" t="n">
        <v>55.21</v>
      </c>
      <c r="Q254" s="45" t="n">
        <v>220.84</v>
      </c>
      <c r="R254" s="43" t="n">
        <v>45128</v>
      </c>
      <c r="S254" s="20" t="str">
        <v>Surf, Bleach</v>
      </c>
    </row>
    <row r="255" customFormat="false" ht="15.75" hidden="false" customHeight="false" outlineLevel="0" collapsed="false">
      <c r="A255" s="39" t="str">
        <v>689DHJ</v>
      </c>
      <c r="B255" s="44" t="str">
        <v>Fri,21-July-2023 ,06:15 PM</v>
      </c>
      <c r="C255" s="39" t="str">
        <v>Sunlight Yellow Clean and Rose Fresh 330g Rs99</v>
      </c>
      <c r="D255" s="39" t="str">
        <v>Sunlight</v>
      </c>
      <c r="E255" s="39" t="str">
        <v>Damaged Stock</v>
      </c>
      <c r="F255" s="45" t="n">
        <v>1</v>
      </c>
      <c r="G255" s="40" t="str">
        <v>[Code: 689DHJ] TA: found damaged during display.</v>
      </c>
      <c r="H255" s="39" t="str">
        <v>Taufeeq Akhtar </v>
      </c>
      <c r="I255" s="39" t="str">
        <f aca="false">IF(ISBLANK(H255),"", IF($H$2:$H1754 = "Gohar Rehan","Overnight",IF($H$2:$H1754 = "Taufeeq Akhtar ","Overnight",IF($H$2:$H1754 = "Zeeshan Ali Malik","Audit",IF($H$2:$H1754 = "Ali Raza ","Receiving",IF($H$2:$H1754 = "Ali Ahmad","Full-In"))))))</f>
        <v>Overnight</v>
      </c>
      <c r="J255" s="29"/>
      <c r="K255" s="50" t="s">
        <v>2248</v>
      </c>
      <c r="L255" s="40" t="s">
        <v>2316</v>
      </c>
      <c r="M255" s="41"/>
      <c r="N255" s="39" t="s">
        <v>2212</v>
      </c>
      <c r="O255" s="46" t="b">
        <f aca="false">FALSE()</f>
        <v>0</v>
      </c>
      <c r="P255" s="20" t="n">
        <v>90.42</v>
      </c>
      <c r="Q255" s="45" t="n">
        <v>90.42</v>
      </c>
      <c r="R255" s="43" t="n">
        <v>45128</v>
      </c>
      <c r="S255" s="20" t="str">
        <v>Surf, Bleach</v>
      </c>
    </row>
    <row r="256" customFormat="false" ht="15.75" hidden="false" customHeight="false" outlineLevel="0" collapsed="false">
      <c r="A256" s="39" t="str">
        <v>34566C</v>
      </c>
      <c r="B256" s="44" t="str">
        <v>Sat,22-July-2023 ,09:58 AM</v>
      </c>
      <c r="C256" s="39" t="str">
        <v>Al-Munawar Chaat Masala 500g</v>
      </c>
      <c r="D256" s="39" t="str">
        <v>Al-Munawar</v>
      </c>
      <c r="E256" s="39" t="str">
        <v>Damaged Stock</v>
      </c>
      <c r="F256" s="45" t="n">
        <v>13</v>
      </c>
      <c r="G256" s="40" t="str">
        <v>[Code: 34566C] 13 units have quality issue</v>
      </c>
      <c r="H256" s="39" t="str">
        <v>Ali Raza </v>
      </c>
      <c r="I256" s="39" t="str">
        <f aca="false">IF(ISBLANK(H256),"", IF($H$2:$H1755 = "Gohar Rehan","Overnight",IF($H$2:$H1755 = "Taufeeq Akhtar ","Overnight",IF($H$2:$H1755 = "Zeeshan Ali Malik","Audit",IF($H$2:$H1755 = "Ali Raza ","Receiving",IF($H$2:$H1755 = "Ali Ahmad","Full-In"))))))</f>
        <v>Receiving</v>
      </c>
      <c r="J256" s="29"/>
      <c r="K256" s="50" t="s">
        <v>2248</v>
      </c>
      <c r="L256" s="40" t="s">
        <v>2295</v>
      </c>
      <c r="M256" s="41"/>
      <c r="N256" s="39" t="s">
        <v>2212</v>
      </c>
      <c r="O256" s="46" t="b">
        <f aca="false">FALSE()</f>
        <v>0</v>
      </c>
      <c r="P256" s="20" t="n">
        <v>165</v>
      </c>
      <c r="Q256" s="45" t="n">
        <v>2145</v>
      </c>
      <c r="R256" s="43" t="n">
        <v>45129</v>
      </c>
      <c r="S256" s="20" t="str">
        <v>Spices</v>
      </c>
    </row>
    <row r="257" customFormat="false" ht="15.75" hidden="false" customHeight="false" outlineLevel="0" collapsed="false">
      <c r="A257" s="39" t="str">
        <v>2349DF</v>
      </c>
      <c r="B257" s="44" t="str">
        <v>Sat,22-July-2023 ,09:58 AM</v>
      </c>
      <c r="C257" s="39" t="str">
        <v>Al-Munawar Dar Cheeni 500g</v>
      </c>
      <c r="D257" s="39" t="str">
        <v>Al-Munawar</v>
      </c>
      <c r="E257" s="39" t="str">
        <v>Damaged Stock</v>
      </c>
      <c r="F257" s="45" t="n">
        <v>14</v>
      </c>
      <c r="G257" s="40" t="str">
        <v>[Code: 2349DF] 14 units have quality issue </v>
      </c>
      <c r="H257" s="39" t="str">
        <v>Ali Raza </v>
      </c>
      <c r="I257" s="39" t="str">
        <f aca="false">IF(ISBLANK(H257),"", IF($H$2:$H1756 = "Gohar Rehan","Overnight",IF($H$2:$H1756 = "Taufeeq Akhtar ","Overnight",IF($H$2:$H1756 = "Zeeshan Ali Malik","Audit",IF($H$2:$H1756 = "Ali Raza ","Receiving",IF($H$2:$H1756 = "Ali Ahmad","Full-In"))))))</f>
        <v>Receiving</v>
      </c>
      <c r="J257" s="29"/>
      <c r="K257" s="50" t="s">
        <v>2248</v>
      </c>
      <c r="L257" s="40" t="s">
        <v>2295</v>
      </c>
      <c r="M257" s="41"/>
      <c r="N257" s="39" t="s">
        <v>2212</v>
      </c>
      <c r="O257" s="46" t="b">
        <f aca="false">FALSE()</f>
        <v>0</v>
      </c>
      <c r="P257" s="20" t="n">
        <v>540</v>
      </c>
      <c r="Q257" s="45" t="n">
        <v>7560</v>
      </c>
      <c r="R257" s="43" t="n">
        <v>45129</v>
      </c>
      <c r="S257" s="20" t="str">
        <v>Spices</v>
      </c>
    </row>
    <row r="258" customFormat="false" ht="15.75" hidden="false" customHeight="false" outlineLevel="0" collapsed="false">
      <c r="A258" s="39" t="str">
        <v>2558AB</v>
      </c>
      <c r="B258" s="44" t="str">
        <v>Sat,22-July-2023 ,09:59 AM</v>
      </c>
      <c r="C258" s="39" t="str">
        <v>Al-Munawar Garam Masala Powder 1kg</v>
      </c>
      <c r="D258" s="39" t="str">
        <v>Al-Munawar</v>
      </c>
      <c r="E258" s="39" t="str">
        <v>Damaged Stock</v>
      </c>
      <c r="F258" s="45" t="n">
        <v>13</v>
      </c>
      <c r="G258" s="40" t="str">
        <v>[Code: 2558AB] 14 units found and have quality issue</v>
      </c>
      <c r="H258" s="39" t="str">
        <v>Ali Raza </v>
      </c>
      <c r="I258" s="39" t="str">
        <f aca="false">IF(ISBLANK(H258),"", IF($H$2:$H1757 = "Gohar Rehan","Overnight",IF($H$2:$H1757 = "Taufeeq Akhtar ","Overnight",IF($H$2:$H1757 = "Zeeshan Ali Malik","Audit",IF($H$2:$H1757 = "Ali Raza ","Receiving",IF($H$2:$H1757 = "Ali Ahmad","Full-In"))))))</f>
        <v>Receiving</v>
      </c>
      <c r="J258" s="29"/>
      <c r="K258" s="50" t="s">
        <v>2248</v>
      </c>
      <c r="L258" s="40" t="s">
        <v>2295</v>
      </c>
      <c r="M258" s="41"/>
      <c r="N258" s="39" t="s">
        <v>2212</v>
      </c>
      <c r="O258" s="46" t="b">
        <f aca="false">FALSE()</f>
        <v>0</v>
      </c>
      <c r="P258" s="20" t="n">
        <v>1510</v>
      </c>
      <c r="Q258" s="45" t="n">
        <v>19630</v>
      </c>
      <c r="R258" s="43" t="n">
        <v>45129</v>
      </c>
      <c r="S258" s="20" t="str">
        <v>Spices</v>
      </c>
    </row>
    <row r="259" customFormat="false" ht="15.75" hidden="false" customHeight="false" outlineLevel="0" collapsed="false">
      <c r="A259" s="39" t="str">
        <v>347889</v>
      </c>
      <c r="B259" s="44" t="str">
        <v>Sat,22-July-2023 ,08:40 PM</v>
      </c>
      <c r="C259" s="39" t="str">
        <v>Dove Intense Repair Shampoo 175ml Rs450</v>
      </c>
      <c r="D259" s="39" t="str">
        <v>Dove</v>
      </c>
      <c r="E259" s="39" t="str">
        <v>Damaged Stock</v>
      </c>
      <c r="F259" s="45" t="n">
        <v>1</v>
      </c>
      <c r="G259" s="40" t="str">
        <v>[Code: 347889] TA: box may day damage mila(Leak hua hay cap open haoay k wajah say).</v>
      </c>
      <c r="H259" s="39" t="str">
        <v>Taufeeq Akhtar </v>
      </c>
      <c r="I259" s="39" t="str">
        <f aca="false">IF(ISBLANK(H259),"", IF($H$2:$H1758 = "Gohar Rehan","Overnight",IF($H$2:$H1758 = "Taufeeq Akhtar ","Overnight",IF($H$2:$H1758 = "Zeeshan Ali Malik","Audit",IF($H$2:$H1758 = "Ali Raza ","Receiving",IF($H$2:$H1758 = "Ali Ahmad","Full-In"))))))</f>
        <v>Overnight</v>
      </c>
      <c r="J259" s="29"/>
      <c r="K259" s="50" t="s">
        <v>2248</v>
      </c>
      <c r="L259" s="40" t="s">
        <v>2316</v>
      </c>
      <c r="M259" s="41"/>
      <c r="N259" s="39" t="s">
        <v>2212</v>
      </c>
      <c r="O259" s="46" t="b">
        <f aca="false">FALSE()</f>
        <v>0</v>
      </c>
      <c r="P259" s="20" t="n">
        <v>395</v>
      </c>
      <c r="Q259" s="45" t="n">
        <v>395</v>
      </c>
      <c r="R259" s="43" t="n">
        <v>45129</v>
      </c>
      <c r="S259" s="20" t="str">
        <v>Shampoo</v>
      </c>
    </row>
    <row r="260" customFormat="false" ht="15.75" hidden="false" customHeight="false" outlineLevel="0" collapsed="false">
      <c r="A260" s="39" t="str">
        <v>ABDFKL</v>
      </c>
      <c r="B260" s="44" t="str">
        <v>Sun,23-July-2023 ,10:01 PM</v>
      </c>
      <c r="C260" s="39" t="str">
        <v>Special Wooden Phool Jharoo</v>
      </c>
      <c r="D260" s="39" t="str">
        <v>Jharoo</v>
      </c>
      <c r="E260" s="39" t="str">
        <v>Damaged Stock</v>
      </c>
      <c r="F260" s="45" t="n">
        <v>1</v>
      </c>
      <c r="G260" s="40" t="str">
        <v>[Code: ABDFKL] TA: found damaged during sorting</v>
      </c>
      <c r="H260" s="39" t="str">
        <v>Taufeeq Akhtar </v>
      </c>
      <c r="I260" s="39" t="str">
        <f aca="false">IF(ISBLANK(H260),"", IF($H$2:$H1759 = "Gohar Rehan","Overnight",IF($H$2:$H1759 = "Taufeeq Akhtar ","Overnight",IF($H$2:$H1759 = "Zeeshan Ali Malik","Audit",IF($H$2:$H1759 = "Ali Raza ","Receiving",IF($H$2:$H1759 = "Ali Ahmad","Full-In"))))))</f>
        <v>Overnight</v>
      </c>
      <c r="J260" s="29"/>
      <c r="K260" s="50" t="s">
        <v>2248</v>
      </c>
      <c r="L260" s="40" t="s">
        <v>2316</v>
      </c>
      <c r="M260" s="41"/>
      <c r="N260" s="39" t="s">
        <v>2250</v>
      </c>
      <c r="O260" s="46" t="b">
        <f aca="false">FALSE()</f>
        <v>0</v>
      </c>
      <c r="P260" s="20" t="n">
        <v>135</v>
      </c>
      <c r="Q260" s="45" t="n">
        <v>135</v>
      </c>
      <c r="R260" s="43" t="n">
        <v>45130</v>
      </c>
      <c r="S260" s="20" t="str">
        <v>Home Care</v>
      </c>
    </row>
    <row r="261" customFormat="false" ht="15.75" hidden="false" customHeight="false" outlineLevel="0" collapsed="false">
      <c r="A261" s="39" t="str">
        <v>335ACE</v>
      </c>
      <c r="B261" s="44" t="str">
        <v>Sun,23-July-2023 ,10:23 PM</v>
      </c>
      <c r="C261" s="39" t="str">
        <v>Bisconni Nice Biscuit 16pcs Rs15</v>
      </c>
      <c r="D261" s="39" t="str">
        <v>Bisconni</v>
      </c>
      <c r="E261" s="39" t="str">
        <v>Damaged Stock</v>
      </c>
      <c r="F261" s="45" t="n">
        <v>1</v>
      </c>
      <c r="G261" s="40" t="str">
        <v>[Code: 335ACE] TA:found damaged on floor. </v>
      </c>
      <c r="H261" s="39" t="str">
        <v>Taufeeq Akhtar </v>
      </c>
      <c r="I261" s="39" t="str">
        <f aca="false">IF(ISBLANK(H261),"", IF($H$2:$H1760 = "Gohar Rehan","Overnight",IF($H$2:$H1760 = "Taufeeq Akhtar ","Overnight",IF($H$2:$H1760 = "Zeeshan Ali Malik","Audit",IF($H$2:$H1760 = "Ali Raza ","Receiving",IF($H$2:$H1760 = "Ali Ahmad","Full-In"))))))</f>
        <v>Overnight</v>
      </c>
      <c r="J261" s="29"/>
      <c r="K261" s="50" t="s">
        <v>2248</v>
      </c>
      <c r="L261" s="40" t="s">
        <v>2314</v>
      </c>
      <c r="M261" s="41"/>
      <c r="N261" s="39" t="s">
        <v>2250</v>
      </c>
      <c r="O261" s="46" t="b">
        <f aca="false">FALSE()</f>
        <v>0</v>
      </c>
      <c r="P261" s="20" t="n">
        <v>211.5</v>
      </c>
      <c r="Q261" s="45" t="n">
        <v>211.5</v>
      </c>
      <c r="R261" s="43" t="n">
        <v>45130</v>
      </c>
      <c r="S261" s="20" t="str">
        <v>Biscuits, Wafers</v>
      </c>
    </row>
    <row r="262" customFormat="false" ht="15.75" hidden="false" customHeight="false" outlineLevel="0" collapsed="false">
      <c r="A262" s="39" t="str">
        <v>355668</v>
      </c>
      <c r="B262" s="44" t="str">
        <v>Mon,24-July-2023 ,01:06 PM</v>
      </c>
      <c r="C262" s="39" t="str">
        <v>National Mixed Pickle 400g</v>
      </c>
      <c r="D262" s="39" t="str">
        <v>National</v>
      </c>
      <c r="E262" s="39" t="str">
        <v>Damaged Stock</v>
      </c>
      <c r="F262" s="45" t="n">
        <v>1</v>
      </c>
      <c r="G262" s="40" t="str">
        <v>[Code: 355668] 01 unit found damaged</v>
      </c>
      <c r="H262" s="39" t="str">
        <v>Ali Raza </v>
      </c>
      <c r="I262" s="39" t="str">
        <f aca="false">IF(ISBLANK(H262),"", IF($H$2:$H1761 = "Gohar Rehan","Overnight",IF($H$2:$H1761 = "Taufeeq Akhtar ","Overnight",IF($H$2:$H1761 = "Zeeshan Ali Malik","Audit",IF($H$2:$H1761 = "Ali Raza ","Receiving",IF($H$2:$H1761 = "Ali Ahmad","Full-In"))))))</f>
        <v>Receiving</v>
      </c>
      <c r="J262" s="29"/>
      <c r="K262" s="50" t="s">
        <v>2248</v>
      </c>
      <c r="L262" s="40" t="s">
        <v>2295</v>
      </c>
      <c r="M262" s="41"/>
      <c r="N262" s="39" t="s">
        <v>2212</v>
      </c>
      <c r="O262" s="46" t="b">
        <f aca="false">FALSE()</f>
        <v>0</v>
      </c>
      <c r="P262" s="20" t="n">
        <v>263.33</v>
      </c>
      <c r="Q262" s="45" t="n">
        <v>263.33</v>
      </c>
      <c r="R262" s="43" t="n">
        <v>45131</v>
      </c>
      <c r="S262" s="20" t="str">
        <v>Sauces</v>
      </c>
    </row>
    <row r="263" customFormat="false" ht="15.75" hidden="false" customHeight="false" outlineLevel="0" collapsed="false">
      <c r="A263" s="39" t="str">
        <v>3ACCCE</v>
      </c>
      <c r="B263" s="44" t="str">
        <v>Mon,24-July-2023 ,08:44 PM</v>
      </c>
      <c r="C263" s="39" t="str">
        <v>Murree Brewery Bigg Apple Plastic x6 Crate 1L (One Liter)</v>
      </c>
      <c r="D263" s="39" t="str">
        <v>Murree Brewery</v>
      </c>
      <c r="E263" s="39" t="str">
        <v>Damaged Stock</v>
      </c>
      <c r="F263" s="45" t="n">
        <v>1</v>
      </c>
      <c r="G263" s="40" t="str">
        <v>[Code: 3ACCCE] TA: found loose during sorting.</v>
      </c>
      <c r="H263" s="39" t="str">
        <v>Taufeeq Akhtar </v>
      </c>
      <c r="I263" s="39" t="str">
        <f aca="false">IF(ISBLANK(H263),"", IF($H$2:$H1762 = "Gohar Rehan","Overnight",IF($H$2:$H1762 = "Taufeeq Akhtar ","Overnight",IF($H$2:$H1762 = "Zeeshan Ali Malik","Audit",IF($H$2:$H1762 = "Ali Raza ","Receiving",IF($H$2:$H1762 = "Ali Ahmad","Full-In"))))))</f>
        <v>Overnight</v>
      </c>
      <c r="J263" s="29"/>
      <c r="K263" s="50" t="s">
        <v>2248</v>
      </c>
      <c r="L263" s="40" t="s">
        <v>2295</v>
      </c>
      <c r="M263" s="41"/>
      <c r="N263" s="39" t="s">
        <v>2250</v>
      </c>
      <c r="O263" s="46" t="b">
        <f aca="false">FALSE()</f>
        <v>0</v>
      </c>
      <c r="P263" s="20" t="n">
        <v>456</v>
      </c>
      <c r="Q263" s="45" t="n">
        <v>456</v>
      </c>
      <c r="R263" s="43" t="n">
        <v>45131</v>
      </c>
      <c r="S263" s="20" t="str">
        <v>Beverages</v>
      </c>
    </row>
    <row r="264" customFormat="false" ht="15.75" hidden="false" customHeight="false" outlineLevel="0" collapsed="false">
      <c r="A264" s="39" t="str">
        <v>3577BD</v>
      </c>
      <c r="B264" s="44" t="str">
        <v>Wed,26-July-2023 ,11:06 PM</v>
      </c>
      <c r="C264" s="39" t="str">
        <v>Ultra Pure Amla Shampoo Herbal 500ml Rs450</v>
      </c>
      <c r="D264" s="39" t="str">
        <v>Ultra Pure</v>
      </c>
      <c r="E264" s="39" t="str">
        <v>Damaged Stock</v>
      </c>
      <c r="F264" s="45" t="n">
        <v>1</v>
      </c>
      <c r="G264" s="40" t="str">
        <v>[Code: 3577BD] TA:found damaged from box during display....</v>
      </c>
      <c r="H264" s="39" t="str">
        <v>Taufeeq Akhtar </v>
      </c>
      <c r="I264" s="39" t="str">
        <f aca="false">IF(ISBLANK(H264),"", IF($H$2:$H1763 = "Gohar Rehan","Overnight",IF($H$2:$H1763 = "Taufeeq Akhtar ","Overnight",IF($H$2:$H1763 = "Zeeshan Ali Malik","Audit",IF($H$2:$H1763 = "Ali Raza ","Receiving",IF($H$2:$H1763 = "Ali Ahmad","Full-In"))))))</f>
        <v>Overnight</v>
      </c>
      <c r="J264" s="29"/>
      <c r="K264" s="50" t="s">
        <v>2248</v>
      </c>
      <c r="L264" s="40" t="s">
        <v>2316</v>
      </c>
      <c r="M264" s="41" t="n">
        <v>1</v>
      </c>
      <c r="N264" s="39" t="s">
        <v>2212</v>
      </c>
      <c r="O264" s="46" t="b">
        <f aca="false">FALSE()</f>
        <v>0</v>
      </c>
      <c r="P264" s="20" t="n">
        <v>174</v>
      </c>
      <c r="Q264" s="45" t="n">
        <v>174</v>
      </c>
      <c r="R264" s="43" t="n">
        <v>45133</v>
      </c>
      <c r="S264" s="20" t="str">
        <v>Shampoo</v>
      </c>
    </row>
    <row r="265" customFormat="false" ht="15.75" hidden="false" customHeight="false" outlineLevel="0" collapsed="false">
      <c r="A265" s="39" t="str">
        <v>246FJK</v>
      </c>
      <c r="B265" s="44" t="str">
        <v>Wed,26-July-2023 ,11:30 PM</v>
      </c>
      <c r="C265" s="39" t="str">
        <v>National Mango Jam 200g</v>
      </c>
      <c r="D265" s="39" t="str">
        <v>National</v>
      </c>
      <c r="E265" s="39" t="str">
        <v>Damaged Stock</v>
      </c>
      <c r="F265" s="45" t="n">
        <v>1</v>
      </c>
      <c r="G265" s="40" t="str">
        <v>[Code: 246FJK] TA: found damaged from box during display.</v>
      </c>
      <c r="H265" s="39" t="str">
        <v>Taufeeq Akhtar </v>
      </c>
      <c r="I265" s="39" t="str">
        <f aca="false">IF(ISBLANK(H265),"", IF($H$2:$H1764 = "Gohar Rehan","Overnight",IF($H$2:$H1764 = "Taufeeq Akhtar ","Overnight",IF($H$2:$H1764 = "Zeeshan Ali Malik","Audit",IF($H$2:$H1764 = "Ali Raza ","Receiving",IF($H$2:$H1764 = "Ali Ahmad","Full-In"))))))</f>
        <v>Overnight</v>
      </c>
      <c r="J265" s="29"/>
      <c r="K265" s="50" t="s">
        <v>2248</v>
      </c>
      <c r="L265" s="40" t="s">
        <v>2295</v>
      </c>
      <c r="M265" s="41"/>
      <c r="N265" s="39" t="s">
        <v>2212</v>
      </c>
      <c r="O265" s="46" t="b">
        <f aca="false">FALSE()</f>
        <v>0</v>
      </c>
      <c r="P265" s="20" t="n">
        <v>145.83</v>
      </c>
      <c r="Q265" s="45" t="n">
        <v>145.83</v>
      </c>
      <c r="R265" s="43" t="n">
        <v>45133</v>
      </c>
      <c r="S265" s="20" t="str">
        <v>Grocery</v>
      </c>
    </row>
    <row r="266" customFormat="false" ht="15.75" hidden="false" customHeight="false" outlineLevel="0" collapsed="false">
      <c r="A266" s="39" t="str">
        <v>6ABDEG</v>
      </c>
      <c r="B266" s="44" t="str">
        <v>Sun,30-July-2023 ,10:49 PM</v>
      </c>
      <c r="C266" s="39" t="str">
        <v>Coca Cola plastic 1L</v>
      </c>
      <c r="D266" s="39" t="str">
        <v>Coca Cola</v>
      </c>
      <c r="E266" s="39" t="str">
        <v>Damaged Stock</v>
      </c>
      <c r="F266" s="45" t="n">
        <v>1</v>
      </c>
      <c r="G266" s="40" t="str">
        <v>[Code: 6ABDEG] TA: Found in loose condition during sorting.</v>
      </c>
      <c r="H266" s="39" t="str">
        <v>Taufeeq Akhtar </v>
      </c>
      <c r="I266" s="39" t="str">
        <f aca="false">IF(ISBLANK(H266),"", IF($H$2:$H1765 = "Gohar Rehan","Overnight",IF($H$2:$H1765 = "Taufeeq Akhtar ","Overnight",IF($H$2:$H1765 = "Zeeshan Ali Malik","Audit",IF($H$2:$H1765 = "Ali Raza ","Receiving",IF($H$2:$H1765 = "Ali Ahmad","Full-In"))))))</f>
        <v>Overnight</v>
      </c>
      <c r="J266" s="29"/>
      <c r="K266" s="50" t="s">
        <v>2248</v>
      </c>
      <c r="L266" s="40" t="s">
        <v>2317</v>
      </c>
      <c r="M266" s="41" t="n">
        <v>1</v>
      </c>
      <c r="N266" s="39" t="s">
        <v>2212</v>
      </c>
      <c r="O266" s="42" t="b">
        <f aca="false">TRUE()</f>
        <v>1</v>
      </c>
      <c r="P266" s="20" t="n">
        <v>708</v>
      </c>
      <c r="Q266" s="45" t="n">
        <v>708</v>
      </c>
      <c r="R266" s="43" t="n">
        <v>45137</v>
      </c>
      <c r="S266" s="20" t="str">
        <v>Beverages</v>
      </c>
    </row>
    <row r="267" customFormat="false" ht="15.75" hidden="false" customHeight="false" outlineLevel="0" collapsed="false">
      <c r="A267" s="39" t="str">
        <v>35789C</v>
      </c>
      <c r="B267" s="44" t="str">
        <v>Mon,31-July-2023 ,09:18 AM</v>
      </c>
      <c r="C267" s="39" t="str">
        <v>Guard Awami Basmati Rice 5kg Rs1490</v>
      </c>
      <c r="D267" s="39" t="str">
        <v>Guard Agri</v>
      </c>
      <c r="E267" s="39" t="str">
        <v>Damaged Stock</v>
      </c>
      <c r="F267" s="45" t="n">
        <v>2</v>
      </c>
      <c r="G267" s="40" t="str">
        <v>[Code: 35789C] 2 units found damaged due to susri</v>
      </c>
      <c r="H267" s="39" t="str">
        <v>Ali Raza </v>
      </c>
      <c r="I267" s="39" t="str">
        <f aca="false">IF(ISBLANK(H267),"", IF($H$2:$H1766 = "Gohar Rehan","Overnight",IF($H$2:$H1766 = "Taufeeq Akhtar ","Overnight",IF($H$2:$H1766 = "Zeeshan Ali Malik","Audit",IF($H$2:$H1766 = "Ali Raza ","Receiving",IF($H$2:$H1766 = "Ali Ahmad","Full-In"))))))</f>
        <v>Receiving</v>
      </c>
      <c r="J267" s="29"/>
      <c r="K267" s="50" t="s">
        <v>2248</v>
      </c>
      <c r="L267" s="40" t="s">
        <v>2317</v>
      </c>
      <c r="M267" s="41"/>
      <c r="N267" s="39" t="s">
        <v>2250</v>
      </c>
      <c r="O267" s="46" t="b">
        <f aca="false">FALSE()</f>
        <v>0</v>
      </c>
      <c r="P267" s="20" t="n">
        <v>1272.75</v>
      </c>
      <c r="Q267" s="45" t="n">
        <v>2545.5</v>
      </c>
      <c r="R267" s="43" t="n">
        <v>45138</v>
      </c>
      <c r="S267" s="20" t="str">
        <v>Rice</v>
      </c>
    </row>
    <row r="268" customFormat="false" ht="15.75" hidden="false" customHeight="false" outlineLevel="0" collapsed="false">
      <c r="A268" s="39" t="str">
        <v>3478AA</v>
      </c>
      <c r="B268" s="44" t="str">
        <v>Mon,31-July-2023 ,09:20 AM</v>
      </c>
      <c r="C268" s="39" t="str">
        <v>Arsh Aromatic Basmati Rice 5kg Rs2050</v>
      </c>
      <c r="D268" s="39" t="str">
        <v>Arsh</v>
      </c>
      <c r="E268" s="39" t="str">
        <v>Damaged Stock</v>
      </c>
      <c r="F268" s="45" t="n">
        <v>5</v>
      </c>
      <c r="G268" s="40" t="str">
        <v>[Code: 3478AA] 5 units found damaged due to susri</v>
      </c>
      <c r="H268" s="39" t="str">
        <v>Ali Raza </v>
      </c>
      <c r="I268" s="39" t="str">
        <f aca="false">IF(ISBLANK(H268),"", IF($H$2:$H1767 = "Gohar Rehan","Overnight",IF($H$2:$H1767 = "Taufeeq Akhtar ","Overnight",IF($H$2:$H1767 = "Zeeshan Ali Malik","Audit",IF($H$2:$H1767 = "Ali Raza ","Receiving",IF($H$2:$H1767 = "Ali Ahmad","Full-In"))))))</f>
        <v>Receiving</v>
      </c>
      <c r="J268" s="29"/>
      <c r="K268" s="50" t="s">
        <v>2248</v>
      </c>
      <c r="L268" s="40" t="s">
        <v>2317</v>
      </c>
      <c r="M268" s="41" t="n">
        <v>5</v>
      </c>
      <c r="N268" s="39" t="s">
        <v>2212</v>
      </c>
      <c r="O268" s="42" t="b">
        <f aca="false">TRUE()</f>
        <v>1</v>
      </c>
      <c r="P268" s="20" t="n">
        <v>1781.25</v>
      </c>
      <c r="Q268" s="45" t="n">
        <v>8906.25</v>
      </c>
      <c r="R268" s="43" t="n">
        <v>45138</v>
      </c>
      <c r="S268" s="20" t="str">
        <v>Rice</v>
      </c>
    </row>
    <row r="269" customFormat="false" ht="15.75" hidden="false" customHeight="false" outlineLevel="0" collapsed="false">
      <c r="A269" s="39" t="str">
        <v>2459AB</v>
      </c>
      <c r="B269" s="44" t="str">
        <v>Mon,31-July-2023 ,09:30 AM</v>
      </c>
      <c r="C269" s="39" t="str">
        <v>Guard Super Kernel Rice 5kg Rs2245</v>
      </c>
      <c r="D269" s="39" t="str">
        <v>Guard Agri</v>
      </c>
      <c r="E269" s="39" t="str">
        <v>Damaged Stock</v>
      </c>
      <c r="F269" s="45" t="n">
        <v>8</v>
      </c>
      <c r="G269" s="40" t="str">
        <v>[Code: 2459AB] 8 units found damaged due to susri</v>
      </c>
      <c r="H269" s="39" t="str">
        <v>Ali Raza </v>
      </c>
      <c r="I269" s="39" t="str">
        <f aca="false">IF(ISBLANK(H269),"", IF($H$2:$H1768 = "Gohar Rehan","Overnight",IF($H$2:$H1768 = "Taufeeq Akhtar ","Overnight",IF($H$2:$H1768 = "Zeeshan Ali Malik","Audit",IF($H$2:$H1768 = "Ali Raza ","Receiving",IF($H$2:$H1768 = "Ali Ahmad","Full-In"))))))</f>
        <v>Receiving</v>
      </c>
      <c r="J269" s="29"/>
      <c r="K269" s="50" t="s">
        <v>2248</v>
      </c>
      <c r="L269" s="40" t="s">
        <v>2317</v>
      </c>
      <c r="M269" s="41"/>
      <c r="N269" s="39" t="s">
        <v>2250</v>
      </c>
      <c r="O269" s="46" t="b">
        <f aca="false">FALSE()</f>
        <v>0</v>
      </c>
      <c r="P269" s="20" t="n">
        <v>1903.5</v>
      </c>
      <c r="Q269" s="45" t="n">
        <v>15228</v>
      </c>
      <c r="R269" s="43" t="n">
        <v>45138</v>
      </c>
      <c r="S269" s="20" t="str">
        <v>Rice</v>
      </c>
    </row>
    <row r="270" customFormat="false" ht="15.75" hidden="false" customHeight="false" outlineLevel="0" collapsed="false">
      <c r="A270" s="39" t="str">
        <v>223556</v>
      </c>
      <c r="B270" s="44" t="str">
        <v>Mon,31-July-2023 ,09:30 AM</v>
      </c>
      <c r="C270" s="39" t="str">
        <v>Guard Tukra Basmati Rice 1kg Rs290</v>
      </c>
      <c r="D270" s="39" t="str">
        <v>Guard Agri</v>
      </c>
      <c r="E270" s="39" t="str">
        <v>Damaged Stock</v>
      </c>
      <c r="F270" s="45" t="n">
        <v>20</v>
      </c>
      <c r="G270" s="40" t="str">
        <v>[Code: 223556] 20 units found damaged due to susri</v>
      </c>
      <c r="H270" s="39" t="str">
        <v>Ali Raza </v>
      </c>
      <c r="I270" s="39" t="str">
        <f aca="false">IF(ISBLANK(H270),"", IF($H$2:$H1769 = "Gohar Rehan","Overnight",IF($H$2:$H1769 = "Taufeeq Akhtar ","Overnight",IF($H$2:$H1769 = "Zeeshan Ali Malik","Audit",IF($H$2:$H1769 = "Ali Raza ","Receiving",IF($H$2:$H1769 = "Ali Ahmad","Full-In"))))))</f>
        <v>Receiving</v>
      </c>
      <c r="J270" s="29"/>
      <c r="K270" s="50" t="s">
        <v>2248</v>
      </c>
      <c r="L270" s="40" t="s">
        <v>2317</v>
      </c>
      <c r="M270" s="41"/>
      <c r="N270" s="39" t="s">
        <v>2250</v>
      </c>
      <c r="O270" s="46" t="b">
        <f aca="false">FALSE()</f>
        <v>0</v>
      </c>
      <c r="P270" s="20" t="n">
        <v>247.74</v>
      </c>
      <c r="Q270" s="45" t="n">
        <v>4954.8</v>
      </c>
      <c r="R270" s="43" t="n">
        <v>45138</v>
      </c>
      <c r="S270" s="20" t="str">
        <v>Rice</v>
      </c>
    </row>
    <row r="271" customFormat="false" ht="15.75" hidden="false" customHeight="false" outlineLevel="0" collapsed="false">
      <c r="A271" s="39" t="str">
        <v>3BDEGJ</v>
      </c>
      <c r="B271" s="44" t="str">
        <v>Mon,31-July-2023 ,10:16 PM</v>
      </c>
      <c r="C271" s="39" t="str">
        <v>Sting Berry Blast plastic 500ml (Half Liter)</v>
      </c>
      <c r="D271" s="39" t="str">
        <v>Sting</v>
      </c>
      <c r="E271" s="39" t="str">
        <v>Damaged Stock</v>
      </c>
      <c r="F271" s="45" t="n">
        <v>1</v>
      </c>
      <c r="G271" s="40" t="str">
        <v>[Code: 3BDEGJ] TA:found in loose condition during sorting.</v>
      </c>
      <c r="H271" s="39" t="str">
        <v>Taufeeq Akhtar </v>
      </c>
      <c r="I271" s="39" t="str">
        <f aca="false">IF(ISBLANK(H271),"", IF($H$2:$H1770 = "Gohar Rehan","Overnight",IF($H$2:$H1770 = "Taufeeq Akhtar ","Overnight",IF($H$2:$H1770 = "Zeeshan Ali Malik","Audit",IF($H$2:$H1770 = "Ali Raza ","Receiving",IF($H$2:$H1770 = "Ali Ahmad","Full-In"))))))</f>
        <v>Overnight</v>
      </c>
      <c r="J271" s="29"/>
      <c r="K271" s="50" t="s">
        <v>2248</v>
      </c>
      <c r="L271" s="40" t="s">
        <v>2317</v>
      </c>
      <c r="M271" s="41"/>
      <c r="N271" s="39" t="s">
        <v>2250</v>
      </c>
      <c r="O271" s="46" t="b">
        <f aca="false">FALSE()</f>
        <v>0</v>
      </c>
      <c r="P271" s="20" t="n">
        <v>920</v>
      </c>
      <c r="Q271" s="45" t="n">
        <v>920</v>
      </c>
      <c r="R271" s="43" t="n">
        <v>45138</v>
      </c>
      <c r="S271" s="20" t="str">
        <v>Beverages</v>
      </c>
    </row>
    <row r="272" customFormat="false" ht="15.75" hidden="false" customHeight="false" outlineLevel="0" collapsed="false">
      <c r="A272" s="39" t="str">
        <v>22558A</v>
      </c>
      <c r="B272" s="44" t="str">
        <v>Mon,31-July-2023 ,10:18 PM</v>
      </c>
      <c r="C272" s="39" t="str">
        <v>Sprite plastic 1L</v>
      </c>
      <c r="D272" s="39" t="str">
        <v>Sprite</v>
      </c>
      <c r="E272" s="39" t="str">
        <v>Damaged Stock</v>
      </c>
      <c r="F272" s="45" t="n">
        <v>1</v>
      </c>
      <c r="G272" s="40" t="str">
        <v>[Code: 22558A] TA: found in loose condition during sorting.</v>
      </c>
      <c r="H272" s="39" t="str">
        <v>Taufeeq Akhtar </v>
      </c>
      <c r="I272" s="39" t="str">
        <f aca="false">IF(ISBLANK(H272),"", IF($H$2:$H1771 = "Gohar Rehan","Overnight",IF($H$2:$H1771 = "Taufeeq Akhtar ","Overnight",IF($H$2:$H1771 = "Zeeshan Ali Malik","Audit",IF($H$2:$H1771 = "Ali Raza ","Receiving",IF($H$2:$H1771 = "Ali Ahmad","Full-In"))))))</f>
        <v>Overnight</v>
      </c>
      <c r="J272" s="29"/>
      <c r="K272" s="50" t="s">
        <v>2248</v>
      </c>
      <c r="L272" s="40" t="s">
        <v>2317</v>
      </c>
      <c r="M272" s="41" t="n">
        <v>1</v>
      </c>
      <c r="N272" s="39" t="s">
        <v>2212</v>
      </c>
      <c r="O272" s="42" t="b">
        <f aca="false">TRUE()</f>
        <v>1</v>
      </c>
      <c r="P272" s="20" t="n">
        <v>708</v>
      </c>
      <c r="Q272" s="45" t="n">
        <v>708</v>
      </c>
      <c r="R272" s="43" t="n">
        <v>45138</v>
      </c>
      <c r="S272" s="20" t="str">
        <v>Beverages</v>
      </c>
    </row>
    <row r="273" customFormat="false" ht="15.75" hidden="false" customHeight="false" outlineLevel="0" collapsed="false">
      <c r="A273" s="39" t="str">
        <v>6789AD</v>
      </c>
      <c r="B273" s="44" t="str">
        <v>Tue,01-August-2023 ,11:07 PM</v>
      </c>
      <c r="C273" s="39" t="str">
        <v>Pepsi plastic 1L (Other city stock)</v>
      </c>
      <c r="D273" s="39" t="str">
        <v>Pepsi</v>
      </c>
      <c r="E273" s="39" t="str">
        <v>Damaged Stock</v>
      </c>
      <c r="F273" s="45" t="n">
        <v>3</v>
      </c>
      <c r="G273" s="40" t="str">
        <v>[Code: 6789AD] TA: found in loose condition and some empty bottel.</v>
      </c>
      <c r="H273" s="39" t="str">
        <v>Taufeeq Akhtar </v>
      </c>
      <c r="I273" s="39" t="str">
        <f aca="false">IF(ISBLANK(H273),"", IF($H$2:$H1772 = "Gohar Rehan","Overnight",IF($H$2:$H1772 = "Taufeeq Akhtar ","Overnight",IF($H$2:$H1772 = "Zeeshan Ali Malik","Audit",IF($H$2:$H1772 = "Ali Raza ","Receiving",IF($H$2:$H1772 = "Ali Ahmad","Full-In"))))))</f>
        <v>Overnight</v>
      </c>
      <c r="J273" s="29"/>
      <c r="K273" s="50" t="s">
        <v>2248</v>
      </c>
      <c r="L273" s="40" t="s">
        <v>2317</v>
      </c>
      <c r="M273" s="41"/>
      <c r="N273" s="39" t="s">
        <v>2250</v>
      </c>
      <c r="O273" s="46" t="b">
        <f aca="false">FALSE()</f>
        <v>0</v>
      </c>
      <c r="P273" s="20" t="n">
        <v>576</v>
      </c>
      <c r="Q273" s="45" t="n">
        <v>1728</v>
      </c>
      <c r="R273" s="43" t="n">
        <v>45139</v>
      </c>
      <c r="S273" s="20" t="str">
        <v>Beverages</v>
      </c>
    </row>
    <row r="274" customFormat="false" ht="15.75" hidden="false" customHeight="false" outlineLevel="0" collapsed="false">
      <c r="A274" s="39" t="str">
        <v>79BEHH</v>
      </c>
      <c r="B274" s="44" t="str">
        <v>Tue,01-August-2023 ,11:14 PM</v>
      </c>
      <c r="C274" s="39" t="str">
        <v>Pepsi plastic 1.5L (Other city stock)</v>
      </c>
      <c r="D274" s="39" t="str">
        <v>Pepsi</v>
      </c>
      <c r="E274" s="39" t="str">
        <v>Damaged Stock</v>
      </c>
      <c r="F274" s="45" t="n">
        <v>1</v>
      </c>
      <c r="G274" s="40" t="str">
        <v>[Code: 79BEHH] TA: Found in loose condition during sorting.</v>
      </c>
      <c r="H274" s="39" t="str">
        <v>Taufeeq Akhtar </v>
      </c>
      <c r="I274" s="39" t="str">
        <f aca="false">IF(ISBLANK(H274),"", IF($H$2:$H1773 = "Gohar Rehan","Overnight",IF($H$2:$H1773 = "Taufeeq Akhtar ","Overnight",IF($H$2:$H1773 = "Zeeshan Ali Malik","Audit",IF($H$2:$H1773 = "Ali Raza ","Receiving",IF($H$2:$H1773 = "Ali Ahmad","Full-In"))))))</f>
        <v>Overnight</v>
      </c>
      <c r="J274" s="29"/>
      <c r="K274" s="50" t="s">
        <v>2248</v>
      </c>
      <c r="L274" s="40" t="s">
        <v>2317</v>
      </c>
      <c r="M274" s="41"/>
      <c r="N274" s="39" t="s">
        <v>2250</v>
      </c>
      <c r="O274" s="46" t="b">
        <f aca="false">FALSE()</f>
        <v>0</v>
      </c>
      <c r="P274" s="20" t="n">
        <v>726</v>
      </c>
      <c r="Q274" s="45" t="n">
        <v>726</v>
      </c>
      <c r="R274" s="43" t="n">
        <v>45139</v>
      </c>
      <c r="S274" s="20" t="str">
        <v>Beverages</v>
      </c>
    </row>
    <row r="275" customFormat="false" ht="15.75" hidden="false" customHeight="false" outlineLevel="0" collapsed="false">
      <c r="A275" s="39" t="n">
        <v>0</v>
      </c>
      <c r="B275" s="44" t="str">
        <v>Fri,04-August-2023 ,03:44 PM</v>
      </c>
      <c r="C275" s="39" t="str">
        <v>Hilal Eclairs Candy 50pcs Rs2.5</v>
      </c>
      <c r="D275" s="39" t="str">
        <v>Hilal</v>
      </c>
      <c r="E275" s="39" t="str">
        <v>Damaged Stock</v>
      </c>
      <c r="F275" s="45" t="n">
        <v>120</v>
      </c>
      <c r="G275" s="40" t="str">
        <v>AR: temp remove</v>
      </c>
      <c r="H275" s="39" t="str">
        <v>Aimen Rafique</v>
      </c>
      <c r="I275" s="49" t="b">
        <f aca="false">IF(ISBLANK(H275),"", IF($H$2:$H1774 = "Gohar Rehan","Overnight",IF($H$2:$H1774 = "Taufeeq Akhtar ","Overnight",IF($H$2:$H1774 = "Zeeshan Ali Malik","Audit",IF($H$2:$H1774 = "Ali Raza ","Receiving",IF($H$2:$H1774 = "Ali Ahmad","Full-In"))))))</f>
        <v>0</v>
      </c>
      <c r="J275" s="29"/>
      <c r="K275" s="40"/>
      <c r="L275" s="40"/>
      <c r="M275" s="41"/>
      <c r="N275" s="39" t="s">
        <v>2212</v>
      </c>
      <c r="O275" s="42" t="b">
        <f aca="false">TRUE()</f>
        <v>1</v>
      </c>
      <c r="P275" s="20" t="n">
        <v>199.69</v>
      </c>
      <c r="Q275" s="45" t="n">
        <v>23962.8</v>
      </c>
      <c r="R275" s="43" t="n">
        <v>45142</v>
      </c>
      <c r="S275" s="20" t="str">
        <v>Confectionary</v>
      </c>
    </row>
    <row r="276" customFormat="false" ht="15.75" hidden="false" customHeight="false" outlineLevel="0" collapsed="false">
      <c r="A276" s="39" t="str">
        <v>49BBHJ</v>
      </c>
      <c r="B276" s="44" t="str">
        <v>Sat,05-August-2023 ,08:43 PM</v>
      </c>
      <c r="C276" s="39" t="str">
        <v>Seasly Water 1.5L</v>
      </c>
      <c r="D276" s="39" t="str">
        <v>Seasly Water</v>
      </c>
      <c r="E276" s="39" t="str">
        <v>Damaged Stock</v>
      </c>
      <c r="F276" s="45" t="n">
        <v>1</v>
      </c>
      <c r="G276" s="40" t="str">
        <v>[Code: 49BBHJ] TA: loose bottels found during sorting.</v>
      </c>
      <c r="H276" s="39" t="str">
        <v>Taufeeq Akhtar </v>
      </c>
      <c r="I276" s="39" t="str">
        <f aca="false">IF(ISBLANK(H276),"", IF($H$2:$H1775 = "Gohar Rehan","Overnight",IF($H$2:$H1775 = "Taufeeq Akhtar ","Overnight",IF($H$2:$H1775 = "Zeeshan Ali Malik","Audit",IF($H$2:$H1775 = "Ali Raza ","Receiving",IF($H$2:$H1775 = "Ali Ahmad","Full-In"))))))</f>
        <v>Overnight</v>
      </c>
      <c r="J276" s="29"/>
      <c r="K276" s="50" t="s">
        <v>2248</v>
      </c>
      <c r="L276" s="40" t="s">
        <v>2317</v>
      </c>
      <c r="M276" s="41"/>
      <c r="N276" s="39" t="s">
        <v>2250</v>
      </c>
      <c r="O276" s="46" t="b">
        <f aca="false">FALSE()</f>
        <v>0</v>
      </c>
      <c r="P276" s="20" t="n">
        <v>175</v>
      </c>
      <c r="Q276" s="45" t="n">
        <v>175</v>
      </c>
      <c r="R276" s="43" t="n">
        <v>45143</v>
      </c>
      <c r="S276" s="20" t="str">
        <v>Beverages</v>
      </c>
    </row>
    <row r="277" customFormat="false" ht="15.75" hidden="false" customHeight="false" outlineLevel="0" collapsed="false">
      <c r="A277" s="39" t="str">
        <v>446789</v>
      </c>
      <c r="B277" s="44" t="str">
        <v>Sun,06-August-2023 ,07:45 PM</v>
      </c>
      <c r="C277" s="39" t="str">
        <v>Giggly Opus Square Caramel Chocolate 30pcs Box Rs5</v>
      </c>
      <c r="D277" s="39" t="str">
        <v>Giggly</v>
      </c>
      <c r="E277" s="39" t="str">
        <v>Damaged Stock</v>
      </c>
      <c r="F277" s="45" t="n">
        <v>1</v>
      </c>
      <c r="G277" s="40" t="str">
        <v>[Code: 446789] TA: found damaged from corton during display and few pieces are missing from the box.</v>
      </c>
      <c r="H277" s="39" t="str">
        <v>Taufeeq Akhtar </v>
      </c>
      <c r="I277" s="39" t="str">
        <f aca="false">IF(ISBLANK(H277),"", IF($H$2:$H1776 = "Gohar Rehan","Overnight",IF($H$2:$H1776 = "Taufeeq Akhtar ","Overnight",IF($H$2:$H1776 = "Zeeshan Ali Malik","Audit",IF($H$2:$H1776 = "Ali Raza ","Receiving",IF($H$2:$H1776 = "Ali Ahmad","Full-In"))))))</f>
        <v>Overnight</v>
      </c>
      <c r="J277" s="29"/>
      <c r="K277" s="50" t="s">
        <v>2248</v>
      </c>
      <c r="L277" s="40" t="s">
        <v>2318</v>
      </c>
      <c r="M277" s="41"/>
      <c r="N277" s="39" t="s">
        <v>2250</v>
      </c>
      <c r="O277" s="46" t="b">
        <f aca="false">FALSE()</f>
        <v>0</v>
      </c>
      <c r="P277" s="20" t="n">
        <v>122.67</v>
      </c>
      <c r="Q277" s="45" t="n">
        <v>122.67</v>
      </c>
      <c r="R277" s="43" t="n">
        <v>45144</v>
      </c>
      <c r="S277" s="20" t="str">
        <v>Confectionary</v>
      </c>
    </row>
    <row r="278" customFormat="false" ht="15.75" hidden="false" customHeight="false" outlineLevel="0" collapsed="false">
      <c r="A278" s="39" t="str">
        <v>33679A</v>
      </c>
      <c r="B278" s="44" t="str">
        <v>Sun,06-August-2023 ,10:30 PM</v>
      </c>
      <c r="C278" s="39" t="str">
        <v>Aquafina Mineral Water 1.5L </v>
      </c>
      <c r="D278" s="39" t="str">
        <v>Aquafina</v>
      </c>
      <c r="E278" s="39" t="str">
        <v>Damaged Stock</v>
      </c>
      <c r="F278" s="45" t="n">
        <v>1</v>
      </c>
      <c r="G278" s="40" t="str">
        <v>[Code: 33679A] TA: loose bottels found during sorting.</v>
      </c>
      <c r="H278" s="39" t="str">
        <v>Taufeeq Akhtar </v>
      </c>
      <c r="I278" s="39" t="str">
        <f aca="false">IF(ISBLANK(H278),"", IF($H$2:$H1777 = "Gohar Rehan","Overnight",IF($H$2:$H1777 = "Taufeeq Akhtar ","Overnight",IF($H$2:$H1777 = "Zeeshan Ali Malik","Audit",IF($H$2:$H1777 = "Ali Raza ","Receiving",IF($H$2:$H1777 = "Ali Ahmad","Full-In"))))))</f>
        <v>Overnight</v>
      </c>
      <c r="J278" s="29"/>
      <c r="K278" s="50" t="s">
        <v>2248</v>
      </c>
      <c r="L278" s="40" t="s">
        <v>2317</v>
      </c>
      <c r="M278" s="41"/>
      <c r="N278" s="39" t="s">
        <v>2250</v>
      </c>
      <c r="O278" s="46" t="b">
        <f aca="false">FALSE()</f>
        <v>0</v>
      </c>
      <c r="P278" s="20" t="n">
        <v>425</v>
      </c>
      <c r="Q278" s="45" t="n">
        <v>425</v>
      </c>
      <c r="R278" s="43" t="n">
        <v>45144</v>
      </c>
      <c r="S278" s="20" t="str">
        <v>Beverages</v>
      </c>
    </row>
    <row r="279" customFormat="false" ht="15.75" hidden="false" customHeight="false" outlineLevel="0" collapsed="false">
      <c r="A279" s="39" t="str">
        <v>366BBC</v>
      </c>
      <c r="B279" s="44" t="str">
        <v>Mon,07-August-2023 ,09:47 PM</v>
      </c>
      <c r="C279" s="39" t="str">
        <v>Surf Excel x6 bundle 20g Rs 10</v>
      </c>
      <c r="D279" s="39" t="str">
        <v>Surf Excel</v>
      </c>
      <c r="E279" s="39" t="str">
        <v>Damaged Stock</v>
      </c>
      <c r="F279" s="45" t="n">
        <v>2</v>
      </c>
      <c r="G279" s="40" t="str">
        <v>[Code: 366BBC] TA; Display k doran damaged hogye hain.</v>
      </c>
      <c r="H279" s="39" t="str">
        <v>Taufeeq Akhtar </v>
      </c>
      <c r="I279" s="39" t="str">
        <f aca="false">IF(ISBLANK(H279),"", IF($H$2:$H1778 = "Gohar Rehan","Overnight",IF($H$2:$H1778 = "Taufeeq Akhtar ","Overnight",IF($H$2:$H1778 = "Zeeshan Ali Malik","Audit",IF($H$2:$H1778 = "Ali Raza ","Receiving",IF($H$2:$H1778 = "Ali Ahmad","Full-In"))))))</f>
        <v>Overnight</v>
      </c>
      <c r="J279" s="29"/>
      <c r="K279" s="50" t="s">
        <v>2248</v>
      </c>
      <c r="L279" s="40" t="s">
        <v>2319</v>
      </c>
      <c r="M279" s="41"/>
      <c r="N279" s="39" t="s">
        <v>2250</v>
      </c>
      <c r="O279" s="46" t="b">
        <f aca="false">FALSE()</f>
        <v>0</v>
      </c>
      <c r="P279" s="20" t="n">
        <v>55.21</v>
      </c>
      <c r="Q279" s="45" t="n">
        <v>110.42</v>
      </c>
      <c r="R279" s="43" t="n">
        <v>45145</v>
      </c>
      <c r="S279" s="20" t="str">
        <v>Surf, Bleach</v>
      </c>
    </row>
    <row r="280" customFormat="false" ht="15.75" hidden="false" customHeight="false" outlineLevel="0" collapsed="false">
      <c r="A280" s="39" t="str">
        <v>23677A</v>
      </c>
      <c r="B280" s="44" t="str">
        <v>Mon,07-August-2023 ,09:49 PM</v>
      </c>
      <c r="C280" s="39" t="str">
        <v>Sunlight Green Clean and Fresh 330g Rs99</v>
      </c>
      <c r="D280" s="39" t="str">
        <v>Sunlight</v>
      </c>
      <c r="E280" s="39" t="str">
        <v>Damaged Stock</v>
      </c>
      <c r="F280" s="45" t="n">
        <v>1</v>
      </c>
      <c r="G280" s="40" t="str">
        <v>[Code: 23677A] TA: bag may say damaged mila display kay doran.</v>
      </c>
      <c r="H280" s="39" t="str">
        <v>Taufeeq Akhtar </v>
      </c>
      <c r="I280" s="39" t="str">
        <f aca="false">IF(ISBLANK(H280),"", IF($H$2:$H1779 = "Gohar Rehan","Overnight",IF($H$2:$H1779 = "Taufeeq Akhtar ","Overnight",IF($H$2:$H1779 = "Zeeshan Ali Malik","Audit",IF($H$2:$H1779 = "Ali Raza ","Receiving",IF($H$2:$H1779 = "Ali Ahmad","Full-In"))))))</f>
        <v>Overnight</v>
      </c>
      <c r="J280" s="29"/>
      <c r="K280" s="50" t="s">
        <v>2248</v>
      </c>
      <c r="L280" s="40" t="s">
        <v>2319</v>
      </c>
      <c r="M280" s="41"/>
      <c r="N280" s="39" t="s">
        <v>2250</v>
      </c>
      <c r="O280" s="46" t="b">
        <f aca="false">FALSE()</f>
        <v>0</v>
      </c>
      <c r="P280" s="20" t="n">
        <v>91.5</v>
      </c>
      <c r="Q280" s="45" t="n">
        <v>91.5</v>
      </c>
      <c r="R280" s="43" t="n">
        <v>45145</v>
      </c>
      <c r="S280" s="20" t="str">
        <v>Surf, Bleach</v>
      </c>
    </row>
    <row r="281" customFormat="false" ht="15.75" hidden="false" customHeight="false" outlineLevel="0" collapsed="false">
      <c r="A281" s="39" t="str">
        <v>99CFGK</v>
      </c>
      <c r="B281" s="44" t="str">
        <v>Mon,07-August-2023 ,09:50 PM</v>
      </c>
      <c r="C281" s="39" t="str">
        <v>Shangrila Chilli Garlic Sauce x6 Bundle 225g</v>
      </c>
      <c r="D281" s="39" t="str">
        <v>Shangrila</v>
      </c>
      <c r="E281" s="39" t="str">
        <v>Damaged Stock</v>
      </c>
      <c r="F281" s="45" t="n">
        <v>1</v>
      </c>
      <c r="G281" s="40" t="str">
        <v>[Code: 99CFGK] TA: box may say aik piece damaged mila display kay doran.</v>
      </c>
      <c r="H281" s="39" t="str">
        <v>Taufeeq Akhtar </v>
      </c>
      <c r="I281" s="39" t="str">
        <f aca="false">IF(ISBLANK(H281),"", IF($H$2:$H1780 = "Gohar Rehan","Overnight",IF($H$2:$H1780 = "Taufeeq Akhtar ","Overnight",IF($H$2:$H1780 = "Zeeshan Ali Malik","Audit",IF($H$2:$H1780 = "Ali Raza ","Receiving",IF($H$2:$H1780 = "Ali Ahmad","Full-In"))))))</f>
        <v>Overnight</v>
      </c>
      <c r="J281" s="29"/>
      <c r="K281" s="50" t="s">
        <v>2248</v>
      </c>
      <c r="L281" s="40" t="s">
        <v>2317</v>
      </c>
      <c r="M281" s="45" t="n">
        <v>1</v>
      </c>
      <c r="N281" s="39" t="s">
        <v>2212</v>
      </c>
      <c r="O281" s="42" t="b">
        <f aca="false">TRUE()</f>
        <v>1</v>
      </c>
      <c r="P281" s="20" t="n">
        <v>614.12</v>
      </c>
      <c r="Q281" s="45" t="n">
        <v>614.12</v>
      </c>
      <c r="R281" s="43" t="n">
        <v>45145</v>
      </c>
      <c r="S281" s="20" t="str">
        <v>Sauces</v>
      </c>
    </row>
    <row r="282" customFormat="false" ht="15.75" hidden="false" customHeight="false" outlineLevel="0" collapsed="false">
      <c r="A282" s="39" t="str">
        <v>27799A</v>
      </c>
      <c r="B282" s="44" t="str">
        <v>Wed,09-August-2023 ,10:43 PM</v>
      </c>
      <c r="C282" s="39" t="str">
        <v>Dummer Super Fine Atta 15kg</v>
      </c>
      <c r="D282" s="39" t="str">
        <v>Dummer Atta</v>
      </c>
      <c r="E282" s="39" t="str">
        <v>Damaged Stock</v>
      </c>
      <c r="F282" s="45" t="n">
        <v>1</v>
      </c>
      <c r="G282" s="40" t="str">
        <v>[Code: 27799A] TA: Quality sahi nahi hay (fangus lagi hay) </v>
      </c>
      <c r="H282" s="39" t="str">
        <v>Taufeeq Akhtar </v>
      </c>
      <c r="I282" s="39" t="str">
        <f aca="false">IF(ISBLANK(H282),"", IF($H$2:$H1781 = "Gohar Rehan","Overnight",IF($H$2:$H1781 = "Taufeeq Akhtar ","Overnight",IF($H$2:$H1781 = "Zeeshan Ali Malik","Audit",IF($H$2:$H1781 = "Ali Raza ","Receiving",IF($H$2:$H1781 = "Ali Ahmad","Full-In"))))))</f>
        <v>Overnight</v>
      </c>
      <c r="J282" s="29"/>
      <c r="K282" s="50" t="s">
        <v>2248</v>
      </c>
      <c r="L282" s="40" t="s">
        <v>2317</v>
      </c>
      <c r="M282" s="41"/>
      <c r="N282" s="39" t="s">
        <v>2212</v>
      </c>
      <c r="O282" s="46" t="b">
        <f aca="false">FALSE()</f>
        <v>0</v>
      </c>
      <c r="P282" s="20" t="n">
        <v>2100</v>
      </c>
      <c r="Q282" s="45" t="n">
        <v>2100</v>
      </c>
      <c r="R282" s="43" t="n">
        <v>45147</v>
      </c>
      <c r="S282" s="20" t="str">
        <v>Flour</v>
      </c>
    </row>
    <row r="283" customFormat="false" ht="15.75" hidden="false" customHeight="false" outlineLevel="0" collapsed="false">
      <c r="A283" s="39" t="str">
        <v>233678</v>
      </c>
      <c r="B283" s="44" t="str">
        <v>Thu,10-August-2023 ,11:33 AM</v>
      </c>
      <c r="C283" s="39" t="str">
        <v>Al-Munawar Besan 20kg</v>
      </c>
      <c r="D283" s="39" t="str">
        <v>Al-Munawar</v>
      </c>
      <c r="E283" s="39" t="str">
        <v>Damaged Stock</v>
      </c>
      <c r="F283" s="45" t="n">
        <v>3</v>
      </c>
      <c r="G283" s="40" t="str">
        <v>[Code: 233678] 03 units having quality issue.</v>
      </c>
      <c r="H283" s="39" t="str">
        <v>Ali Raza </v>
      </c>
      <c r="I283" s="39" t="str">
        <f aca="false">IF(ISBLANK(H283),"", IF($H$2:$H1782 = "Gohar Rehan","Overnight",IF($H$2:$H1782 = "Taufeeq Akhtar ","Overnight",IF($H$2:$H1782 = "Zeeshan Ali Malik","Audit",IF($H$2:$H1782 = "Ali Raza ","Receiving",IF($H$2:$H1782 = "Ali Ahmad","Full-In"))))))</f>
        <v>Receiving</v>
      </c>
      <c r="J283" s="29"/>
      <c r="K283" s="50" t="s">
        <v>2248</v>
      </c>
      <c r="L283" s="40" t="s">
        <v>2317</v>
      </c>
      <c r="M283" s="41"/>
      <c r="N283" s="39" t="s">
        <v>2212</v>
      </c>
      <c r="O283" s="46" t="b">
        <f aca="false">FALSE()</f>
        <v>0</v>
      </c>
      <c r="P283" s="20" t="n">
        <v>4470</v>
      </c>
      <c r="Q283" s="45" t="n">
        <v>13410</v>
      </c>
      <c r="R283" s="43" t="n">
        <v>45148</v>
      </c>
      <c r="S283" s="20" t="str">
        <v>Pulses</v>
      </c>
    </row>
    <row r="284" customFormat="false" ht="15.75" hidden="false" customHeight="false" outlineLevel="0" collapsed="false">
      <c r="A284" s="39" t="str">
        <v>25669A</v>
      </c>
      <c r="B284" s="44" t="str">
        <v>Fri,11-August-2023 ,03:48 PM</v>
      </c>
      <c r="C284" s="39" t="str">
        <v>Pepsi plastic 1.5L</v>
      </c>
      <c r="D284" s="39" t="str">
        <v>Pepsi</v>
      </c>
      <c r="E284" s="39" t="str">
        <v>Damaged Stock</v>
      </c>
      <c r="F284" s="45" t="n">
        <v>1</v>
      </c>
      <c r="G284" s="40" t="str">
        <v>[Code: 25669A] TA: found in loose condition during sorting.</v>
      </c>
      <c r="H284" s="39" t="str">
        <v>Taufeeq Akhtar </v>
      </c>
      <c r="I284" s="39" t="str">
        <f aca="false">IF(ISBLANK(H284),"", IF($H$2:$H1783 = "Gohar Rehan","Overnight",IF($H$2:$H1783 = "Taufeeq Akhtar ","Overnight",IF($H$2:$H1783 = "Zeeshan Ali Malik","Audit",IF($H$2:$H1783 = "Ali Raza ","Receiving",IF($H$2:$H1783 = "Ali Ahmad","Full-In"))))))</f>
        <v>Overnight</v>
      </c>
      <c r="J284" s="29"/>
      <c r="K284" s="50" t="s">
        <v>2248</v>
      </c>
      <c r="L284" s="40" t="s">
        <v>2317</v>
      </c>
      <c r="M284" s="41"/>
      <c r="N284" s="39" t="s">
        <v>2250</v>
      </c>
      <c r="O284" s="46" t="b">
        <f aca="false">FALSE()</f>
        <v>0</v>
      </c>
      <c r="P284" s="20" t="n">
        <v>730</v>
      </c>
      <c r="Q284" s="45" t="n">
        <v>730</v>
      </c>
      <c r="R284" s="43" t="n">
        <v>45149</v>
      </c>
      <c r="S284" s="20" t="str">
        <v>Beverages</v>
      </c>
    </row>
    <row r="285" customFormat="false" ht="15.75" hidden="false" customHeight="false" outlineLevel="0" collapsed="false">
      <c r="A285" s="39" t="str">
        <v>9AADFF</v>
      </c>
      <c r="B285" s="44" t="str">
        <v>Sat,12-August-2023 ,09:00 AM</v>
      </c>
      <c r="C285" s="39" t="str">
        <v>Al-Munawar Besan 20kg</v>
      </c>
      <c r="D285" s="39" t="str">
        <v>Al-Munawar</v>
      </c>
      <c r="E285" s="39" t="str">
        <v>Damaged Stock</v>
      </c>
      <c r="F285" s="45" t="n">
        <v>4</v>
      </c>
      <c r="G285" s="40" t="str">
        <v>[Code: 9AADFF] 4 units found damaged due to quality issue</v>
      </c>
      <c r="H285" s="39" t="str">
        <v>Ali Raza </v>
      </c>
      <c r="I285" s="39" t="str">
        <f aca="false">IF(ISBLANK(H285),"", IF($H$2:$H1784 = "Gohar Rehan","Overnight",IF($H$2:$H1784 = "Taufeeq Akhtar ","Overnight",IF($H$2:$H1784 = "Zeeshan Ali Malik","Audit",IF($H$2:$H1784 = "Ali Raza ","Receiving",IF($H$2:$H1784 = "Ali Ahmad","Full-In"))))))</f>
        <v>Receiving</v>
      </c>
      <c r="J285" s="29"/>
      <c r="K285" s="50" t="s">
        <v>2248</v>
      </c>
      <c r="L285" s="40" t="s">
        <v>2317</v>
      </c>
      <c r="M285" s="41"/>
      <c r="N285" s="39" t="s">
        <v>2212</v>
      </c>
      <c r="O285" s="46" t="b">
        <f aca="false">FALSE()</f>
        <v>0</v>
      </c>
      <c r="P285" s="20" t="n">
        <v>4470</v>
      </c>
      <c r="Q285" s="45" t="n">
        <v>17880</v>
      </c>
      <c r="R285" s="43" t="n">
        <v>45150</v>
      </c>
      <c r="S285" s="20" t="str">
        <v>Pulses</v>
      </c>
    </row>
    <row r="286" customFormat="false" ht="15.75" hidden="false" customHeight="false" outlineLevel="0" collapsed="false">
      <c r="A286" s="39" t="str">
        <v>2346AE</v>
      </c>
      <c r="B286" s="44" t="str">
        <v>Sat,12-August-2023 ,03:20 PM</v>
      </c>
      <c r="C286" s="39" t="str">
        <v>Dummer Super Fine Atta 15kg</v>
      </c>
      <c r="D286" s="39" t="str">
        <v>Dummer Atta</v>
      </c>
      <c r="E286" s="39" t="str">
        <v>Damaged Stock</v>
      </c>
      <c r="F286" s="45" t="n">
        <v>59</v>
      </c>
      <c r="G286" s="40" t="str">
        <v>[Code: 2346AE] Content Spoiled (Quality Issue)</v>
      </c>
      <c r="H286" s="39" t="str">
        <v>Ali Raza </v>
      </c>
      <c r="I286" s="39" t="str">
        <f aca="false">IF(ISBLANK(H286),"", IF($H$2:$H1785 = "Gohar Rehan","Overnight",IF($H$2:$H1785 = "Taufeeq Akhtar ","Overnight",IF($H$2:$H1785 = "Zeeshan Ali Malik","Audit",IF($H$2:$H1785 = "Ali Raza ","Receiving",IF($H$2:$H1785 = "Ali Ahmad","Full-In"))))))</f>
        <v>Receiving</v>
      </c>
      <c r="J286" s="29"/>
      <c r="K286" s="50" t="s">
        <v>2248</v>
      </c>
      <c r="L286" s="40" t="s">
        <v>2317</v>
      </c>
      <c r="M286" s="41"/>
      <c r="N286" s="39" t="s">
        <v>2212</v>
      </c>
      <c r="O286" s="46" t="b">
        <f aca="false">FALSE()</f>
        <v>0</v>
      </c>
      <c r="P286" s="20" t="n">
        <v>2100</v>
      </c>
      <c r="Q286" s="45" t="n">
        <v>123900</v>
      </c>
      <c r="R286" s="43" t="n">
        <v>45150</v>
      </c>
      <c r="S286" s="20" t="str">
        <v>Flour</v>
      </c>
    </row>
    <row r="287" customFormat="false" ht="15.75" hidden="false" customHeight="false" outlineLevel="0" collapsed="false">
      <c r="A287" s="39" t="str">
        <v>335BBB</v>
      </c>
      <c r="B287" s="44" t="str">
        <v>Sat,12-August-2023 ,11:02 PM</v>
      </c>
      <c r="C287" s="39" t="str">
        <v>Shahi Savory Mix Rs100</v>
      </c>
      <c r="D287" s="39" t="str">
        <v>Shahi</v>
      </c>
      <c r="E287" s="39" t="str">
        <v>Damaged Stock</v>
      </c>
      <c r="F287" s="45" t="n">
        <v>1</v>
      </c>
      <c r="G287" s="40" t="str">
        <v>[Code: 335BBB] TA: Found damaged from box during display.</v>
      </c>
      <c r="H287" s="39" t="str">
        <v>Taufeeq Akhtar </v>
      </c>
      <c r="I287" s="39" t="str">
        <f aca="false">IF(ISBLANK(H287),"", IF($H$2:$H1786 = "Gohar Rehan","Overnight",IF($H$2:$H1786 = "Taufeeq Akhtar ","Overnight",IF($H$2:$H1786 = "Zeeshan Ali Malik","Audit",IF($H$2:$H1786 = "Ali Raza ","Receiving",IF($H$2:$H1786 = "Ali Ahmad","Full-In"))))))</f>
        <v>Overnight</v>
      </c>
      <c r="J287" s="29"/>
      <c r="K287" s="50" t="s">
        <v>2248</v>
      </c>
      <c r="L287" s="40" t="s">
        <v>2317</v>
      </c>
      <c r="M287" s="41"/>
      <c r="N287" s="39" t="s">
        <v>2250</v>
      </c>
      <c r="O287" s="46" t="b">
        <f aca="false">FALSE()</f>
        <v>0</v>
      </c>
      <c r="P287" s="20" t="n">
        <v>70.91</v>
      </c>
      <c r="Q287" s="45" t="n">
        <v>70.91</v>
      </c>
      <c r="R287" s="43" t="n">
        <v>45150</v>
      </c>
      <c r="S287" s="20" t="str">
        <v>Snacks</v>
      </c>
    </row>
    <row r="288" customFormat="false" ht="15.75" hidden="false" customHeight="false" outlineLevel="0" collapsed="false">
      <c r="A288" s="39" t="str">
        <v>269GHK</v>
      </c>
      <c r="B288" s="44" t="str">
        <v>Sat,12-August-2023 ,11:03 PM</v>
      </c>
      <c r="C288" s="39" t="str">
        <v>7up plastic 1L</v>
      </c>
      <c r="D288" s="39" t="str">
        <v>7up</v>
      </c>
      <c r="E288" s="39" t="str">
        <v>Damaged Stock</v>
      </c>
      <c r="F288" s="45" t="n">
        <v>1</v>
      </c>
      <c r="G288" s="40" t="str">
        <v>[Code: 269GHK] TA: Found in loose conditon during sorting.</v>
      </c>
      <c r="H288" s="39" t="str">
        <v>Taufeeq Akhtar </v>
      </c>
      <c r="I288" s="39" t="str">
        <f aca="false">IF(ISBLANK(H288),"", IF($H$2:$H1787 = "Gohar Rehan","Overnight",IF($H$2:$H1787 = "Taufeeq Akhtar ","Overnight",IF($H$2:$H1787 = "Zeeshan Ali Malik","Audit",IF($H$2:$H1787 = "Ali Raza ","Receiving",IF($H$2:$H1787 = "Ali Ahmad","Full-In"))))))</f>
        <v>Overnight</v>
      </c>
      <c r="J288" s="29"/>
      <c r="K288" s="50" t="s">
        <v>2248</v>
      </c>
      <c r="L288" s="40" t="s">
        <v>2317</v>
      </c>
      <c r="M288" s="41"/>
      <c r="N288" s="39" t="s">
        <v>2250</v>
      </c>
      <c r="O288" s="46" t="b">
        <f aca="false">FALSE()</f>
        <v>0</v>
      </c>
      <c r="P288" s="20" t="n">
        <v>595</v>
      </c>
      <c r="Q288" s="45" t="n">
        <v>595</v>
      </c>
      <c r="R288" s="43" t="n">
        <v>45150</v>
      </c>
      <c r="S288" s="20" t="str">
        <v>Beverages</v>
      </c>
    </row>
    <row r="289" customFormat="false" ht="15.75" hidden="false" customHeight="false" outlineLevel="0" collapsed="false">
      <c r="A289" s="39" t="str">
        <v>4789AA</v>
      </c>
      <c r="B289" s="44" t="str">
        <v>Sat,12-August-2023 ,11:31 PM</v>
      </c>
      <c r="C289" s="39" t="str">
        <v>Plastic Special Phool Jharoo</v>
      </c>
      <c r="D289" s="39" t="str">
        <v>Jharoo</v>
      </c>
      <c r="E289" s="39" t="str">
        <v>Damaged Stock</v>
      </c>
      <c r="F289" s="45" t="n">
        <v>1</v>
      </c>
      <c r="G289" s="40" t="str">
        <v>[Code: 4789AA] TA: Found damaged on floor during sorting.</v>
      </c>
      <c r="H289" s="39" t="str">
        <v>Taufeeq Akhtar </v>
      </c>
      <c r="I289" s="39" t="str">
        <f aca="false">IF(ISBLANK(H289),"", IF($H$2:$H1788 = "Gohar Rehan","Overnight",IF($H$2:$H1788 = "Taufeeq Akhtar ","Overnight",IF($H$2:$H1788 = "Zeeshan Ali Malik","Audit",IF($H$2:$H1788 = "Ali Raza ","Receiving",IF($H$2:$H1788 = "Ali Ahmad","Full-In"))))))</f>
        <v>Overnight</v>
      </c>
      <c r="J289" s="29"/>
      <c r="K289" s="50" t="s">
        <v>2248</v>
      </c>
      <c r="L289" s="40" t="s">
        <v>2317</v>
      </c>
      <c r="M289" s="41"/>
      <c r="N289" s="39" t="s">
        <v>2250</v>
      </c>
      <c r="O289" s="46" t="b">
        <f aca="false">FALSE()</f>
        <v>0</v>
      </c>
      <c r="P289" s="20" t="n">
        <v>135</v>
      </c>
      <c r="Q289" s="45" t="n">
        <v>135</v>
      </c>
      <c r="R289" s="43" t="n">
        <v>45150</v>
      </c>
      <c r="S289" s="20" t="str">
        <v>Home Care</v>
      </c>
    </row>
    <row r="290" customFormat="false" ht="15.75" hidden="false" customHeight="false" outlineLevel="0" collapsed="false">
      <c r="A290" s="39" t="str">
        <v>223556</v>
      </c>
      <c r="B290" s="44" t="str">
        <v>Mon,14-August-2023 ,11:17 PM</v>
      </c>
      <c r="C290" s="39" t="str">
        <v>Mirinda plastic 1L</v>
      </c>
      <c r="D290" s="39" t="str">
        <v>Mirinda</v>
      </c>
      <c r="E290" s="39" t="str">
        <v>Damaged Stock</v>
      </c>
      <c r="F290" s="45" t="n">
        <v>1</v>
      </c>
      <c r="G290" s="40" t="str">
        <v>[Code: 223556] TA: Found loose bottels during sorting (Company end issue)</v>
      </c>
      <c r="H290" s="39" t="str">
        <v>Taufeeq Akhtar </v>
      </c>
      <c r="I290" s="39" t="str">
        <f aca="false">IF(ISBLANK(H290),"", IF($H$2:$H1789 = "Gohar Rehan","Overnight",IF($H$2:$H1789 = "Taufeeq Akhtar ","Overnight",IF($H$2:$H1789 = "Zeeshan Ali Malik","Audit",IF($H$2:$H1789 = "Ali Raza ","Receiving",IF($H$2:$H1789 = "Ali Ahmad","Full-In"))))))</f>
        <v>Overnight</v>
      </c>
      <c r="J290" s="29"/>
      <c r="K290" s="50" t="s">
        <v>2248</v>
      </c>
      <c r="L290" s="40" t="s">
        <v>2317</v>
      </c>
      <c r="M290" s="41"/>
      <c r="N290" s="39" t="s">
        <v>2250</v>
      </c>
      <c r="O290" s="46" t="b">
        <f aca="false">FALSE()</f>
        <v>0</v>
      </c>
      <c r="P290" s="20" t="n">
        <v>595</v>
      </c>
      <c r="Q290" s="45" t="n">
        <v>595</v>
      </c>
      <c r="R290" s="43" t="n">
        <v>45152</v>
      </c>
      <c r="S290" s="20" t="str">
        <v>Beverages</v>
      </c>
    </row>
    <row r="291" customFormat="false" ht="15.75" hidden="false" customHeight="false" outlineLevel="0" collapsed="false">
      <c r="A291" s="39" t="str">
        <v>4BEFFH</v>
      </c>
      <c r="B291" s="44" t="str">
        <v>Tue,15-August-2023 ,08:47 PM</v>
      </c>
      <c r="C291" s="39" t="str">
        <v>Murree Brewery Bigg Apple Plastic x6 Crate 1.5L</v>
      </c>
      <c r="D291" s="39" t="str">
        <v>Murree Brewery</v>
      </c>
      <c r="E291" s="39" t="str">
        <v>Damaged Stock</v>
      </c>
      <c r="F291" s="45" t="n">
        <v>1</v>
      </c>
      <c r="G291" s="40" t="str">
        <v>[Code: 4BEFFH] TA: found loose during sorting.(Company end issue)</v>
      </c>
      <c r="H291" s="39" t="str">
        <v>Taufeeq Akhtar </v>
      </c>
      <c r="I291" s="39" t="str">
        <f aca="false">IF(ISBLANK(H291),"", IF($H$2:$H1790 = "Gohar Rehan","Overnight",IF($H$2:$H1790 = "Taufeeq Akhtar ","Overnight",IF($H$2:$H1790 = "Zeeshan Ali Malik","Audit",IF($H$2:$H1790 = "Ali Raza ","Receiving",IF($H$2:$H1790 = "Ali Ahmad","Full-In"))))))</f>
        <v>Overnight</v>
      </c>
      <c r="J291" s="29"/>
      <c r="K291" s="50" t="s">
        <v>2248</v>
      </c>
      <c r="L291" s="40" t="s">
        <v>2317</v>
      </c>
      <c r="M291" s="41"/>
      <c r="N291" s="39" t="s">
        <v>2250</v>
      </c>
      <c r="O291" s="46" t="b">
        <f aca="false">FALSE()</f>
        <v>0</v>
      </c>
      <c r="P291" s="20" t="n">
        <v>726.75</v>
      </c>
      <c r="Q291" s="45" t="n">
        <v>726.75</v>
      </c>
      <c r="R291" s="43" t="n">
        <v>45153</v>
      </c>
      <c r="S291" s="20" t="str">
        <v>Beverages</v>
      </c>
    </row>
    <row r="292" customFormat="false" ht="15.75" hidden="false" customHeight="false" outlineLevel="0" collapsed="false">
      <c r="A292" s="39" t="str">
        <v>99EJKM</v>
      </c>
      <c r="B292" s="44" t="str">
        <v>Tue,15-August-2023 ,08:50 PM</v>
      </c>
      <c r="C292" s="39" t="str">
        <v>Shangrila Tomato Ketchup x6 Bundle 70g</v>
      </c>
      <c r="D292" s="39" t="str">
        <v>Shangrila</v>
      </c>
      <c r="E292" s="39" t="str">
        <v>Damaged Stock</v>
      </c>
      <c r="F292" s="45" t="n">
        <v>1</v>
      </c>
      <c r="G292" s="40" t="str">
        <v>[Code: 99EJKM] TA: found damaged from box during display(Company end issue )...</v>
      </c>
      <c r="H292" s="39" t="str">
        <v>Taufeeq Akhtar </v>
      </c>
      <c r="I292" s="39" t="str">
        <f aca="false">IF(ISBLANK(H292),"", IF($H$2:$H1791 = "Gohar Rehan","Overnight",IF($H$2:$H1791 = "Taufeeq Akhtar ","Overnight",IF($H$2:$H1791 = "Zeeshan Ali Malik","Audit",IF($H$2:$H1791 = "Ali Raza ","Receiving",IF($H$2:$H1791 = "Ali Ahmad","Full-In"))))))</f>
        <v>Overnight</v>
      </c>
      <c r="J292" s="29"/>
      <c r="K292" s="50" t="s">
        <v>2248</v>
      </c>
      <c r="L292" s="40" t="s">
        <v>2317</v>
      </c>
      <c r="M292" s="41"/>
      <c r="N292" s="39" t="s">
        <v>2212</v>
      </c>
      <c r="O292" s="46" t="b">
        <f aca="false">FALSE()</f>
        <v>0</v>
      </c>
      <c r="P292" s="20" t="n">
        <v>188.49</v>
      </c>
      <c r="Q292" s="45" t="n">
        <v>188.49</v>
      </c>
      <c r="R292" s="43" t="n">
        <v>45153</v>
      </c>
      <c r="S292" s="20" t="str">
        <v>Sauces</v>
      </c>
    </row>
    <row r="293" customFormat="false" ht="15.75" hidden="false" customHeight="false" outlineLevel="0" collapsed="false">
      <c r="A293" s="39" t="str">
        <v>256DEH</v>
      </c>
      <c r="B293" s="44" t="str">
        <v>Tue,15-August-2023 ,08:52 PM</v>
      </c>
      <c r="C293" s="39" t="str">
        <v>Booster NR 250ml</v>
      </c>
      <c r="D293" s="39" t="str">
        <v>Booster</v>
      </c>
      <c r="E293" s="39" t="str">
        <v>Damaged Stock</v>
      </c>
      <c r="F293" s="45" t="n">
        <v>1</v>
      </c>
      <c r="G293" s="40" t="str">
        <v>[Code: 256DEH] TA: found damaged during sorting....</v>
      </c>
      <c r="H293" s="39" t="str">
        <v>Taufeeq Akhtar </v>
      </c>
      <c r="I293" s="39" t="str">
        <f aca="false">IF(ISBLANK(H293),"", IF($H$2:$H1792 = "Gohar Rehan","Overnight",IF($H$2:$H1792 = "Taufeeq Akhtar ","Overnight",IF($H$2:$H1792 = "Zeeshan Ali Malik","Audit",IF($H$2:$H1792 = "Ali Raza ","Receiving",IF($H$2:$H1792 = "Ali Ahmad","Full-In"))))))</f>
        <v>Overnight</v>
      </c>
      <c r="J293" s="29"/>
      <c r="K293" s="50" t="s">
        <v>2248</v>
      </c>
      <c r="L293" s="40" t="s">
        <v>2317</v>
      </c>
      <c r="M293" s="41" t="n">
        <v>1</v>
      </c>
      <c r="N293" s="39" t="s">
        <v>2212</v>
      </c>
      <c r="O293" s="42" t="b">
        <f aca="false">TRUE()</f>
        <v>1</v>
      </c>
      <c r="P293" s="20" t="n">
        <v>669.6</v>
      </c>
      <c r="Q293" s="45" t="n">
        <v>669.6</v>
      </c>
      <c r="R293" s="43" t="n">
        <v>45153</v>
      </c>
      <c r="S293" s="20" t="str">
        <v>Beverages</v>
      </c>
    </row>
    <row r="294" customFormat="false" ht="15.75" hidden="false" customHeight="false" outlineLevel="0" collapsed="false">
      <c r="A294" s="39" t="str">
        <v>246AEF</v>
      </c>
      <c r="B294" s="44" t="str">
        <v>Wed,16-August-2023 ,09:12 PM</v>
      </c>
      <c r="C294" s="39" t="str">
        <v>Ultra Pure Drain Opener 300ml Rs60</v>
      </c>
      <c r="D294" s="39" t="str">
        <v>Ultra Pure</v>
      </c>
      <c r="E294" s="39" t="str">
        <v>Damaged Stock</v>
      </c>
      <c r="F294" s="45" t="n">
        <v>4</v>
      </c>
      <c r="G294" s="40" t="str">
        <v>[Code: 246AEF] T A ; 4 unit Damage found during Display  (coton sy damge mily hain )</v>
      </c>
      <c r="H294" s="39" t="str">
        <v>Taufeeq Akhtar </v>
      </c>
      <c r="I294" s="39" t="str">
        <f aca="false">IF(ISBLANK(H294),"", IF($H$2:$H1793 = "Gohar Rehan","Overnight",IF($H$2:$H1793 = "Taufeeq Akhtar ","Overnight",IF($H$2:$H1793 = "Zeeshan Ali Malik","Audit",IF($H$2:$H1793 = "Ali Raza ","Receiving",IF($H$2:$H1793 = "Ali Ahmad","Full-In"))))))</f>
        <v>Overnight</v>
      </c>
      <c r="J294" s="29"/>
      <c r="K294" s="50" t="s">
        <v>2248</v>
      </c>
      <c r="L294" s="40" t="s">
        <v>2319</v>
      </c>
      <c r="M294" s="41" t="n">
        <v>4</v>
      </c>
      <c r="N294" s="39" t="s">
        <v>2212</v>
      </c>
      <c r="O294" s="46" t="b">
        <f aca="false">FALSE()</f>
        <v>0</v>
      </c>
      <c r="P294" s="20" t="n">
        <v>31</v>
      </c>
      <c r="Q294" s="45" t="n">
        <v>124</v>
      </c>
      <c r="R294" s="43" t="n">
        <v>45154</v>
      </c>
      <c r="S294" s="20" t="str">
        <v>Home Care</v>
      </c>
    </row>
    <row r="295" customFormat="false" ht="15.75" hidden="false" customHeight="false" outlineLevel="0" collapsed="false">
      <c r="A295" s="39" t="str">
        <v>68888C</v>
      </c>
      <c r="B295" s="44" t="str">
        <v>Fri,18-August-2023 ,04:50 PM</v>
      </c>
      <c r="C295" s="39" t="str">
        <v>Lipton yellow label tea 85g Rs270</v>
      </c>
      <c r="D295" s="39" t="str">
        <v>Lipton</v>
      </c>
      <c r="E295" s="39" t="str">
        <v>Damaged Stock</v>
      </c>
      <c r="F295" s="45" t="n">
        <v>1</v>
      </c>
      <c r="G295" s="40" t="str">
        <v>[Code: 68888C] TA: Found daamged from box.</v>
      </c>
      <c r="H295" s="39" t="str">
        <v>Taufeeq Akhtar </v>
      </c>
      <c r="I295" s="39" t="str">
        <f aca="false">IF(ISBLANK(H295),"", IF($H$2:$H1794 = "Gohar Rehan","Overnight",IF($H$2:$H1794 = "Taufeeq Akhtar ","Overnight",IF($H$2:$H1794 = "Zeeshan Ali Malik","Audit",IF($H$2:$H1794 = "Ali Raza ","Receiving",IF($H$2:$H1794 = "Ali Ahmad","Full-In"))))))</f>
        <v>Overnight</v>
      </c>
      <c r="J295" s="29"/>
      <c r="K295" s="50" t="s">
        <v>2248</v>
      </c>
      <c r="L295" s="40" t="s">
        <v>2317</v>
      </c>
      <c r="M295" s="41"/>
      <c r="N295" s="39" t="s">
        <v>2250</v>
      </c>
      <c r="O295" s="46" t="b">
        <f aca="false">FALSE()</f>
        <v>0</v>
      </c>
      <c r="P295" s="20" t="n">
        <v>247.42</v>
      </c>
      <c r="Q295" s="45" t="n">
        <v>247.42</v>
      </c>
      <c r="R295" s="43" t="n">
        <v>45156</v>
      </c>
      <c r="S295" s="20" t="str">
        <v>Tea, Coffee</v>
      </c>
    </row>
    <row r="296" customFormat="false" ht="15.75" hidden="false" customHeight="false" outlineLevel="0" collapsed="false">
      <c r="A296" s="39" t="str">
        <v>45779C</v>
      </c>
      <c r="B296" s="44" t="str">
        <v>Fri,18-August-2023 ,05:09 PM</v>
      </c>
      <c r="C296" s="39" t="str">
        <v>Coca Cola plastic 1.5L</v>
      </c>
      <c r="D296" s="39" t="str">
        <v>Coca Cola</v>
      </c>
      <c r="E296" s="39" t="str">
        <v>Damaged Stock</v>
      </c>
      <c r="F296" s="45" t="n">
        <v>1</v>
      </c>
      <c r="G296" s="40" t="str">
        <v>[Code: 45779C] TA: found loose during sorting.</v>
      </c>
      <c r="H296" s="39" t="str">
        <v>Taufeeq Akhtar </v>
      </c>
      <c r="I296" s="39" t="str">
        <f aca="false">IF(ISBLANK(H296),"", IF($H$2:$H1795 = "Gohar Rehan","Overnight",IF($H$2:$H1795 = "Taufeeq Akhtar ","Overnight",IF($H$2:$H1795 = "Zeeshan Ali Malik","Audit",IF($H$2:$H1795 = "Ali Raza ","Receiving",IF($H$2:$H1795 = "Ali Ahmad","Full-In"))))))</f>
        <v>Overnight</v>
      </c>
      <c r="J296" s="29"/>
      <c r="K296" s="50" t="s">
        <v>2248</v>
      </c>
      <c r="L296" s="50" t="s">
        <v>2317</v>
      </c>
      <c r="M296" s="41" t="n">
        <v>1</v>
      </c>
      <c r="N296" s="39" t="s">
        <v>2212</v>
      </c>
      <c r="O296" s="42" t="b">
        <f aca="false">TRUE()</f>
        <v>1</v>
      </c>
      <c r="P296" s="20" t="n">
        <v>859.79</v>
      </c>
      <c r="Q296" s="45" t="n">
        <v>859.79</v>
      </c>
      <c r="R296" s="43" t="n">
        <v>45156</v>
      </c>
      <c r="S296" s="20" t="str">
        <v>Beverages</v>
      </c>
    </row>
    <row r="297" customFormat="false" ht="15.75" hidden="false" customHeight="false" outlineLevel="0" collapsed="false">
      <c r="A297" s="39" t="str">
        <v>33778E</v>
      </c>
      <c r="B297" s="44" t="str">
        <v>Sat,19-August-2023 ,11:35 PM</v>
      </c>
      <c r="C297" s="39" t="str">
        <v>Murree Brewery Bigg Apple Plastic x6 Crate 1L (One Liter)</v>
      </c>
      <c r="D297" s="39" t="str">
        <v>Murree Brewery</v>
      </c>
      <c r="E297" s="39" t="str">
        <v>Damaged Stock</v>
      </c>
      <c r="F297" s="45" t="n">
        <v>1</v>
      </c>
      <c r="G297" s="40" t="str">
        <v>[Code: 33778E] TA: found loose bottels during sorting.</v>
      </c>
      <c r="H297" s="39" t="str">
        <v>Taufeeq Akhtar </v>
      </c>
      <c r="I297" s="39" t="str">
        <f aca="false">IF(ISBLANK(H297),"", IF($H$2:$H1796 = "Gohar Rehan","Overnight",IF($H$2:$H1796 = "Taufeeq Akhtar ","Overnight",IF($H$2:$H1796 = "Zeeshan Ali Malik","Audit",IF($H$2:$H1796 = "Ali Raza ","Receiving",IF($H$2:$H1796 = "Ali Ahmad","Full-In"))))))</f>
        <v>Overnight</v>
      </c>
      <c r="J297" s="29"/>
      <c r="K297" s="50" t="s">
        <v>2248</v>
      </c>
      <c r="L297" s="50" t="s">
        <v>2317</v>
      </c>
      <c r="M297" s="41"/>
      <c r="N297" s="39" t="s">
        <v>2250</v>
      </c>
      <c r="O297" s="46" t="b">
        <f aca="false">FALSE()</f>
        <v>0</v>
      </c>
      <c r="P297" s="20" t="n">
        <v>456</v>
      </c>
      <c r="Q297" s="45" t="n">
        <v>456</v>
      </c>
      <c r="R297" s="43" t="n">
        <v>45157</v>
      </c>
      <c r="S297" s="20" t="str">
        <v>Beverages</v>
      </c>
    </row>
    <row r="298" customFormat="false" ht="15.75" hidden="false" customHeight="false" outlineLevel="0" collapsed="false">
      <c r="A298" s="39" t="str">
        <v>2358AD</v>
      </c>
      <c r="B298" s="44" t="str">
        <v>Sat,19-August-2023 ,11:39 PM</v>
      </c>
      <c r="C298" s="39" t="str">
        <v>Dummer Super Fine Atta 15kg</v>
      </c>
      <c r="D298" s="39" t="str">
        <v>Dummer Atta</v>
      </c>
      <c r="E298" s="39" t="str">
        <v>Damaged Stock</v>
      </c>
      <c r="F298" s="45" t="n">
        <v>6</v>
      </c>
      <c r="G298" s="40" t="str">
        <v>[Code: 2358AD] TA: fungus(ulli) lagi hay atay may.</v>
      </c>
      <c r="H298" s="39" t="str">
        <v>Taufeeq Akhtar </v>
      </c>
      <c r="I298" s="39" t="str">
        <f aca="false">IF(ISBLANK(H298),"", IF($H$2:$H1797 = "Gohar Rehan","Overnight",IF($H$2:$H1797 = "Taufeeq Akhtar ","Overnight",IF($H$2:$H1797 = "Zeeshan Ali Malik","Audit",IF($H$2:$H1797 = "Ali Raza ","Receiving",IF($H$2:$H1797 = "Ali Ahmad","Full-In"))))))</f>
        <v>Overnight</v>
      </c>
      <c r="J298" s="29"/>
      <c r="K298" s="50" t="s">
        <v>2248</v>
      </c>
      <c r="L298" s="50" t="s">
        <v>2319</v>
      </c>
      <c r="M298" s="41" t="n">
        <v>6</v>
      </c>
      <c r="N298" s="39" t="s">
        <v>2212</v>
      </c>
      <c r="O298" s="42" t="b">
        <f aca="false">TRUE()</f>
        <v>1</v>
      </c>
      <c r="P298" s="20" t="n">
        <v>2050</v>
      </c>
      <c r="Q298" s="45" t="n">
        <v>12300</v>
      </c>
      <c r="R298" s="43" t="n">
        <v>45157</v>
      </c>
      <c r="S298" s="20" t="str">
        <v>Flour</v>
      </c>
    </row>
    <row r="299" customFormat="false" ht="15.75" hidden="false" customHeight="false" outlineLevel="0" collapsed="false">
      <c r="A299" s="39" t="str">
        <v>3577DE</v>
      </c>
      <c r="B299" s="44" t="str">
        <v>Sat,19-August-2023 ,11:52 PM</v>
      </c>
      <c r="C299" s="39" t="str">
        <v>Hairx Herbal Shampoo 360ml Rs450</v>
      </c>
      <c r="D299" s="39" t="str">
        <v>Ultra Pure</v>
      </c>
      <c r="E299" s="39" t="str">
        <v>Damaged Stock</v>
      </c>
      <c r="F299" s="45" t="n">
        <v>1</v>
      </c>
      <c r="G299" s="40" t="str">
        <v>[Code: 3577DE] TA: Found damaged from durring display .</v>
      </c>
      <c r="H299" s="39" t="str">
        <v>Taufeeq Akhtar </v>
      </c>
      <c r="I299" s="39" t="str">
        <f aca="false">IF(ISBLANK(H299),"", IF($H$2:$H1798 = "Gohar Rehan","Overnight",IF($H$2:$H1798 = "Taufeeq Akhtar ","Overnight",IF($H$2:$H1798 = "Zeeshan Ali Malik","Audit",IF($H$2:$H1798 = "Ali Raza ","Receiving",IF($H$2:$H1798 = "Ali Ahmad","Full-In"))))))</f>
        <v>Overnight</v>
      </c>
      <c r="J299" s="29"/>
      <c r="K299" s="50" t="s">
        <v>2248</v>
      </c>
      <c r="L299" s="50" t="s">
        <v>2319</v>
      </c>
      <c r="M299" s="41" t="n">
        <v>1</v>
      </c>
      <c r="N299" s="39" t="s">
        <v>2212</v>
      </c>
      <c r="O299" s="46" t="b">
        <f aca="false">FALSE()</f>
        <v>0</v>
      </c>
      <c r="P299" s="20" t="n">
        <v>180</v>
      </c>
      <c r="Q299" s="45" t="n">
        <v>180</v>
      </c>
      <c r="R299" s="43" t="n">
        <v>45157</v>
      </c>
      <c r="S299" s="20" t="str">
        <v>Shampoo</v>
      </c>
    </row>
    <row r="300" customFormat="false" ht="15.75" hidden="false" customHeight="false" outlineLevel="0" collapsed="false">
      <c r="A300" s="39" t="str">
        <v>356689</v>
      </c>
      <c r="B300" s="44" t="str">
        <v>Sun,20-August-2023 ,09:42 PM</v>
      </c>
      <c r="C300" s="39" t="str">
        <v>Surf Excel x6 bundle 20g Rs 10</v>
      </c>
      <c r="D300" s="39" t="str">
        <v>Surf Excel</v>
      </c>
      <c r="E300" s="39" t="str">
        <v>Damaged Stock</v>
      </c>
      <c r="F300" s="45" t="n">
        <v>1</v>
      </c>
      <c r="G300" s="40" t="str">
        <v>[Code: 356689]   TA: Found damage from bag </v>
      </c>
      <c r="H300" s="39" t="str">
        <v>Taufeeq Akhtar </v>
      </c>
      <c r="I300" s="39" t="str">
        <f aca="false">IF(ISBLANK(H300),"", IF($H$2:$H1799 = "Gohar Rehan","Overnight",IF($H$2:$H1799 = "Taufeeq Akhtar ","Overnight",IF($H$2:$H1799 = "Zeeshan Ali Malik","Audit",IF($H$2:$H1799 = "Ali Raza ","Receiving",IF($H$2:$H1799 = "Ali Ahmad","Full-In"))))))</f>
        <v>Overnight</v>
      </c>
      <c r="J300" s="29"/>
      <c r="K300" s="50" t="s">
        <v>2248</v>
      </c>
      <c r="L300" s="50" t="s">
        <v>2319</v>
      </c>
      <c r="M300" s="41"/>
      <c r="N300" s="39" t="s">
        <v>2250</v>
      </c>
      <c r="O300" s="46" t="b">
        <f aca="false">FALSE()</f>
        <v>0</v>
      </c>
      <c r="P300" s="20" t="n">
        <v>55.21</v>
      </c>
      <c r="Q300" s="45" t="n">
        <v>55.21</v>
      </c>
      <c r="R300" s="43" t="n">
        <v>45158</v>
      </c>
      <c r="S300" s="20" t="str">
        <v>Surf, Bleach</v>
      </c>
    </row>
    <row r="301" customFormat="false" ht="15.75" hidden="false" customHeight="false" outlineLevel="0" collapsed="false">
      <c r="A301" s="39" t="str">
        <v>BBDJKL</v>
      </c>
      <c r="B301" s="44" t="str">
        <v>Sun,20-August-2023 ,09:47 PM</v>
      </c>
      <c r="C301" s="39" t="str">
        <v>Ultra Pure Surf 1kg Rs350</v>
      </c>
      <c r="D301" s="39" t="str">
        <v>Ultra Pure</v>
      </c>
      <c r="E301" s="39" t="str">
        <v>Damaged Stock</v>
      </c>
      <c r="F301" s="45" t="n">
        <v>1</v>
      </c>
      <c r="G301" s="40" t="str">
        <v>[Code: BBDJKL]  TA: Found damaged from bag  during display .</v>
      </c>
      <c r="H301" s="39" t="str">
        <v>Taufeeq Akhtar </v>
      </c>
      <c r="I301" s="39" t="str">
        <f aca="false">IF(ISBLANK(H301),"", IF($H$2:$H1800 = "Gohar Rehan","Overnight",IF($H$2:$H1800 = "Taufeeq Akhtar ","Overnight",IF($H$2:$H1800 = "Zeeshan Ali Malik","Audit",IF($H$2:$H1800 = "Ali Raza ","Receiving",IF($H$2:$H1800 = "Ali Ahmad","Full-In"))))))</f>
        <v>Overnight</v>
      </c>
      <c r="J301" s="29"/>
      <c r="K301" s="50" t="s">
        <v>2248</v>
      </c>
      <c r="L301" s="50" t="s">
        <v>2319</v>
      </c>
      <c r="M301" s="41"/>
      <c r="N301" s="39" t="s">
        <v>2250</v>
      </c>
      <c r="O301" s="46" t="b">
        <f aca="false">FALSE()</f>
        <v>0</v>
      </c>
      <c r="P301" s="20" t="n">
        <v>172</v>
      </c>
      <c r="Q301" s="45" t="n">
        <v>172</v>
      </c>
      <c r="R301" s="43" t="n">
        <v>45158</v>
      </c>
      <c r="S301" s="20" t="str">
        <v>Surf, Bleach</v>
      </c>
    </row>
    <row r="302" customFormat="false" ht="15.75" hidden="false" customHeight="false" outlineLevel="0" collapsed="false">
      <c r="A302" s="39" t="str">
        <v>2346CC</v>
      </c>
      <c r="B302" s="44" t="str">
        <v>Sun,20-August-2023 ,11:04 PM</v>
      </c>
      <c r="C302" s="39" t="str">
        <v>Dummer Super Fine Atta 15kg</v>
      </c>
      <c r="D302" s="39" t="str">
        <v>Dummer Atta</v>
      </c>
      <c r="E302" s="39" t="str">
        <v>Damaged Stock</v>
      </c>
      <c r="F302" s="45" t="n">
        <v>1</v>
      </c>
      <c r="G302" s="40" t="str">
        <v>[Code: 2346CC]  TA: fungus(ulli) lagi hay atay may.</v>
      </c>
      <c r="H302" s="39" t="str">
        <v>Taufeeq Akhtar </v>
      </c>
      <c r="I302" s="39" t="str">
        <f aca="false">IF(ISBLANK(H302),"", IF($H$2:$H1801 = "Gohar Rehan","Overnight",IF($H$2:$H1801 = "Taufeeq Akhtar ","Overnight",IF($H$2:$H1801 = "Zeeshan Ali Malik","Audit",IF($H$2:$H1801 = "Ali Raza ","Receiving",IF($H$2:$H1801 = "Ali Ahmad","Full-In"))))))</f>
        <v>Overnight</v>
      </c>
      <c r="J302" s="29"/>
      <c r="K302" s="50" t="s">
        <v>2248</v>
      </c>
      <c r="L302" s="50" t="s">
        <v>2317</v>
      </c>
      <c r="M302" s="41" t="n">
        <v>1</v>
      </c>
      <c r="N302" s="39" t="s">
        <v>2212</v>
      </c>
      <c r="O302" s="42" t="b">
        <f aca="false">TRUE()</f>
        <v>1</v>
      </c>
      <c r="P302" s="20" t="n">
        <v>2050</v>
      </c>
      <c r="Q302" s="45" t="n">
        <v>2050</v>
      </c>
      <c r="R302" s="43" t="n">
        <v>45158</v>
      </c>
      <c r="S302" s="20" t="str">
        <v>Flour</v>
      </c>
    </row>
    <row r="303" customFormat="false" ht="15.75" hidden="false" customHeight="false" outlineLevel="0" collapsed="false">
      <c r="A303" s="39" t="str">
        <v>22366A</v>
      </c>
      <c r="B303" s="44" t="str">
        <v>Tue,22-August-2023 ,12:03 PM</v>
      </c>
      <c r="C303" s="39" t="str">
        <v>Quality Grains Daal Mash Wash 500g</v>
      </c>
      <c r="D303" s="39" t="str">
        <v>Quality Grains</v>
      </c>
      <c r="E303" s="39" t="str">
        <v>Damaged Stock</v>
      </c>
      <c r="F303" s="45" t="n">
        <v>1</v>
      </c>
      <c r="G303" s="40" t="str">
        <v>[Code: 22366A] one unit found damaged due to fungus</v>
      </c>
      <c r="H303" s="39" t="str">
        <v>Ali Raza </v>
      </c>
      <c r="I303" s="39" t="str">
        <f aca="false">IF(ISBLANK(H303),"", IF($H$2:$H1802 = "Gohar Rehan","Overnight",IF($H$2:$H1802 = "Taufeeq Akhtar ","Overnight",IF($H$2:$H1802 = "Zeeshan Ali Malik","Audit",IF($H$2:$H1802 = "Ali Raza ","Receiving",IF($H$2:$H1802 = "Ali Ahmad","Full-In"))))))</f>
        <v>Receiving</v>
      </c>
      <c r="J303" s="29"/>
      <c r="K303" s="50" t="s">
        <v>2248</v>
      </c>
      <c r="L303" s="50" t="s">
        <v>2317</v>
      </c>
      <c r="M303" s="41"/>
      <c r="N303" s="39" t="s">
        <v>2212</v>
      </c>
      <c r="O303" s="46" t="b">
        <f aca="false">FALSE()</f>
        <v>0</v>
      </c>
      <c r="P303" s="20" t="n">
        <v>272</v>
      </c>
      <c r="Q303" s="45" t="n">
        <v>272</v>
      </c>
      <c r="R303" s="43" t="n">
        <v>45160</v>
      </c>
      <c r="S303" s="20" t="str">
        <v>Pulses</v>
      </c>
    </row>
    <row r="304" customFormat="false" ht="15.75" hidden="false" customHeight="false" outlineLevel="0" collapsed="false">
      <c r="A304" s="39" t="str">
        <v>344566</v>
      </c>
      <c r="B304" s="44" t="str">
        <v>Tue,22-August-2023 ,10:20 PM</v>
      </c>
      <c r="C304" s="39" t="str">
        <v>Shangrila Tomato Ketchup x6 Bundle 225g</v>
      </c>
      <c r="D304" s="39" t="str">
        <v>Shangrila</v>
      </c>
      <c r="E304" s="39" t="str">
        <v>Damaged Stock</v>
      </c>
      <c r="F304" s="45" t="n">
        <v>1</v>
      </c>
      <c r="G304" s="40" t="str">
        <v>[Code: 344566] TA: Found damaged from box during display.</v>
      </c>
      <c r="H304" s="39" t="str">
        <v>Taufeeq Akhtar </v>
      </c>
      <c r="I304" s="39" t="str">
        <f aca="false">IF(ISBLANK(H304),"", IF($H$2:$H1803 = "Gohar Rehan","Overnight",IF($H$2:$H1803 = "Taufeeq Akhtar ","Overnight",IF($H$2:$H1803 = "Zeeshan Ali Malik","Audit",IF($H$2:$H1803 = "Ali Raza ","Receiving",IF($H$2:$H1803 = "Ali Ahmad","Full-In"))))))</f>
        <v>Overnight</v>
      </c>
      <c r="J304" s="29"/>
      <c r="K304" s="50" t="s">
        <v>2248</v>
      </c>
      <c r="L304" s="50" t="s">
        <v>2317</v>
      </c>
      <c r="M304" s="41"/>
      <c r="N304" s="39" t="s">
        <v>2212</v>
      </c>
      <c r="O304" s="46" t="b">
        <f aca="false">FALSE()</f>
        <v>0</v>
      </c>
      <c r="P304" s="20" t="n">
        <v>614.12</v>
      </c>
      <c r="Q304" s="45" t="n">
        <v>614.12</v>
      </c>
      <c r="R304" s="43" t="n">
        <v>45160</v>
      </c>
      <c r="S304" s="20" t="str">
        <v>Sauces</v>
      </c>
    </row>
    <row r="305" customFormat="false" ht="15.75" hidden="false" customHeight="false" outlineLevel="0" collapsed="false">
      <c r="A305" s="39" t="str">
        <v>25677C</v>
      </c>
      <c r="B305" s="44" t="str">
        <v>Wed,23-August-2023 ,04:47 PM</v>
      </c>
      <c r="C305" s="39" t="str">
        <v>Sherdil Masar Desi 5kg</v>
      </c>
      <c r="D305" s="39" t="str">
        <v>Sherdil</v>
      </c>
      <c r="E305" s="39" t="str">
        <v>Damaged Stock</v>
      </c>
      <c r="F305" s="45" t="n">
        <v>11</v>
      </c>
      <c r="G305" s="40" t="str">
        <v>[Code: 25677C] 11 units have quality issue </v>
      </c>
      <c r="H305" s="39" t="str">
        <v>Ali Raza </v>
      </c>
      <c r="I305" s="39" t="str">
        <f aca="false">IF(ISBLANK(H305),"", IF($H$2:$H1804 = "Gohar Rehan","Overnight",IF($H$2:$H1804 = "Taufeeq Akhtar ","Overnight",IF($H$2:$H1804 = "Zeeshan Ali Malik","Audit",IF($H$2:$H1804 = "Ali Raza ","Receiving",IF($H$2:$H1804 = "Ali Ahmad","Full-In"))))))</f>
        <v>Receiving</v>
      </c>
      <c r="J305" s="29"/>
      <c r="K305" s="50" t="s">
        <v>2248</v>
      </c>
      <c r="L305" s="50" t="s">
        <v>2317</v>
      </c>
      <c r="M305" s="41"/>
      <c r="N305" s="39" t="s">
        <v>2212</v>
      </c>
      <c r="O305" s="46" t="b">
        <f aca="false">FALSE()</f>
        <v>0</v>
      </c>
      <c r="P305" s="20" t="n">
        <v>2737</v>
      </c>
      <c r="Q305" s="45" t="n">
        <v>30107</v>
      </c>
      <c r="R305" s="43" t="n">
        <v>45161</v>
      </c>
      <c r="S305" s="20" t="str">
        <v>Pulses</v>
      </c>
    </row>
    <row r="306" customFormat="false" ht="15.75" hidden="false" customHeight="false" outlineLevel="0" collapsed="false">
      <c r="A306" s="39" t="str">
        <v>46AGHH</v>
      </c>
      <c r="B306" s="44" t="str">
        <v>Wed,23-August-2023 ,04:57 PM</v>
      </c>
      <c r="C306" s="39" t="str">
        <v>Sherdil Masar Desi 500g</v>
      </c>
      <c r="D306" s="39" t="str">
        <v>Sherdil</v>
      </c>
      <c r="E306" s="39" t="str">
        <v>Damaged Stock</v>
      </c>
      <c r="F306" s="45" t="n">
        <v>289</v>
      </c>
      <c r="G306" s="40" t="str">
        <v>[Code: 46AGHH] 289 units return to vendor due to low sale</v>
      </c>
      <c r="H306" s="39" t="str">
        <v>Ali Raza </v>
      </c>
      <c r="I306" s="39" t="str">
        <f aca="false">IF(ISBLANK(H306),"", IF($H$2:$H1805 = "Gohar Rehan","Overnight",IF($H$2:$H1805 = "Taufeeq Akhtar ","Overnight",IF($H$2:$H1805 = "Zeeshan Ali Malik","Audit",IF($H$2:$H1805 = "Ali Raza ","Receiving",IF($H$2:$H1805 = "Ali Ahmad","Full-In"))))))</f>
        <v>Receiving</v>
      </c>
      <c r="J306" s="29"/>
      <c r="K306" s="50" t="s">
        <v>2248</v>
      </c>
      <c r="L306" s="50" t="s">
        <v>2317</v>
      </c>
      <c r="M306" s="41"/>
      <c r="N306" s="39" t="s">
        <v>2212</v>
      </c>
      <c r="O306" s="46" t="b">
        <f aca="false">FALSE()</f>
        <v>0</v>
      </c>
      <c r="P306" s="20" t="n">
        <v>293</v>
      </c>
      <c r="Q306" s="45" t="n">
        <v>84677</v>
      </c>
      <c r="R306" s="43" t="n">
        <v>45161</v>
      </c>
      <c r="S306" s="20" t="str">
        <v>Pulses</v>
      </c>
    </row>
    <row r="307" customFormat="false" ht="15.75" hidden="false" customHeight="false" outlineLevel="0" collapsed="false">
      <c r="A307" s="39" t="str">
        <v>3AAEFL</v>
      </c>
      <c r="B307" s="44" t="str">
        <v>Wed,23-August-2023 ,04:59 PM</v>
      </c>
      <c r="C307" s="39" t="str">
        <v>Sherdil Masar Desi 1kg</v>
      </c>
      <c r="D307" s="39" t="str">
        <v>Sherdil</v>
      </c>
      <c r="E307" s="39" t="str">
        <v>Damaged Stock</v>
      </c>
      <c r="F307" s="45" t="n">
        <v>98</v>
      </c>
      <c r="G307" s="40" t="str">
        <v>[Code: 3AAEFL] 98 units return to vendor due to sale </v>
      </c>
      <c r="H307" s="39" t="str">
        <v>Ali Raza </v>
      </c>
      <c r="I307" s="39" t="str">
        <f aca="false">IF(ISBLANK(H307),"", IF($H$2:$H1806 = "Gohar Rehan","Overnight",IF($H$2:$H1806 = "Taufeeq Akhtar ","Overnight",IF($H$2:$H1806 = "Zeeshan Ali Malik","Audit",IF($H$2:$H1806 = "Ali Raza ","Receiving",IF($H$2:$H1806 = "Ali Ahmad","Full-In"))))))</f>
        <v>Receiving</v>
      </c>
      <c r="J307" s="29"/>
      <c r="K307" s="50" t="s">
        <v>2248</v>
      </c>
      <c r="L307" s="50" t="s">
        <v>2317</v>
      </c>
      <c r="M307" s="41"/>
      <c r="N307" s="39" t="s">
        <v>2212</v>
      </c>
      <c r="O307" s="46" t="b">
        <f aca="false">FALSE()</f>
        <v>0</v>
      </c>
      <c r="P307" s="20" t="n">
        <v>569</v>
      </c>
      <c r="Q307" s="45" t="n">
        <v>55762</v>
      </c>
      <c r="R307" s="43" t="n">
        <v>45161</v>
      </c>
      <c r="S307" s="20" t="str">
        <v>Pulses</v>
      </c>
    </row>
    <row r="308" customFormat="false" ht="15.75" hidden="false" customHeight="false" outlineLevel="0" collapsed="false">
      <c r="A308" s="39" t="str">
        <v>89EFFJ</v>
      </c>
      <c r="B308" s="44" t="str">
        <v>Fri,25-August-2023 ,06:02 PM</v>
      </c>
      <c r="C308" s="39" t="str">
        <v>Juice Time Red Grape x24 200ml</v>
      </c>
      <c r="D308" s="39" t="str">
        <v>Juice Time</v>
      </c>
      <c r="E308" s="39" t="str">
        <v>Damaged Stock</v>
      </c>
      <c r="F308" s="45" t="n">
        <v>1</v>
      </c>
      <c r="G308" s="40" t="str">
        <v>[Code: 89EFFJ]   TA: Found damaged during display.</v>
      </c>
      <c r="H308" s="39" t="str">
        <v>Taufeeq Akhtar </v>
      </c>
      <c r="I308" s="39" t="str">
        <f aca="false">IF(ISBLANK(H308),"", IF($H$2:$H1807 = "Gohar Rehan","Overnight",IF($H$2:$H1807 = "Taufeeq Akhtar ","Overnight",IF($H$2:$H1807 = "Zeeshan Ali Malik","Audit",IF($H$2:$H1807 = "Ali Raza ","Receiving",IF($H$2:$H1807 = "Ali Ahmad","Full-In"))))))</f>
        <v>Overnight</v>
      </c>
      <c r="J308" s="29"/>
      <c r="K308" s="50" t="s">
        <v>2248</v>
      </c>
      <c r="L308" s="50" t="s">
        <v>2317</v>
      </c>
      <c r="M308" s="41"/>
      <c r="N308" s="39" t="s">
        <v>2250</v>
      </c>
      <c r="O308" s="46" t="b">
        <f aca="false">FALSE()</f>
        <v>0</v>
      </c>
      <c r="P308" s="20" t="n">
        <v>555</v>
      </c>
      <c r="Q308" s="45" t="n">
        <v>555</v>
      </c>
      <c r="R308" s="43" t="n">
        <v>45163</v>
      </c>
      <c r="S308" s="20" t="str">
        <v>Juice, Syrup, Squash</v>
      </c>
    </row>
    <row r="309" customFormat="false" ht="15.75" hidden="false" customHeight="false" outlineLevel="0" collapsed="false">
      <c r="A309" s="39" t="str">
        <v>57899E</v>
      </c>
      <c r="B309" s="44" t="str">
        <v>Fri,25-August-2023 ,06:04 PM</v>
      </c>
      <c r="C309" s="39" t="str">
        <v>Aquafina Mineral Water 1.5L </v>
      </c>
      <c r="D309" s="39" t="str">
        <v>Aquafina</v>
      </c>
      <c r="E309" s="39" t="str">
        <v>Damaged Stock</v>
      </c>
      <c r="F309" s="45" t="n">
        <v>1</v>
      </c>
      <c r="G309" s="40" t="str">
        <v>[Code: 57899E]  TA: Found damaged  during sorting.</v>
      </c>
      <c r="H309" s="39" t="str">
        <v>Taufeeq Akhtar </v>
      </c>
      <c r="I309" s="39" t="str">
        <f aca="false">IF(ISBLANK(H309),"", IF($H$2:$H1808 = "Gohar Rehan","Overnight",IF($H$2:$H1808 = "Taufeeq Akhtar ","Overnight",IF($H$2:$H1808 = "Zeeshan Ali Malik","Audit",IF($H$2:$H1808 = "Ali Raza ","Receiving",IF($H$2:$H1808 = "Ali Ahmad","Full-In"))))))</f>
        <v>Overnight</v>
      </c>
      <c r="J309" s="29"/>
      <c r="K309" s="50" t="s">
        <v>2248</v>
      </c>
      <c r="L309" s="50" t="s">
        <v>2317</v>
      </c>
      <c r="M309" s="41"/>
      <c r="N309" s="39" t="s">
        <v>2250</v>
      </c>
      <c r="O309" s="46" t="b">
        <f aca="false">FALSE()</f>
        <v>0</v>
      </c>
      <c r="P309" s="20" t="n">
        <v>425</v>
      </c>
      <c r="Q309" s="45" t="n">
        <v>425</v>
      </c>
      <c r="R309" s="43" t="n">
        <v>45163</v>
      </c>
      <c r="S309" s="20" t="str">
        <v>Beverages</v>
      </c>
    </row>
    <row r="310" customFormat="false" ht="15.75" hidden="false" customHeight="false" outlineLevel="0" collapsed="false">
      <c r="A310" s="39" t="str">
        <v>2346AB</v>
      </c>
      <c r="B310" s="44" t="str">
        <v>Sat,26-August-2023 ,11:26 PM</v>
      </c>
      <c r="C310" s="39" t="str">
        <v>Bonus tristar detergent x6 bundle 48g Rs10</v>
      </c>
      <c r="D310" s="39" t="str">
        <v>Bonus Surf</v>
      </c>
      <c r="E310" s="39" t="str">
        <v>Damaged Stock</v>
      </c>
      <c r="F310" s="45" t="n">
        <v>1</v>
      </c>
      <c r="G310" s="40" t="str">
        <v>[Code: 2346AB]  TA: Damage Found during displa </v>
      </c>
      <c r="H310" s="39" t="str">
        <v>Taufeeq Akhtar </v>
      </c>
      <c r="I310" s="39" t="str">
        <f aca="false">IF(ISBLANK(H310),"", IF($H$2:$H1809 = "Gohar Rehan","Overnight",IF($H$2:$H1809 = "Taufeeq Akhtar ","Overnight",IF($H$2:$H1809 = "Zeeshan Ali Malik","Audit",IF($H$2:$H1809 = "Ali Raza ","Receiving",IF($H$2:$H1809 = "Ali Ahmad","Full-In"))))))</f>
        <v>Overnight</v>
      </c>
      <c r="J310" s="29"/>
      <c r="K310" s="50" t="s">
        <v>2248</v>
      </c>
      <c r="L310" s="50" t="s">
        <v>2319</v>
      </c>
      <c r="M310" s="45" t="n">
        <v>1</v>
      </c>
      <c r="N310" s="39" t="s">
        <v>2212</v>
      </c>
      <c r="O310" s="46" t="b">
        <f aca="false">FALSE()</f>
        <v>0</v>
      </c>
      <c r="P310" s="20" t="n">
        <v>55.25</v>
      </c>
      <c r="Q310" s="45" t="n">
        <v>55.25</v>
      </c>
      <c r="R310" s="43" t="n">
        <v>45164</v>
      </c>
      <c r="S310" s="20" t="str">
        <v>Surf, Bleach</v>
      </c>
    </row>
    <row r="311" customFormat="false" ht="15.75" hidden="false" customHeight="false" outlineLevel="0" collapsed="false">
      <c r="A311" s="39" t="str">
        <v>69CDEF</v>
      </c>
      <c r="B311" s="44" t="str">
        <v>Sat,26-August-2023 ,11:31 PM</v>
      </c>
      <c r="C311" s="39" t="str">
        <v>Surf Excel x6 bundle 20g Rs 10</v>
      </c>
      <c r="D311" s="39" t="str">
        <v>Surf Excel</v>
      </c>
      <c r="E311" s="39" t="str">
        <v>Damaged Stock</v>
      </c>
      <c r="F311" s="45" t="n">
        <v>2</v>
      </c>
      <c r="G311" s="40" t="str">
        <v>[Code: 69CDEF]  TA:Display krty time Bags sy damage mily hain</v>
      </c>
      <c r="H311" s="39" t="str">
        <v>Taufeeq Akhtar </v>
      </c>
      <c r="I311" s="39" t="str">
        <f aca="false">IF(ISBLANK(H311),"", IF($H$2:$H1810 = "Gohar Rehan","Overnight",IF($H$2:$H1810 = "Taufeeq Akhtar ","Overnight",IF($H$2:$H1810 = "Zeeshan Ali Malik","Audit",IF($H$2:$H1810 = "Ali Raza ","Receiving",IF($H$2:$H1810 = "Ali Ahmad","Full-In"))))))</f>
        <v>Overnight</v>
      </c>
      <c r="J311" s="29"/>
      <c r="K311" s="50" t="s">
        <v>2248</v>
      </c>
      <c r="L311" s="50" t="s">
        <v>2319</v>
      </c>
      <c r="M311" s="41"/>
      <c r="N311" s="39" t="s">
        <v>2250</v>
      </c>
      <c r="O311" s="46" t="b">
        <f aca="false">FALSE()</f>
        <v>0</v>
      </c>
      <c r="P311" s="20" t="n">
        <v>55.21</v>
      </c>
      <c r="Q311" s="45" t="n">
        <v>110.42</v>
      </c>
      <c r="R311" s="43" t="n">
        <v>45164</v>
      </c>
      <c r="S311" s="20" t="str">
        <v>Surf, Bleach</v>
      </c>
    </row>
    <row r="312" customFormat="false" ht="15.75" hidden="false" customHeight="false" outlineLevel="0" collapsed="false">
      <c r="A312" s="39" t="str">
        <v>245577</v>
      </c>
      <c r="B312" s="44" t="str">
        <v>Mon,28-August-2023 ,11:28 AM</v>
      </c>
      <c r="C312" s="39" t="str">
        <v>Swadi Dharra Mirch 2kg</v>
      </c>
      <c r="D312" s="39" t="str">
        <v>Swadi</v>
      </c>
      <c r="E312" s="39" t="str">
        <v>Damaged Stock</v>
      </c>
      <c r="F312" s="45" t="n">
        <v>9</v>
      </c>
      <c r="G312" s="40" t="str">
        <v>[Code: 245577] 09 units return to vendor due to quality issue in stock on 20-07-23 but not removed from the system</v>
      </c>
      <c r="H312" s="39" t="str">
        <v>Ali Raza </v>
      </c>
      <c r="I312" s="39" t="str">
        <f aca="false">IF(ISBLANK(H312),"", IF($H$2:$H1811 = "Gohar Rehan","Overnight",IF($H$2:$H1811 = "Taufeeq Akhtar ","Overnight",IF($H$2:$H1811 = "Zeeshan Ali Malik","Audit",IF($H$2:$H1811 = "Ali Raza ","Receiving",IF($H$2:$H1811 = "Ali Ahmad","Full-In"))))))</f>
        <v>Receiving</v>
      </c>
      <c r="J312" s="29"/>
      <c r="K312" s="50" t="s">
        <v>2248</v>
      </c>
      <c r="L312" s="50" t="s">
        <v>2319</v>
      </c>
      <c r="M312" s="41"/>
      <c r="N312" s="39" t="s">
        <v>2212</v>
      </c>
      <c r="O312" s="46" t="b">
        <f aca="false">FALSE()</f>
        <v>0</v>
      </c>
      <c r="P312" s="20" t="n">
        <v>1200</v>
      </c>
      <c r="Q312" s="45" t="n">
        <v>10800</v>
      </c>
      <c r="R312" s="43" t="n">
        <v>45166</v>
      </c>
      <c r="S312" s="20" t="str">
        <v>Spices</v>
      </c>
    </row>
    <row r="313" customFormat="false" ht="15.75" hidden="false" customHeight="false" outlineLevel="0" collapsed="false">
      <c r="A313" s="39" t="str">
        <v>334AAF</v>
      </c>
      <c r="B313" s="44" t="str">
        <v>Mon,28-August-2023 ,01:06 PM</v>
      </c>
      <c r="C313" s="39" t="str">
        <v>Dummer Super Fine Atta 15kg</v>
      </c>
      <c r="D313" s="39" t="str">
        <v>Dummer Atta</v>
      </c>
      <c r="E313" s="39" t="str">
        <v>Damaged Stock</v>
      </c>
      <c r="F313" s="45" t="n">
        <v>2</v>
      </c>
      <c r="G313" s="40" t="str">
        <v>[Code: 334AAF] 02 units found damaged</v>
      </c>
      <c r="H313" s="39" t="str">
        <v>Ali Raza </v>
      </c>
      <c r="I313" s="39" t="str">
        <f aca="false">IF(ISBLANK(H313),"", IF($H$2:$H1812 = "Gohar Rehan","Overnight",IF($H$2:$H1812 = "Taufeeq Akhtar ","Overnight",IF($H$2:$H1812 = "Zeeshan Ali Malik","Audit",IF($H$2:$H1812 = "Ali Raza ","Receiving",IF($H$2:$H1812 = "Ali Ahmad","Full-In"))))))</f>
        <v>Receiving</v>
      </c>
      <c r="J313" s="29"/>
      <c r="K313" s="50" t="s">
        <v>2248</v>
      </c>
      <c r="L313" s="50" t="s">
        <v>2317</v>
      </c>
      <c r="M313" s="41" t="n">
        <v>2</v>
      </c>
      <c r="N313" s="39" t="s">
        <v>2212</v>
      </c>
      <c r="O313" s="42" t="b">
        <f aca="false">TRUE()</f>
        <v>1</v>
      </c>
      <c r="P313" s="20" t="n">
        <v>2050</v>
      </c>
      <c r="Q313" s="45" t="n">
        <v>4100</v>
      </c>
      <c r="R313" s="43" t="n">
        <v>45166</v>
      </c>
      <c r="S313" s="20" t="str">
        <v>Flour</v>
      </c>
    </row>
    <row r="314" customFormat="false" ht="15.75" hidden="false" customHeight="false" outlineLevel="0" collapsed="false">
      <c r="A314" s="39" t="str">
        <v>349BEE</v>
      </c>
      <c r="B314" s="44" t="str">
        <v>Mon,28-August-2023 ,09:49 PM</v>
      </c>
      <c r="C314" s="39" t="str">
        <v>Coca Cola plastic 1L</v>
      </c>
      <c r="D314" s="39" t="str">
        <v>Coca Cola</v>
      </c>
      <c r="E314" s="39" t="str">
        <v>Damaged Stock</v>
      </c>
      <c r="F314" s="45" t="n">
        <v>1</v>
      </c>
      <c r="G314" s="40" t="str">
        <v>[Code: 349BEE] TA:Found loose during sorting.</v>
      </c>
      <c r="H314" s="39" t="str">
        <v>Taufeeq Akhtar </v>
      </c>
      <c r="I314" s="39" t="str">
        <f aca="false">IF(ISBLANK(H314),"", IF($H$2:$H1813 = "Gohar Rehan","Overnight",IF($H$2:$H1813 = "Taufeeq Akhtar ","Overnight",IF($H$2:$H1813 = "Zeeshan Ali Malik","Audit",IF($H$2:$H1813 = "Ali Raza ","Receiving",IF($H$2:$H1813 = "Ali Ahmad","Full-In"))))))</f>
        <v>Overnight</v>
      </c>
      <c r="J314" s="29"/>
      <c r="K314" s="50" t="s">
        <v>2248</v>
      </c>
      <c r="L314" s="50" t="s">
        <v>2319</v>
      </c>
      <c r="M314" s="41" t="n">
        <v>1</v>
      </c>
      <c r="N314" s="39" t="s">
        <v>2212</v>
      </c>
      <c r="O314" s="42" t="b">
        <f aca="false">TRUE()</f>
        <v>1</v>
      </c>
      <c r="P314" s="20" t="n">
        <v>724</v>
      </c>
      <c r="Q314" s="45" t="n">
        <v>724</v>
      </c>
      <c r="R314" s="43" t="n">
        <v>45166</v>
      </c>
      <c r="S314" s="20" t="str">
        <v>Beverages</v>
      </c>
    </row>
    <row r="315" customFormat="false" ht="15.75" hidden="false" customHeight="false" outlineLevel="0" collapsed="false">
      <c r="A315" s="39" t="str">
        <v>2367AACE</v>
      </c>
      <c r="B315" s="44" t="str">
        <v>Tue,29-August-2023 ,10:51 PM</v>
      </c>
      <c r="C315" s="39" t="str">
        <v>Express power 1kg Rs480</v>
      </c>
      <c r="D315" s="39" t="str">
        <v>Express Surf</v>
      </c>
      <c r="E315" s="39" t="str">
        <v>Damaged Stock</v>
      </c>
      <c r="F315" s="45" t="n">
        <v>1</v>
      </c>
      <c r="G315" s="40" t="str">
        <v>[Code: 2367AACE] TA:found damaged during stock display...</v>
      </c>
      <c r="H315" s="39" t="str">
        <v>Taufeeq Akhtar </v>
      </c>
      <c r="I315" s="39" t="str">
        <f aca="false">IF(ISBLANK(H315),"", IF($H$2:$H1814 = "Gohar Rehan","Overnight",IF($H$2:$H1814 = "Taufeeq Akhtar ","Overnight",IF($H$2:$H1814 = "Zeeshan Ali Malik","Audit",IF($H$2:$H1814 = "Ali Raza ","Receiving",IF($H$2:$H1814 = "Ali Ahmad","Full-In"))))))</f>
        <v>Overnight</v>
      </c>
      <c r="J315" s="29"/>
      <c r="K315" s="50" t="s">
        <v>2248</v>
      </c>
      <c r="L315" s="50" t="s">
        <v>2319</v>
      </c>
      <c r="M315" s="41" t="n">
        <v>1</v>
      </c>
      <c r="N315" s="39" t="s">
        <v>2212</v>
      </c>
      <c r="O315" s="42" t="b">
        <f aca="false">TRUE()</f>
        <v>1</v>
      </c>
      <c r="P315" s="20" t="n">
        <v>435.69</v>
      </c>
      <c r="Q315" s="45" t="n">
        <v>435.69</v>
      </c>
      <c r="R315" s="43" t="n">
        <v>45167</v>
      </c>
      <c r="S315" s="20" t="str">
        <v>Surf, Bleach</v>
      </c>
    </row>
    <row r="316" customFormat="false" ht="15.75" hidden="false" customHeight="false" outlineLevel="0" collapsed="false">
      <c r="A316" s="39" t="str">
        <v>2389AFGJ</v>
      </c>
      <c r="B316" s="44" t="str">
        <v>Wed,30-August-2023 ,08:24 PM</v>
      </c>
      <c r="C316" s="39" t="str">
        <v>Murree Brewery Bigg Lychee Plastic x12 Crate 300ml</v>
      </c>
      <c r="D316" s="39" t="str">
        <v>Murree Brewery</v>
      </c>
      <c r="E316" s="39" t="str">
        <v>Damaged Stock</v>
      </c>
      <c r="F316" s="45" t="n">
        <v>1</v>
      </c>
      <c r="G316" s="40" t="str">
        <v>[Code: 2389AFGJ] TA:Found two bottels  loose and one bottel damaged during sorting ...</v>
      </c>
      <c r="H316" s="39" t="str">
        <v>Daniyal Ahmad</v>
      </c>
      <c r="I316" s="49" t="b">
        <f aca="false">IF(ISBLANK(H316),"", IF($H$2:$H1815 = "Gohar Rehan","Overnight",IF($H$2:$H1815 = "Taufeeq Akhtar ","Overnight",IF($H$2:$H1815 = "Zeeshan Ali Malik","Audit",IF($H$2:$H1815 = "Ali Raza ","Receiving",IF($H$2:$H1815 = "Ali Ahmad","Full-In"))))))</f>
        <v>0</v>
      </c>
      <c r="J316" s="29"/>
      <c r="K316" s="50" t="s">
        <v>2248</v>
      </c>
      <c r="L316" s="50" t="s">
        <v>2320</v>
      </c>
      <c r="M316" s="41" t="n">
        <v>1</v>
      </c>
      <c r="N316" s="39" t="s">
        <v>2212</v>
      </c>
      <c r="O316" s="42" t="b">
        <f aca="false">TRUE()</f>
        <v>1</v>
      </c>
      <c r="P316" s="20" t="n">
        <v>394.25</v>
      </c>
      <c r="Q316" s="45" t="n">
        <v>394.25</v>
      </c>
      <c r="R316" s="43" t="n">
        <v>45168</v>
      </c>
      <c r="S316" s="20" t="str">
        <v>Beverages</v>
      </c>
    </row>
    <row r="317" customFormat="false" ht="15.75" hidden="false" customHeight="false" outlineLevel="0" collapsed="false">
      <c r="A317" s="39" t="str">
        <v>499DEJJJ</v>
      </c>
      <c r="B317" s="44" t="str">
        <v>Thu,31-August-2023 ,11:45 AM</v>
      </c>
      <c r="C317" s="39" t="str">
        <v>Sherdil Daal Mash Chilka 5kg</v>
      </c>
      <c r="D317" s="39" t="str">
        <v>Sherdil</v>
      </c>
      <c r="E317" s="39" t="str">
        <v>Damaged Stock</v>
      </c>
      <c r="F317" s="45" t="n">
        <v>2</v>
      </c>
      <c r="G317" s="40" t="str">
        <v>[Code: 499DEJJJ] 02 units was damaged and return to vendor.</v>
      </c>
      <c r="H317" s="39" t="str">
        <v>Ali Raza </v>
      </c>
      <c r="I317" s="39" t="str">
        <f aca="false">IF(ISBLANK(H317),"", IF($H$2:$H1816 = "Gohar Rehan","Overnight",IF($H$2:$H1816 = "Taufeeq Akhtar ","Overnight",IF($H$2:$H1816 = "Zeeshan Ali Malik","Audit",IF($H$2:$H1816 = "Ali Raza ","Receiving",IF($H$2:$H1816 = "Ali Ahmad","Full-In"))))))</f>
        <v>Receiving</v>
      </c>
      <c r="J317" s="29"/>
      <c r="K317" s="50" t="s">
        <v>2248</v>
      </c>
      <c r="L317" s="48" t="s">
        <v>2321</v>
      </c>
      <c r="M317" s="52"/>
      <c r="N317" s="39" t="s">
        <v>2212</v>
      </c>
      <c r="O317" s="46" t="b">
        <f aca="false">FALSE()</f>
        <v>0</v>
      </c>
      <c r="P317" s="20" t="n">
        <v>2495</v>
      </c>
      <c r="Q317" s="45" t="n">
        <v>4990</v>
      </c>
      <c r="R317" s="43" t="n">
        <v>45169</v>
      </c>
      <c r="S317" s="20" t="str">
        <v>Pulses</v>
      </c>
    </row>
    <row r="318" customFormat="false" ht="15.75" hidden="false" customHeight="false" outlineLevel="0" collapsed="false">
      <c r="A318" s="39" t="str">
        <v>25BBFGGH</v>
      </c>
      <c r="B318" s="44" t="str">
        <v>Thu,31-August-2023 ,11:46 AM</v>
      </c>
      <c r="C318" s="39" t="str">
        <v>Sherdil Daal Mash Wash 5kg</v>
      </c>
      <c r="D318" s="39" t="str">
        <v>Sherdil</v>
      </c>
      <c r="E318" s="39" t="str">
        <v>Damaged Stock</v>
      </c>
      <c r="F318" s="45" t="n">
        <v>4</v>
      </c>
      <c r="G318" s="40" t="str">
        <v>[Code: 25BBFGGH] 4 units found damaged due to fungus.</v>
      </c>
      <c r="H318" s="39" t="str">
        <v>Ali Raza </v>
      </c>
      <c r="I318" s="39" t="str">
        <f aca="false">IF(ISBLANK(H318),"", IF($H$2:$H1817 = "Gohar Rehan","Overnight",IF($H$2:$H1817 = "Taufeeq Akhtar ","Overnight",IF($H$2:$H1817 = "Zeeshan Ali Malik","Audit",IF($H$2:$H1817 = "Ali Raza ","Receiving",IF($H$2:$H1817 = "Ali Ahmad","Full-In"))))))</f>
        <v>Receiving</v>
      </c>
      <c r="J318" s="29"/>
      <c r="K318" s="50" t="s">
        <v>2248</v>
      </c>
      <c r="L318" s="48" t="s">
        <v>2321</v>
      </c>
      <c r="M318" s="53"/>
      <c r="N318" s="39" t="s">
        <v>2212</v>
      </c>
      <c r="O318" s="46" t="b">
        <f aca="false">FALSE()</f>
        <v>0</v>
      </c>
      <c r="P318" s="20" t="n">
        <v>2822</v>
      </c>
      <c r="Q318" s="45" t="n">
        <v>11288</v>
      </c>
      <c r="R318" s="43" t="n">
        <v>45169</v>
      </c>
      <c r="S318" s="20" t="str">
        <v>Pulses</v>
      </c>
    </row>
    <row r="319" customFormat="false" ht="15.75" hidden="false" customHeight="false" outlineLevel="0" collapsed="false">
      <c r="A319" s="39" t="str">
        <v>557ABCCJ</v>
      </c>
      <c r="B319" s="44" t="str">
        <v>Thu,31-August-2023 ,11:50 AM</v>
      </c>
      <c r="C319" s="39" t="str">
        <v>Sherdil White Chana Mota 500g</v>
      </c>
      <c r="D319" s="39" t="str">
        <v>Sherdil</v>
      </c>
      <c r="E319" s="39" t="str">
        <v>Damaged Stock</v>
      </c>
      <c r="F319" s="45" t="n">
        <v>1</v>
      </c>
      <c r="G319" s="40" t="str">
        <v>[Code: 557ABCCJ] 1 unit found damaged having quality issue.</v>
      </c>
      <c r="H319" s="39" t="str">
        <v>Ali Raza </v>
      </c>
      <c r="I319" s="39" t="str">
        <f aca="false">IF(ISBLANK(H319),"", IF($H$2:$H1818 = "Gohar Rehan","Overnight",IF($H$2:$H1818 = "Taufeeq Akhtar ","Overnight",IF($H$2:$H1818 = "Zeeshan Ali Malik","Audit",IF($H$2:$H1818 = "Ali Raza ","Receiving",IF($H$2:$H1818 = "Ali Ahmad","Full-In"))))))</f>
        <v>Receiving</v>
      </c>
      <c r="J319" s="29"/>
      <c r="K319" s="50" t="s">
        <v>2248</v>
      </c>
      <c r="L319" s="48" t="s">
        <v>2321</v>
      </c>
      <c r="M319" s="53"/>
      <c r="N319" s="39" t="s">
        <v>2212</v>
      </c>
      <c r="O319" s="46" t="b">
        <f aca="false">FALSE()</f>
        <v>0</v>
      </c>
      <c r="P319" s="20" t="n">
        <v>240</v>
      </c>
      <c r="Q319" s="45" t="n">
        <v>240</v>
      </c>
      <c r="R319" s="43" t="n">
        <v>45169</v>
      </c>
      <c r="S319" s="20" t="str">
        <v>Pulses</v>
      </c>
    </row>
    <row r="320" customFormat="false" ht="15.75" hidden="false" customHeight="false" outlineLevel="0" collapsed="false">
      <c r="A320" s="39" t="str">
        <v>2345588A</v>
      </c>
      <c r="B320" s="44" t="str">
        <v>Thu,31-August-2023 ,12:09 PM</v>
      </c>
      <c r="C320" s="39" t="str">
        <v>Sherdil Daal Moong Wash 5kg</v>
      </c>
      <c r="D320" s="39" t="str">
        <v>Sherdil</v>
      </c>
      <c r="E320" s="39" t="str">
        <v>Damaged Stock</v>
      </c>
      <c r="F320" s="45" t="n">
        <v>1</v>
      </c>
      <c r="G320" s="40" t="str">
        <v>[Code: 2345588A] 1 unit found damaged due to quality issue.</v>
      </c>
      <c r="H320" s="39" t="str">
        <v>Ali Raza </v>
      </c>
      <c r="I320" s="39" t="str">
        <f aca="false">IF(ISBLANK(H320),"", IF($H$2:$H1819 = "Gohar Rehan","Overnight",IF($H$2:$H1819 = "Taufeeq Akhtar ","Overnight",IF($H$2:$H1819 = "Zeeshan Ali Malik","Audit",IF($H$2:$H1819 = "Ali Raza ","Receiving",IF($H$2:$H1819 = "Ali Ahmad","Full-In"))))))</f>
        <v>Receiving</v>
      </c>
      <c r="J320" s="29"/>
      <c r="K320" s="50" t="s">
        <v>2248</v>
      </c>
      <c r="L320" s="48" t="s">
        <v>2321</v>
      </c>
      <c r="M320" s="53"/>
      <c r="N320" s="39" t="s">
        <v>2212</v>
      </c>
      <c r="O320" s="46" t="b">
        <f aca="false">FALSE()</f>
        <v>0</v>
      </c>
      <c r="P320" s="20" t="n">
        <v>1303</v>
      </c>
      <c r="Q320" s="45" t="n">
        <v>1303</v>
      </c>
      <c r="R320" s="43" t="n">
        <v>45169</v>
      </c>
      <c r="S320" s="20" t="str">
        <v>Pulses</v>
      </c>
    </row>
    <row r="321" customFormat="false" ht="15.75" hidden="false" customHeight="false" outlineLevel="0" collapsed="false">
      <c r="A321" s="39" t="str">
        <v>2458CDEH</v>
      </c>
      <c r="B321" s="44" t="str">
        <v>Thu,31-August-2023 ,12:15 PM</v>
      </c>
      <c r="C321" s="39" t="str">
        <v>Quality Grains Daal Mash Wash 500g</v>
      </c>
      <c r="D321" s="39" t="str">
        <v>Quality Grains</v>
      </c>
      <c r="E321" s="39" t="str">
        <v>Damaged Stock</v>
      </c>
      <c r="F321" s="45" t="n">
        <v>1</v>
      </c>
      <c r="G321" s="40" t="str">
        <v>[Code: 2458CDEH] 1 unit found damaged due to fungus</v>
      </c>
      <c r="H321" s="39" t="str">
        <v>Ali Raza </v>
      </c>
      <c r="I321" s="39" t="str">
        <f aca="false">IF(ISBLANK(H321),"", IF($H$2:$H1820 = "Gohar Rehan","Overnight",IF($H$2:$H1820 = "Taufeeq Akhtar ","Overnight",IF($H$2:$H1820 = "Zeeshan Ali Malik","Audit",IF($H$2:$H1820 = "Ali Raza ","Receiving",IF($H$2:$H1820 = "Ali Ahmad","Full-In"))))))</f>
        <v>Receiving</v>
      </c>
      <c r="J321" s="29"/>
      <c r="K321" s="50" t="s">
        <v>2248</v>
      </c>
      <c r="L321" s="48" t="s">
        <v>2321</v>
      </c>
      <c r="M321" s="41"/>
      <c r="N321" s="39" t="s">
        <v>2212</v>
      </c>
      <c r="O321" s="46" t="b">
        <f aca="false">FALSE()</f>
        <v>0</v>
      </c>
      <c r="P321" s="20" t="n">
        <v>272</v>
      </c>
      <c r="Q321" s="45" t="n">
        <v>272</v>
      </c>
      <c r="R321" s="43" t="n">
        <v>45169</v>
      </c>
      <c r="S321" s="20" t="str">
        <v>Pulses</v>
      </c>
    </row>
    <row r="322" customFormat="false" ht="15.75" hidden="false" customHeight="false" outlineLevel="0" collapsed="false">
      <c r="A322" s="39" t="str">
        <v>3355779B</v>
      </c>
      <c r="B322" s="44" t="str">
        <v>Thu,31-August-2023 ,01:04 PM</v>
      </c>
      <c r="C322" s="39" t="str">
        <v>Quality Grains Daal Mash Wash 1kg</v>
      </c>
      <c r="D322" s="39" t="str">
        <v>Quality Grains</v>
      </c>
      <c r="E322" s="39" t="str">
        <v>Damaged Stock</v>
      </c>
      <c r="F322" s="45" t="n">
        <v>6</v>
      </c>
      <c r="G322" s="40" t="str">
        <v>[Code: 3355779B] 6 units found damaged due to fungus</v>
      </c>
      <c r="H322" s="39" t="str">
        <v>Ali Raza </v>
      </c>
      <c r="I322" s="39" t="str">
        <f aca="false">IF(ISBLANK(H322),"", IF($H$2:$H1821 = "Gohar Rehan","Overnight",IF($H$2:$H1821 = "Taufeeq Akhtar ","Overnight",IF($H$2:$H1821 = "Zeeshan Ali Malik","Audit",IF($H$2:$H1821 = "Ali Raza ","Receiving",IF($H$2:$H1821 = "Ali Ahmad","Full-In"))))))</f>
        <v>Receiving</v>
      </c>
      <c r="J322" s="29"/>
      <c r="K322" s="50" t="s">
        <v>2248</v>
      </c>
      <c r="L322" s="48" t="s">
        <v>2321</v>
      </c>
      <c r="M322" s="41"/>
      <c r="N322" s="39" t="s">
        <v>2212</v>
      </c>
      <c r="O322" s="46" t="b">
        <f aca="false">FALSE()</f>
        <v>0</v>
      </c>
      <c r="P322" s="20" t="n">
        <v>540</v>
      </c>
      <c r="Q322" s="45" t="n">
        <v>3240</v>
      </c>
      <c r="R322" s="43" t="n">
        <v>45169</v>
      </c>
      <c r="S322" s="20" t="str">
        <v>Pulses</v>
      </c>
    </row>
    <row r="323" customFormat="false" ht="15.75" hidden="false" customHeight="false" outlineLevel="0" collapsed="false">
      <c r="A323" s="39" t="str">
        <v>46ADDEHJ</v>
      </c>
      <c r="B323" s="44" t="str">
        <v>Sat,02-September-2023 ,02:36 PM</v>
      </c>
      <c r="C323" s="39" t="str">
        <v>Sherdil White Chana Mota 500g</v>
      </c>
      <c r="D323" s="39" t="str">
        <v>Sherdil</v>
      </c>
      <c r="E323" s="39" t="str">
        <v>Damaged Stock</v>
      </c>
      <c r="F323" s="45" t="n">
        <v>3</v>
      </c>
      <c r="G323" s="40" t="str">
        <v>[Code: 46ADDEHJ] 03 units found damaged due to quality issue</v>
      </c>
      <c r="H323" s="39" t="str">
        <v>Ali Raza </v>
      </c>
      <c r="I323" s="39" t="str">
        <f aca="false">IF(ISBLANK(H323),"", IF($H$2:$H1822 = "Gohar Rehan","Overnight",IF($H$2:$H1822 = "Taufeeq Akhtar ","Overnight",IF($H$2:$H1822 = "Zeeshan Ali Malik","Audit",IF($H$2:$H1822 = "Ali Raza ","Receiving",IF($H$2:$H1822 = "Ali Ahmad","Full-In"))))))</f>
        <v>Receiving</v>
      </c>
      <c r="J323" s="29"/>
      <c r="K323" s="50" t="s">
        <v>2248</v>
      </c>
      <c r="L323" s="48" t="s">
        <v>2322</v>
      </c>
      <c r="M323" s="52"/>
      <c r="N323" s="39" t="s">
        <v>2212</v>
      </c>
      <c r="O323" s="46" t="b">
        <f aca="false">FALSE()</f>
        <v>0</v>
      </c>
      <c r="P323" s="20" t="n">
        <v>240</v>
      </c>
      <c r="Q323" s="45" t="n">
        <v>720</v>
      </c>
      <c r="R323" s="43" t="n">
        <v>45171</v>
      </c>
      <c r="S323" s="20" t="str">
        <v>Pulses</v>
      </c>
    </row>
    <row r="324" customFormat="false" ht="15.75" hidden="false" customHeight="false" outlineLevel="0" collapsed="false">
      <c r="A324" s="39" t="str">
        <v>3445FKMM</v>
      </c>
      <c r="B324" s="44" t="str">
        <v>Sat,02-September-2023 ,10:00 PM</v>
      </c>
      <c r="C324" s="39" t="str">
        <v>7up plastic 1L</v>
      </c>
      <c r="D324" s="39" t="str">
        <v>7up</v>
      </c>
      <c r="E324" s="39" t="str">
        <v>Damaged Stock</v>
      </c>
      <c r="F324" s="45" t="n">
        <v>1</v>
      </c>
      <c r="G324" s="40" t="str">
        <v>[Code: 3445FKMM] TA: Found two empty bottels during sorting.</v>
      </c>
      <c r="H324" s="39" t="str">
        <v>Taufeeq Akhtar </v>
      </c>
      <c r="I324" s="39" t="str">
        <f aca="false">IF(ISBLANK(H324),"", IF($H$2:$H1823 = "Gohar Rehan","Overnight",IF($H$2:$H1823 = "Taufeeq Akhtar ","Overnight",IF($H$2:$H1823 = "Zeeshan Ali Malik","Audit",IF($H$2:$H1823 = "Ali Raza ","Receiving",IF($H$2:$H1823 = "Ali Ahmad","Full-In"))))))</f>
        <v>Overnight</v>
      </c>
      <c r="J324" s="29"/>
      <c r="K324" s="50" t="s">
        <v>2248</v>
      </c>
      <c r="L324" s="48" t="s">
        <v>2323</v>
      </c>
      <c r="M324" s="41"/>
      <c r="N324" s="39" t="s">
        <v>2250</v>
      </c>
      <c r="O324" s="46" t="b">
        <f aca="false">FALSE()</f>
        <v>0</v>
      </c>
      <c r="P324" s="20" t="n">
        <v>595</v>
      </c>
      <c r="Q324" s="45" t="n">
        <v>595</v>
      </c>
      <c r="R324" s="43" t="n">
        <v>45171</v>
      </c>
      <c r="S324" s="20" t="str">
        <v>Beverages</v>
      </c>
    </row>
    <row r="325" customFormat="false" ht="15.75" hidden="false" customHeight="false" outlineLevel="0" collapsed="false">
      <c r="A325" s="39" t="str">
        <v>455666AA</v>
      </c>
      <c r="B325" s="44" t="str">
        <v>Sat,02-September-2023 ,10:02 PM</v>
      </c>
      <c r="C325" s="39" t="str">
        <v>Coca Cola plastic 1.5L</v>
      </c>
      <c r="D325" s="39" t="str">
        <v>Coca Cola</v>
      </c>
      <c r="E325" s="39" t="str">
        <v>Damaged Stock</v>
      </c>
      <c r="F325" s="45" t="n">
        <v>1</v>
      </c>
      <c r="G325" s="40" t="str">
        <v>[Code: 455666AA] TA: found two bottels empty and one bottel loose.</v>
      </c>
      <c r="H325" s="39" t="str">
        <v>Taufeeq Akhtar </v>
      </c>
      <c r="I325" s="39" t="str">
        <f aca="false">IF(ISBLANK(H325),"", IF($H$2:$H1824 = "Gohar Rehan","Overnight",IF($H$2:$H1824 = "Taufeeq Akhtar ","Overnight",IF($H$2:$H1824 = "Zeeshan Ali Malik","Audit",IF($H$2:$H1824 = "Ali Raza ","Receiving",IF($H$2:$H1824 = "Ali Ahmad","Full-In"))))))</f>
        <v>Overnight</v>
      </c>
      <c r="J325" s="29"/>
      <c r="K325" s="50" t="s">
        <v>2248</v>
      </c>
      <c r="L325" s="48" t="s">
        <v>2323</v>
      </c>
      <c r="M325" s="41"/>
      <c r="N325" s="39" t="s">
        <v>2250</v>
      </c>
      <c r="O325" s="46" t="b">
        <f aca="false">FALSE()</f>
        <v>0</v>
      </c>
      <c r="P325" s="20" t="n">
        <v>870</v>
      </c>
      <c r="Q325" s="45" t="n">
        <v>870</v>
      </c>
      <c r="R325" s="43" t="n">
        <v>45171</v>
      </c>
      <c r="S325" s="20" t="str">
        <v>Beverages</v>
      </c>
    </row>
    <row r="326" customFormat="false" ht="15.75" hidden="false" customHeight="false" outlineLevel="0" collapsed="false">
      <c r="A326" s="39" t="str">
        <v>78BCDDJM</v>
      </c>
      <c r="B326" s="44" t="str">
        <v>Sat,02-September-2023 ,10:14 PM</v>
      </c>
      <c r="C326" s="39" t="str">
        <v>Dettol Original Hand Wash Refill Pouch 150ml Rs225</v>
      </c>
      <c r="D326" s="39" t="str">
        <v>Dettol</v>
      </c>
      <c r="E326" s="39" t="str">
        <v>Damaged Stock</v>
      </c>
      <c r="F326" s="45" t="n">
        <v>1</v>
      </c>
      <c r="G326" s="40" t="str">
        <v>[Code: 78BCDDJM] TA: Found damaged from box during display.</v>
      </c>
      <c r="H326" s="39" t="str">
        <v>Taufeeq Akhtar </v>
      </c>
      <c r="I326" s="39" t="str">
        <f aca="false">IF(ISBLANK(H326),"", IF($H$2:$H1825 = "Gohar Rehan","Overnight",IF($H$2:$H1825 = "Taufeeq Akhtar ","Overnight",IF($H$2:$H1825 = "Zeeshan Ali Malik","Audit",IF($H$2:$H1825 = "Ali Raza ","Receiving",IF($H$2:$H1825 = "Ali Ahmad","Full-In"))))))</f>
        <v>Overnight</v>
      </c>
      <c r="J326" s="29"/>
      <c r="K326" s="50" t="s">
        <v>2248</v>
      </c>
      <c r="L326" s="48" t="s">
        <v>2324</v>
      </c>
      <c r="M326" s="41"/>
      <c r="N326" s="39" t="s">
        <v>2250</v>
      </c>
      <c r="O326" s="46" t="b">
        <f aca="false">FALSE()</f>
        <v>0</v>
      </c>
      <c r="P326" s="20" t="n">
        <v>180.67</v>
      </c>
      <c r="Q326" s="45" t="n">
        <v>180.67</v>
      </c>
      <c r="R326" s="43" t="n">
        <v>45171</v>
      </c>
      <c r="S326" s="20" t="str">
        <v>Soap</v>
      </c>
    </row>
    <row r="327" customFormat="false" ht="15.75" hidden="false" customHeight="false" outlineLevel="0" collapsed="false">
      <c r="A327" s="39" t="str">
        <v>23579CJP</v>
      </c>
      <c r="B327" s="44" t="str">
        <v>Sat,02-September-2023 ,11:31 PM</v>
      </c>
      <c r="C327" s="39" t="str">
        <v>Dummer Super Fine Atta 15kg</v>
      </c>
      <c r="D327" s="39" t="str">
        <v>Dummer Atta</v>
      </c>
      <c r="E327" s="39" t="str">
        <v>Damaged Stock</v>
      </c>
      <c r="F327" s="45" t="n">
        <v>1</v>
      </c>
      <c r="G327" s="40" t="str">
        <v>[Code: 23579CJP] TA: found damaged because of rabbit bite.</v>
      </c>
      <c r="H327" s="39" t="str">
        <v>Taufeeq Akhtar </v>
      </c>
      <c r="I327" s="39" t="str">
        <f aca="false">IF(ISBLANK(H327),"", IF($H$2:$H1826 = "Gohar Rehan","Overnight",IF($H$2:$H1826 = "Taufeeq Akhtar ","Overnight",IF($H$2:$H1826 = "Zeeshan Ali Malik","Audit",IF($H$2:$H1826 = "Ali Raza ","Receiving",IF($H$2:$H1826 = "Ali Ahmad","Full-In"))))))</f>
        <v>Overnight</v>
      </c>
      <c r="J327" s="29"/>
      <c r="K327" s="50" t="s">
        <v>2248</v>
      </c>
      <c r="L327" s="48" t="s">
        <v>2322</v>
      </c>
      <c r="M327" s="41" t="n">
        <v>1</v>
      </c>
      <c r="N327" s="39" t="s">
        <v>2212</v>
      </c>
      <c r="O327" s="42" t="b">
        <f aca="false">TRUE()</f>
        <v>1</v>
      </c>
      <c r="P327" s="20" t="n">
        <v>2050</v>
      </c>
      <c r="Q327" s="45" t="n">
        <v>2050</v>
      </c>
      <c r="R327" s="43" t="n">
        <v>45171</v>
      </c>
      <c r="S327" s="20" t="str">
        <v>Flour</v>
      </c>
    </row>
    <row r="328" customFormat="false" ht="15.75" hidden="false" customHeight="false" outlineLevel="0" collapsed="false">
      <c r="A328" s="39" t="str">
        <v>689DFFFG</v>
      </c>
      <c r="B328" s="44" t="str">
        <v>Sat,02-September-2023 ,11:35 PM</v>
      </c>
      <c r="C328" s="39" t="str">
        <v>Kolson Pasta Spaghetti 450g (Hard Box)</v>
      </c>
      <c r="D328" s="39" t="str">
        <v>Kolson</v>
      </c>
      <c r="E328" s="39" t="str">
        <v>Damaged Stock</v>
      </c>
      <c r="F328" s="45" t="n">
        <v>1</v>
      </c>
      <c r="G328" s="40" t="str">
        <v>[Code: 689DFFFG] TA: Found kolson pasta spaghetti 250 grams from box During display(Company end brand exchange)</v>
      </c>
      <c r="H328" s="39" t="str">
        <v>Taufeeq Akhtar </v>
      </c>
      <c r="I328" s="39" t="str">
        <f aca="false">IF(ISBLANK(H328),"", IF($H$2:$H1827 = "Gohar Rehan","Overnight",IF($H$2:$H1827 = "Taufeeq Akhtar ","Overnight",IF($H$2:$H1827 = "Zeeshan Ali Malik","Audit",IF($H$2:$H1827 = "Ali Raza ","Receiving",IF($H$2:$H1827 = "Ali Ahmad","Full-In"))))))</f>
        <v>Overnight</v>
      </c>
      <c r="J328" s="29"/>
      <c r="K328" s="50" t="s">
        <v>2248</v>
      </c>
      <c r="L328" s="48" t="s">
        <v>2325</v>
      </c>
      <c r="M328" s="41" t="n">
        <v>1</v>
      </c>
      <c r="N328" s="39" t="s">
        <v>2212</v>
      </c>
      <c r="O328" s="42" t="b">
        <f aca="false">TRUE()</f>
        <v>1</v>
      </c>
      <c r="P328" s="20" t="n">
        <v>151.69</v>
      </c>
      <c r="Q328" s="45" t="n">
        <v>151.69</v>
      </c>
      <c r="R328" s="43" t="n">
        <v>45171</v>
      </c>
      <c r="S328" s="20" t="str">
        <v>Grocery</v>
      </c>
    </row>
    <row r="329" customFormat="false" ht="15.75" hidden="false" customHeight="false" outlineLevel="0" collapsed="false">
      <c r="A329" s="39" t="str">
        <v>57ABCCFH</v>
      </c>
      <c r="B329" s="44" t="str">
        <v>Sun,03-September-2023 ,09:25 PM</v>
      </c>
      <c r="C329" s="39" t="str">
        <v>Coca Cola plastic 1L</v>
      </c>
      <c r="D329" s="39" t="str">
        <v>Coca Cola</v>
      </c>
      <c r="E329" s="39" t="str">
        <v>Damaged Stock</v>
      </c>
      <c r="F329" s="45" t="n">
        <v>1</v>
      </c>
      <c r="G329" s="40" t="str">
        <v>[Code: 57ABCCFH] TA: Found three bottel loose and three empty bottels during sorting.</v>
      </c>
      <c r="H329" s="39" t="str">
        <v>Taufeeq Akhtar </v>
      </c>
      <c r="I329" s="39" t="str">
        <f aca="false">IF(ISBLANK(H329),"", IF($H$2:$H1828 = "Gohar Rehan","Overnight",IF($H$2:$H1828 = "Taufeeq Akhtar ","Overnight",IF($H$2:$H1828 = "Zeeshan Ali Malik","Audit",IF($H$2:$H1828 = "Ali Raza ","Receiving",IF($H$2:$H1828 = "Ali Ahmad","Full-In"))))))</f>
        <v>Overnight</v>
      </c>
      <c r="J329" s="29"/>
      <c r="K329" s="50" t="s">
        <v>2248</v>
      </c>
      <c r="L329" s="48" t="s">
        <v>2323</v>
      </c>
      <c r="M329" s="41" t="n">
        <v>1</v>
      </c>
      <c r="N329" s="39" t="s">
        <v>2212</v>
      </c>
      <c r="O329" s="42" t="b">
        <f aca="false">TRUE()</f>
        <v>1</v>
      </c>
      <c r="P329" s="20" t="n">
        <v>724</v>
      </c>
      <c r="Q329" s="45" t="n">
        <v>724</v>
      </c>
      <c r="R329" s="43" t="n">
        <v>45172</v>
      </c>
      <c r="S329" s="20" t="str">
        <v>Beverages</v>
      </c>
    </row>
    <row r="330" customFormat="false" ht="15.75" hidden="false" customHeight="false" outlineLevel="0" collapsed="false">
      <c r="A330" s="39" t="str">
        <v>2356899B</v>
      </c>
      <c r="B330" s="44" t="str">
        <v>Sun,03-September-2023 ,09:28 PM</v>
      </c>
      <c r="C330" s="39" t="str">
        <v>Aquafina Mineral Water 1.5L </v>
      </c>
      <c r="D330" s="39" t="str">
        <v>Aquafina</v>
      </c>
      <c r="E330" s="39" t="str">
        <v>Damaged Stock</v>
      </c>
      <c r="F330" s="45" t="n">
        <v>1</v>
      </c>
      <c r="G330" s="40" t="str">
        <v>[Code: 2356899B] TA:Found three empty bottels during sorting.</v>
      </c>
      <c r="H330" s="39" t="str">
        <v>Taufeeq Akhtar </v>
      </c>
      <c r="I330" s="39" t="str">
        <f aca="false">IF(ISBLANK(H330),"", IF($H$2:$H1829 = "Gohar Rehan","Overnight",IF($H$2:$H1829 = "Taufeeq Akhtar ","Overnight",IF($H$2:$H1829 = "Zeeshan Ali Malik","Audit",IF($H$2:$H1829 = "Ali Raza ","Receiving",IF($H$2:$H1829 = "Ali Ahmad","Full-In"))))))</f>
        <v>Overnight</v>
      </c>
      <c r="J330" s="29"/>
      <c r="K330" s="50" t="s">
        <v>2248</v>
      </c>
      <c r="L330" s="48" t="s">
        <v>2323</v>
      </c>
      <c r="M330" s="41"/>
      <c r="N330" s="39" t="s">
        <v>2250</v>
      </c>
      <c r="O330" s="46" t="b">
        <f aca="false">FALSE()</f>
        <v>0</v>
      </c>
      <c r="P330" s="20" t="n">
        <v>425</v>
      </c>
      <c r="Q330" s="45" t="n">
        <v>425</v>
      </c>
      <c r="R330" s="43" t="n">
        <v>45172</v>
      </c>
      <c r="S330" s="20" t="str">
        <v>Beverages</v>
      </c>
    </row>
    <row r="331" customFormat="false" ht="15.75" hidden="false" customHeight="false" outlineLevel="0" collapsed="false">
      <c r="A331" s="39" t="str">
        <v>BCCCDGJJ</v>
      </c>
      <c r="B331" s="44" t="str">
        <v>Mon,04-September-2023 ,10:22 PM</v>
      </c>
      <c r="C331" s="39" t="str">
        <v>Coca Cola plastic 1L</v>
      </c>
      <c r="D331" s="39" t="str">
        <v>Coca Cola</v>
      </c>
      <c r="E331" s="39" t="str">
        <v>Damaged Stock</v>
      </c>
      <c r="F331" s="45" t="n">
        <v>1</v>
      </c>
      <c r="G331" s="40" t="str">
        <v>[Code: BCCCDGJJ] TA: Found foure bottels in loose conditon.(company end issue)</v>
      </c>
      <c r="H331" s="39" t="str">
        <v>Taufeeq Akhtar </v>
      </c>
      <c r="I331" s="39" t="str">
        <f aca="false">IF(ISBLANK(H331),"", IF($H$2:$H1830 = "Gohar Rehan","Overnight",IF($H$2:$H1830 = "Taufeeq Akhtar ","Overnight",IF($H$2:$H1830 = "Zeeshan Ali Malik","Audit",IF($H$2:$H1830 = "Ali Raza ","Receiving",IF($H$2:$H1830 = "Ali Ahmad","Full-In"))))))</f>
        <v>Overnight</v>
      </c>
      <c r="J331" s="29"/>
      <c r="K331" s="50" t="s">
        <v>2248</v>
      </c>
      <c r="L331" s="48" t="s">
        <v>2323</v>
      </c>
      <c r="M331" s="41"/>
      <c r="N331" s="39" t="s">
        <v>2250</v>
      </c>
      <c r="O331" s="46" t="b">
        <f aca="false">FALSE()</f>
        <v>0</v>
      </c>
      <c r="P331" s="20" t="n">
        <v>724</v>
      </c>
      <c r="Q331" s="45" t="n">
        <v>724</v>
      </c>
      <c r="R331" s="43" t="n">
        <v>45173</v>
      </c>
      <c r="S331" s="20" t="str">
        <v>Beverages</v>
      </c>
    </row>
    <row r="332" customFormat="false" ht="15.75" hidden="false" customHeight="false" outlineLevel="0" collapsed="false">
      <c r="A332" s="39" t="str">
        <v>489ACDDH</v>
      </c>
      <c r="B332" s="44" t="str">
        <v>Tue,05-September-2023 ,10:14 PM</v>
      </c>
      <c r="C332" s="39" t="str">
        <v>Shangrila Tomato Ketchup x6 Bundle 70g</v>
      </c>
      <c r="D332" s="39" t="str">
        <v>Shangrila</v>
      </c>
      <c r="E332" s="39" t="str">
        <v>Damaged Stock</v>
      </c>
      <c r="F332" s="45" t="n">
        <v>1</v>
      </c>
      <c r="G332" s="40" t="str">
        <v>[Code: 489ACDDH] TA:1unit (damage found durring display)</v>
      </c>
      <c r="H332" s="39" t="str">
        <v>Taufeeq Akhtar </v>
      </c>
      <c r="I332" s="39" t="str">
        <f aca="false">IF(ISBLANK(H332),"", IF($H$2:$H1831 = "Gohar Rehan","Overnight",IF($H$2:$H1831 = "Taufeeq Akhtar ","Overnight",IF($H$2:$H1831 = "Zeeshan Ali Malik","Audit",IF($H$2:$H1831 = "Ali Raza ","Receiving",IF($H$2:$H1831 = "Ali Ahmad","Full-In"))))))</f>
        <v>Overnight</v>
      </c>
      <c r="J332" s="29"/>
      <c r="K332" s="50" t="s">
        <v>2248</v>
      </c>
      <c r="L332" s="48" t="s">
        <v>2324</v>
      </c>
      <c r="M332" s="41"/>
      <c r="N332" s="39" t="s">
        <v>2212</v>
      </c>
      <c r="O332" s="46" t="b">
        <f aca="false">FALSE()</f>
        <v>0</v>
      </c>
      <c r="P332" s="20" t="n">
        <v>188.49</v>
      </c>
      <c r="Q332" s="45" t="n">
        <v>188.49</v>
      </c>
      <c r="R332" s="43" t="n">
        <v>45174</v>
      </c>
      <c r="S332" s="20" t="str">
        <v>Sauces</v>
      </c>
    </row>
    <row r="333" customFormat="false" ht="15.75" hidden="false" customHeight="false" outlineLevel="0" collapsed="false">
      <c r="A333" s="39" t="str">
        <v>2368CEKM</v>
      </c>
      <c r="B333" s="44" t="str">
        <v>Tue,05-September-2023 ,10:17 PM</v>
      </c>
      <c r="C333" s="39" t="str">
        <v>Lemon Max Liquid Regular Bottle 475ml Rs260</v>
      </c>
      <c r="D333" s="39" t="str">
        <v>Lemon Max</v>
      </c>
      <c r="E333" s="39" t="str">
        <v>Damaged Stock</v>
      </c>
      <c r="F333" s="45" t="n">
        <v>1</v>
      </c>
      <c r="G333" s="40" t="str">
        <v>[Code: 2368CEKM] TA: 1unit damage found  (coton sy damage mila hy)</v>
      </c>
      <c r="H333" s="39" t="str">
        <v>Taufeeq Akhtar </v>
      </c>
      <c r="I333" s="39" t="str">
        <f aca="false">IF(ISBLANK(H333),"", IF($H$2:$H1832 = "Gohar Rehan","Overnight",IF($H$2:$H1832 = "Taufeeq Akhtar ","Overnight",IF($H$2:$H1832 = "Zeeshan Ali Malik","Audit",IF($H$2:$H1832 = "Ali Raza ","Receiving",IF($H$2:$H1832 = "Ali Ahmad","Full-In"))))))</f>
        <v>Overnight</v>
      </c>
      <c r="J333" s="29"/>
      <c r="K333" s="50" t="s">
        <v>2248</v>
      </c>
      <c r="L333" s="48" t="s">
        <v>2324</v>
      </c>
      <c r="M333" s="41" t="n">
        <v>1</v>
      </c>
      <c r="N333" s="39" t="s">
        <v>2212</v>
      </c>
      <c r="O333" s="42" t="b">
        <f aca="false">TRUE()</f>
        <v>1</v>
      </c>
      <c r="P333" s="20" t="n">
        <v>239.66</v>
      </c>
      <c r="Q333" s="45" t="n">
        <v>239.66</v>
      </c>
      <c r="R333" s="43" t="n">
        <v>45174</v>
      </c>
      <c r="S333" s="20" t="str">
        <v>Home Care</v>
      </c>
    </row>
    <row r="334" customFormat="false" ht="15.75" hidden="false" customHeight="false" outlineLevel="0" collapsed="false">
      <c r="A334" s="39" t="str">
        <v>5588AABH</v>
      </c>
      <c r="B334" s="44" t="str">
        <v>Tue,05-September-2023 ,10:20 PM</v>
      </c>
      <c r="C334" s="39" t="str">
        <v>Lemon Max Dishwash Liquid 275ml Rs170 (Yellow)</v>
      </c>
      <c r="D334" s="39" t="str">
        <v>Lemon Max</v>
      </c>
      <c r="E334" s="39" t="str">
        <v>Damaged Stock</v>
      </c>
      <c r="F334" s="45" t="n">
        <v>1</v>
      </c>
      <c r="G334" s="40" t="str">
        <v>[Code: 5588AABH] TA: 1unit damage found  (cotton sy damage mila hy)</v>
      </c>
      <c r="H334" s="39" t="str">
        <v>Taufeeq Akhtar </v>
      </c>
      <c r="I334" s="39" t="str">
        <f aca="false">IF(ISBLANK(H334),"", IF($H$2:$H1833 = "Gohar Rehan","Overnight",IF($H$2:$H1833 = "Taufeeq Akhtar ","Overnight",IF($H$2:$H1833 = "Zeeshan Ali Malik","Audit",IF($H$2:$H1833 = "Ali Raza ","Receiving",IF($H$2:$H1833 = "Ali Ahmad","Full-In"))))))</f>
        <v>Overnight</v>
      </c>
      <c r="J334" s="29"/>
      <c r="K334" s="50" t="s">
        <v>2248</v>
      </c>
      <c r="L334" s="48" t="s">
        <v>2324</v>
      </c>
      <c r="M334" s="41" t="n">
        <v>1</v>
      </c>
      <c r="N334" s="39" t="s">
        <v>2212</v>
      </c>
      <c r="O334" s="42" t="b">
        <f aca="false">TRUE()</f>
        <v>1</v>
      </c>
      <c r="P334" s="20" t="n">
        <v>156.7</v>
      </c>
      <c r="Q334" s="45" t="n">
        <v>156.7</v>
      </c>
      <c r="R334" s="43" t="n">
        <v>45174</v>
      </c>
      <c r="S334" s="20" t="str">
        <v>Home Care</v>
      </c>
    </row>
    <row r="335" customFormat="false" ht="15.75" hidden="false" customHeight="false" outlineLevel="0" collapsed="false">
      <c r="A335" s="39" t="str">
        <v>899BBDFJ</v>
      </c>
      <c r="B335" s="44" t="str">
        <v>Wed,06-September-2023 ,01:21 PM</v>
      </c>
      <c r="C335" s="39" t="str">
        <v>Swadi Besan 5kg</v>
      </c>
      <c r="D335" s="39" t="str">
        <v>Swadi</v>
      </c>
      <c r="E335" s="39" t="str">
        <v>Damaged Stock</v>
      </c>
      <c r="F335" s="45" t="n">
        <v>12</v>
      </c>
      <c r="G335" s="40" t="str">
        <v>[Code: 899BBDFJ] 12 units found damaged due to susri </v>
      </c>
      <c r="H335" s="39" t="str">
        <v>Ali Raza </v>
      </c>
      <c r="I335" s="39" t="str">
        <f aca="false">IF(ISBLANK(H335),"", IF($H$2:$H1834 = "Gohar Rehan","Overnight",IF($H$2:$H1834 = "Taufeeq Akhtar ","Overnight",IF($H$2:$H1834 = "Zeeshan Ali Malik","Audit",IF($H$2:$H1834 = "Ali Raza ","Receiving",IF($H$2:$H1834 = "Ali Ahmad","Full-In"))))))</f>
        <v>Receiving</v>
      </c>
      <c r="J335" s="29"/>
      <c r="K335" s="50" t="s">
        <v>2248</v>
      </c>
      <c r="L335" s="48" t="s">
        <v>2322</v>
      </c>
      <c r="M335" s="41"/>
      <c r="N335" s="39" t="s">
        <v>2212</v>
      </c>
      <c r="O335" s="46" t="b">
        <f aca="false">FALSE()</f>
        <v>0</v>
      </c>
      <c r="P335" s="20" t="n">
        <v>1050</v>
      </c>
      <c r="Q335" s="45" t="n">
        <v>12600</v>
      </c>
      <c r="R335" s="43" t="n">
        <v>45175</v>
      </c>
      <c r="S335" s="20" t="str">
        <v>Pulses</v>
      </c>
    </row>
    <row r="336" customFormat="false" ht="15.75" hidden="false" customHeight="false" outlineLevel="0" collapsed="false">
      <c r="A336" s="39" t="str">
        <v>ACHHJMNQ</v>
      </c>
      <c r="B336" s="44" t="str">
        <v>Sun,10-September-2023 ,12:28 AM</v>
      </c>
      <c r="C336" s="39" t="str">
        <v>Sunlight Pink Clean and Jasmine Fresh 330g Rs99</v>
      </c>
      <c r="D336" s="39" t="str">
        <v>Sunlight</v>
      </c>
      <c r="E336" s="39" t="str">
        <v>Damaged Stock</v>
      </c>
      <c r="F336" s="45" t="n">
        <v>2</v>
      </c>
      <c r="G336" s="40" t="str">
        <v>[Code: ACHHJMNQ] TA: 2 units damaged found (bag main sy damage mila hy)</v>
      </c>
      <c r="H336" s="39" t="str">
        <v>Taufeeq Akhtar </v>
      </c>
      <c r="I336" s="39" t="str">
        <f aca="false">IF(ISBLANK(H336),"", IF($H$2:$H1835 = "Gohar Rehan","Overnight",IF($H$2:$H1835 = "Taufeeq Akhtar ","Overnight",IF($H$2:$H1835 = "Zeeshan Ali Malik","Audit",IF($H$2:$H1835 = "Ali Raza ","Receiving",IF($H$2:$H1835 = "Ali Ahmad","Full-In"))))))</f>
        <v>Overnight</v>
      </c>
      <c r="J336" s="29"/>
      <c r="K336" s="50" t="s">
        <v>2248</v>
      </c>
      <c r="L336" s="48" t="s">
        <v>2324</v>
      </c>
      <c r="M336" s="41"/>
      <c r="N336" s="39" t="s">
        <v>2250</v>
      </c>
      <c r="O336" s="46" t="b">
        <f aca="false">FALSE()</f>
        <v>0</v>
      </c>
      <c r="P336" s="20" t="n">
        <v>87.5</v>
      </c>
      <c r="Q336" s="45" t="n">
        <v>175</v>
      </c>
      <c r="R336" s="43" t="n">
        <v>45179</v>
      </c>
      <c r="S336" s="20" t="str">
        <v>Surf, Bleach</v>
      </c>
    </row>
    <row r="337" customFormat="false" ht="15.75" hidden="false" customHeight="false" outlineLevel="0" collapsed="false">
      <c r="A337" s="39" t="str">
        <v>237999BG</v>
      </c>
      <c r="B337" s="44" t="str">
        <v>Sun,10-September-2023 ,12:33 AM</v>
      </c>
      <c r="C337" s="39" t="str">
        <v>Aish Water 1500ml</v>
      </c>
      <c r="D337" s="39" t="str">
        <v>Aish Water</v>
      </c>
      <c r="E337" s="39" t="str">
        <v>Damaged Stock</v>
      </c>
      <c r="F337" s="45" t="n">
        <v>1</v>
      </c>
      <c r="G337" s="40" t="str">
        <v>[Code: 237999BG] TA: Found two bottels loose and one empty bottel during sorting.</v>
      </c>
      <c r="H337" s="39" t="str">
        <v>Taufeeq Akhtar </v>
      </c>
      <c r="I337" s="39" t="str">
        <f aca="false">IF(ISBLANK(H337),"", IF($H$2:$H1836 = "Gohar Rehan","Overnight",IF($H$2:$H1836 = "Taufeeq Akhtar ","Overnight",IF($H$2:$H1836 = "Zeeshan Ali Malik","Audit",IF($H$2:$H1836 = "Ali Raza ","Receiving",IF($H$2:$H1836 = "Ali Ahmad","Full-In"))))))</f>
        <v>Overnight</v>
      </c>
      <c r="J337" s="29"/>
      <c r="K337" s="50" t="s">
        <v>2248</v>
      </c>
      <c r="L337" s="48" t="s">
        <v>2323</v>
      </c>
      <c r="M337" s="41"/>
      <c r="N337" s="39" t="s">
        <v>2250</v>
      </c>
      <c r="O337" s="46" t="b">
        <f aca="false">FALSE()</f>
        <v>0</v>
      </c>
      <c r="P337" s="20" t="n">
        <v>190</v>
      </c>
      <c r="Q337" s="45" t="n">
        <v>190</v>
      </c>
      <c r="R337" s="43" t="n">
        <v>45179</v>
      </c>
      <c r="S337" s="20" t="str">
        <v>Beverages</v>
      </c>
    </row>
    <row r="338" customFormat="false" ht="15.75" hidden="false" customHeight="false" outlineLevel="0" collapsed="false">
      <c r="A338" s="39" t="str">
        <v>3458BEEJ</v>
      </c>
      <c r="B338" s="44" t="str">
        <v>Sun,10-September-2023 ,10:43 PM</v>
      </c>
      <c r="C338" s="39" t="str">
        <v>Coca Cola plastic 1.5L</v>
      </c>
      <c r="D338" s="39" t="str">
        <v>Coca Cola</v>
      </c>
      <c r="E338" s="39" t="str">
        <v>Damaged Stock</v>
      </c>
      <c r="F338" s="45" t="n">
        <v>1</v>
      </c>
      <c r="G338" s="40" t="str">
        <v>[Code: 3458BEEJ] TA: 1unit damage found (2bottle lose hain)</v>
      </c>
      <c r="H338" s="39" t="str">
        <v>Taufeeq Akhtar </v>
      </c>
      <c r="I338" s="39" t="str">
        <f aca="false">IF(ISBLANK(H338),"", IF($H$2:$H1837 = "Gohar Rehan","Overnight",IF($H$2:$H1837 = "Taufeeq Akhtar ","Overnight",IF($H$2:$H1837 = "Zeeshan Ali Malik","Audit",IF($H$2:$H1837 = "Ali Raza ","Receiving",IF($H$2:$H1837 = "Ali Ahmad","Full-In"))))))</f>
        <v>Overnight</v>
      </c>
      <c r="J338" s="29"/>
      <c r="K338" s="50" t="s">
        <v>2248</v>
      </c>
      <c r="L338" s="48" t="s">
        <v>2323</v>
      </c>
      <c r="M338" s="41"/>
      <c r="N338" s="39" t="s">
        <v>2250</v>
      </c>
      <c r="O338" s="46" t="b">
        <f aca="false">FALSE()</f>
        <v>0</v>
      </c>
      <c r="P338" s="20" t="n">
        <v>870</v>
      </c>
      <c r="Q338" s="45" t="n">
        <v>870</v>
      </c>
      <c r="R338" s="43" t="n">
        <v>45179</v>
      </c>
      <c r="S338" s="20" t="str">
        <v>Beverages</v>
      </c>
    </row>
    <row r="339" customFormat="false" ht="15.75" hidden="false" customHeight="false" outlineLevel="0" collapsed="false">
      <c r="A339" s="39" t="str">
        <v>228BCCFG</v>
      </c>
      <c r="B339" s="44" t="str">
        <v>Sun,10-September-2023 ,10:46 PM</v>
      </c>
      <c r="C339" s="39" t="str">
        <v>Pepsi plastic 1L</v>
      </c>
      <c r="D339" s="39" t="str">
        <v>Pepsi</v>
      </c>
      <c r="E339" s="39" t="str">
        <v>Damaged Stock</v>
      </c>
      <c r="F339" s="45" t="n">
        <v>1</v>
      </c>
      <c r="G339" s="40" t="str">
        <v>[Code: 228BCCFG] TA: 1unit damage found (2bottle lose hain)</v>
      </c>
      <c r="H339" s="39" t="str">
        <v>Taufeeq Akhtar </v>
      </c>
      <c r="I339" s="39" t="str">
        <f aca="false">IF(ISBLANK(H339),"", IF($H$2:$H1838 = "Gohar Rehan","Overnight",IF($H$2:$H1838 = "Taufeeq Akhtar ","Overnight",IF($H$2:$H1838 = "Zeeshan Ali Malik","Audit",IF($H$2:$H1838 = "Ali Raza ","Receiving",IF($H$2:$H1838 = "Ali Ahmad","Full-In"))))))</f>
        <v>Overnight</v>
      </c>
      <c r="J339" s="29"/>
      <c r="K339" s="50" t="s">
        <v>2248</v>
      </c>
      <c r="L339" s="48" t="s">
        <v>2323</v>
      </c>
      <c r="M339" s="41"/>
      <c r="N339" s="39" t="s">
        <v>2250</v>
      </c>
      <c r="O339" s="46" t="b">
        <f aca="false">FALSE()</f>
        <v>0</v>
      </c>
      <c r="P339" s="20" t="n">
        <v>595</v>
      </c>
      <c r="Q339" s="45" t="n">
        <v>595</v>
      </c>
      <c r="R339" s="43" t="n">
        <v>45179</v>
      </c>
      <c r="S339" s="20" t="str">
        <v>Beverages</v>
      </c>
    </row>
    <row r="340" customFormat="false" ht="15.75" hidden="false" customHeight="false" outlineLevel="0" collapsed="false">
      <c r="A340" s="39" t="str">
        <v>288AEFFF</v>
      </c>
      <c r="B340" s="44" t="str">
        <v>Mon,11-September-2023 ,11:11 PM</v>
      </c>
      <c r="C340" s="39" t="str">
        <v>A One Fine Atta 15kg</v>
      </c>
      <c r="D340" s="39" t="str">
        <v>A One Atta</v>
      </c>
      <c r="E340" s="39" t="str">
        <v>Damaged Stock</v>
      </c>
      <c r="F340" s="45" t="n">
        <v>3</v>
      </c>
      <c r="G340" s="40" t="str">
        <v>[Code: 288AEFFF] TA: quality sahi nahi hay(fungus lagi hui haiy.)</v>
      </c>
      <c r="H340" s="39" t="str">
        <v>Taufeeq Akhtar </v>
      </c>
      <c r="I340" s="39" t="str">
        <f aca="false">IF(ISBLANK(H340),"", IF($H$2:$H1839 = "Gohar Rehan","Overnight",IF($H$2:$H1839 = "Taufeeq Akhtar ","Overnight",IF($H$2:$H1839 = "Zeeshan Ali Malik","Audit",IF($H$2:$H1839 = "Ali Raza ","Receiving",IF($H$2:$H1839 = "Ali Ahmad","Full-In"))))))</f>
        <v>Overnight</v>
      </c>
      <c r="J340" s="29"/>
      <c r="K340" s="50" t="s">
        <v>2248</v>
      </c>
      <c r="L340" s="48" t="s">
        <v>2323</v>
      </c>
      <c r="M340" s="41" t="n">
        <v>3</v>
      </c>
      <c r="N340" s="39" t="s">
        <v>2212</v>
      </c>
      <c r="O340" s="42" t="b">
        <f aca="false">TRUE()</f>
        <v>1</v>
      </c>
      <c r="P340" s="20" t="n">
        <v>2050</v>
      </c>
      <c r="Q340" s="45" t="n">
        <v>6150</v>
      </c>
      <c r="R340" s="43" t="n">
        <v>45180</v>
      </c>
      <c r="S340" s="20" t="str">
        <v>Flour</v>
      </c>
    </row>
    <row r="341" customFormat="false" ht="15.75" hidden="false" customHeight="false" outlineLevel="0" collapsed="false">
      <c r="A341" s="39" t="str">
        <v>2356789A</v>
      </c>
      <c r="B341" s="44" t="str">
        <v>Mon,11-September-2023 ,11:15 PM</v>
      </c>
      <c r="C341" s="39" t="str">
        <v>Sunridge Fortified Chakki Atta 5kg</v>
      </c>
      <c r="D341" s="39" t="str">
        <v>Sunridge</v>
      </c>
      <c r="E341" s="39" t="str">
        <v>Damaged Stock</v>
      </c>
      <c r="F341" s="45" t="n">
        <v>1</v>
      </c>
      <c r="G341" s="40" t="str">
        <v>[Code: 2356789A] TA: Found damaged (bitten by mouse)</v>
      </c>
      <c r="H341" s="39" t="str">
        <v>Taufeeq Akhtar </v>
      </c>
      <c r="I341" s="39" t="str">
        <f aca="false">IF(ISBLANK(H341),"", IF($H$2:$H1840 = "Gohar Rehan","Overnight",IF($H$2:$H1840 = "Taufeeq Akhtar ","Overnight",IF($H$2:$H1840 = "Zeeshan Ali Malik","Audit",IF($H$2:$H1840 = "Ali Raza ","Receiving",IF($H$2:$H1840 = "Ali Ahmad","Full-In"))))))</f>
        <v>Overnight</v>
      </c>
      <c r="J341" s="29"/>
      <c r="K341" s="50" t="s">
        <v>2248</v>
      </c>
      <c r="L341" s="48" t="s">
        <v>2323</v>
      </c>
      <c r="M341" s="41"/>
      <c r="N341" s="39" t="s">
        <v>2250</v>
      </c>
      <c r="O341" s="46" t="b">
        <f aca="false">FALSE()</f>
        <v>0</v>
      </c>
      <c r="P341" s="20" t="n">
        <v>864.9</v>
      </c>
      <c r="Q341" s="45" t="n">
        <v>864.9</v>
      </c>
      <c r="R341" s="43" t="n">
        <v>45180</v>
      </c>
      <c r="S341" s="20" t="str">
        <v>Flour</v>
      </c>
    </row>
    <row r="342" customFormat="false" ht="15.75" hidden="false" customHeight="false" outlineLevel="0" collapsed="false">
      <c r="A342" s="39" t="str">
        <v>2247AABD</v>
      </c>
      <c r="B342" s="44" t="str">
        <v>Mon,11-September-2023 ,11:17 PM</v>
      </c>
      <c r="C342" s="39" t="str">
        <v>Sunridge Maida 1kg</v>
      </c>
      <c r="D342" s="39" t="str">
        <v>Sunridge</v>
      </c>
      <c r="E342" s="39" t="str">
        <v>Damaged Stock</v>
      </c>
      <c r="F342" s="45" t="n">
        <v>1</v>
      </c>
      <c r="G342" s="40" t="str">
        <v>[Code: 2247AABD] TA: Found damaged from box and the qality also bad(susri lagi hain.)</v>
      </c>
      <c r="H342" s="39" t="str">
        <v>Taufeeq Akhtar </v>
      </c>
      <c r="I342" s="39" t="str">
        <f aca="false">IF(ISBLANK(H342),"", IF($H$2:$H1841 = "Gohar Rehan","Overnight",IF($H$2:$H1841 = "Taufeeq Akhtar ","Overnight",IF($H$2:$H1841 = "Zeeshan Ali Malik","Audit",IF($H$2:$H1841 = "Ali Raza ","Receiving",IF($H$2:$H1841 = "Ali Ahmad","Full-In"))))))</f>
        <v>Overnight</v>
      </c>
      <c r="J342" s="29"/>
      <c r="K342" s="50" t="s">
        <v>2248</v>
      </c>
      <c r="L342" s="48" t="s">
        <v>2323</v>
      </c>
      <c r="M342" s="41"/>
      <c r="N342" s="39" t="s">
        <v>2250</v>
      </c>
      <c r="O342" s="46" t="b">
        <f aca="false">FALSE()</f>
        <v>0</v>
      </c>
      <c r="P342" s="20" t="n">
        <v>176.7</v>
      </c>
      <c r="Q342" s="45" t="n">
        <v>176.7</v>
      </c>
      <c r="R342" s="43" t="n">
        <v>45180</v>
      </c>
      <c r="S342" s="20" t="str">
        <v>Flour</v>
      </c>
    </row>
    <row r="343" customFormat="false" ht="15.75" hidden="false" customHeight="false" outlineLevel="0" collapsed="false">
      <c r="A343" s="39" t="str">
        <v>36ABCFGM</v>
      </c>
      <c r="B343" s="44" t="str">
        <v>Mon,11-September-2023 ,11:19 PM</v>
      </c>
      <c r="C343" s="39" t="str">
        <v>Special Wooden Phool Jharoo</v>
      </c>
      <c r="D343" s="39" t="str">
        <v>Jharoo</v>
      </c>
      <c r="E343" s="39" t="str">
        <v>Damaged Stock</v>
      </c>
      <c r="F343" s="45" t="n">
        <v>1</v>
      </c>
      <c r="G343" s="40" t="str">
        <v>[Code: 36ABCFGM] TA: Found damaged during sorting .</v>
      </c>
      <c r="H343" s="39" t="str">
        <v>Taufeeq Akhtar </v>
      </c>
      <c r="I343" s="39" t="str">
        <f aca="false">IF(ISBLANK(H343),"", IF($H$2:$H1842 = "Gohar Rehan","Overnight",IF($H$2:$H1842 = "Taufeeq Akhtar ","Overnight",IF($H$2:$H1842 = "Zeeshan Ali Malik","Audit",IF($H$2:$H1842 = "Ali Raza ","Receiving",IF($H$2:$H1842 = "Ali Ahmad","Full-In"))))))</f>
        <v>Overnight</v>
      </c>
      <c r="J343" s="29"/>
      <c r="K343" s="50" t="s">
        <v>2248</v>
      </c>
      <c r="L343" s="48" t="s">
        <v>2323</v>
      </c>
      <c r="M343" s="41"/>
      <c r="N343" s="39" t="s">
        <v>2250</v>
      </c>
      <c r="O343" s="46" t="b">
        <f aca="false">FALSE()</f>
        <v>0</v>
      </c>
      <c r="P343" s="20" t="n">
        <v>135</v>
      </c>
      <c r="Q343" s="45" t="n">
        <v>135</v>
      </c>
      <c r="R343" s="43" t="n">
        <v>45180</v>
      </c>
      <c r="S343" s="20" t="str">
        <v>Home Care</v>
      </c>
    </row>
    <row r="344" customFormat="false" ht="15.75" hidden="false" customHeight="false" outlineLevel="0" collapsed="false">
      <c r="A344" s="39" t="str">
        <v>24EFJNNP</v>
      </c>
      <c r="B344" s="44" t="str">
        <v>Tue,12-September-2023 ,11:10 PM</v>
      </c>
      <c r="C344" s="39" t="str">
        <v>Aquafina Mineral Water 1.5L </v>
      </c>
      <c r="D344" s="39" t="str">
        <v>Aquafina</v>
      </c>
      <c r="E344" s="39" t="str">
        <v>Damaged Stock</v>
      </c>
      <c r="F344" s="45" t="n">
        <v>1</v>
      </c>
      <c r="G344" s="40" t="str">
        <v>[Code: 24EFJNNP] TA: 1 unit damaged found (sorting ky doran damage mila hy)</v>
      </c>
      <c r="H344" s="39" t="str">
        <v>Taufeeq Akhtar </v>
      </c>
      <c r="I344" s="39" t="str">
        <f aca="false">IF(ISBLANK(H344),"", IF($H$2:$H1843 = "Gohar Rehan","Overnight",IF($H$2:$H1843 = "Taufeeq Akhtar ","Overnight",IF($H$2:$H1843 = "Zeeshan Ali Malik","Audit",IF($H$2:$H1843 = "Ali Raza ","Receiving",IF($H$2:$H1843 = "Ali Ahmad","Full-In"))))))</f>
        <v>Overnight</v>
      </c>
      <c r="J344" s="29"/>
      <c r="K344" s="50" t="s">
        <v>2248</v>
      </c>
      <c r="L344" s="48" t="s">
        <v>2323</v>
      </c>
      <c r="M344" s="41"/>
      <c r="N344" s="39" t="s">
        <v>2250</v>
      </c>
      <c r="O344" s="46" t="b">
        <f aca="false">FALSE()</f>
        <v>0</v>
      </c>
      <c r="P344" s="20" t="n">
        <v>425</v>
      </c>
      <c r="Q344" s="45" t="n">
        <v>425</v>
      </c>
      <c r="R344" s="43" t="n">
        <v>45181</v>
      </c>
      <c r="S344" s="20" t="str">
        <v>Beverages</v>
      </c>
    </row>
    <row r="345" customFormat="false" ht="15.75" hidden="false" customHeight="false" outlineLevel="0" collapsed="false">
      <c r="A345" s="39" t="str">
        <v>3567CCCD</v>
      </c>
      <c r="B345" s="44" t="str">
        <v>Wed,13-September-2023 ,11:39 PM</v>
      </c>
      <c r="C345" s="39" t="str">
        <v>Colgate Extra Clean Tooth Brush Medium Rs85</v>
      </c>
      <c r="D345" s="39" t="str">
        <v>Colgate</v>
      </c>
      <c r="E345" s="39" t="str">
        <v>Damaged Stock</v>
      </c>
      <c r="F345" s="45" t="n">
        <v>1</v>
      </c>
      <c r="G345" s="40" t="str">
        <v>[Code: 3567CCCD] TA: 1 unit damage found (Khali packet mila brush missing hay.)</v>
      </c>
      <c r="H345" s="39" t="str">
        <v>Taufeeq Akhtar </v>
      </c>
      <c r="I345" s="39" t="str">
        <f aca="false">IF(ISBLANK(H345),"", IF($H$2:$H1844 = "Gohar Rehan","Overnight",IF($H$2:$H1844 = "Taufeeq Akhtar ","Overnight",IF($H$2:$H1844 = "Zeeshan Ali Malik","Audit",IF($H$2:$H1844 = "Ali Raza ","Receiving",IF($H$2:$H1844 = "Ali Ahmad","Full-In"))))))</f>
        <v>Overnight</v>
      </c>
      <c r="J345" s="29"/>
      <c r="K345" s="50" t="s">
        <v>2248</v>
      </c>
      <c r="L345" s="48" t="s">
        <v>2324</v>
      </c>
      <c r="M345" s="41" t="n">
        <v>1</v>
      </c>
      <c r="N345" s="39" t="s">
        <v>2212</v>
      </c>
      <c r="O345" s="46" t="b">
        <f aca="false">FALSE()</f>
        <v>0</v>
      </c>
      <c r="P345" s="20" t="n">
        <v>52.99</v>
      </c>
      <c r="Q345" s="45" t="n">
        <v>52.99</v>
      </c>
      <c r="R345" s="43" t="n">
        <v>45182</v>
      </c>
      <c r="S345" s="20" t="str">
        <v>Personal Care</v>
      </c>
    </row>
    <row r="346" customFormat="false" ht="15.75" hidden="false" customHeight="false" outlineLevel="0" collapsed="false">
      <c r="A346" s="39" t="str">
        <v>4568BDGG</v>
      </c>
      <c r="B346" s="44" t="str">
        <v>Wed,13-September-2023 ,11:48 PM</v>
      </c>
      <c r="C346" s="39" t="str">
        <v>Chenab Garden Fortified Chakki Atta 5kg</v>
      </c>
      <c r="D346" s="39" t="str">
        <v>Chenab Garden</v>
      </c>
      <c r="E346" s="39" t="str">
        <v>Damaged Stock</v>
      </c>
      <c r="F346" s="45" t="n">
        <v>1</v>
      </c>
      <c r="G346" s="40" t="str">
        <v>[Code: 4568BDGG] TA: found in damaged condition during sorting (Company end issue)</v>
      </c>
      <c r="H346" s="39" t="str">
        <v>Taufeeq Akhtar </v>
      </c>
      <c r="I346" s="39" t="str">
        <f aca="false">IF(ISBLANK(H346),"", IF($H$2:$H1845 = "Gohar Rehan","Overnight",IF($H$2:$H1845 = "Taufeeq Akhtar ","Overnight",IF($H$2:$H1845 = "Zeeshan Ali Malik","Audit",IF($H$2:$H1845 = "Ali Raza ","Receiving",IF($H$2:$H1845 = "Ali Ahmad","Full-In"))))))</f>
        <v>Overnight</v>
      </c>
      <c r="J346" s="29"/>
      <c r="K346" s="50" t="s">
        <v>2248</v>
      </c>
      <c r="L346" s="48" t="s">
        <v>2323</v>
      </c>
      <c r="M346" s="41"/>
      <c r="N346" s="39" t="s">
        <v>2250</v>
      </c>
      <c r="O346" s="46" t="b">
        <f aca="false">FALSE()</f>
        <v>0</v>
      </c>
      <c r="P346" s="20" t="n">
        <v>750</v>
      </c>
      <c r="Q346" s="45" t="n">
        <v>750</v>
      </c>
      <c r="R346" s="43" t="n">
        <v>45182</v>
      </c>
      <c r="S346" s="20" t="str">
        <v>Flour</v>
      </c>
    </row>
    <row r="347" customFormat="false" ht="15.75" hidden="false" customHeight="false" outlineLevel="0" collapsed="false">
      <c r="A347" s="39" t="str">
        <v>34479BFJ</v>
      </c>
      <c r="B347" s="44" t="str">
        <v>Thu,14-September-2023 ,12:32 PM</v>
      </c>
      <c r="C347" s="39" t="str">
        <v>Sherdil Shakar 500g</v>
      </c>
      <c r="D347" s="39" t="str">
        <v>Sherdil</v>
      </c>
      <c r="E347" s="39" t="str">
        <v>Damaged Stock</v>
      </c>
      <c r="F347" s="45" t="n">
        <v>7</v>
      </c>
      <c r="G347" s="40" t="str">
        <v>[Code: 34479BFJ] 07 units found damaged due to fungus (Quality Issue)</v>
      </c>
      <c r="H347" s="39" t="str">
        <v>Ali Raza </v>
      </c>
      <c r="I347" s="39" t="str">
        <f aca="false">IF(ISBLANK(H347),"", IF($H$2:$H1846 = "Gohar Rehan","Overnight",IF($H$2:$H1846 = "Taufeeq Akhtar ","Overnight",IF($H$2:$H1846 = "Zeeshan Ali Malik","Audit",IF($H$2:$H1846 = "Ali Raza ","Receiving",IF($H$2:$H1846 = "Ali Ahmad","Full-In"))))))</f>
        <v>Receiving</v>
      </c>
      <c r="J347" s="29"/>
      <c r="K347" s="50" t="s">
        <v>2248</v>
      </c>
      <c r="L347" s="48" t="s">
        <v>2323</v>
      </c>
      <c r="M347" s="41"/>
      <c r="N347" s="39" t="s">
        <v>2212</v>
      </c>
      <c r="O347" s="46" t="b">
        <f aca="false">FALSE()</f>
        <v>0</v>
      </c>
      <c r="P347" s="20" t="n">
        <v>150</v>
      </c>
      <c r="Q347" s="45" t="n">
        <v>1050</v>
      </c>
      <c r="R347" s="43" t="n">
        <v>45183</v>
      </c>
      <c r="S347" s="20" t="str">
        <v>Spices</v>
      </c>
    </row>
    <row r="348" customFormat="false" ht="15.75" hidden="false" customHeight="false" outlineLevel="0" collapsed="false">
      <c r="A348" s="39" t="str">
        <v>2FGGJLMN</v>
      </c>
      <c r="B348" s="44" t="str">
        <v>Thu,14-September-2023 ,12:33 PM</v>
      </c>
      <c r="C348" s="39" t="str">
        <v>Quality Grains Daal Mash Chilka 500g</v>
      </c>
      <c r="D348" s="39" t="str">
        <v>Quality Grains</v>
      </c>
      <c r="E348" s="39" t="str">
        <v>Damaged Stock</v>
      </c>
      <c r="F348" s="45" t="n">
        <v>1</v>
      </c>
      <c r="G348" s="40" t="str">
        <v>[Code: 2FGGJLMN] 01 unit found damaged due to fungus (Quality Issue)</v>
      </c>
      <c r="H348" s="39" t="str">
        <v>Ali Raza </v>
      </c>
      <c r="I348" s="39" t="str">
        <f aca="false">IF(ISBLANK(H348),"", IF($H$2:$H1847 = "Gohar Rehan","Overnight",IF($H$2:$H1847 = "Taufeeq Akhtar ","Overnight",IF($H$2:$H1847 = "Zeeshan Ali Malik","Audit",IF($H$2:$H1847 = "Ali Raza ","Receiving",IF($H$2:$H1847 = "Ali Ahmad","Full-In"))))))</f>
        <v>Receiving</v>
      </c>
      <c r="J348" s="29"/>
      <c r="K348" s="50" t="s">
        <v>2248</v>
      </c>
      <c r="L348" s="48" t="s">
        <v>2323</v>
      </c>
      <c r="M348" s="41"/>
      <c r="N348" s="39" t="s">
        <v>2212</v>
      </c>
      <c r="O348" s="46" t="b">
        <f aca="false">FALSE()</f>
        <v>0</v>
      </c>
      <c r="P348" s="20" t="n">
        <v>238</v>
      </c>
      <c r="Q348" s="45" t="n">
        <v>238</v>
      </c>
      <c r="R348" s="43" t="n">
        <v>45183</v>
      </c>
      <c r="S348" s="20" t="str">
        <v>Pulses</v>
      </c>
    </row>
    <row r="349" customFormat="false" ht="15.75" hidden="false" customHeight="false" outlineLevel="0" collapsed="false">
      <c r="A349" s="39" t="str">
        <v>24456678</v>
      </c>
      <c r="B349" s="44" t="str">
        <v>Thu,14-September-2023 ,01:46 PM</v>
      </c>
      <c r="C349" s="39" t="str">
        <v>Aquafina Mineral Water 1.5L </v>
      </c>
      <c r="D349" s="39" t="str">
        <v>Aquafina</v>
      </c>
      <c r="E349" s="39" t="str">
        <v>Damaged Stock</v>
      </c>
      <c r="F349" s="45" t="n">
        <v>1</v>
      </c>
      <c r="G349" s="40" t="str">
        <v>[Code: 24456678] 01 unit found damaged leak (quality issue)</v>
      </c>
      <c r="H349" s="39" t="str">
        <v>Ali Raza </v>
      </c>
      <c r="I349" s="39" t="str">
        <f aca="false">IF(ISBLANK(H349),"", IF($H$2:$H1848 = "Gohar Rehan","Overnight",IF($H$2:$H1848 = "Taufeeq Akhtar ","Overnight",IF($H$2:$H1848 = "Zeeshan Ali Malik","Audit",IF($H$2:$H1848 = "Ali Raza ","Receiving",IF($H$2:$H1848 = "Ali Ahmad","Full-In"))))))</f>
        <v>Receiving</v>
      </c>
      <c r="J349" s="29"/>
      <c r="K349" s="50" t="s">
        <v>2248</v>
      </c>
      <c r="L349" s="48" t="s">
        <v>2323</v>
      </c>
      <c r="M349" s="41" t="n">
        <v>1</v>
      </c>
      <c r="N349" s="39" t="s">
        <v>2212</v>
      </c>
      <c r="O349" s="42" t="b">
        <f aca="false">TRUE()</f>
        <v>1</v>
      </c>
      <c r="P349" s="20" t="n">
        <v>425</v>
      </c>
      <c r="Q349" s="45" t="n">
        <v>425</v>
      </c>
      <c r="R349" s="43" t="n">
        <v>45183</v>
      </c>
      <c r="S349" s="20" t="str">
        <v>Beverages</v>
      </c>
    </row>
    <row r="350" customFormat="false" ht="15.75" hidden="false" customHeight="false" outlineLevel="0" collapsed="false">
      <c r="A350" s="39" t="str">
        <v>24569BCE</v>
      </c>
      <c r="B350" s="44" t="str">
        <v>Fri,15-September-2023 ,06:33 PM</v>
      </c>
      <c r="C350" s="39" t="str">
        <v>Coca Cola plastic 1.5L</v>
      </c>
      <c r="D350" s="39" t="str">
        <v>Coca Cola</v>
      </c>
      <c r="E350" s="39" t="str">
        <v>Damaged Stock</v>
      </c>
      <c r="F350" s="45" t="n">
        <v>1</v>
      </c>
      <c r="G350" s="40" t="str">
        <v>[Code: 24569BCE] TA: 1 unit damage found (sorting ky doran 2 bottle khali nikle hain or 1 bottle loose hain)</v>
      </c>
      <c r="H350" s="39" t="str">
        <v>Taufeeq Akhtar </v>
      </c>
      <c r="I350" s="39" t="str">
        <f aca="false">IF(ISBLANK(H350),"", IF($H$2:$H1849 = "Gohar Rehan","Overnight",IF($H$2:$H1849 = "Taufeeq Akhtar ","Overnight",IF($H$2:$H1849 = "Zeeshan Ali Malik","Audit",IF($H$2:$H1849 = "Ali Raza ","Receiving",IF($H$2:$H1849 = "Ali Ahmad","Full-In"))))))</f>
        <v>Overnight</v>
      </c>
      <c r="J350" s="29"/>
      <c r="K350" s="50" t="s">
        <v>2248</v>
      </c>
      <c r="L350" s="48" t="s">
        <v>2323</v>
      </c>
      <c r="M350" s="41"/>
      <c r="N350" s="39" t="s">
        <v>2250</v>
      </c>
      <c r="O350" s="46" t="b">
        <f aca="false">FALSE()</f>
        <v>0</v>
      </c>
      <c r="P350" s="20" t="n">
        <v>870</v>
      </c>
      <c r="Q350" s="45" t="n">
        <v>870</v>
      </c>
      <c r="R350" s="43" t="n">
        <v>45184</v>
      </c>
      <c r="S350" s="20" t="str">
        <v>Beverages</v>
      </c>
    </row>
    <row r="351" customFormat="false" ht="15.75" hidden="false" customHeight="false" outlineLevel="0" collapsed="false">
      <c r="A351" s="39" t="str">
        <v>7CCEFJKP</v>
      </c>
      <c r="B351" s="44" t="str">
        <v>Sat,16-September-2023 ,01:20 PM</v>
      </c>
      <c r="C351" s="39" t="str">
        <v>Sherdil Shakar 500g</v>
      </c>
      <c r="D351" s="39" t="str">
        <v>Sherdil</v>
      </c>
      <c r="E351" s="39" t="str">
        <v>Damaged Stock</v>
      </c>
      <c r="F351" s="45" t="n">
        <v>33</v>
      </c>
      <c r="G351" s="40" t="str">
        <v>[Code: 7CCEFJKP] AR: Stock Removed due to Bad Quality </v>
      </c>
      <c r="H351" s="39" t="str">
        <v>Ali Raza </v>
      </c>
      <c r="I351" s="39" t="str">
        <f aca="false">IF(ISBLANK(H351),"", IF($H$2:$H1850 = "Gohar Rehan","Overnight",IF($H$2:$H1850 = "Taufeeq Akhtar ","Overnight",IF($H$2:$H1850 = "Zeeshan Ali Malik","Audit",IF($H$2:$H1850 = "Ali Raza ","Receiving",IF($H$2:$H1850 = "Ali Ahmad","Full-In"))))))</f>
        <v>Receiving</v>
      </c>
      <c r="J351" s="29"/>
      <c r="K351" s="50" t="s">
        <v>2248</v>
      </c>
      <c r="L351" s="48" t="s">
        <v>2323</v>
      </c>
      <c r="M351" s="41"/>
      <c r="N351" s="39" t="s">
        <v>2212</v>
      </c>
      <c r="O351" s="46" t="b">
        <f aca="false">FALSE()</f>
        <v>0</v>
      </c>
      <c r="P351" s="20" t="n">
        <v>150</v>
      </c>
      <c r="Q351" s="45" t="n">
        <v>4950</v>
      </c>
      <c r="R351" s="43" t="n">
        <v>45185</v>
      </c>
      <c r="S351" s="20" t="str">
        <v>Spices</v>
      </c>
    </row>
    <row r="352" customFormat="false" ht="15.75" hidden="false" customHeight="false" outlineLevel="0" collapsed="false">
      <c r="A352" s="39" t="str">
        <v>258BCDJK</v>
      </c>
      <c r="B352" s="44" t="str">
        <v>Sun,17-September-2023 ,12:28 AM</v>
      </c>
      <c r="C352" s="39" t="str">
        <v>Engro Tarang Liquid Tea Whitener x24 Crate 175ml</v>
      </c>
      <c r="D352" s="39" t="str">
        <v>Tarang</v>
      </c>
      <c r="E352" s="39" t="str">
        <v>Damaged Stock</v>
      </c>
      <c r="F352" s="45" t="n">
        <v>1</v>
      </c>
      <c r="G352" s="40" t="str">
        <v>[Code: 258BCDJK]  01 unit found damaged ( leak quality issue)</v>
      </c>
      <c r="H352" s="39" t="str">
        <v>Taufeeq Akhtar </v>
      </c>
      <c r="I352" s="39" t="str">
        <f aca="false">IF(ISBLANK(H352),"", IF($H$2:$H1851 = "Gohar Rehan","Overnight",IF($H$2:$H1851 = "Taufeeq Akhtar ","Overnight",IF($H$2:$H1851 = "Zeeshan Ali Malik","Audit",IF($H$2:$H1851 = "Ali Raza ","Receiving",IF($H$2:$H1851 = "Ali Ahmad","Full-In"))))))</f>
        <v>Overnight</v>
      </c>
      <c r="J352" s="29"/>
      <c r="K352" s="50" t="s">
        <v>2248</v>
      </c>
      <c r="L352" s="48" t="s">
        <v>2323</v>
      </c>
      <c r="M352" s="41" t="n">
        <v>1</v>
      </c>
      <c r="N352" s="39" t="s">
        <v>2212</v>
      </c>
      <c r="O352" s="42" t="b">
        <f aca="false">TRUE()</f>
        <v>1</v>
      </c>
      <c r="P352" s="20" t="n">
        <v>980</v>
      </c>
      <c r="Q352" s="45" t="n">
        <v>980</v>
      </c>
      <c r="R352" s="43" t="n">
        <v>45186</v>
      </c>
      <c r="S352" s="20" t="str">
        <v>Dairy</v>
      </c>
    </row>
    <row r="353" customFormat="false" ht="15.75" hidden="false" customHeight="false" outlineLevel="0" collapsed="false">
      <c r="A353" s="39" t="str">
        <v>2456DFLN</v>
      </c>
      <c r="B353" s="44" t="str">
        <v>Sun,17-September-2023 ,12:30 AM</v>
      </c>
      <c r="C353" s="39" t="str">
        <v>Sting Berry Blast plastic 500ml (Other city stock)</v>
      </c>
      <c r="D353" s="39" t="str">
        <v>Sting</v>
      </c>
      <c r="E353" s="39" t="str">
        <v>Damaged Stock</v>
      </c>
      <c r="F353" s="45" t="n">
        <v>1</v>
      </c>
      <c r="G353" s="40" t="str">
        <v>[Code: 2456DFLN] TA; 1 unit damaged found during sorting</v>
      </c>
      <c r="H353" s="39" t="str">
        <v>Taufeeq Akhtar </v>
      </c>
      <c r="I353" s="39" t="str">
        <f aca="false">IF(ISBLANK(H353),"", IF($H$2:$H1852 = "Gohar Rehan","Overnight",IF($H$2:$H1852 = "Taufeeq Akhtar ","Overnight",IF($H$2:$H1852 = "Zeeshan Ali Malik","Audit",IF($H$2:$H1852 = "Ali Raza ","Receiving",IF($H$2:$H1852 = "Ali Ahmad","Full-In"))))))</f>
        <v>Overnight</v>
      </c>
      <c r="J353" s="29"/>
      <c r="K353" s="50" t="s">
        <v>2248</v>
      </c>
      <c r="L353" s="48" t="s">
        <v>2323</v>
      </c>
      <c r="M353" s="41"/>
      <c r="N353" s="39" t="s">
        <v>2250</v>
      </c>
      <c r="O353" s="46" t="b">
        <f aca="false">FALSE()</f>
        <v>0</v>
      </c>
      <c r="P353" s="20" t="n">
        <v>972</v>
      </c>
      <c r="Q353" s="45" t="n">
        <v>972</v>
      </c>
      <c r="R353" s="43" t="n">
        <v>45186</v>
      </c>
      <c r="S353" s="20" t="str">
        <v>Beverages</v>
      </c>
    </row>
    <row r="354" customFormat="false" ht="15.75" hidden="false" customHeight="false" outlineLevel="0" collapsed="false">
      <c r="A354" s="39" t="str">
        <v>34BCCFGJ</v>
      </c>
      <c r="B354" s="44" t="str">
        <v>Sun,17-September-2023 ,09:13 PM</v>
      </c>
      <c r="C354" s="39" t="str">
        <v>Coca Cola plastic 1.5L</v>
      </c>
      <c r="D354" s="39" t="str">
        <v>Coca Cola</v>
      </c>
      <c r="E354" s="39" t="str">
        <v>Damaged Stock</v>
      </c>
      <c r="F354" s="45" t="n">
        <v>1</v>
      </c>
      <c r="G354" s="40" t="str">
        <v>[Code: 34BCCFGJ] TA: 1 unit damage found (5 bottle khali hain)</v>
      </c>
      <c r="H354" s="39" t="str">
        <v>Taufeeq Akhtar </v>
      </c>
      <c r="I354" s="39" t="str">
        <f aca="false">IF(ISBLANK(H354),"", IF($H$2:$H1853 = "Gohar Rehan","Overnight",IF($H$2:$H1853 = "Taufeeq Akhtar ","Overnight",IF($H$2:$H1853 = "Zeeshan Ali Malik","Audit",IF($H$2:$H1853 = "Ali Raza ","Receiving",IF($H$2:$H1853 = "Ali Ahmad","Full-In"))))))</f>
        <v>Overnight</v>
      </c>
      <c r="J354" s="29"/>
      <c r="K354" s="50" t="s">
        <v>2248</v>
      </c>
      <c r="L354" s="48" t="s">
        <v>2323</v>
      </c>
      <c r="M354" s="41"/>
      <c r="N354" s="39" t="s">
        <v>2250</v>
      </c>
      <c r="O354" s="46" t="b">
        <f aca="false">FALSE()</f>
        <v>0</v>
      </c>
      <c r="P354" s="20" t="n">
        <v>900</v>
      </c>
      <c r="Q354" s="45" t="n">
        <v>900</v>
      </c>
      <c r="R354" s="43" t="n">
        <v>45186</v>
      </c>
      <c r="S354" s="20" t="str">
        <v>Beverages</v>
      </c>
    </row>
    <row r="355" customFormat="false" ht="15.75" hidden="false" customHeight="false" outlineLevel="0" collapsed="false">
      <c r="A355" s="39" t="str">
        <v>567AEGHK</v>
      </c>
      <c r="B355" s="44" t="str">
        <v>Sun,17-September-2023 ,09:17 PM</v>
      </c>
      <c r="C355" s="39" t="str">
        <v>Pepsi plastic 500ml (Other city stock)</v>
      </c>
      <c r="D355" s="39" t="str">
        <v>Pepsi</v>
      </c>
      <c r="E355" s="39" t="str">
        <v>Damaged Stock</v>
      </c>
      <c r="F355" s="45" t="n">
        <v>1</v>
      </c>
      <c r="G355" s="40" t="str">
        <v>[Code: 567AEGHK] TA: 1unit damage found (4 bottle khali hain )</v>
      </c>
      <c r="H355" s="39" t="str">
        <v>Taufeeq Akhtar </v>
      </c>
      <c r="I355" s="39" t="str">
        <f aca="false">IF(ISBLANK(H355),"", IF($H$2:$H1854 = "Gohar Rehan","Overnight",IF($H$2:$H1854 = "Taufeeq Akhtar ","Overnight",IF($H$2:$H1854 = "Zeeshan Ali Malik","Audit",IF($H$2:$H1854 = "Ali Raza ","Receiving",IF($H$2:$H1854 = "Ali Ahmad","Full-In"))))))</f>
        <v>Overnight</v>
      </c>
      <c r="J355" s="29"/>
      <c r="K355" s="50" t="s">
        <v>2248</v>
      </c>
      <c r="L355" s="48" t="s">
        <v>2323</v>
      </c>
      <c r="M355" s="41"/>
      <c r="N355" s="39" t="s">
        <v>2250</v>
      </c>
      <c r="O355" s="46" t="b">
        <f aca="false">FALSE()</f>
        <v>0</v>
      </c>
      <c r="P355" s="20" t="n">
        <v>796</v>
      </c>
      <c r="Q355" s="45" t="n">
        <v>796</v>
      </c>
      <c r="R355" s="43" t="n">
        <v>45186</v>
      </c>
      <c r="S355" s="20" t="str">
        <v>Beverages</v>
      </c>
    </row>
    <row r="356" customFormat="false" ht="15.75" hidden="false" customHeight="false" outlineLevel="0" collapsed="false">
      <c r="A356" s="39" t="str">
        <v>3346DEFF</v>
      </c>
      <c r="B356" s="44" t="str">
        <v>Sun,17-September-2023 ,09:22 PM</v>
      </c>
      <c r="C356" s="39" t="str">
        <v>Lemon Max Dishwash Liquid 170ml Rs110 (Yellow)</v>
      </c>
      <c r="D356" s="39" t="str">
        <v>Lemon Max</v>
      </c>
      <c r="E356" s="39" t="str">
        <v>Damaged Stock</v>
      </c>
      <c r="F356" s="45" t="n">
        <v>1</v>
      </c>
      <c r="G356" s="40" t="str">
        <v>[Code: 3346DEFF] TA: 1 unit damage found from box (box main sy damage mila hy es ka cap ni hy)</v>
      </c>
      <c r="H356" s="39" t="str">
        <v>Taufeeq Akhtar </v>
      </c>
      <c r="I356" s="39" t="str">
        <f aca="false">IF(ISBLANK(H356),"", IF($H$2:$H1855 = "Gohar Rehan","Overnight",IF($H$2:$H1855 = "Taufeeq Akhtar ","Overnight",IF($H$2:$H1855 = "Zeeshan Ali Malik","Audit",IF($H$2:$H1855 = "Ali Raza ","Receiving",IF($H$2:$H1855 = "Ali Ahmad","Full-In"))))))</f>
        <v>Overnight</v>
      </c>
      <c r="J356" s="29"/>
      <c r="K356" s="50" t="s">
        <v>2248</v>
      </c>
      <c r="L356" s="48" t="s">
        <v>2324</v>
      </c>
      <c r="M356" s="41" t="n">
        <v>1</v>
      </c>
      <c r="N356" s="39" t="s">
        <v>2212</v>
      </c>
      <c r="O356" s="42" t="b">
        <f aca="false">TRUE()</f>
        <v>1</v>
      </c>
      <c r="P356" s="20" t="n">
        <v>101.38</v>
      </c>
      <c r="Q356" s="45" t="n">
        <v>101.38</v>
      </c>
      <c r="R356" s="43" t="n">
        <v>45186</v>
      </c>
      <c r="S356" s="20" t="str">
        <v>Home Care</v>
      </c>
    </row>
    <row r="357" customFormat="false" ht="15.75" hidden="false" customHeight="false" outlineLevel="0" collapsed="false">
      <c r="A357" s="39" t="str">
        <v>2256666B</v>
      </c>
      <c r="B357" s="44" t="str">
        <v>Sun,17-September-2023 ,09:23 PM</v>
      </c>
      <c r="C357" s="39" t="str">
        <v>Bonus tristar detergent x6 bundle 48g Rs10</v>
      </c>
      <c r="D357" s="39" t="str">
        <v>Bonus Surf</v>
      </c>
      <c r="E357" s="39" t="str">
        <v>Damaged Stock</v>
      </c>
      <c r="F357" s="45" t="n">
        <v>1</v>
      </c>
      <c r="G357" s="40" t="str">
        <v>[Code: 2256666B] TA: 1 unit damage found (bag main sy damage mila hy)</v>
      </c>
      <c r="H357" s="39" t="str">
        <v>Taufeeq Akhtar </v>
      </c>
      <c r="I357" s="39" t="str">
        <f aca="false">IF(ISBLANK(H357),"", IF($H$2:$H1856 = "Gohar Rehan","Overnight",IF($H$2:$H1856 = "Taufeeq Akhtar ","Overnight",IF($H$2:$H1856 = "Zeeshan Ali Malik","Audit",IF($H$2:$H1856 = "Ali Raza ","Receiving",IF($H$2:$H1856 = "Ali Ahmad","Full-In"))))))</f>
        <v>Overnight</v>
      </c>
      <c r="J357" s="29"/>
      <c r="K357" s="50" t="s">
        <v>2248</v>
      </c>
      <c r="L357" s="48" t="s">
        <v>2324</v>
      </c>
      <c r="M357" s="45" t="n">
        <v>1</v>
      </c>
      <c r="N357" s="39" t="s">
        <v>2212</v>
      </c>
      <c r="O357" s="46" t="b">
        <f aca="false">FALSE()</f>
        <v>0</v>
      </c>
      <c r="P357" s="20" t="n">
        <v>55.38</v>
      </c>
      <c r="Q357" s="45" t="n">
        <v>55.38</v>
      </c>
      <c r="R357" s="43" t="n">
        <v>45186</v>
      </c>
      <c r="S357" s="20" t="str">
        <v>Surf, Bleach</v>
      </c>
    </row>
    <row r="358" customFormat="false" ht="15.75" hidden="false" customHeight="false" outlineLevel="0" collapsed="false">
      <c r="A358" s="39" t="str">
        <v>4458ADEH</v>
      </c>
      <c r="B358" s="44" t="str">
        <v>Sun,17-September-2023 ,10:29 PM</v>
      </c>
      <c r="C358" s="39" t="str">
        <v>LU Candi Biscuits Snack Pack 6pcs Rs40</v>
      </c>
      <c r="D358" s="39" t="str">
        <v>LU</v>
      </c>
      <c r="E358" s="39" t="str">
        <v>Damaged Stock</v>
      </c>
      <c r="F358" s="45" t="n">
        <v>1</v>
      </c>
      <c r="G358" s="40" t="str">
        <v>[Code: 4458ADEH] TA: one unit damaged found from box during display(two packet missing from box)</v>
      </c>
      <c r="H358" s="39" t="str">
        <v>Taufeeq Akhtar </v>
      </c>
      <c r="I358" s="39" t="str">
        <f aca="false">IF(ISBLANK(H358),"", IF($H$2:$H1857 = "Gohar Rehan","Overnight",IF($H$2:$H1857 = "Taufeeq Akhtar ","Overnight",IF($H$2:$H1857 = "Zeeshan Ali Malik","Audit",IF($H$2:$H1857 = "Ali Raza ","Receiving",IF($H$2:$H1857 = "Ali Ahmad","Full-In"))))))</f>
        <v>Overnight</v>
      </c>
      <c r="J358" s="29"/>
      <c r="K358" s="50" t="s">
        <v>2248</v>
      </c>
      <c r="L358" s="50" t="s">
        <v>2326</v>
      </c>
      <c r="M358" s="41"/>
      <c r="N358" s="39" t="s">
        <v>2250</v>
      </c>
      <c r="O358" s="46" t="b">
        <f aca="false">FALSE()</f>
        <v>0</v>
      </c>
      <c r="P358" s="20" t="n">
        <v>210.74</v>
      </c>
      <c r="Q358" s="45" t="n">
        <v>210.74</v>
      </c>
      <c r="R358" s="43" t="n">
        <v>45186</v>
      </c>
      <c r="S358" s="20" t="str">
        <v>Biscuits, Wafers</v>
      </c>
    </row>
    <row r="359" customFormat="false" ht="15.75" hidden="false" customHeight="false" outlineLevel="0" collapsed="false">
      <c r="A359" s="39" t="str">
        <v>2577BCHJ</v>
      </c>
      <c r="B359" s="44" t="str">
        <v>Mon,18-September-2023 ,09:48 PM</v>
      </c>
      <c r="C359" s="39" t="str">
        <v>Coca Cola plastic 1.5L</v>
      </c>
      <c r="D359" s="39" t="str">
        <v>Coca Cola</v>
      </c>
      <c r="E359" s="39" t="str">
        <v>Damaged Stock</v>
      </c>
      <c r="F359" s="45" t="n">
        <v>1</v>
      </c>
      <c r="G359" s="40" t="str">
        <v>[Code: 2577BCHJ] TA: two bottels found empty during sorting.</v>
      </c>
      <c r="H359" s="39" t="str">
        <v>Taufeeq Akhtar </v>
      </c>
      <c r="I359" s="39" t="str">
        <f aca="false">IF(ISBLANK(H359),"", IF($H$2:$H1858 = "Gohar Rehan","Overnight",IF($H$2:$H1858 = "Taufeeq Akhtar ","Overnight",IF($H$2:$H1858 = "Zeeshan Ali Malik","Audit",IF($H$2:$H1858 = "Ali Raza ","Receiving",IF($H$2:$H1858 = "Ali Ahmad","Full-In"))))))</f>
        <v>Overnight</v>
      </c>
      <c r="J359" s="29"/>
      <c r="K359" s="50" t="s">
        <v>2248</v>
      </c>
      <c r="L359" s="48" t="s">
        <v>2323</v>
      </c>
      <c r="M359" s="41"/>
      <c r="N359" s="39" t="s">
        <v>2250</v>
      </c>
      <c r="O359" s="46" t="b">
        <f aca="false">FALSE()</f>
        <v>0</v>
      </c>
      <c r="P359" s="20" t="n">
        <v>900</v>
      </c>
      <c r="Q359" s="45" t="n">
        <v>900</v>
      </c>
      <c r="R359" s="43" t="n">
        <v>45187</v>
      </c>
      <c r="S359" s="20" t="str">
        <v>Beverages</v>
      </c>
    </row>
    <row r="360" customFormat="false" ht="15.75" hidden="false" customHeight="false" outlineLevel="0" collapsed="false">
      <c r="A360" s="39" t="str">
        <v>44678ABD</v>
      </c>
      <c r="B360" s="44" t="str">
        <v>Tue,19-September-2023 ,08:55 PM</v>
      </c>
      <c r="C360" s="39" t="str">
        <v>Shangrila Tomato Ketchup x6 Bundle 225g</v>
      </c>
      <c r="D360" s="39" t="str">
        <v>Shangrila</v>
      </c>
      <c r="E360" s="39" t="str">
        <v>Damaged Stock</v>
      </c>
      <c r="F360" s="45" t="n">
        <v>1</v>
      </c>
      <c r="G360" s="40" t="str">
        <v>[Code: 44678ABD] TA; 1unit damage found during display {cotton sy damage mila he}</v>
      </c>
      <c r="H360" s="39" t="str">
        <v>Taufeeq Akhtar </v>
      </c>
      <c r="I360" s="39" t="str">
        <f aca="false">IF(ISBLANK(H360),"", IF($H$2:$H1859 = "Gohar Rehan","Overnight",IF($H$2:$H1859 = "Taufeeq Akhtar ","Overnight",IF($H$2:$H1859 = "Zeeshan Ali Malik","Audit",IF($H$2:$H1859 = "Ali Raza ","Receiving",IF($H$2:$H1859 = "Ali Ahmad","Full-In"))))))</f>
        <v>Overnight</v>
      </c>
      <c r="J360" s="29"/>
      <c r="K360" s="50" t="s">
        <v>2248</v>
      </c>
      <c r="L360" s="48" t="s">
        <v>2323</v>
      </c>
      <c r="M360" s="41" t="n">
        <v>1</v>
      </c>
      <c r="N360" s="39" t="s">
        <v>2212</v>
      </c>
      <c r="O360" s="42" t="b">
        <f aca="false">TRUE()</f>
        <v>1</v>
      </c>
      <c r="P360" s="20" t="n">
        <v>614.12</v>
      </c>
      <c r="Q360" s="45" t="n">
        <v>614.12</v>
      </c>
      <c r="R360" s="43" t="n">
        <v>45188</v>
      </c>
      <c r="S360" s="20" t="str">
        <v>Sauces</v>
      </c>
    </row>
    <row r="361" customFormat="false" ht="15.75" hidden="false" customHeight="false" outlineLevel="0" collapsed="false">
      <c r="A361" s="39" t="str">
        <v>78AABDFF</v>
      </c>
      <c r="B361" s="44" t="str">
        <v>Tue,19-September-2023 ,08:57 PM</v>
      </c>
      <c r="C361" s="39" t="str">
        <v>Mountain Dew plastic 1L</v>
      </c>
      <c r="D361" s="39" t="str">
        <v>Mountain Dew</v>
      </c>
      <c r="E361" s="39" t="str">
        <v>Damaged Stock</v>
      </c>
      <c r="F361" s="45" t="n">
        <v>1</v>
      </c>
      <c r="G361" s="40" t="str">
        <v>[Code: 78AABDFF] TA; 1 unit damage found in stock {4 bottels lose mili hain unit sy} </v>
      </c>
      <c r="H361" s="39" t="str">
        <v>Taufeeq Akhtar </v>
      </c>
      <c r="I361" s="39" t="str">
        <f aca="false">IF(ISBLANK(H361),"", IF($H$2:$H1860 = "Gohar Rehan","Overnight",IF($H$2:$H1860 = "Taufeeq Akhtar ","Overnight",IF($H$2:$H1860 = "Zeeshan Ali Malik","Audit",IF($H$2:$H1860 = "Ali Raza ","Receiving",IF($H$2:$H1860 = "Ali Ahmad","Full-In"))))))</f>
        <v>Overnight</v>
      </c>
      <c r="J361" s="29"/>
      <c r="K361" s="50" t="s">
        <v>2248</v>
      </c>
      <c r="L361" s="48" t="s">
        <v>2323</v>
      </c>
      <c r="M361" s="41"/>
      <c r="N361" s="39" t="s">
        <v>2250</v>
      </c>
      <c r="O361" s="46" t="b">
        <f aca="false">FALSE()</f>
        <v>0</v>
      </c>
      <c r="P361" s="20" t="n">
        <v>595</v>
      </c>
      <c r="Q361" s="45" t="n">
        <v>595</v>
      </c>
      <c r="R361" s="43" t="n">
        <v>45188</v>
      </c>
      <c r="S361" s="20" t="str">
        <v>Beverages</v>
      </c>
    </row>
    <row r="362" customFormat="false" ht="15.75" hidden="false" customHeight="false" outlineLevel="0" collapsed="false">
      <c r="A362" s="39" t="str">
        <v>236CDFJK</v>
      </c>
      <c r="B362" s="44" t="str">
        <v>Wed,20-September-2023 ,09:17 PM</v>
      </c>
      <c r="C362" s="39" t="str">
        <v>Quality Grains Daal Mash Wash 500g</v>
      </c>
      <c r="D362" s="39" t="str">
        <v>Quality Grains</v>
      </c>
      <c r="E362" s="39" t="str">
        <v>Damaged Stock</v>
      </c>
      <c r="F362" s="45" t="n">
        <v>1</v>
      </c>
      <c r="G362" s="40" t="str">
        <v>[Code: 236CDFJK] TA: Qaulity sahi nahi hay (Fungus lagi hui haiy)</v>
      </c>
      <c r="H362" s="39" t="str">
        <v>Taufeeq Akhtar </v>
      </c>
      <c r="I362" s="39" t="str">
        <f aca="false">IF(ISBLANK(H362),"", IF($H$2:$H1861 = "Gohar Rehan","Overnight",IF($H$2:$H1861 = "Taufeeq Akhtar ","Overnight",IF($H$2:$H1861 = "Zeeshan Ali Malik","Audit",IF($H$2:$H1861 = "Ali Raza ","Receiving",IF($H$2:$H1861 = "Ali Ahmad","Full-In"))))))</f>
        <v>Overnight</v>
      </c>
      <c r="J362" s="29"/>
      <c r="K362" s="50" t="s">
        <v>2248</v>
      </c>
      <c r="L362" s="48" t="s">
        <v>2323</v>
      </c>
      <c r="M362" s="41"/>
      <c r="N362" s="39" t="s">
        <v>2212</v>
      </c>
      <c r="O362" s="46" t="b">
        <f aca="false">FALSE()</f>
        <v>0</v>
      </c>
      <c r="P362" s="20" t="n">
        <v>283</v>
      </c>
      <c r="Q362" s="45" t="n">
        <v>283</v>
      </c>
      <c r="R362" s="43" t="n">
        <v>45189</v>
      </c>
      <c r="S362" s="20" t="str">
        <v>Pulses</v>
      </c>
    </row>
    <row r="363" customFormat="false" ht="15.75" hidden="false" customHeight="false" outlineLevel="0" collapsed="false">
      <c r="A363" s="39" t="str">
        <v>79CFGLMN</v>
      </c>
      <c r="B363" s="44" t="str">
        <v>Wed,20-September-2023 ,09:59 PM</v>
      </c>
      <c r="C363" s="39" t="str">
        <v>Surf Excel x6 bundle 95g Rs50</v>
      </c>
      <c r="D363" s="39" t="str">
        <v>Surf Excel</v>
      </c>
      <c r="E363" s="39" t="str">
        <v>Damaged Stock</v>
      </c>
      <c r="F363" s="45" t="n">
        <v>1</v>
      </c>
      <c r="G363" s="40" t="str">
        <v>[Code: 79CFGLMN] TA; 1 unit damage found during display  {bag sy damage mila he}</v>
      </c>
      <c r="H363" s="39" t="str">
        <v>Taufeeq Akhtar </v>
      </c>
      <c r="I363" s="39" t="str">
        <f aca="false">IF(ISBLANK(H363),"", IF($H$2:$H1862 = "Gohar Rehan","Overnight",IF($H$2:$H1862 = "Taufeeq Akhtar ","Overnight",IF($H$2:$H1862 = "Zeeshan Ali Malik","Audit",IF($H$2:$H1862 = "Ali Raza ","Receiving",IF($H$2:$H1862 = "Ali Ahmad","Full-In"))))))</f>
        <v>Overnight</v>
      </c>
      <c r="J363" s="29"/>
      <c r="K363" s="50" t="s">
        <v>2248</v>
      </c>
      <c r="L363" s="48" t="s">
        <v>2323</v>
      </c>
      <c r="M363" s="41"/>
      <c r="N363" s="39" t="s">
        <v>2250</v>
      </c>
      <c r="O363" s="46" t="b">
        <f aca="false">FALSE()</f>
        <v>0</v>
      </c>
      <c r="P363" s="20" t="n">
        <v>275</v>
      </c>
      <c r="Q363" s="45" t="n">
        <v>275</v>
      </c>
      <c r="R363" s="43" t="n">
        <v>45189</v>
      </c>
      <c r="S363" s="20" t="str">
        <v>Surf, Bleach</v>
      </c>
    </row>
    <row r="364" customFormat="false" ht="15.75" hidden="false" customHeight="false" outlineLevel="0" collapsed="false">
      <c r="A364" s="39" t="str">
        <v>257CFKMP</v>
      </c>
      <c r="B364" s="44" t="str">
        <v>Wed,20-September-2023 ,10:01 PM</v>
      </c>
      <c r="C364" s="39" t="str">
        <v>Bonus tristar yellow surf 240g Rs50</v>
      </c>
      <c r="D364" s="39" t="str">
        <v>Bonus Surf</v>
      </c>
      <c r="E364" s="39" t="str">
        <v>Damaged Stock</v>
      </c>
      <c r="F364" s="45" t="n">
        <v>1</v>
      </c>
      <c r="G364" s="40" t="str">
        <v>[Code: 257CFKMP]  TA; 1 unit damage found during display  {bag sy damage mila he}</v>
      </c>
      <c r="H364" s="39" t="str">
        <v>Taufeeq Akhtar </v>
      </c>
      <c r="I364" s="39" t="str">
        <f aca="false">IF(ISBLANK(H364),"", IF($H$2:$H1863 = "Gohar Rehan","Overnight",IF($H$2:$H1863 = "Taufeeq Akhtar ","Overnight",IF($H$2:$H1863 = "Zeeshan Ali Malik","Audit",IF($H$2:$H1863 = "Ali Raza ","Receiving",IF($H$2:$H1863 = "Ali Ahmad","Full-In"))))))</f>
        <v>Overnight</v>
      </c>
      <c r="J364" s="29"/>
      <c r="K364" s="50" t="s">
        <v>2248</v>
      </c>
      <c r="L364" s="48" t="s">
        <v>2323</v>
      </c>
      <c r="M364" s="45" t="n">
        <v>1</v>
      </c>
      <c r="N364" s="39" t="s">
        <v>2212</v>
      </c>
      <c r="O364" s="42" t="b">
        <f aca="false">FALSE()</f>
        <v>0</v>
      </c>
      <c r="P364" s="20" t="n">
        <v>45.59</v>
      </c>
      <c r="Q364" s="45" t="n">
        <v>45.59</v>
      </c>
      <c r="R364" s="43" t="n">
        <v>45189</v>
      </c>
      <c r="S364" s="20" t="str">
        <v>Surf, Bleach</v>
      </c>
    </row>
    <row r="365" customFormat="false" ht="15.75" hidden="false" customHeight="false" outlineLevel="0" collapsed="false">
      <c r="A365" s="39" t="str">
        <v>478AAFFG</v>
      </c>
      <c r="B365" s="44" t="str">
        <v>Wed,20-September-2023 ,10:03 PM</v>
      </c>
      <c r="C365" s="39" t="str">
        <v>Sunlight Pink Clean and Jasmine Fresh 330g Rs99</v>
      </c>
      <c r="D365" s="39" t="str">
        <v>Sunlight</v>
      </c>
      <c r="E365" s="39" t="str">
        <v>Damaged Stock</v>
      </c>
      <c r="F365" s="45" t="n">
        <v>1</v>
      </c>
      <c r="G365" s="40" t="str">
        <v>[Code: 478AAFFG]   TA; 1 unit damage found during sorting  {bag sy damage mila he}</v>
      </c>
      <c r="H365" s="39" t="str">
        <v>Taufeeq Akhtar </v>
      </c>
      <c r="I365" s="39" t="str">
        <f aca="false">IF(ISBLANK(H365),"", IF($H$2:$H1864 = "Gohar Rehan","Overnight",IF($H$2:$H1864 = "Taufeeq Akhtar ","Overnight",IF($H$2:$H1864 = "Zeeshan Ali Malik","Audit",IF($H$2:$H1864 = "Ali Raza ","Receiving",IF($H$2:$H1864 = "Ali Ahmad","Full-In"))))))</f>
        <v>Overnight</v>
      </c>
      <c r="J365" s="29"/>
      <c r="K365" s="50" t="s">
        <v>2248</v>
      </c>
      <c r="L365" s="48" t="s">
        <v>2323</v>
      </c>
      <c r="M365" s="41"/>
      <c r="N365" s="39" t="s">
        <v>2250</v>
      </c>
      <c r="O365" s="46" t="b">
        <f aca="false">FALSE()</f>
        <v>0</v>
      </c>
      <c r="P365" s="20" t="n">
        <v>87.5</v>
      </c>
      <c r="Q365" s="45" t="n">
        <v>87.5</v>
      </c>
      <c r="R365" s="43" t="n">
        <v>45189</v>
      </c>
      <c r="S365" s="20" t="str">
        <v>Surf, Bleach</v>
      </c>
    </row>
    <row r="366" customFormat="false" ht="15.75" hidden="false" customHeight="false" outlineLevel="0" collapsed="false">
      <c r="A366" s="39" t="str">
        <v>22578AEF</v>
      </c>
      <c r="B366" s="44" t="str">
        <v>Fri,22-September-2023 ,06:37 PM</v>
      </c>
      <c r="C366" s="39" t="str">
        <v>Jan Mango 1L</v>
      </c>
      <c r="D366" s="39" t="str">
        <v>Jan</v>
      </c>
      <c r="E366" s="39" t="str">
        <v>Damaged Stock</v>
      </c>
      <c r="F366" s="45" t="n">
        <v>2</v>
      </c>
      <c r="G366" s="40" t="str">
        <v>[Code: 22578AEF]   TA; 1 unit damage found during sorting  {box sy damage mily hain}</v>
      </c>
      <c r="H366" s="39" t="str">
        <v>Taufeeq Akhtar </v>
      </c>
      <c r="I366" s="39" t="str">
        <f aca="false">IF(ISBLANK(H366),"", IF($H$2:$H1865 = "Gohar Rehan","Overnight",IF($H$2:$H1865 = "Taufeeq Akhtar ","Overnight",IF($H$2:$H1865 = "Zeeshan Ali Malik","Audit",IF($H$2:$H1865 = "Ali Raza ","Receiving",IF($H$2:$H1865 = "Ali Ahmad","Full-In"))))))</f>
        <v>Overnight</v>
      </c>
      <c r="J366" s="29"/>
      <c r="K366" s="50" t="s">
        <v>2248</v>
      </c>
      <c r="L366" s="48" t="s">
        <v>2323</v>
      </c>
      <c r="M366" s="41"/>
      <c r="N366" s="39" t="s">
        <v>2250</v>
      </c>
      <c r="O366" s="46" t="b">
        <f aca="false">FALSE()</f>
        <v>0</v>
      </c>
      <c r="P366" s="20" t="n">
        <v>130.83</v>
      </c>
      <c r="Q366" s="45" t="n">
        <v>261.66</v>
      </c>
      <c r="R366" s="43" t="n">
        <v>45191</v>
      </c>
      <c r="S366" s="20" t="str">
        <v>Juice, Syrup, Squash</v>
      </c>
    </row>
    <row r="367" customFormat="false" ht="15.75" hidden="false" customHeight="false" outlineLevel="0" collapsed="false">
      <c r="A367" s="39" t="str">
        <v>489ABCFG</v>
      </c>
      <c r="B367" s="44" t="str">
        <v>Fri,22-September-2023 ,06:43 PM</v>
      </c>
      <c r="C367" s="39" t="str">
        <v>Coca Cola plastic 1.5L</v>
      </c>
      <c r="D367" s="39" t="str">
        <v>Coca Cola</v>
      </c>
      <c r="E367" s="39" t="str">
        <v>Damaged Stock</v>
      </c>
      <c r="F367" s="45" t="n">
        <v>1</v>
      </c>
      <c r="G367" s="40" t="str">
        <v>[Code: 489ABCFG] TA: 1 unit damage found (2bottle khali hain 1 lose hay )</v>
      </c>
      <c r="H367" s="39" t="str">
        <v>Taufeeq Akhtar </v>
      </c>
      <c r="I367" s="39" t="str">
        <f aca="false">IF(ISBLANK(H367),"", IF($H$2:$H1866 = "Gohar Rehan","Overnight",IF($H$2:$H1866 = "Taufeeq Akhtar ","Overnight",IF($H$2:$H1866 = "Zeeshan Ali Malik","Audit",IF($H$2:$H1866 = "Ali Raza ","Receiving",IF($H$2:$H1866 = "Ali Ahmad","Full-In"))))))</f>
        <v>Overnight</v>
      </c>
      <c r="J367" s="29"/>
      <c r="K367" s="50" t="s">
        <v>2248</v>
      </c>
      <c r="L367" s="48" t="s">
        <v>2323</v>
      </c>
      <c r="M367" s="41"/>
      <c r="N367" s="39" t="s">
        <v>2250</v>
      </c>
      <c r="O367" s="46" t="b">
        <f aca="false">FALSE()</f>
        <v>0</v>
      </c>
      <c r="P367" s="20" t="n">
        <v>900</v>
      </c>
      <c r="Q367" s="45" t="n">
        <v>900</v>
      </c>
      <c r="R367" s="43" t="n">
        <v>45191</v>
      </c>
      <c r="S367" s="20" t="str">
        <v>Beverages</v>
      </c>
    </row>
    <row r="368" customFormat="false" ht="15.75" hidden="false" customHeight="false" outlineLevel="0" collapsed="false">
      <c r="A368" s="39" t="str">
        <v>22357788</v>
      </c>
      <c r="B368" s="44" t="str">
        <v>Sat,23-September-2023 ,11:09 PM</v>
      </c>
      <c r="C368" s="39" t="str">
        <v>Lifebuoy Herbal Strong 9ml 16pcs Rs.10</v>
      </c>
      <c r="D368" s="39" t="str">
        <v>Lifebuoy</v>
      </c>
      <c r="E368" s="39" t="str">
        <v>Damaged Stock</v>
      </c>
      <c r="F368" s="45" t="n">
        <v>2</v>
      </c>
      <c r="G368" s="40" t="str">
        <v>[Code: 22357788] TA: Quantity kam hain sachet may.</v>
      </c>
      <c r="H368" s="39" t="str">
        <v>Taufeeq Akhtar </v>
      </c>
      <c r="I368" s="39" t="str">
        <f aca="false">IF(ISBLANK(H368),"", IF($H$2:$H1867 = "Gohar Rehan","Overnight",IF($H$2:$H1867 = "Taufeeq Akhtar ","Overnight",IF($H$2:$H1867 = "Zeeshan Ali Malik","Audit",IF($H$2:$H1867 = "Ali Raza ","Receiving",IF($H$2:$H1867 = "Ali Ahmad","Full-In"))))))</f>
        <v>Overnight</v>
      </c>
      <c r="J368" s="29"/>
      <c r="K368" s="50" t="s">
        <v>2248</v>
      </c>
      <c r="L368" s="48" t="s">
        <v>2323</v>
      </c>
      <c r="M368" s="41"/>
      <c r="N368" s="39" t="s">
        <v>2250</v>
      </c>
      <c r="O368" s="46" t="b">
        <f aca="false">FALSE()</f>
        <v>0</v>
      </c>
      <c r="P368" s="20" t="n">
        <v>142.5</v>
      </c>
      <c r="Q368" s="45" t="n">
        <v>285</v>
      </c>
      <c r="R368" s="43" t="n">
        <v>45192</v>
      </c>
      <c r="S368" s="20" t="str">
        <v>Shampoo</v>
      </c>
    </row>
    <row r="369" customFormat="false" ht="15.75" hidden="false" customHeight="false" outlineLevel="0" collapsed="false">
      <c r="A369" s="39" t="str">
        <v>2469CDDF</v>
      </c>
      <c r="B369" s="44" t="str">
        <v>Sun,24-September-2023 ,10:34 PM</v>
      </c>
      <c r="C369" s="39" t="str">
        <v>Sprite plastic 1.5L</v>
      </c>
      <c r="D369" s="39" t="str">
        <v>Sprite</v>
      </c>
      <c r="E369" s="39" t="str">
        <v>Damaged Stock</v>
      </c>
      <c r="F369" s="45" t="n">
        <v>1</v>
      </c>
      <c r="G369" s="40" t="str">
        <v>[Code: 2469CDDF]  TA: 1 unit damage found (2bottle khali hain 1 lose hay )</v>
      </c>
      <c r="H369" s="39" t="str">
        <v>Taufeeq Akhtar </v>
      </c>
      <c r="I369" s="39" t="str">
        <f aca="false">IF(ISBLANK(H369),"", IF($H$2:$H1868 = "Gohar Rehan","Overnight",IF($H$2:$H1868 = "Taufeeq Akhtar ","Overnight",IF($H$2:$H1868 = "Zeeshan Ali Malik","Audit",IF($H$2:$H1868 = "Ali Raza ","Receiving",IF($H$2:$H1868 = "Ali Ahmad","Full-In"))))))</f>
        <v>Overnight</v>
      </c>
      <c r="J369" s="29"/>
      <c r="K369" s="50" t="s">
        <v>2248</v>
      </c>
      <c r="L369" s="48" t="s">
        <v>2323</v>
      </c>
      <c r="M369" s="41"/>
      <c r="N369" s="39" t="s">
        <v>2250</v>
      </c>
      <c r="O369" s="46" t="b">
        <f aca="false">FALSE()</f>
        <v>0</v>
      </c>
      <c r="P369" s="20" t="n">
        <v>870</v>
      </c>
      <c r="Q369" s="45" t="n">
        <v>870</v>
      </c>
      <c r="R369" s="43" t="n">
        <v>45193</v>
      </c>
      <c r="S369" s="20" t="str">
        <v>Beverages</v>
      </c>
    </row>
    <row r="370" customFormat="false" ht="15.75" hidden="false" customHeight="false" outlineLevel="0" collapsed="false">
      <c r="A370" s="39" t="str">
        <v>6678ABCE</v>
      </c>
      <c r="B370" s="44" t="str">
        <v>Tue,26-September-2023 ,10:18 PM</v>
      </c>
      <c r="C370" s="39" t="str">
        <v>Anne French Hair Removing Cream Rose 14g Rs35</v>
      </c>
      <c r="D370" s="39" t="str">
        <v>Anne French</v>
      </c>
      <c r="E370" s="39" t="str">
        <v>Damaged Stock</v>
      </c>
      <c r="F370" s="45" t="n">
        <v>1</v>
      </c>
      <c r="G370" s="40" t="str">
        <v>[Code: 6678ABCE] TA: Found damaged during display..</v>
      </c>
      <c r="H370" s="39" t="str">
        <v>Taufeeq Akhtar </v>
      </c>
      <c r="I370" s="39" t="str">
        <f aca="false">IF(ISBLANK(H370),"", IF($H$2:$H1869 = "Gohar Rehan","Overnight",IF($H$2:$H1869 = "Taufeeq Akhtar ","Overnight",IF($H$2:$H1869 = "Zeeshan Ali Malik","Audit",IF($H$2:$H1869 = "Ali Raza ","Receiving",IF($H$2:$H1869 = "Ali Ahmad","Full-In"))))))</f>
        <v>Overnight</v>
      </c>
      <c r="J370" s="29"/>
      <c r="K370" s="50" t="s">
        <v>2248</v>
      </c>
      <c r="L370" s="48" t="s">
        <v>2324</v>
      </c>
      <c r="M370" s="41"/>
      <c r="N370" s="39" t="s">
        <v>2212</v>
      </c>
      <c r="O370" s="46" t="b">
        <f aca="false">FALSE()</f>
        <v>0</v>
      </c>
      <c r="P370" s="20" t="n">
        <v>33.35</v>
      </c>
      <c r="Q370" s="45" t="n">
        <v>33.35</v>
      </c>
      <c r="R370" s="43" t="n">
        <v>45195</v>
      </c>
      <c r="S370" s="20" t="str">
        <v>Personal Care</v>
      </c>
    </row>
    <row r="371" customFormat="false" ht="15.75" hidden="false" customHeight="false" outlineLevel="0" collapsed="false">
      <c r="A371" s="39" t="str">
        <v>5688CJLM</v>
      </c>
      <c r="B371" s="44" t="str">
        <v>Tue,26-September-2023 ,10:19 PM</v>
      </c>
      <c r="C371" s="39" t="str">
        <v>Bonus tristar yellow surf 1kg Rs220</v>
      </c>
      <c r="D371" s="39" t="str">
        <v>Bonus Surf</v>
      </c>
      <c r="E371" s="39" t="str">
        <v>Damaged Stock</v>
      </c>
      <c r="F371" s="45" t="n">
        <v>1</v>
      </c>
      <c r="G371" s="40" t="str">
        <v>[Code: 5688CJLM] TA: found damaged from bag during display ...</v>
      </c>
      <c r="H371" s="39" t="str">
        <v>Taufeeq Akhtar </v>
      </c>
      <c r="I371" s="39" t="str">
        <f aca="false">IF(ISBLANK(H371),"", IF($H$2:$H1870 = "Gohar Rehan","Overnight",IF($H$2:$H1870 = "Taufeeq Akhtar ","Overnight",IF($H$2:$H1870 = "Zeeshan Ali Malik","Audit",IF($H$2:$H1870 = "Ali Raza ","Receiving",IF($H$2:$H1870 = "Ali Ahmad","Full-In"))))))</f>
        <v>Overnight</v>
      </c>
      <c r="J371" s="29"/>
      <c r="K371" s="50" t="s">
        <v>2248</v>
      </c>
      <c r="L371" s="48" t="s">
        <v>2324</v>
      </c>
      <c r="M371" s="41"/>
      <c r="N371" s="39" t="s">
        <v>2212</v>
      </c>
      <c r="O371" s="46" t="b">
        <f aca="false">FALSE()</f>
        <v>0</v>
      </c>
      <c r="P371" s="20" t="n">
        <v>201.18</v>
      </c>
      <c r="Q371" s="45" t="n">
        <v>201.18</v>
      </c>
      <c r="R371" s="43" t="n">
        <v>45195</v>
      </c>
      <c r="S371" s="20" t="str">
        <v>Surf, Bleach</v>
      </c>
    </row>
    <row r="372" customFormat="false" ht="15.75" hidden="false" customHeight="false" outlineLevel="0" collapsed="false">
      <c r="A372" s="39" t="str">
        <v>4568GHJJ</v>
      </c>
      <c r="B372" s="44" t="str">
        <v>Tue,26-September-2023 ,10:21 PM</v>
      </c>
      <c r="C372" s="39" t="str">
        <v>Aala Quality 2 Pari Broken Rice 25kg</v>
      </c>
      <c r="D372" s="39" t="str">
        <v>2 Pari Rice</v>
      </c>
      <c r="E372" s="39" t="str">
        <v>Damaged Stock</v>
      </c>
      <c r="F372" s="45" t="n">
        <v>1</v>
      </c>
      <c r="G372" s="40" t="str">
        <v>[Code: 4568GHJJ] TA: susri lagi hay ...qality kharab hain.</v>
      </c>
      <c r="H372" s="39" t="str">
        <v>Taufeeq Akhtar </v>
      </c>
      <c r="I372" s="39" t="str">
        <f aca="false">IF(ISBLANK(H372),"", IF($H$2:$H1871 = "Gohar Rehan","Overnight",IF($H$2:$H1871 = "Taufeeq Akhtar ","Overnight",IF($H$2:$H1871 = "Zeeshan Ali Malik","Audit",IF($H$2:$H1871 = "Ali Raza ","Receiving",IF($H$2:$H1871 = "Ali Ahmad","Full-In"))))))</f>
        <v>Overnight</v>
      </c>
      <c r="J372" s="29"/>
      <c r="K372" s="50" t="s">
        <v>2248</v>
      </c>
      <c r="L372" s="48" t="s">
        <v>2323</v>
      </c>
      <c r="M372" s="41"/>
      <c r="N372" s="39" t="s">
        <v>2212</v>
      </c>
      <c r="O372" s="46" t="b">
        <f aca="false">FALSE()</f>
        <v>0</v>
      </c>
      <c r="P372" s="20" t="n">
        <v>4535</v>
      </c>
      <c r="Q372" s="45" t="n">
        <v>4535</v>
      </c>
      <c r="R372" s="43" t="n">
        <v>45195</v>
      </c>
      <c r="S372" s="20" t="str">
        <v>Rice</v>
      </c>
    </row>
    <row r="373" customFormat="false" ht="15.75" hidden="false" customHeight="false" outlineLevel="0" collapsed="false">
      <c r="A373" s="39" t="str">
        <v>229CDFGJ</v>
      </c>
      <c r="B373" s="44" t="str">
        <v>Wed,27-September-2023 ,04:52 PM</v>
      </c>
      <c r="C373" s="39" t="str">
        <v>Aala Quality 2 Pari Broken Rice 25kg</v>
      </c>
      <c r="D373" s="39" t="str">
        <v>2 Pari Rice</v>
      </c>
      <c r="E373" s="39" t="str">
        <v>Damaged Stock</v>
      </c>
      <c r="F373" s="45" t="n">
        <v>24</v>
      </c>
      <c r="G373" s="40" t="str">
        <v>[Code: 229CDFGJ] 24 units having quality issue.</v>
      </c>
      <c r="H373" s="39" t="str">
        <v>Ali Raza </v>
      </c>
      <c r="I373" s="39" t="str">
        <f aca="false">IF(ISBLANK(H373),"", IF($H$2:$H1872 = "Gohar Rehan","Overnight",IF($H$2:$H1872 = "Taufeeq Akhtar ","Overnight",IF($H$2:$H1872 = "Zeeshan Ali Malik","Audit",IF($H$2:$H1872 = "Ali Raza ","Receiving",IF($H$2:$H1872 = "Ali Ahmad","Full-In"))))))</f>
        <v>Receiving</v>
      </c>
      <c r="J373" s="29"/>
      <c r="K373" s="50" t="s">
        <v>2248</v>
      </c>
      <c r="L373" s="48" t="s">
        <v>2323</v>
      </c>
      <c r="M373" s="41"/>
      <c r="N373" s="39" t="s">
        <v>2212</v>
      </c>
      <c r="O373" s="46" t="b">
        <f aca="false">FALSE()</f>
        <v>0</v>
      </c>
      <c r="P373" s="20" t="n">
        <v>4535</v>
      </c>
      <c r="Q373" s="45" t="n">
        <v>108840</v>
      </c>
      <c r="R373" s="43" t="n">
        <v>45196</v>
      </c>
      <c r="S373" s="20" t="str">
        <v>Rice</v>
      </c>
    </row>
    <row r="374" customFormat="false" ht="15.75" hidden="false" customHeight="false" outlineLevel="0" collapsed="false">
      <c r="A374" s="39" t="str">
        <v>259DEFKM</v>
      </c>
      <c r="B374" s="44" t="str">
        <v>Wed,27-September-2023 ,05:15 PM</v>
      </c>
      <c r="C374" s="39" t="str">
        <v>Bonus tristar yellow surf 1kg Rs220</v>
      </c>
      <c r="D374" s="39" t="str">
        <v>Bonus Surf</v>
      </c>
      <c r="E374" s="39" t="str">
        <v>Damaged Stock</v>
      </c>
      <c r="F374" s="45" t="n">
        <v>2</v>
      </c>
      <c r="G374" s="40" t="str">
        <v>[Code: 259DEFKM] 2 unit found damaged </v>
      </c>
      <c r="H374" s="39" t="str">
        <v>Ali Raza </v>
      </c>
      <c r="I374" s="39" t="str">
        <f aca="false">IF(ISBLANK(H374),"", IF($H$2:$H1873 = "Gohar Rehan","Overnight",IF($H$2:$H1873 = "Taufeeq Akhtar ","Overnight",IF($H$2:$H1873 = "Zeeshan Ali Malik","Audit",IF($H$2:$H1873 = "Ali Raza ","Receiving",IF($H$2:$H1873 = "Ali Ahmad","Full-In"))))))</f>
        <v>Receiving</v>
      </c>
      <c r="J374" s="29"/>
      <c r="K374" s="50" t="s">
        <v>2248</v>
      </c>
      <c r="L374" s="48" t="s">
        <v>2324</v>
      </c>
      <c r="M374" s="41"/>
      <c r="N374" s="39" t="s">
        <v>2212</v>
      </c>
      <c r="O374" s="46" t="b">
        <f aca="false">FALSE()</f>
        <v>0</v>
      </c>
      <c r="P374" s="20" t="n">
        <v>201.18</v>
      </c>
      <c r="Q374" s="45" t="n">
        <v>402.36</v>
      </c>
      <c r="R374" s="43" t="n">
        <v>45196</v>
      </c>
      <c r="S374" s="20" t="str">
        <v>Surf, Bleach</v>
      </c>
    </row>
    <row r="375" customFormat="false" ht="15.75" hidden="false" customHeight="false" outlineLevel="0" collapsed="false">
      <c r="A375" s="39" t="str">
        <v>23357CFG</v>
      </c>
      <c r="B375" s="44" t="str">
        <v>Wed,27-September-2023 ,05:16 PM</v>
      </c>
      <c r="C375" s="39" t="str">
        <v>Bonus tristar yellow surf 1kg Rs230</v>
      </c>
      <c r="D375" s="39" t="str">
        <v>Bonus Surf</v>
      </c>
      <c r="E375" s="39" t="str">
        <v>Damaged Stock</v>
      </c>
      <c r="F375" s="45" t="n">
        <v>1</v>
      </c>
      <c r="G375" s="40" t="str">
        <v>[Code: 23357CFG] 1 unit found damaged</v>
      </c>
      <c r="H375" s="39" t="str">
        <v>Ali Raza </v>
      </c>
      <c r="I375" s="39" t="str">
        <f aca="false">IF(ISBLANK(H375),"", IF($H$2:$H1874 = "Gohar Rehan","Overnight",IF($H$2:$H1874 = "Taufeeq Akhtar ","Overnight",IF($H$2:$H1874 = "Zeeshan Ali Malik","Audit",IF($H$2:$H1874 = "Ali Raza ","Receiving",IF($H$2:$H1874 = "Ali Ahmad","Full-In"))))))</f>
        <v>Receiving</v>
      </c>
      <c r="J375" s="29"/>
      <c r="K375" s="50" t="s">
        <v>2248</v>
      </c>
      <c r="L375" s="48" t="s">
        <v>2324</v>
      </c>
      <c r="M375" s="41"/>
      <c r="N375" s="39" t="s">
        <v>2212</v>
      </c>
      <c r="O375" s="46" t="b">
        <f aca="false">FALSE()</f>
        <v>0</v>
      </c>
      <c r="P375" s="20" t="n">
        <v>210.36</v>
      </c>
      <c r="Q375" s="45" t="n">
        <v>210.36</v>
      </c>
      <c r="R375" s="43" t="n">
        <v>45196</v>
      </c>
      <c r="S375" s="20" t="str">
        <v>Surf, Bleach</v>
      </c>
    </row>
    <row r="376" customFormat="false" ht="15.75" hidden="false" customHeight="false" outlineLevel="0" collapsed="false">
      <c r="A376" s="39" t="str">
        <v>33679EGG</v>
      </c>
      <c r="B376" s="44" t="str">
        <v>Wed,27-September-2023 ,10:54 PM</v>
      </c>
      <c r="C376" s="39" t="str">
        <v>Gibs Cake Time Plain Cake Rs10</v>
      </c>
      <c r="D376" s="39" t="str">
        <v>Gibs</v>
      </c>
      <c r="E376" s="39" t="str">
        <v>Damaged Stock</v>
      </c>
      <c r="F376" s="45" t="n">
        <v>1</v>
      </c>
      <c r="G376" s="40" t="str">
        <v>[Code: 33679EGG] TA: Found damaged from box during display (Company end issue)</v>
      </c>
      <c r="H376" s="39" t="str">
        <v>Taufeeq Akhtar </v>
      </c>
      <c r="I376" s="39" t="str">
        <f aca="false">IF(ISBLANK(H376),"", IF($H$2:$H1875 = "Gohar Rehan","Overnight",IF($H$2:$H1875 = "Taufeeq Akhtar ","Overnight",IF($H$2:$H1875 = "Zeeshan Ali Malik","Audit",IF($H$2:$H1875 = "Ali Raza ","Receiving",IF($H$2:$H1875 = "Ali Ahmad","Full-In"))))))</f>
        <v>Overnight</v>
      </c>
      <c r="J376" s="29"/>
      <c r="K376" s="50" t="s">
        <v>2248</v>
      </c>
      <c r="L376" s="50" t="s">
        <v>2326</v>
      </c>
      <c r="M376" s="41"/>
      <c r="N376" s="39" t="s">
        <v>2250</v>
      </c>
      <c r="O376" s="46" t="b">
        <f aca="false">FALSE()</f>
        <v>0</v>
      </c>
      <c r="P376" s="20" t="n">
        <v>130</v>
      </c>
      <c r="Q376" s="45" t="n">
        <v>130</v>
      </c>
      <c r="R376" s="43" t="n">
        <v>45196</v>
      </c>
      <c r="S376" s="20" t="str">
        <v>Confectionary</v>
      </c>
    </row>
    <row r="377" customFormat="false" ht="15.75" hidden="false" customHeight="false" outlineLevel="0" collapsed="false">
      <c r="A377" s="39" t="str">
        <v>445679CD</v>
      </c>
      <c r="B377" s="44" t="str">
        <v>Sat,30-September-2023 ,08:33 PM</v>
      </c>
      <c r="C377" s="39" t="str">
        <v>Coca Cola plastic 1.5L</v>
      </c>
      <c r="D377" s="39" t="str">
        <v>Coca Cola</v>
      </c>
      <c r="E377" s="39" t="str">
        <v>Damaged Stock</v>
      </c>
      <c r="F377" s="45" t="n">
        <v>1</v>
      </c>
      <c r="G377" s="40" t="str">
        <v>[Code: 445679CD] TA; 1unit found damage during sorting (unit sy 2bottles lose mili hain)</v>
      </c>
      <c r="H377" s="39" t="str">
        <v>Taufeeq Akhtar </v>
      </c>
      <c r="I377" s="39" t="str">
        <f aca="false">IF(ISBLANK(H377),"", IF($H$2:$H1876 = "Gohar Rehan","Overnight",IF($H$2:$H1876 = "Taufeeq Akhtar ","Overnight",IF($H$2:$H1876 = "Zeeshan Ali Malik","Audit",IF($H$2:$H1876 = "Ali Raza ","Receiving",IF($H$2:$H1876 = "Ali Ahmad","Full-In"))))))</f>
        <v>Overnight</v>
      </c>
      <c r="J377" s="29"/>
      <c r="K377" s="50" t="s">
        <v>2248</v>
      </c>
      <c r="L377" s="50" t="s">
        <v>2327</v>
      </c>
      <c r="M377" s="41"/>
      <c r="N377" s="39" t="s">
        <v>2250</v>
      </c>
      <c r="O377" s="46" t="b">
        <f aca="false">FALSE()</f>
        <v>0</v>
      </c>
      <c r="P377" s="20" t="n">
        <v>914.68</v>
      </c>
      <c r="Q377" s="45" t="n">
        <v>914.68</v>
      </c>
      <c r="R377" s="43" t="n">
        <v>45199</v>
      </c>
      <c r="S377" s="20" t="str">
        <v>Beverages</v>
      </c>
    </row>
    <row r="378" customFormat="false" ht="15.75" hidden="false" customHeight="false" outlineLevel="0" collapsed="false">
      <c r="A378" s="39" t="str">
        <v>344569AB</v>
      </c>
      <c r="B378" s="44" t="str">
        <v>Sat,30-September-2023 ,08:34 PM</v>
      </c>
      <c r="C378" s="39" t="str">
        <v>Murree Brewery Bigg Apple Plastic x12 Crate 300ml</v>
      </c>
      <c r="D378" s="39" t="str">
        <v>Murree Brewery</v>
      </c>
      <c r="E378" s="39" t="str">
        <v>Damaged Stock</v>
      </c>
      <c r="F378" s="45" t="n">
        <v>1</v>
      </c>
      <c r="G378" s="40" t="str">
        <v>[Code: 344569AB]  TA; 1unit found damage during sorting (unit sy 4bottles lose mili hain)</v>
      </c>
      <c r="H378" s="39" t="str">
        <v>Taufeeq Akhtar </v>
      </c>
      <c r="I378" s="39" t="str">
        <f aca="false">IF(ISBLANK(H378),"", IF($H$2:$H1877 = "Gohar Rehan","Overnight",IF($H$2:$H1877 = "Taufeeq Akhtar ","Overnight",IF($H$2:$H1877 = "Zeeshan Ali Malik","Audit",IF($H$2:$H1877 = "Ali Raza ","Receiving",IF($H$2:$H1877 = "Ali Ahmad","Full-In"))))))</f>
        <v>Overnight</v>
      </c>
      <c r="J378" s="29"/>
      <c r="K378" s="50" t="s">
        <v>2248</v>
      </c>
      <c r="L378" s="48" t="s">
        <v>2324</v>
      </c>
      <c r="M378" s="41"/>
      <c r="N378" s="39" t="s">
        <v>2250</v>
      </c>
      <c r="O378" s="46" t="b">
        <f aca="false">FALSE()</f>
        <v>0</v>
      </c>
      <c r="P378" s="20" t="n">
        <v>394.25</v>
      </c>
      <c r="Q378" s="45" t="n">
        <v>394.25</v>
      </c>
      <c r="R378" s="43" t="n">
        <v>45199</v>
      </c>
      <c r="S378" s="20" t="str">
        <v>Beverages</v>
      </c>
    </row>
    <row r="379" customFormat="false" ht="15.75" hidden="false" customHeight="false" outlineLevel="0" collapsed="false">
      <c r="A379" s="39" t="str">
        <v>27AGHKKL</v>
      </c>
      <c r="B379" s="44" t="str">
        <v>Sun,01-October-2023 ,12:03 AM</v>
      </c>
      <c r="C379" s="39" t="str">
        <v>A One Fine Atta 15kg</v>
      </c>
      <c r="D379" s="39" t="str">
        <v>A One Atta</v>
      </c>
      <c r="E379" s="39" t="str">
        <v>Damaged Stock</v>
      </c>
      <c r="F379" s="45" t="n">
        <v>18</v>
      </c>
      <c r="G379" s="40" t="str">
        <v>[Code: 27AGHKKL] TA:  18 units damage found due to fungus  ( Quality issue )</v>
      </c>
      <c r="H379" s="39" t="str">
        <v>Taufeeq Akhtar </v>
      </c>
      <c r="I379" s="39" t="str">
        <f aca="false">IF(ISBLANK(H379),"", IF($H$2:$H1878 = "Gohar Rehan","Overnight",IF($H$2:$H1878 = "Taufeeq Akhtar ","Overnight",IF($H$2:$H1878 = "Zeeshan Ali Malik","Audit",IF($H$2:$H1878 = "Ali Raza ","Receiving",IF($H$2:$H1878 = "Ali Ahmad","Full-In"))))))</f>
        <v>Overnight</v>
      </c>
      <c r="J379" s="29"/>
      <c r="K379" s="50" t="s">
        <v>2248</v>
      </c>
      <c r="L379" s="48" t="s">
        <v>2328</v>
      </c>
      <c r="M379" s="41"/>
      <c r="N379" s="39" t="s">
        <v>2212</v>
      </c>
      <c r="O379" s="46" t="b">
        <f aca="false">FALSE()</f>
        <v>0</v>
      </c>
      <c r="P379" s="20" t="n">
        <v>2095</v>
      </c>
      <c r="Q379" s="45" t="n">
        <v>37710</v>
      </c>
      <c r="R379" s="43" t="n">
        <v>45200</v>
      </c>
      <c r="S379" s="20" t="str">
        <v>Flour</v>
      </c>
    </row>
    <row r="380" customFormat="false" ht="15.75" hidden="false" customHeight="false" outlineLevel="0" collapsed="false">
      <c r="A380" s="39" t="str">
        <v>2334DKNQ</v>
      </c>
      <c r="B380" s="44" t="str">
        <v>Sun,01-October-2023 ,06:52 PM</v>
      </c>
      <c r="C380" s="39" t="str">
        <v>Murree Brewery Bigg Apple Plastic x6 Crate 1.5L</v>
      </c>
      <c r="D380" s="39" t="str">
        <v>Murree Brewery</v>
      </c>
      <c r="E380" s="39" t="str">
        <v>Damaged Stock</v>
      </c>
      <c r="F380" s="45" t="n">
        <v>1</v>
      </c>
      <c r="G380" s="40" t="str">
        <v>[Code: 2334DKNQ]  TA; 1unit found damage during sorting (unit sy 2bottles lose mili hain)</v>
      </c>
      <c r="H380" s="39" t="str">
        <v>Taufeeq Akhtar </v>
      </c>
      <c r="I380" s="39" t="str">
        <f aca="false">IF(ISBLANK(H380),"", IF($H$2:$H1879 = "Gohar Rehan","Overnight",IF($H$2:$H1879 = "Taufeeq Akhtar ","Overnight",IF($H$2:$H1879 = "Zeeshan Ali Malik","Audit",IF($H$2:$H1879 = "Ali Raza ","Receiving",IF($H$2:$H1879 = "Ali Ahmad","Full-In"))))))</f>
        <v>Overnight</v>
      </c>
      <c r="J380" s="29"/>
      <c r="K380" s="50" t="s">
        <v>2248</v>
      </c>
      <c r="L380" s="50" t="s">
        <v>2329</v>
      </c>
      <c r="M380" s="41"/>
      <c r="N380" s="39" t="s">
        <v>2250</v>
      </c>
      <c r="O380" s="46" t="b">
        <f aca="false">FALSE()</f>
        <v>0</v>
      </c>
      <c r="P380" s="20" t="n">
        <v>779</v>
      </c>
      <c r="Q380" s="45" t="n">
        <v>779</v>
      </c>
      <c r="R380" s="43" t="n">
        <v>45200</v>
      </c>
      <c r="S380" s="20" t="str">
        <v>Beverages</v>
      </c>
    </row>
    <row r="381" customFormat="false" ht="15.75" hidden="false" customHeight="false" outlineLevel="0" collapsed="false">
      <c r="A381" s="39" t="str">
        <v>46BBCDDF</v>
      </c>
      <c r="B381" s="44" t="str">
        <v>Sun,01-October-2023 ,10:26 PM</v>
      </c>
      <c r="C381" s="39" t="str">
        <v>Murree Brewery Bigg Apple Plastic x6 Crate 1.5L</v>
      </c>
      <c r="D381" s="39" t="str">
        <v>Murree Brewery</v>
      </c>
      <c r="E381" s="39" t="str">
        <v>Damaged Stock</v>
      </c>
      <c r="F381" s="45" t="n">
        <v>1</v>
      </c>
      <c r="G381" s="40" t="str">
        <v>[Code: 46BBCDDF] TA: one bottel found damaged and one bottel found in loose condition during sorting,</v>
      </c>
      <c r="H381" s="39" t="str">
        <v>Taufeeq Akhtar </v>
      </c>
      <c r="I381" s="39" t="str">
        <f aca="false">IF(ISBLANK(H381),"", IF($H$2:$H1880 = "Gohar Rehan","Overnight",IF($H$2:$H1880 = "Taufeeq Akhtar ","Overnight",IF($H$2:$H1880 = "Zeeshan Ali Malik","Audit",IF($H$2:$H1880 = "Ali Raza ","Receiving",IF($H$2:$H1880 = "Ali Ahmad","Full-In"))))))</f>
        <v>Overnight</v>
      </c>
      <c r="J381" s="29"/>
      <c r="K381" s="50" t="s">
        <v>2248</v>
      </c>
      <c r="L381" s="50" t="s">
        <v>2329</v>
      </c>
      <c r="M381" s="41"/>
      <c r="N381" s="39" t="s">
        <v>2250</v>
      </c>
      <c r="O381" s="46" t="b">
        <f aca="false">FALSE()</f>
        <v>0</v>
      </c>
      <c r="P381" s="20" t="n">
        <v>779</v>
      </c>
      <c r="Q381" s="45" t="n">
        <v>779</v>
      </c>
      <c r="R381" s="43" t="n">
        <v>45200</v>
      </c>
      <c r="S381" s="20" t="str">
        <v>Beverages</v>
      </c>
    </row>
    <row r="382" customFormat="false" ht="15.75" hidden="false" customHeight="false" outlineLevel="0" collapsed="false">
      <c r="A382" s="39" t="str">
        <v>277889EE</v>
      </c>
      <c r="B382" s="44" t="str">
        <v>Mon,02-October-2023 ,10:30 PM</v>
      </c>
      <c r="C382" s="39" t="str">
        <v>Ultra Pure Surf x13 bundle 40g Rs 10</v>
      </c>
      <c r="D382" s="39" t="str">
        <v>Ultra Pure</v>
      </c>
      <c r="E382" s="39" t="str">
        <v>Damaged Stock</v>
      </c>
      <c r="F382" s="45" t="n">
        <v>5</v>
      </c>
      <c r="G382" s="40" t="str">
        <v>[Code: 277889EE]  TA; 5unit found damage during display (bag sy damage mily hain)</v>
      </c>
      <c r="H382" s="39" t="str">
        <v>Taufeeq Akhtar </v>
      </c>
      <c r="I382" s="39" t="str">
        <f aca="false">IF(ISBLANK(H382),"", IF($H$2:$H1881 = "Gohar Rehan","Overnight",IF($H$2:$H1881 = "Taufeeq Akhtar ","Overnight",IF($H$2:$H1881 = "Zeeshan Ali Malik","Audit",IF($H$2:$H1881 = "Ali Raza ","Receiving",IF($H$2:$H1881 = "Ali Ahmad","Full-In"))))))</f>
        <v>Overnight</v>
      </c>
      <c r="J382" s="29"/>
      <c r="K382" s="50" t="s">
        <v>2248</v>
      </c>
      <c r="L382" s="48" t="s">
        <v>2328</v>
      </c>
      <c r="M382" s="41" t="n">
        <v>5</v>
      </c>
      <c r="N382" s="39" t="s">
        <v>2212</v>
      </c>
      <c r="O382" s="46" t="b">
        <f aca="false">FALSE()</f>
        <v>0</v>
      </c>
      <c r="P382" s="20" t="n">
        <v>117</v>
      </c>
      <c r="Q382" s="45" t="n">
        <v>585</v>
      </c>
      <c r="R382" s="43" t="n">
        <v>45201</v>
      </c>
      <c r="S382" s="20" t="str">
        <v>Surf, Bleach</v>
      </c>
    </row>
    <row r="383" customFormat="false" ht="15.75" hidden="false" customHeight="false" outlineLevel="0" collapsed="false">
      <c r="A383" s="39" t="str">
        <v>335AABDD</v>
      </c>
      <c r="B383" s="44" t="str">
        <v>Mon,02-October-2023 ,10:33 PM</v>
      </c>
      <c r="C383" s="39" t="str">
        <v>Closed 5</v>
      </c>
      <c r="D383" s="39" t="str">
        <v>Ariel Surf</v>
      </c>
      <c r="E383" s="39" t="str">
        <v>Damaged Stock</v>
      </c>
      <c r="F383" s="45" t="n">
        <v>2</v>
      </c>
      <c r="G383" s="40" t="str">
        <v>[Code: 335AABDD]  TA; 2unit found damage during sorting (bag sy damage mily hain seal sy open hain)</v>
      </c>
      <c r="H383" s="39" t="str">
        <v>Taufeeq Akhtar </v>
      </c>
      <c r="I383" s="39" t="str">
        <f aca="false">IF(ISBLANK(H383),"", IF($H$2:$H1882 = "Gohar Rehan","Overnight",IF($H$2:$H1882 = "Taufeeq Akhtar ","Overnight",IF($H$2:$H1882 = "Zeeshan Ali Malik","Audit",IF($H$2:$H1882 = "Ali Raza ","Receiving",IF($H$2:$H1882 = "Ali Ahmad","Full-In"))))))</f>
        <v>Overnight</v>
      </c>
      <c r="J383" s="29"/>
      <c r="K383" s="50" t="s">
        <v>2248</v>
      </c>
      <c r="L383" s="48" t="s">
        <v>2328</v>
      </c>
      <c r="M383" s="41" t="n">
        <v>2</v>
      </c>
      <c r="N383" s="39" t="s">
        <v>2212</v>
      </c>
      <c r="O383" s="42" t="b">
        <f aca="false">TRUE()</f>
        <v>1</v>
      </c>
      <c r="P383" s="20" t="n">
        <v>267</v>
      </c>
      <c r="Q383" s="45" t="n">
        <v>534</v>
      </c>
      <c r="R383" s="43" t="n">
        <v>45201</v>
      </c>
      <c r="S383" s="20" t="str">
        <v>Surf, Bleach</v>
      </c>
    </row>
    <row r="384" customFormat="false" ht="15.75" hidden="false" customHeight="false" outlineLevel="0" collapsed="false">
      <c r="A384" s="39" t="str">
        <v>45569ADE</v>
      </c>
      <c r="B384" s="44" t="str">
        <v>Mon,02-October-2023 ,10:33 PM</v>
      </c>
      <c r="C384" s="39" t="str">
        <v>Surf Excel x6 bundle 95g Rs50</v>
      </c>
      <c r="D384" s="39" t="str">
        <v>Surf Excel</v>
      </c>
      <c r="E384" s="39" t="str">
        <v>Damaged Stock</v>
      </c>
      <c r="F384" s="45" t="n">
        <v>1</v>
      </c>
      <c r="G384" s="40" t="str">
        <v>[Code: 45569ADE]  TA; 1unit found damage during display </v>
      </c>
      <c r="H384" s="39" t="str">
        <v>Taufeeq Akhtar </v>
      </c>
      <c r="I384" s="39" t="str">
        <f aca="false">IF(ISBLANK(H384),"", IF($H$2:$H1883 = "Gohar Rehan","Overnight",IF($H$2:$H1883 = "Taufeeq Akhtar ","Overnight",IF($H$2:$H1883 = "Zeeshan Ali Malik","Audit",IF($H$2:$H1883 = "Ali Raza ","Receiving",IF($H$2:$H1883 = "Ali Ahmad","Full-In"))))))</f>
        <v>Overnight</v>
      </c>
      <c r="J384" s="29"/>
      <c r="K384" s="50" t="s">
        <v>2248</v>
      </c>
      <c r="L384" s="48" t="s">
        <v>2328</v>
      </c>
      <c r="M384" s="41"/>
      <c r="N384" s="39" t="s">
        <v>2250</v>
      </c>
      <c r="O384" s="46" t="b">
        <f aca="false">FALSE()</f>
        <v>0</v>
      </c>
      <c r="P384" s="20" t="n">
        <v>275</v>
      </c>
      <c r="Q384" s="45" t="n">
        <v>275</v>
      </c>
      <c r="R384" s="43" t="n">
        <v>45201</v>
      </c>
      <c r="S384" s="20" t="str">
        <v>Surf, Bleach</v>
      </c>
    </row>
    <row r="385" customFormat="false" ht="15.75" hidden="false" customHeight="false" outlineLevel="0" collapsed="false">
      <c r="A385" s="39" t="str">
        <v>26CDEHKK</v>
      </c>
      <c r="B385" s="44" t="str">
        <v>Mon,02-October-2023 ,10:35 PM</v>
      </c>
      <c r="C385" s="39" t="str">
        <v>Shangrila Tomato Ketchup x6 Bundle 70g</v>
      </c>
      <c r="D385" s="39" t="str">
        <v>Shangrila</v>
      </c>
      <c r="E385" s="39" t="str">
        <v>Damaged Stock</v>
      </c>
      <c r="F385" s="45" t="n">
        <v>1</v>
      </c>
      <c r="G385" s="40" t="str">
        <v>[Code: 26CDEHKK]  TA; 1unit found damage during display (cotton sy damage mila he)</v>
      </c>
      <c r="H385" s="39" t="str">
        <v>Taufeeq Akhtar </v>
      </c>
      <c r="I385" s="39" t="str">
        <f aca="false">IF(ISBLANK(H385),"", IF($H$2:$H1884 = "Gohar Rehan","Overnight",IF($H$2:$H1884 = "Taufeeq Akhtar ","Overnight",IF($H$2:$H1884 = "Zeeshan Ali Malik","Audit",IF($H$2:$H1884 = "Ali Raza ","Receiving",IF($H$2:$H1884 = "Ali Ahmad","Full-In"))))))</f>
        <v>Overnight</v>
      </c>
      <c r="J385" s="29"/>
      <c r="K385" s="50" t="s">
        <v>2248</v>
      </c>
      <c r="L385" s="50" t="s">
        <v>2330</v>
      </c>
      <c r="M385" s="41" t="n">
        <v>1</v>
      </c>
      <c r="N385" s="39" t="s">
        <v>2212</v>
      </c>
      <c r="O385" s="42" t="b">
        <f aca="false">TRUE()</f>
        <v>1</v>
      </c>
      <c r="P385" s="20" t="n">
        <v>188.49</v>
      </c>
      <c r="Q385" s="45" t="n">
        <v>188.49</v>
      </c>
      <c r="R385" s="43" t="n">
        <v>45201</v>
      </c>
      <c r="S385" s="20" t="str">
        <v>Sauces</v>
      </c>
    </row>
    <row r="386" customFormat="false" ht="15.75" hidden="false" customHeight="false" outlineLevel="0" collapsed="false">
      <c r="A386" s="39" t="str">
        <v>22455EEF</v>
      </c>
      <c r="B386" s="44" t="str">
        <v>Tue,03-October-2023 ,04:07 PM</v>
      </c>
      <c r="C386" s="39" t="str">
        <v>Sherdil Dry Aloo Bukhara 200g</v>
      </c>
      <c r="D386" s="39" t="str">
        <v>Sherdil</v>
      </c>
      <c r="E386" s="39" t="str">
        <v>Damaged Stock</v>
      </c>
      <c r="F386" s="45" t="n">
        <v>2</v>
      </c>
      <c r="G386" s="40" t="str">
        <v>[Code: 22455EEF] ZA: Stock Removed due to bad Quality</v>
      </c>
      <c r="H386" s="39" t="str">
        <v>Ali Raza </v>
      </c>
      <c r="I386" s="39" t="str">
        <f aca="false">IF(ISBLANK(H386),"", IF($H$2:$H1885 = "Gohar Rehan","Overnight",IF($H$2:$H1885 = "Taufeeq Akhtar ","Overnight",IF($H$2:$H1885 = "Zeeshan Ali Malik","Audit",IF($H$2:$H1885 = "Ali Raza ","Receiving",IF($H$2:$H1885 = "Ali Ahmad","Full-In"))))))</f>
        <v>Receiving</v>
      </c>
      <c r="J386" s="29"/>
      <c r="K386" s="50" t="s">
        <v>2248</v>
      </c>
      <c r="L386" s="50" t="s">
        <v>2330</v>
      </c>
      <c r="M386" s="52" t="n">
        <v>2</v>
      </c>
      <c r="N386" s="39" t="s">
        <v>2212</v>
      </c>
      <c r="O386" s="46" t="b">
        <f aca="false">FALSE()</f>
        <v>0</v>
      </c>
      <c r="P386" s="20" t="n">
        <v>230</v>
      </c>
      <c r="Q386" s="45" t="n">
        <v>460</v>
      </c>
      <c r="R386" s="43" t="n">
        <v>45202</v>
      </c>
      <c r="S386" s="20" t="str">
        <v>Spices</v>
      </c>
    </row>
    <row r="387" customFormat="false" ht="15.75" hidden="false" customHeight="false" outlineLevel="0" collapsed="false">
      <c r="A387" s="39" t="str">
        <v>45699CFF</v>
      </c>
      <c r="B387" s="44" t="str">
        <v>Tue,03-October-2023 ,10:09 PM</v>
      </c>
      <c r="C387" s="39" t="str">
        <v>Special Wooden Phool Jharoo</v>
      </c>
      <c r="D387" s="39" t="str">
        <v>Jharoo</v>
      </c>
      <c r="E387" s="39" t="str">
        <v>Damaged Stock</v>
      </c>
      <c r="F387" s="45" t="n">
        <v>1</v>
      </c>
      <c r="G387" s="40" t="str">
        <v>[Code: 45699CFF] TA: 1 unit damage found (sorting ky doran damage mila hy)</v>
      </c>
      <c r="H387" s="39" t="str">
        <v>Taufeeq Akhtar </v>
      </c>
      <c r="I387" s="39" t="str">
        <f aca="false">IF(ISBLANK(H387),"", IF($H$2:$H1886 = "Gohar Rehan","Overnight",IF($H$2:$H1886 = "Taufeeq Akhtar ","Overnight",IF($H$2:$H1886 = "Zeeshan Ali Malik","Audit",IF($H$2:$H1886 = "Ali Raza ","Receiving",IF($H$2:$H1886 = "Ali Ahmad","Full-In"))))))</f>
        <v>Overnight</v>
      </c>
      <c r="J387" s="29"/>
      <c r="K387" s="50" t="s">
        <v>2248</v>
      </c>
      <c r="L387" s="48" t="s">
        <v>2328</v>
      </c>
      <c r="M387" s="41"/>
      <c r="N387" s="39" t="s">
        <v>2250</v>
      </c>
      <c r="O387" s="46" t="b">
        <f aca="false">FALSE()</f>
        <v>0</v>
      </c>
      <c r="P387" s="20" t="n">
        <v>135</v>
      </c>
      <c r="Q387" s="45" t="n">
        <v>135</v>
      </c>
      <c r="R387" s="43" t="n">
        <v>45202</v>
      </c>
      <c r="S387" s="20" t="str">
        <v>Home Care</v>
      </c>
    </row>
    <row r="388" customFormat="false" ht="15.75" hidden="false" customHeight="false" outlineLevel="0" collapsed="false">
      <c r="A388" s="39" t="str">
        <v>4679BCDD</v>
      </c>
      <c r="B388" s="44" t="str">
        <v>Tue,03-October-2023 ,10:14 PM</v>
      </c>
      <c r="C388" s="39" t="str">
        <v>Robin Blue Liquid x2 Bundle 75ml Rs230</v>
      </c>
      <c r="D388" s="39" t="str">
        <v>Robin</v>
      </c>
      <c r="E388" s="39" t="str">
        <v>Damaged Stock</v>
      </c>
      <c r="F388" s="45" t="n">
        <v>1</v>
      </c>
      <c r="G388" s="40" t="str">
        <v>[Code: 4679BCDD] TA: 1 unit damage found (sorting ky doran damage mila hy)</v>
      </c>
      <c r="H388" s="39" t="str">
        <v>Taufeeq Akhtar </v>
      </c>
      <c r="I388" s="39" t="str">
        <f aca="false">IF(ISBLANK(H388),"", IF($H$2:$H1887 = "Gohar Rehan","Overnight",IF($H$2:$H1887 = "Taufeeq Akhtar ","Overnight",IF($H$2:$H1887 = "Zeeshan Ali Malik","Audit",IF($H$2:$H1887 = "Ali Raza ","Receiving",IF($H$2:$H1887 = "Ali Ahmad","Full-In"))))))</f>
        <v>Overnight</v>
      </c>
      <c r="J388" s="29"/>
      <c r="K388" s="50" t="s">
        <v>2248</v>
      </c>
      <c r="L388" s="48" t="s">
        <v>2328</v>
      </c>
      <c r="M388" s="41"/>
      <c r="N388" s="39" t="s">
        <v>2250</v>
      </c>
      <c r="O388" s="46" t="b">
        <f aca="false">FALSE()</f>
        <v>0</v>
      </c>
      <c r="P388" s="20" t="n">
        <v>350.72</v>
      </c>
      <c r="Q388" s="45" t="n">
        <v>350.72</v>
      </c>
      <c r="R388" s="43" t="n">
        <v>45202</v>
      </c>
      <c r="S388" s="20" t="str">
        <v>Surf, Bleach</v>
      </c>
    </row>
    <row r="389" customFormat="false" ht="15.75" hidden="false" customHeight="false" outlineLevel="0" collapsed="false">
      <c r="A389" s="39" t="str">
        <v>44689CGH</v>
      </c>
      <c r="B389" s="44" t="str">
        <v>Tue,03-October-2023 ,10:21 PM</v>
      </c>
      <c r="C389" s="39" t="str">
        <v>Lifebuoy Herbal Strong 9ml 16pcs Rs.10</v>
      </c>
      <c r="D389" s="39" t="str">
        <v>Lifebuoy</v>
      </c>
      <c r="E389" s="39" t="str">
        <v>Damaged Stock</v>
      </c>
      <c r="F389" s="45" t="n">
        <v>2</v>
      </c>
      <c r="G389" s="40" t="str">
        <v>[Code: 44689CGH] TA: 2 units found damage (box main sy damage mily hain)</v>
      </c>
      <c r="H389" s="39" t="str">
        <v>Taufeeq Akhtar </v>
      </c>
      <c r="I389" s="39" t="str">
        <f aca="false">IF(ISBLANK(H389),"", IF($H$2:$H1888 = "Gohar Rehan","Overnight",IF($H$2:$H1888 = "Taufeeq Akhtar ","Overnight",IF($H$2:$H1888 = "Zeeshan Ali Malik","Audit",IF($H$2:$H1888 = "Ali Raza ","Receiving",IF($H$2:$H1888 = "Ali Ahmad","Full-In"))))))</f>
        <v>Overnight</v>
      </c>
      <c r="J389" s="29"/>
      <c r="K389" s="50" t="s">
        <v>2248</v>
      </c>
      <c r="L389" s="48" t="s">
        <v>2328</v>
      </c>
      <c r="M389" s="41"/>
      <c r="N389" s="39" t="s">
        <v>2250</v>
      </c>
      <c r="O389" s="46" t="b">
        <f aca="false">FALSE()</f>
        <v>0</v>
      </c>
      <c r="P389" s="20" t="n">
        <v>142.5</v>
      </c>
      <c r="Q389" s="45" t="n">
        <v>285</v>
      </c>
      <c r="R389" s="43" t="n">
        <v>45202</v>
      </c>
      <c r="S389" s="20" t="str">
        <v>Shampoo</v>
      </c>
    </row>
    <row r="390" customFormat="false" ht="15.75" hidden="false" customHeight="false" outlineLevel="0" collapsed="false">
      <c r="A390" s="39" t="str">
        <v>2345788G</v>
      </c>
      <c r="B390" s="44" t="str">
        <v>Tue,03-October-2023 ,10:37 PM</v>
      </c>
      <c r="C390" s="39" t="str">
        <v>Crown Chakki Atta 5kg</v>
      </c>
      <c r="D390" s="39" t="str">
        <v>Crown Chakki Atta</v>
      </c>
      <c r="E390" s="39" t="str">
        <v>Damaged Stock</v>
      </c>
      <c r="F390" s="45" t="n">
        <v>12</v>
      </c>
      <c r="G390" s="40" t="str">
        <v>[Code: 2345788G] TA: 12 units found in bad quality(tthailay banay hauy hain under)</v>
      </c>
      <c r="H390" s="39" t="str">
        <v>Taufeeq Akhtar </v>
      </c>
      <c r="I390" s="39" t="str">
        <f aca="false">IF(ISBLANK(H390),"", IF($H$2:$H1889 = "Gohar Rehan","Overnight",IF($H$2:$H1889 = "Taufeeq Akhtar ","Overnight",IF($H$2:$H1889 = "Zeeshan Ali Malik","Audit",IF($H$2:$H1889 = "Ali Raza ","Receiving",IF($H$2:$H1889 = "Ali Ahmad","Full-In"))))))</f>
        <v>Overnight</v>
      </c>
      <c r="J390" s="29"/>
      <c r="K390" s="50" t="s">
        <v>2248</v>
      </c>
      <c r="L390" s="50" t="s">
        <v>2330</v>
      </c>
      <c r="M390" s="41"/>
      <c r="N390" s="39" t="s">
        <v>2212</v>
      </c>
      <c r="O390" s="46" t="b">
        <f aca="false">FALSE()</f>
        <v>0</v>
      </c>
      <c r="P390" s="20" t="n">
        <v>690</v>
      </c>
      <c r="Q390" s="45" t="n">
        <v>8280</v>
      </c>
      <c r="R390" s="43" t="n">
        <v>45202</v>
      </c>
      <c r="S390" s="20" t="str">
        <v>Flour</v>
      </c>
    </row>
    <row r="391" customFormat="false" ht="15.75" hidden="false" customHeight="false" outlineLevel="0" collapsed="false">
      <c r="A391" s="39" t="str">
        <v>236BEGNQ</v>
      </c>
      <c r="B391" s="44" t="str">
        <v>Fri,06-October-2023 ,04:14 PM</v>
      </c>
      <c r="C391" s="39" t="str">
        <v>Pepsi plastic 1L</v>
      </c>
      <c r="D391" s="39" t="str">
        <v>Pepsi</v>
      </c>
      <c r="E391" s="39" t="str">
        <v>Damaged Stock</v>
      </c>
      <c r="F391" s="45" t="n">
        <v>1</v>
      </c>
      <c r="G391" s="40" t="str">
        <v>[Code: 236BEGNQ]  TA: 1 unit damage found during sorting  (2bottels lose hain)</v>
      </c>
      <c r="H391" s="39" t="str">
        <v>Taufeeq Akhtar </v>
      </c>
      <c r="I391" s="39" t="str">
        <f aca="false">IF(ISBLANK(H391),"", IF($H$2:$H1890 = "Gohar Rehan","Overnight",IF($H$2:$H1890 = "Taufeeq Akhtar ","Overnight",IF($H$2:$H1890 = "Zeeshan Ali Malik","Audit",IF($H$2:$H1890 = "Ali Raza ","Receiving",IF($H$2:$H1890 = "Ali Ahmad","Full-In"))))))</f>
        <v>Overnight</v>
      </c>
      <c r="J391" s="29"/>
      <c r="K391" s="50" t="s">
        <v>2248</v>
      </c>
      <c r="L391" s="50" t="s">
        <v>2330</v>
      </c>
      <c r="M391" s="41"/>
      <c r="N391" s="39" t="s">
        <v>2250</v>
      </c>
      <c r="O391" s="46" t="b">
        <f aca="false">FALSE()</f>
        <v>0</v>
      </c>
      <c r="P391" s="20" t="n">
        <v>595</v>
      </c>
      <c r="Q391" s="45" t="n">
        <v>595</v>
      </c>
      <c r="R391" s="43" t="n">
        <v>45205</v>
      </c>
      <c r="S391" s="20" t="str">
        <v>Beverages</v>
      </c>
    </row>
    <row r="392" customFormat="false" ht="15.75" hidden="false" customHeight="false" outlineLevel="0" collapsed="false">
      <c r="A392" s="39" t="str">
        <v>37ACDDDL</v>
      </c>
      <c r="B392" s="44" t="str">
        <v>Fri,06-October-2023 ,07:04 PM</v>
      </c>
      <c r="C392" s="39" t="str">
        <v>Sunlight Green Clean and Fresh 525g Rs99</v>
      </c>
      <c r="D392" s="39" t="str">
        <v>Sunlight</v>
      </c>
      <c r="E392" s="39" t="str">
        <v>Damaged Stock</v>
      </c>
      <c r="F392" s="45" t="n">
        <v>1</v>
      </c>
      <c r="G392" s="40" t="str">
        <v>[Code: 37ACDDDL] TA: 1 unit found damage(bag main sy damage mila hy)(sorting ky doran)</v>
      </c>
      <c r="H392" s="39" t="str">
        <v>Taufeeq Akhtar </v>
      </c>
      <c r="I392" s="39" t="str">
        <f aca="false">IF(ISBLANK(H392),"", IF($H$2:$H1891 = "Gohar Rehan","Overnight",IF($H$2:$H1891 = "Taufeeq Akhtar ","Overnight",IF($H$2:$H1891 = "Zeeshan Ali Malik","Audit",IF($H$2:$H1891 = "Ali Raza ","Receiving",IF($H$2:$H1891 = "Ali Ahmad","Full-In"))))))</f>
        <v>Overnight</v>
      </c>
      <c r="J392" s="29"/>
      <c r="K392" s="50" t="s">
        <v>2248</v>
      </c>
      <c r="L392" s="48" t="s">
        <v>2328</v>
      </c>
      <c r="M392" s="41"/>
      <c r="N392" s="39" t="s">
        <v>2250</v>
      </c>
      <c r="O392" s="46" t="b">
        <f aca="false">FALSE()</f>
        <v>0</v>
      </c>
      <c r="P392" s="20" t="n">
        <v>95</v>
      </c>
      <c r="Q392" s="45" t="n">
        <v>95</v>
      </c>
      <c r="R392" s="43" t="n">
        <v>45205</v>
      </c>
      <c r="S392" s="20" t="str">
        <v>Surf, Bleach</v>
      </c>
    </row>
    <row r="393" customFormat="false" ht="15.75" hidden="false" customHeight="false" outlineLevel="0" collapsed="false">
      <c r="A393" s="39" t="str">
        <v>2566ABDG</v>
      </c>
      <c r="B393" s="44" t="str">
        <v>Fri,06-October-2023 ,07:07 PM</v>
      </c>
      <c r="C393" s="39" t="str">
        <v>Ariel surf bundle x6 80g Rs50</v>
      </c>
      <c r="D393" s="39" t="str">
        <v>Ariel Surf</v>
      </c>
      <c r="E393" s="39" t="str">
        <v>Damaged Stock</v>
      </c>
      <c r="F393" s="45" t="n">
        <v>1</v>
      </c>
      <c r="G393" s="40" t="str">
        <v>[Code: 2566ABDG] TA: 1 unit found damage (sorting ky doran bag main sy damage mila hy)</v>
      </c>
      <c r="H393" s="39" t="str">
        <v>Taufeeq Akhtar </v>
      </c>
      <c r="I393" s="39" t="str">
        <f aca="false">IF(ISBLANK(H393),"", IF($H$2:$H1892 = "Gohar Rehan","Overnight",IF($H$2:$H1892 = "Taufeeq Akhtar ","Overnight",IF($H$2:$H1892 = "Zeeshan Ali Malik","Audit",IF($H$2:$H1892 = "Ali Raza ","Receiving",IF($H$2:$H1892 = "Ali Ahmad","Full-In"))))))</f>
        <v>Overnight</v>
      </c>
      <c r="J393" s="29"/>
      <c r="K393" s="50" t="s">
        <v>2248</v>
      </c>
      <c r="L393" s="48" t="s">
        <v>2236</v>
      </c>
      <c r="M393" s="41"/>
      <c r="N393" s="39" t="s">
        <v>2212</v>
      </c>
      <c r="O393" s="46" t="b">
        <f aca="false">FALSE()</f>
        <v>0</v>
      </c>
      <c r="P393" s="20" t="n">
        <v>267</v>
      </c>
      <c r="Q393" s="45" t="n">
        <v>267</v>
      </c>
      <c r="R393" s="43" t="n">
        <v>45205</v>
      </c>
      <c r="S393" s="20" t="str">
        <v>Surf, Bleach</v>
      </c>
    </row>
    <row r="394" customFormat="false" ht="15.75" hidden="false" customHeight="false" outlineLevel="0" collapsed="false">
      <c r="A394" s="39" t="str">
        <v>2459BHHJ</v>
      </c>
      <c r="B394" s="44" t="str">
        <v>Fri,06-October-2023 ,07:22 PM</v>
      </c>
      <c r="C394" s="39" t="str">
        <v>Shahi Munchy Mix Rs100</v>
      </c>
      <c r="D394" s="39" t="str">
        <v>Shahi</v>
      </c>
      <c r="E394" s="39" t="str">
        <v>Damaged Stock</v>
      </c>
      <c r="F394" s="45" t="n">
        <v>1</v>
      </c>
      <c r="G394" s="40" t="str">
        <v>[Code: 2459BHHJ] TA: 1 unit found damage (box main sy damage mila hy ) (display ky doran)</v>
      </c>
      <c r="H394" s="39" t="str">
        <v>Taufeeq Akhtar </v>
      </c>
      <c r="I394" s="39" t="str">
        <f aca="false">IF(ISBLANK(H394),"", IF($H$2:$H1893 = "Gohar Rehan","Overnight",IF($H$2:$H1893 = "Taufeeq Akhtar ","Overnight",IF($H$2:$H1893 = "Zeeshan Ali Malik","Audit",IF($H$2:$H1893 = "Ali Raza ","Receiving",IF($H$2:$H1893 = "Ali Ahmad","Full-In"))))))</f>
        <v>Overnight</v>
      </c>
      <c r="J394" s="29"/>
      <c r="K394" s="50" t="s">
        <v>2248</v>
      </c>
      <c r="L394" s="50" t="s">
        <v>2330</v>
      </c>
      <c r="M394" s="41"/>
      <c r="N394" s="39" t="s">
        <v>2250</v>
      </c>
      <c r="O394" s="46" t="b">
        <f aca="false">FALSE()</f>
        <v>0</v>
      </c>
      <c r="P394" s="20" t="n">
        <v>70.91</v>
      </c>
      <c r="Q394" s="45" t="n">
        <v>70.91</v>
      </c>
      <c r="R394" s="43" t="n">
        <v>45205</v>
      </c>
      <c r="S394" s="20" t="str">
        <v>Snacks</v>
      </c>
    </row>
    <row r="395" customFormat="false" ht="15.75" hidden="false" customHeight="false" outlineLevel="0" collapsed="false">
      <c r="A395" s="39" t="str">
        <v>234569CC</v>
      </c>
      <c r="B395" s="44" t="str">
        <v>Sat,07-October-2023 ,06:21 PM</v>
      </c>
      <c r="C395" s="39" t="str">
        <v>Murree Brewery Lemon Malt Can x24 Crate 250ml</v>
      </c>
      <c r="D395" s="39" t="str">
        <v>Murree Brewery</v>
      </c>
      <c r="E395" s="39" t="str">
        <v>Damaged Stock</v>
      </c>
      <c r="F395" s="45" t="n">
        <v>1</v>
      </c>
      <c r="G395" s="40" t="str">
        <v>[Code: 234569CC] ZA: Stock removed due to damage. </v>
      </c>
      <c r="H395" s="39" t="str">
        <v>Ali Raza </v>
      </c>
      <c r="I395" s="39" t="str">
        <f aca="false">IF(ISBLANK(H395),"", IF($H$2:$H1894 = "Gohar Rehan","Overnight",IF($H$2:$H1894 = "Taufeeq Akhtar ","Overnight",IF($H$2:$H1894 = "Zeeshan Ali Malik","Audit",IF($H$2:$H1894 = "Ali Raza ","Receiving",IF($H$2:$H1894 = "Ali Ahmad","Full-In"))))))</f>
        <v>Receiving</v>
      </c>
      <c r="J395" s="29"/>
      <c r="K395" s="50" t="s">
        <v>2248</v>
      </c>
      <c r="L395" s="50" t="s">
        <v>2331</v>
      </c>
      <c r="M395" s="41"/>
      <c r="N395" s="39" t="s">
        <v>2250</v>
      </c>
      <c r="O395" s="46" t="b">
        <f aca="false">FALSE()</f>
        <v>0</v>
      </c>
      <c r="P395" s="20" t="n">
        <v>1558</v>
      </c>
      <c r="Q395" s="45" t="n">
        <v>1558</v>
      </c>
      <c r="R395" s="43" t="n">
        <v>45206</v>
      </c>
      <c r="S395" s="20" t="str">
        <v>Beverages</v>
      </c>
    </row>
    <row r="396" customFormat="false" ht="15.75" hidden="false" customHeight="false" outlineLevel="0" collapsed="false">
      <c r="A396" s="39" t="str">
        <v>23458ACD</v>
      </c>
      <c r="B396" s="44" t="str">
        <v>Sat,07-October-2023 ,09:20 PM</v>
      </c>
      <c r="C396" s="39" t="str">
        <v>Coca Cola plastic 1L</v>
      </c>
      <c r="D396" s="39" t="str">
        <v>Coca Cola</v>
      </c>
      <c r="E396" s="39" t="str">
        <v>Damaged Stock</v>
      </c>
      <c r="F396" s="45" t="n">
        <v>1</v>
      </c>
      <c r="G396" s="40" t="str">
        <v>[Code: 23458ACD]  TA: 1 unit damage found during sorting  (4bottels lose hain)</v>
      </c>
      <c r="H396" s="39" t="str">
        <v>Taufeeq Akhtar </v>
      </c>
      <c r="I396" s="39" t="str">
        <f aca="false">IF(ISBLANK(H396),"", IF($H$2:$H1895 = "Gohar Rehan","Overnight",IF($H$2:$H1895 = "Taufeeq Akhtar ","Overnight",IF($H$2:$H1895 = "Zeeshan Ali Malik","Audit",IF($H$2:$H1895 = "Ali Raza ","Receiving",IF($H$2:$H1895 = "Ali Ahmad","Full-In"))))))</f>
        <v>Overnight</v>
      </c>
      <c r="J396" s="29"/>
      <c r="K396" s="50" t="s">
        <v>2248</v>
      </c>
      <c r="L396" s="50" t="s">
        <v>2330</v>
      </c>
      <c r="M396" s="41"/>
      <c r="N396" s="39" t="s">
        <v>2250</v>
      </c>
      <c r="O396" s="46" t="b">
        <f aca="false">FALSE()</f>
        <v>0</v>
      </c>
      <c r="P396" s="20" t="n">
        <v>742</v>
      </c>
      <c r="Q396" s="45" t="n">
        <v>742</v>
      </c>
      <c r="R396" s="43" t="n">
        <v>45206</v>
      </c>
      <c r="S396" s="20" t="str">
        <v>Beverages</v>
      </c>
    </row>
    <row r="397" customFormat="false" ht="15.75" hidden="false" customHeight="false" outlineLevel="0" collapsed="false">
      <c r="A397" s="39" t="str">
        <v>578888AA</v>
      </c>
      <c r="B397" s="44" t="str">
        <v>Sat,07-October-2023 ,09:22 PM</v>
      </c>
      <c r="C397" s="39" t="str">
        <v>Coca Cola plastic 1.5L</v>
      </c>
      <c r="D397" s="39" t="str">
        <v>Coca Cola</v>
      </c>
      <c r="E397" s="39" t="str">
        <v>Damaged Stock</v>
      </c>
      <c r="F397" s="45" t="n">
        <v>2</v>
      </c>
      <c r="G397" s="40" t="str">
        <v>[Code: 578888AA]  TA:2 unit damage found during sorting   ( bottels lose or khali hain)</v>
      </c>
      <c r="H397" s="39" t="str">
        <v>Taufeeq Akhtar </v>
      </c>
      <c r="I397" s="39" t="str">
        <f aca="false">IF(ISBLANK(H397),"", IF($H$2:$H1896 = "Gohar Rehan","Overnight",IF($H$2:$H1896 = "Taufeeq Akhtar ","Overnight",IF($H$2:$H1896 = "Zeeshan Ali Malik","Audit",IF($H$2:$H1896 = "Ali Raza ","Receiving",IF($H$2:$H1896 = "Ali Ahmad","Full-In"))))))</f>
        <v>Overnight</v>
      </c>
      <c r="J397" s="29"/>
      <c r="K397" s="50" t="s">
        <v>2248</v>
      </c>
      <c r="L397" s="50" t="s">
        <v>2330</v>
      </c>
      <c r="M397" s="41"/>
      <c r="N397" s="39" t="s">
        <v>2250</v>
      </c>
      <c r="O397" s="46" t="b">
        <f aca="false">FALSE()</f>
        <v>0</v>
      </c>
      <c r="P397" s="20" t="n">
        <v>914.68</v>
      </c>
      <c r="Q397" s="45" t="n">
        <v>1829.36</v>
      </c>
      <c r="R397" s="43" t="n">
        <v>45206</v>
      </c>
      <c r="S397" s="20" t="str">
        <v>Beverages</v>
      </c>
    </row>
    <row r="398" customFormat="false" ht="15.75" hidden="false" customHeight="false" outlineLevel="0" collapsed="false">
      <c r="A398" s="39" t="str">
        <v>334678AK</v>
      </c>
      <c r="B398" s="44" t="str">
        <v>Sun,08-October-2023 ,11:04 AM</v>
      </c>
      <c r="C398" s="39" t="str">
        <v>Badshahi Qila Super Kernel Old Classic Rice 25kg</v>
      </c>
      <c r="D398" s="39" t="str">
        <v>Badshahi Qila Rice</v>
      </c>
      <c r="E398" s="39" t="str">
        <v>Damaged Stock</v>
      </c>
      <c r="F398" s="45" t="n">
        <v>9</v>
      </c>
      <c r="G398" s="40" t="str">
        <v>[Code: 334678AK] AR: Stock Removed due to Quality Issue</v>
      </c>
      <c r="H398" s="39" t="str">
        <v>Ali Raza </v>
      </c>
      <c r="I398" s="39" t="str">
        <f aca="false">IF(ISBLANK(H398),"", IF($H$2:$H1897 = "Gohar Rehan","Overnight",IF($H$2:$H1897 = "Taufeeq Akhtar ","Overnight",IF($H$2:$H1897 = "Zeeshan Ali Malik","Audit",IF($H$2:$H1897 = "Ali Raza ","Receiving",IF($H$2:$H1897 = "Ali Ahmad","Full-In"))))))</f>
        <v>Receiving</v>
      </c>
      <c r="J398" s="29"/>
      <c r="K398" s="50" t="s">
        <v>2248</v>
      </c>
      <c r="L398" s="50" t="s">
        <v>2330</v>
      </c>
      <c r="M398" s="41"/>
      <c r="N398" s="39" t="s">
        <v>2212</v>
      </c>
      <c r="O398" s="46" t="b">
        <f aca="false">FALSE()</f>
        <v>0</v>
      </c>
      <c r="P398" s="20" t="n">
        <v>9100</v>
      </c>
      <c r="Q398" s="45" t="n">
        <v>81900</v>
      </c>
      <c r="R398" s="43" t="n">
        <v>45207</v>
      </c>
      <c r="S398" s="20" t="str">
        <v>Rice</v>
      </c>
    </row>
    <row r="399" customFormat="false" ht="15.75" hidden="false" customHeight="false" outlineLevel="0" collapsed="false">
      <c r="A399" s="39" t="str">
        <v>24477AEF</v>
      </c>
      <c r="B399" s="44" t="str">
        <v>Sun,08-October-2023 ,11:18 AM</v>
      </c>
      <c r="C399" s="39" t="str">
        <v>Al-Munawar Haldi 1Kg</v>
      </c>
      <c r="D399" s="39" t="str">
        <v>Al-Munawar</v>
      </c>
      <c r="E399" s="39" t="str">
        <v>Damaged Stock</v>
      </c>
      <c r="F399" s="45" t="n">
        <v>1</v>
      </c>
      <c r="G399" s="40" t="str">
        <v>[Code: 24477AEF] AR: STOCK REMOVED DUE TO DAMAGE</v>
      </c>
      <c r="H399" s="39" t="str">
        <v>Ali Raza </v>
      </c>
      <c r="I399" s="39" t="str">
        <f aca="false">IF(ISBLANK(H399),"", IF($H$2:$H1898 = "Gohar Rehan","Overnight",IF($H$2:$H1898 = "Taufeeq Akhtar ","Overnight",IF($H$2:$H1898 = "Zeeshan Ali Malik","Audit",IF($H$2:$H1898 = "Ali Raza ","Receiving",IF($H$2:$H1898 = "Ali Ahmad","Full-In"))))))</f>
        <v>Receiving</v>
      </c>
      <c r="J399" s="29"/>
      <c r="K399" s="50" t="s">
        <v>2248</v>
      </c>
      <c r="L399" s="50" t="s">
        <v>2330</v>
      </c>
      <c r="M399" s="41"/>
      <c r="N399" s="39" t="s">
        <v>2212</v>
      </c>
      <c r="O399" s="46" t="b">
        <f aca="false">FALSE()</f>
        <v>0</v>
      </c>
      <c r="P399" s="20" t="n">
        <v>320</v>
      </c>
      <c r="Q399" s="45" t="n">
        <v>320</v>
      </c>
      <c r="R399" s="43" t="n">
        <v>45207</v>
      </c>
      <c r="S399" s="20" t="str">
        <v>Spices</v>
      </c>
    </row>
    <row r="400" customFormat="false" ht="15.75" hidden="false" customHeight="false" outlineLevel="0" collapsed="false">
      <c r="A400" s="39" t="str">
        <v>457ADDEF</v>
      </c>
      <c r="B400" s="44" t="str">
        <v>Sun,08-October-2023 ,08:04 PM</v>
      </c>
      <c r="C400" s="39" t="str">
        <v>Murree Brewery Bigg Lychee Plastic x12 Crate 300ml</v>
      </c>
      <c r="D400" s="39" t="str">
        <v>Murree Brewery</v>
      </c>
      <c r="E400" s="39" t="str">
        <v>Damaged Stock</v>
      </c>
      <c r="F400" s="45" t="n">
        <v>1</v>
      </c>
      <c r="G400" s="40" t="str">
        <v>[Code: 457ADDEF]  TA: 1 unit damage found during sorting  (4bottels lose hain)</v>
      </c>
      <c r="H400" s="39" t="str">
        <v>Taufeeq Akhtar </v>
      </c>
      <c r="I400" s="39" t="str">
        <f aca="false">IF(ISBLANK(H400),"", IF($H$2:$H1899 = "Gohar Rehan","Overnight",IF($H$2:$H1899 = "Taufeeq Akhtar ","Overnight",IF($H$2:$H1899 = "Zeeshan Ali Malik","Audit",IF($H$2:$H1899 = "Ali Raza ","Receiving",IF($H$2:$H1899 = "Ali Ahmad","Full-In"))))))</f>
        <v>Overnight</v>
      </c>
      <c r="J400" s="29"/>
      <c r="K400" s="50" t="s">
        <v>2248</v>
      </c>
      <c r="L400" s="50" t="s">
        <v>2330</v>
      </c>
      <c r="M400" s="41"/>
      <c r="N400" s="39" t="s">
        <v>2250</v>
      </c>
      <c r="O400" s="46" t="b">
        <f aca="false">FALSE()</f>
        <v>0</v>
      </c>
      <c r="P400" s="20" t="n">
        <v>394.25</v>
      </c>
      <c r="Q400" s="45" t="n">
        <v>394.25</v>
      </c>
      <c r="R400" s="43" t="n">
        <v>45207</v>
      </c>
      <c r="S400" s="20" t="str">
        <v>Beverages</v>
      </c>
    </row>
    <row r="401" customFormat="false" ht="15.75" hidden="false" customHeight="false" outlineLevel="0" collapsed="false">
      <c r="A401" s="39" t="str">
        <v>3348AABD</v>
      </c>
      <c r="B401" s="44" t="str">
        <v>Sun,08-October-2023 ,08:13 PM</v>
      </c>
      <c r="C401" s="39" t="str">
        <v>Coca Cola plastic 1.5L</v>
      </c>
      <c r="D401" s="39" t="str">
        <v>Coca Cola</v>
      </c>
      <c r="E401" s="39" t="str">
        <v>Damaged Stock</v>
      </c>
      <c r="F401" s="45" t="n">
        <v>1</v>
      </c>
      <c r="G401" s="40" t="str">
        <v>[Code: 3348AABD]  TA: 1 unit damage found during sorting  ( bottels lose hain)</v>
      </c>
      <c r="H401" s="39" t="str">
        <v>Taufeeq Akhtar </v>
      </c>
      <c r="I401" s="39" t="str">
        <f aca="false">IF(ISBLANK(H401),"", IF($H$2:$H1900 = "Gohar Rehan","Overnight",IF($H$2:$H1900 = "Taufeeq Akhtar ","Overnight",IF($H$2:$H1900 = "Zeeshan Ali Malik","Audit",IF($H$2:$H1900 = "Ali Raza ","Receiving",IF($H$2:$H1900 = "Ali Ahmad","Full-In"))))))</f>
        <v>Overnight</v>
      </c>
      <c r="J401" s="29"/>
      <c r="K401" s="50" t="s">
        <v>2248</v>
      </c>
      <c r="L401" s="50" t="s">
        <v>2330</v>
      </c>
      <c r="M401" s="41"/>
      <c r="N401" s="39" t="s">
        <v>2250</v>
      </c>
      <c r="O401" s="46" t="b">
        <f aca="false">FALSE()</f>
        <v>0</v>
      </c>
      <c r="P401" s="20" t="n">
        <v>914.68</v>
      </c>
      <c r="Q401" s="45" t="n">
        <v>914.68</v>
      </c>
      <c r="R401" s="43" t="n">
        <v>45207</v>
      </c>
      <c r="S401" s="20" t="str">
        <v>Beverages</v>
      </c>
    </row>
    <row r="402" customFormat="false" ht="15.75" hidden="false" customHeight="false" outlineLevel="0" collapsed="false">
      <c r="A402" s="39" t="str">
        <v>56ABBEEF</v>
      </c>
      <c r="B402" s="44" t="str">
        <v>Sun,08-October-2023 ,08:16 PM</v>
      </c>
      <c r="C402" s="39" t="str">
        <v>7up plastic 1.5L</v>
      </c>
      <c r="D402" s="39" t="str">
        <v>7up</v>
      </c>
      <c r="E402" s="39" t="str">
        <v>Damaged Stock</v>
      </c>
      <c r="F402" s="45" t="n">
        <v>1</v>
      </c>
      <c r="G402" s="40" t="str">
        <v>[Code: 56ABBEEF]  TA: 1 unit damage found during sorting  (4bottels lose hain)</v>
      </c>
      <c r="H402" s="39" t="str">
        <v>Taufeeq Akhtar </v>
      </c>
      <c r="I402" s="39" t="str">
        <f aca="false">IF(ISBLANK(H402),"", IF($H$2:$H1901 = "Gohar Rehan","Overnight",IF($H$2:$H1901 = "Taufeeq Akhtar ","Overnight",IF($H$2:$H1901 = "Zeeshan Ali Malik","Audit",IF($H$2:$H1901 = "Ali Raza ","Receiving",IF($H$2:$H1901 = "Ali Ahmad","Full-In"))))))</f>
        <v>Overnight</v>
      </c>
      <c r="J402" s="29"/>
      <c r="K402" s="50" t="s">
        <v>2248</v>
      </c>
      <c r="L402" s="50" t="s">
        <v>2330</v>
      </c>
      <c r="M402" s="41" t="n">
        <v>1</v>
      </c>
      <c r="N402" s="39" t="s">
        <v>2212</v>
      </c>
      <c r="O402" s="42" t="b">
        <f aca="false">TRUE()</f>
        <v>1</v>
      </c>
      <c r="P402" s="20" t="n">
        <v>780</v>
      </c>
      <c r="Q402" s="45" t="n">
        <v>780</v>
      </c>
      <c r="R402" s="43" t="n">
        <v>45207</v>
      </c>
      <c r="S402" s="20" t="str">
        <v>Beverages</v>
      </c>
    </row>
    <row r="403" customFormat="false" ht="15.75" hidden="false" customHeight="false" outlineLevel="0" collapsed="false">
      <c r="A403" s="39" t="str">
        <v>2558BBHL</v>
      </c>
      <c r="B403" s="44" t="str">
        <v>Sun,08-October-2023 ,10:16 PM</v>
      </c>
      <c r="C403" s="39" t="str">
        <v>Lemon Max Liquid Regular Bottle 475ml Rs260</v>
      </c>
      <c r="D403" s="39" t="str">
        <v>Lemon Max</v>
      </c>
      <c r="E403" s="39" t="str">
        <v>Damaged Stock</v>
      </c>
      <c r="F403" s="45" t="n">
        <v>1</v>
      </c>
      <c r="G403" s="40" t="str">
        <v>[Code: 2558BBHL] TA; 1 unit damage found during display  (cotton sy damage mila he)</v>
      </c>
      <c r="H403" s="39" t="str">
        <v>Taufeeq Akhtar </v>
      </c>
      <c r="I403" s="39" t="str">
        <f aca="false">IF(ISBLANK(H403),"", IF($H$2:$H1902 = "Gohar Rehan","Overnight",IF($H$2:$H1902 = "Taufeeq Akhtar ","Overnight",IF($H$2:$H1902 = "Zeeshan Ali Malik","Audit",IF($H$2:$H1902 = "Ali Raza ","Receiving",IF($H$2:$H1902 = "Ali Ahmad","Full-In"))))))</f>
        <v>Overnight</v>
      </c>
      <c r="J403" s="29"/>
      <c r="K403" s="50" t="s">
        <v>2248</v>
      </c>
      <c r="L403" s="48" t="s">
        <v>2328</v>
      </c>
      <c r="M403" s="41" t="n">
        <v>1</v>
      </c>
      <c r="N403" s="39" t="s">
        <v>2212</v>
      </c>
      <c r="O403" s="46" t="b">
        <f aca="false">FALSE()</f>
        <v>0</v>
      </c>
      <c r="P403" s="20" t="n">
        <v>239.66</v>
      </c>
      <c r="Q403" s="45" t="n">
        <v>239.66</v>
      </c>
      <c r="R403" s="43" t="n">
        <v>45207</v>
      </c>
      <c r="S403" s="20" t="str">
        <v>Home Care</v>
      </c>
    </row>
    <row r="404" customFormat="false" ht="15.75" hidden="false" customHeight="false" outlineLevel="0" collapsed="false">
      <c r="A404" s="39" t="str">
        <v>39AFKLLM</v>
      </c>
      <c r="B404" s="44" t="str">
        <v>Mon,09-October-2023 ,04:57 PM</v>
      </c>
      <c r="C404" s="39" t="str">
        <v>Quality Grains Black Chana Desi 1kg</v>
      </c>
      <c r="D404" s="39" t="str">
        <v>Quality Grains</v>
      </c>
      <c r="E404" s="39" t="str">
        <v>Damaged Stock</v>
      </c>
      <c r="F404" s="45" t="n">
        <v>3</v>
      </c>
      <c r="G404" s="40" t="str">
        <v>[Code: 39AFKLLM] 3 units found damaged due to quality issue </v>
      </c>
      <c r="H404" s="39" t="str">
        <v>Ali Raza </v>
      </c>
      <c r="I404" s="39" t="str">
        <f aca="false">IF(ISBLANK(H404),"", IF($H$2:$H1903 = "Gohar Rehan","Overnight",IF($H$2:$H1903 = "Taufeeq Akhtar ","Overnight",IF($H$2:$H1903 = "Zeeshan Ali Malik","Audit",IF($H$2:$H1903 = "Ali Raza ","Receiving",IF($H$2:$H1903 = "Ali Ahmad","Full-In"))))))</f>
        <v>Receiving</v>
      </c>
      <c r="J404" s="29"/>
      <c r="K404" s="50" t="s">
        <v>2248</v>
      </c>
      <c r="L404" s="48" t="s">
        <v>2328</v>
      </c>
      <c r="M404" s="41" t="n">
        <v>3</v>
      </c>
      <c r="N404" s="39" t="s">
        <v>2212</v>
      </c>
      <c r="O404" s="42" t="b">
        <f aca="false">TRUE()</f>
        <v>1</v>
      </c>
      <c r="P404" s="20" t="n">
        <v>224</v>
      </c>
      <c r="Q404" s="45" t="n">
        <v>672</v>
      </c>
      <c r="R404" s="43" t="n">
        <v>45208</v>
      </c>
      <c r="S404" s="20" t="str">
        <v>Pulses</v>
      </c>
    </row>
    <row r="405" customFormat="false" ht="15.75" hidden="false" customHeight="false" outlineLevel="0" collapsed="false">
      <c r="A405" s="39" t="str">
        <v>2358AEGK</v>
      </c>
      <c r="B405" s="44" t="str">
        <v>Mon,09-October-2023 ,04:59 PM</v>
      </c>
      <c r="C405" s="39" t="str">
        <v>Quality Grains Black Chana 5kg</v>
      </c>
      <c r="D405" s="39" t="str">
        <v>Quality Grains</v>
      </c>
      <c r="E405" s="39" t="str">
        <v>Damaged Stock</v>
      </c>
      <c r="F405" s="45" t="n">
        <v>4</v>
      </c>
      <c r="G405" s="40" t="str">
        <v>[Code: 2358AEGK] 4 units found damaged due to quality issue </v>
      </c>
      <c r="H405" s="39" t="str">
        <v>Ali Raza </v>
      </c>
      <c r="I405" s="39" t="str">
        <f aca="false">IF(ISBLANK(H405),"", IF($H$2:$H1904 = "Gohar Rehan","Overnight",IF($H$2:$H1904 = "Taufeeq Akhtar ","Overnight",IF($H$2:$H1904 = "Zeeshan Ali Malik","Audit",IF($H$2:$H1904 = "Ali Raza ","Receiving",IF($H$2:$H1904 = "Ali Ahmad","Full-In"))))))</f>
        <v>Receiving</v>
      </c>
      <c r="J405" s="29"/>
      <c r="K405" s="50" t="s">
        <v>2248</v>
      </c>
      <c r="L405" s="50" t="s">
        <v>2330</v>
      </c>
      <c r="M405" s="41" t="n">
        <v>4</v>
      </c>
      <c r="N405" s="39" t="s">
        <v>2212</v>
      </c>
      <c r="O405" s="46" t="b">
        <f aca="false">FALSE()</f>
        <v>0</v>
      </c>
      <c r="P405" s="20" t="n">
        <v>1115</v>
      </c>
      <c r="Q405" s="45" t="n">
        <v>4460</v>
      </c>
      <c r="R405" s="43" t="n">
        <v>45208</v>
      </c>
      <c r="S405" s="20" t="str">
        <v>Pulses</v>
      </c>
    </row>
    <row r="406" customFormat="false" ht="15.75" hidden="false" customHeight="false" outlineLevel="0" collapsed="false">
      <c r="A406" s="39" t="str">
        <v>2246778B</v>
      </c>
      <c r="B406" s="44" t="str">
        <v>Mon,09-October-2023 ,05:00 PM</v>
      </c>
      <c r="C406" s="39" t="str">
        <v>Quality Grains White Chana Motta 1kg</v>
      </c>
      <c r="D406" s="39" t="str">
        <v>Quality Grains</v>
      </c>
      <c r="E406" s="39" t="str">
        <v>Damaged Stock</v>
      </c>
      <c r="F406" s="45" t="n">
        <v>2</v>
      </c>
      <c r="G406" s="40" t="str">
        <v>[Code: 2246778B] 2 units found damaged due to quality issue </v>
      </c>
      <c r="H406" s="39" t="str">
        <v>Ali Raza </v>
      </c>
      <c r="I406" s="39" t="str">
        <f aca="false">IF(ISBLANK(H406),"", IF($H$2:$H1905 = "Gohar Rehan","Overnight",IF($H$2:$H1905 = "Taufeeq Akhtar ","Overnight",IF($H$2:$H1905 = "Zeeshan Ali Malik","Audit",IF($H$2:$H1905 = "Ali Raza ","Receiving",IF($H$2:$H1905 = "Ali Ahmad","Full-In"))))))</f>
        <v>Receiving</v>
      </c>
      <c r="J406" s="29"/>
      <c r="K406" s="50" t="s">
        <v>2248</v>
      </c>
      <c r="L406" s="50" t="s">
        <v>2330</v>
      </c>
      <c r="M406" s="41" t="n">
        <v>2</v>
      </c>
      <c r="N406" s="39" t="s">
        <v>2212</v>
      </c>
      <c r="O406" s="42" t="b">
        <f aca="false">TRUE()</f>
        <v>1</v>
      </c>
      <c r="P406" s="20" t="n">
        <v>391</v>
      </c>
      <c r="Q406" s="45" t="n">
        <v>782</v>
      </c>
      <c r="R406" s="43" t="n">
        <v>45208</v>
      </c>
      <c r="S406" s="20" t="str">
        <v>Pulses</v>
      </c>
    </row>
    <row r="407" customFormat="false" ht="15.75" hidden="false" customHeight="false" outlineLevel="0" collapsed="false">
      <c r="A407" s="39" t="str">
        <v>23688DHJ</v>
      </c>
      <c r="B407" s="44" t="str">
        <v>Mon,09-October-2023 ,05:01 PM</v>
      </c>
      <c r="C407" s="39" t="str">
        <v>Sherdil Black Chana 5kg</v>
      </c>
      <c r="D407" s="39" t="str">
        <v>Sherdil</v>
      </c>
      <c r="E407" s="39" t="str">
        <v>Damaged Stock</v>
      </c>
      <c r="F407" s="45" t="n">
        <v>5</v>
      </c>
      <c r="G407" s="40" t="str">
        <v>[Code: 23688DHJ] 5 units found damaged due to quality issue </v>
      </c>
      <c r="H407" s="39" t="str">
        <v>Ali Raza </v>
      </c>
      <c r="I407" s="39" t="str">
        <f aca="false">IF(ISBLANK(H407),"", IF($H$2:$H1906 = "Gohar Rehan","Overnight",IF($H$2:$H1906 = "Taufeeq Akhtar ","Overnight",IF($H$2:$H1906 = "Zeeshan Ali Malik","Audit",IF($H$2:$H1906 = "Ali Raza ","Receiving",IF($H$2:$H1906 = "Ali Ahmad","Full-In"))))))</f>
        <v>Receiving</v>
      </c>
      <c r="J407" s="29"/>
      <c r="K407" s="50" t="s">
        <v>2248</v>
      </c>
      <c r="L407" s="50" t="s">
        <v>2330</v>
      </c>
      <c r="M407" s="53"/>
      <c r="N407" s="39" t="s">
        <v>2212</v>
      </c>
      <c r="O407" s="46" t="b">
        <f aca="false">FALSE()</f>
        <v>0</v>
      </c>
      <c r="P407" s="20" t="n">
        <v>1191</v>
      </c>
      <c r="Q407" s="45" t="n">
        <v>5955</v>
      </c>
      <c r="R407" s="43" t="n">
        <v>45208</v>
      </c>
      <c r="S407" s="20" t="str">
        <v>Pulses</v>
      </c>
    </row>
    <row r="408" customFormat="false" ht="15.75" hidden="false" customHeight="false" outlineLevel="0" collapsed="false">
      <c r="A408" s="39" t="str">
        <v>777899BC</v>
      </c>
      <c r="B408" s="44" t="str">
        <v>Mon,09-October-2023 ,05:08 PM</v>
      </c>
      <c r="C408" s="39" t="str">
        <v>Sherdil Black Chana 1kg</v>
      </c>
      <c r="D408" s="39" t="str">
        <v>Sherdil</v>
      </c>
      <c r="E408" s="39" t="str">
        <v>Damaged Stock</v>
      </c>
      <c r="F408" s="45" t="n">
        <v>4</v>
      </c>
      <c r="G408" s="40" t="str">
        <v>[Code: 777899BC] 4 units found damaged due to quality issue </v>
      </c>
      <c r="H408" s="39" t="str">
        <v>Ali Raza </v>
      </c>
      <c r="I408" s="39" t="str">
        <f aca="false">IF(ISBLANK(H408),"", IF($H$2:$H1907 = "Gohar Rehan","Overnight",IF($H$2:$H1907 = "Taufeeq Akhtar ","Overnight",IF($H$2:$H1907 = "Zeeshan Ali Malik","Audit",IF($H$2:$H1907 = "Ali Raza ","Receiving",IF($H$2:$H1907 = "Ali Ahmad","Full-In"))))))</f>
        <v>Receiving</v>
      </c>
      <c r="J408" s="29"/>
      <c r="K408" s="50" t="s">
        <v>2248</v>
      </c>
      <c r="L408" s="50" t="s">
        <v>2330</v>
      </c>
      <c r="M408" s="53"/>
      <c r="N408" s="39" t="s">
        <v>2212</v>
      </c>
      <c r="O408" s="46" t="b">
        <f aca="false">FALSE()</f>
        <v>0</v>
      </c>
      <c r="P408" s="20" t="n">
        <v>255</v>
      </c>
      <c r="Q408" s="45" t="n">
        <v>1020</v>
      </c>
      <c r="R408" s="43" t="n">
        <v>45208</v>
      </c>
      <c r="S408" s="20" t="str">
        <v>Pulses</v>
      </c>
    </row>
    <row r="409" customFormat="false" ht="15.75" hidden="false" customHeight="false" outlineLevel="0" collapsed="false">
      <c r="A409" s="39" t="str">
        <v>7CEEFFGJ</v>
      </c>
      <c r="B409" s="44" t="str">
        <v>Mon,09-October-2023 ,05:09 PM</v>
      </c>
      <c r="C409" s="39" t="str">
        <v>Sherdil White Chana Bareek 5kg</v>
      </c>
      <c r="D409" s="39" t="str">
        <v>Sherdil</v>
      </c>
      <c r="E409" s="39" t="str">
        <v>Damaged Stock</v>
      </c>
      <c r="F409" s="45" t="n">
        <v>3</v>
      </c>
      <c r="G409" s="40" t="str">
        <v>[Code: 7CEEFFGJ] 3 units found damaged due to quality issue </v>
      </c>
      <c r="H409" s="39" t="str">
        <v>Ali Raza </v>
      </c>
      <c r="I409" s="39" t="str">
        <f aca="false">IF(ISBLANK(H409),"", IF($H$2:$H1908 = "Gohar Rehan","Overnight",IF($H$2:$H1908 = "Taufeeq Akhtar ","Overnight",IF($H$2:$H1908 = "Zeeshan Ali Malik","Audit",IF($H$2:$H1908 = "Ali Raza ","Receiving",IF($H$2:$H1908 = "Ali Ahmad","Full-In"))))))</f>
        <v>Receiving</v>
      </c>
      <c r="J409" s="29"/>
      <c r="K409" s="50" t="s">
        <v>2248</v>
      </c>
      <c r="L409" s="50" t="s">
        <v>2330</v>
      </c>
      <c r="M409" s="53"/>
      <c r="N409" s="39" t="s">
        <v>2212</v>
      </c>
      <c r="O409" s="46" t="b">
        <f aca="false">FALSE()</f>
        <v>0</v>
      </c>
      <c r="P409" s="20" t="n">
        <v>1897</v>
      </c>
      <c r="Q409" s="45" t="n">
        <v>5691</v>
      </c>
      <c r="R409" s="43" t="n">
        <v>45208</v>
      </c>
      <c r="S409" s="20" t="str">
        <v>Pulses</v>
      </c>
    </row>
    <row r="410" customFormat="false" ht="15.75" hidden="false" customHeight="false" outlineLevel="0" collapsed="false">
      <c r="A410" s="39" t="str">
        <v>ABCDDHLN</v>
      </c>
      <c r="B410" s="44" t="str">
        <v>Mon,09-October-2023 ,05:10 PM</v>
      </c>
      <c r="C410" s="39" t="str">
        <v>Sherdil White Chana Mota 5kg</v>
      </c>
      <c r="D410" s="39" t="str">
        <v>Sherdil</v>
      </c>
      <c r="E410" s="39" t="str">
        <v>Damaged Stock</v>
      </c>
      <c r="F410" s="45" t="n">
        <v>1</v>
      </c>
      <c r="G410" s="40" t="str">
        <v>[Code: ABCDDHLN] 1 unit found damaged due to quality issue </v>
      </c>
      <c r="H410" s="39" t="str">
        <v>Ali Raza </v>
      </c>
      <c r="I410" s="39" t="str">
        <f aca="false">IF(ISBLANK(H410),"", IF($H$2:$H1909 = "Gohar Rehan","Overnight",IF($H$2:$H1909 = "Taufeeq Akhtar ","Overnight",IF($H$2:$H1909 = "Zeeshan Ali Malik","Audit",IF($H$2:$H1909 = "Ali Raza ","Receiving",IF($H$2:$H1909 = "Ali Ahmad","Full-In"))))))</f>
        <v>Receiving</v>
      </c>
      <c r="J410" s="29"/>
      <c r="K410" s="50" t="s">
        <v>2248</v>
      </c>
      <c r="L410" s="50" t="s">
        <v>2330</v>
      </c>
      <c r="M410" s="53"/>
      <c r="N410" s="39" t="s">
        <v>2212</v>
      </c>
      <c r="O410" s="46" t="b">
        <f aca="false">FALSE()</f>
        <v>0</v>
      </c>
      <c r="P410" s="20" t="n">
        <v>2290</v>
      </c>
      <c r="Q410" s="45" t="n">
        <v>2290</v>
      </c>
      <c r="R410" s="43" t="n">
        <v>45208</v>
      </c>
      <c r="S410" s="20" t="str">
        <v>Pulses</v>
      </c>
    </row>
    <row r="411" customFormat="false" ht="15.75" hidden="false" customHeight="false" outlineLevel="0" collapsed="false">
      <c r="A411" s="39" t="str">
        <v>23556889</v>
      </c>
      <c r="B411" s="44" t="str">
        <v>Mon,09-October-2023 ,05:11 PM</v>
      </c>
      <c r="C411" s="39" t="str">
        <v>Sherdil White Chana Mota 1kg</v>
      </c>
      <c r="D411" s="39" t="str">
        <v>Sherdil</v>
      </c>
      <c r="E411" s="39" t="str">
        <v>Damaged Stock</v>
      </c>
      <c r="F411" s="45" t="n">
        <v>1</v>
      </c>
      <c r="G411" s="40" t="str">
        <v>[Code: 23556889] 1  unit found damaged due to quality issue </v>
      </c>
      <c r="H411" s="39" t="str">
        <v>Ali Raza </v>
      </c>
      <c r="I411" s="39" t="str">
        <f aca="false">IF(ISBLANK(H411),"", IF($H$2:$H1910 = "Gohar Rehan","Overnight",IF($H$2:$H1910 = "Taufeeq Akhtar ","Overnight",IF($H$2:$H1910 = "Zeeshan Ali Malik","Audit",IF($H$2:$H1910 = "Ali Raza ","Receiving",IF($H$2:$H1910 = "Ali Ahmad","Full-In"))))))</f>
        <v>Receiving</v>
      </c>
      <c r="J411" s="29"/>
      <c r="K411" s="50" t="s">
        <v>2248</v>
      </c>
      <c r="L411" s="50" t="s">
        <v>2330</v>
      </c>
      <c r="M411" s="53"/>
      <c r="N411" s="39" t="s">
        <v>2212</v>
      </c>
      <c r="O411" s="46" t="b">
        <f aca="false">FALSE()</f>
        <v>0</v>
      </c>
      <c r="P411" s="20" t="n">
        <v>455</v>
      </c>
      <c r="Q411" s="45" t="n">
        <v>455</v>
      </c>
      <c r="R411" s="43" t="n">
        <v>45208</v>
      </c>
      <c r="S411" s="20" t="str">
        <v>Pulses</v>
      </c>
    </row>
    <row r="412" customFormat="false" ht="15.75" hidden="false" customHeight="false" outlineLevel="0" collapsed="false">
      <c r="A412" s="39" t="str">
        <v>2567799A</v>
      </c>
      <c r="B412" s="44" t="str">
        <v>Mon,09-October-2023 ,05:12 PM</v>
      </c>
      <c r="C412" s="39" t="str">
        <v>Sherdil Daal Mash Wash 5kg</v>
      </c>
      <c r="D412" s="39" t="str">
        <v>Sherdil</v>
      </c>
      <c r="E412" s="39" t="str">
        <v>Damaged Stock</v>
      </c>
      <c r="F412" s="45" t="n">
        <v>1</v>
      </c>
      <c r="G412" s="40" t="str">
        <v>[Code: 2567799A] 1 unit found damaged due to quality issue </v>
      </c>
      <c r="H412" s="39" t="str">
        <v>Ali Raza </v>
      </c>
      <c r="I412" s="39" t="str">
        <f aca="false">IF(ISBLANK(H412),"", IF($H$2:$H1911 = "Gohar Rehan","Overnight",IF($H$2:$H1911 = "Taufeeq Akhtar ","Overnight",IF($H$2:$H1911 = "Zeeshan Ali Malik","Audit",IF($H$2:$H1911 = "Ali Raza ","Receiving",IF($H$2:$H1911 = "Ali Ahmad","Full-In"))))))</f>
        <v>Receiving</v>
      </c>
      <c r="J412" s="29"/>
      <c r="K412" s="50" t="s">
        <v>2248</v>
      </c>
      <c r="L412" s="50" t="s">
        <v>2330</v>
      </c>
      <c r="M412" s="52" t="n">
        <v>1</v>
      </c>
      <c r="N412" s="39" t="s">
        <v>2212</v>
      </c>
      <c r="O412" s="42" t="b">
        <f aca="false">TRUE()</f>
        <v>1</v>
      </c>
      <c r="P412" s="20" t="n">
        <v>3006</v>
      </c>
      <c r="Q412" s="45" t="n">
        <v>3006</v>
      </c>
      <c r="R412" s="43" t="n">
        <v>45208</v>
      </c>
      <c r="S412" s="20" t="str">
        <v>Pulses</v>
      </c>
    </row>
    <row r="413" customFormat="false" ht="15.75" hidden="false" customHeight="false" outlineLevel="0" collapsed="false">
      <c r="A413" s="39" t="str">
        <v>35678DEE</v>
      </c>
      <c r="B413" s="44" t="str">
        <v>Mon,09-October-2023 ,05:12 PM</v>
      </c>
      <c r="C413" s="39" t="str">
        <v>Sherdil Daal Moong Wash 5kg</v>
      </c>
      <c r="D413" s="39" t="str">
        <v>Sherdil</v>
      </c>
      <c r="E413" s="39" t="str">
        <v>Damaged Stock</v>
      </c>
      <c r="F413" s="45" t="n">
        <v>1</v>
      </c>
      <c r="G413" s="40" t="str">
        <v>[Code: 35678DEE] 1  unit found damaged due to quality issue </v>
      </c>
      <c r="H413" s="39" t="str">
        <v>Ali Raza </v>
      </c>
      <c r="I413" s="39" t="str">
        <f aca="false">IF(ISBLANK(H413),"", IF($H$2:$H1912 = "Gohar Rehan","Overnight",IF($H$2:$H1912 = "Taufeeq Akhtar ","Overnight",IF($H$2:$H1912 = "Zeeshan Ali Malik","Audit",IF($H$2:$H1912 = "Ali Raza ","Receiving",IF($H$2:$H1912 = "Ali Ahmad","Full-In"))))))</f>
        <v>Receiving</v>
      </c>
      <c r="J413" s="29"/>
      <c r="K413" s="50" t="s">
        <v>2248</v>
      </c>
      <c r="L413" s="50" t="s">
        <v>2330</v>
      </c>
      <c r="M413" s="53"/>
      <c r="N413" s="39" t="s">
        <v>2212</v>
      </c>
      <c r="O413" s="46" t="b">
        <f aca="false">FALSE()</f>
        <v>0</v>
      </c>
      <c r="P413" s="20" t="n">
        <v>1345</v>
      </c>
      <c r="Q413" s="45" t="n">
        <v>1345</v>
      </c>
      <c r="R413" s="43" t="n">
        <v>45208</v>
      </c>
      <c r="S413" s="20" t="str">
        <v>Pulses</v>
      </c>
    </row>
    <row r="414" customFormat="false" ht="15.75" hidden="false" customHeight="false" outlineLevel="0" collapsed="false">
      <c r="A414" s="39" t="str">
        <v>3567778A</v>
      </c>
      <c r="B414" s="44" t="str">
        <v>Mon,09-October-2023 ,05:14 PM</v>
      </c>
      <c r="C414" s="39" t="str">
        <v>Swadi Dharra Mirch 2kg</v>
      </c>
      <c r="D414" s="39" t="str">
        <v>Swadi</v>
      </c>
      <c r="E414" s="39" t="str">
        <v>Damaged Stock</v>
      </c>
      <c r="F414" s="45" t="n">
        <v>7</v>
      </c>
      <c r="G414" s="40" t="str">
        <v>[Code: 3567778A] 7  units found damaged due to quality issue </v>
      </c>
      <c r="H414" s="39" t="str">
        <v>Ali Raza </v>
      </c>
      <c r="I414" s="39" t="str">
        <f aca="false">IF(ISBLANK(H414),"", IF($H$2:$H1913 = "Gohar Rehan","Overnight",IF($H$2:$H1913 = "Taufeeq Akhtar ","Overnight",IF($H$2:$H1913 = "Zeeshan Ali Malik","Audit",IF($H$2:$H1913 = "Ali Raza ","Receiving",IF($H$2:$H1913 = "Ali Ahmad","Full-In"))))))</f>
        <v>Receiving</v>
      </c>
      <c r="J414" s="29"/>
      <c r="K414" s="50" t="s">
        <v>2248</v>
      </c>
      <c r="L414" s="50" t="s">
        <v>2330</v>
      </c>
      <c r="M414" s="41"/>
      <c r="N414" s="39" t="s">
        <v>2212</v>
      </c>
      <c r="O414" s="46" t="b">
        <f aca="false">FALSE()</f>
        <v>0</v>
      </c>
      <c r="P414" s="20" t="n">
        <v>1200</v>
      </c>
      <c r="Q414" s="45" t="n">
        <v>8400</v>
      </c>
      <c r="R414" s="43" t="n">
        <v>45208</v>
      </c>
      <c r="S414" s="20" t="str">
        <v>Spices</v>
      </c>
    </row>
    <row r="415" customFormat="false" ht="15.75" hidden="false" customHeight="false" outlineLevel="0" collapsed="false">
      <c r="A415" s="39" t="str">
        <v>88CEEEFJ</v>
      </c>
      <c r="B415" s="44" t="str">
        <v>Mon,09-October-2023 ,05:15 PM</v>
      </c>
      <c r="C415" s="39" t="str">
        <v>Swadi Surkh Mirch Pissi Hoi 5kg</v>
      </c>
      <c r="D415" s="39" t="str">
        <v>Swadi</v>
      </c>
      <c r="E415" s="39" t="str">
        <v>Damaged Stock</v>
      </c>
      <c r="F415" s="45" t="n">
        <v>16</v>
      </c>
      <c r="G415" s="40" t="str">
        <v>[Code: 88CEEEFJ] 16 units found damaged due to quality issue </v>
      </c>
      <c r="H415" s="39" t="str">
        <v>Ali Raza </v>
      </c>
      <c r="I415" s="39" t="str">
        <f aca="false">IF(ISBLANK(H415),"", IF($H$2:$H1914 = "Gohar Rehan","Overnight",IF($H$2:$H1914 = "Taufeeq Akhtar ","Overnight",IF($H$2:$H1914 = "Zeeshan Ali Malik","Audit",IF($H$2:$H1914 = "Ali Raza ","Receiving",IF($H$2:$H1914 = "Ali Ahmad","Full-In"))))))</f>
        <v>Receiving</v>
      </c>
      <c r="J415" s="29"/>
      <c r="K415" s="50" t="s">
        <v>2248</v>
      </c>
      <c r="L415" s="50" t="s">
        <v>2330</v>
      </c>
      <c r="M415" s="41"/>
      <c r="N415" s="39" t="s">
        <v>2212</v>
      </c>
      <c r="O415" s="46" t="b">
        <f aca="false">FALSE()</f>
        <v>0</v>
      </c>
      <c r="P415" s="20" t="n">
        <v>2750</v>
      </c>
      <c r="Q415" s="45" t="n">
        <v>44000</v>
      </c>
      <c r="R415" s="43" t="n">
        <v>45208</v>
      </c>
      <c r="S415" s="20" t="str">
        <v>Spices</v>
      </c>
    </row>
    <row r="416" customFormat="false" ht="15.75" hidden="false" customHeight="false" outlineLevel="0" collapsed="false">
      <c r="A416" s="39" t="str">
        <v>388999BE</v>
      </c>
      <c r="B416" s="44" t="str">
        <v>Mon,09-October-2023 ,05:21 PM</v>
      </c>
      <c r="C416" s="39" t="str">
        <v>Quality Grains White Chana Bareek 500g</v>
      </c>
      <c r="D416" s="39" t="str">
        <v>Quality Grains</v>
      </c>
      <c r="E416" s="39" t="str">
        <v>Damaged Stock</v>
      </c>
      <c r="F416" s="45" t="n">
        <v>1</v>
      </c>
      <c r="G416" s="40" t="str">
        <v>[Code: 388999BE] 1 unit found quality issue.</v>
      </c>
      <c r="H416" s="39" t="str">
        <v>Ali Raza </v>
      </c>
      <c r="I416" s="39" t="str">
        <f aca="false">IF(ISBLANK(H416),"", IF($H$2:$H1915 = "Gohar Rehan","Overnight",IF($H$2:$H1915 = "Taufeeq Akhtar ","Overnight",IF($H$2:$H1915 = "Zeeshan Ali Malik","Audit",IF($H$2:$H1915 = "Ali Raza ","Receiving",IF($H$2:$H1915 = "Ali Ahmad","Full-In"))))))</f>
        <v>Receiving</v>
      </c>
      <c r="J416" s="29"/>
      <c r="K416" s="50" t="s">
        <v>2248</v>
      </c>
      <c r="L416" s="50" t="s">
        <v>2330</v>
      </c>
      <c r="M416" s="41" t="n">
        <v>1</v>
      </c>
      <c r="N416" s="39" t="s">
        <v>2212</v>
      </c>
      <c r="O416" s="42" t="b">
        <f aca="false">TRUE()</f>
        <v>1</v>
      </c>
      <c r="P416" s="20" t="n">
        <v>171</v>
      </c>
      <c r="Q416" s="45" t="n">
        <v>171</v>
      </c>
      <c r="R416" s="43" t="n">
        <v>45208</v>
      </c>
      <c r="S416" s="20" t="str">
        <v>Pulses</v>
      </c>
    </row>
    <row r="417" customFormat="false" ht="15.75" hidden="false" customHeight="false" outlineLevel="0" collapsed="false">
      <c r="A417" s="39" t="str">
        <v>44679BFG</v>
      </c>
      <c r="B417" s="44" t="str">
        <v>Mon,09-October-2023 ,10:13 PM</v>
      </c>
      <c r="C417" s="39" t="str">
        <v>Coca Cola plastic 2.25L (Jumbo)</v>
      </c>
      <c r="D417" s="39" t="str">
        <v>Coca Cola</v>
      </c>
      <c r="E417" s="39" t="str">
        <v>Damaged Stock</v>
      </c>
      <c r="F417" s="45" t="n">
        <v>1</v>
      </c>
      <c r="G417" s="40" t="str">
        <v>[Code: 44679BFG] TA: 2 bottels found in loose condition during sorting.</v>
      </c>
      <c r="H417" s="39" t="str">
        <v>Taufeeq Akhtar </v>
      </c>
      <c r="I417" s="39" t="str">
        <f aca="false">IF(ISBLANK(H417),"", IF($H$2:$H1916 = "Gohar Rehan","Overnight",IF($H$2:$H1916 = "Taufeeq Akhtar ","Overnight",IF($H$2:$H1916 = "Zeeshan Ali Malik","Audit",IF($H$2:$H1916 = "Ali Raza ","Receiving",IF($H$2:$H1916 = "Ali Ahmad","Full-In"))))))</f>
        <v>Overnight</v>
      </c>
      <c r="J417" s="29"/>
      <c r="K417" s="50" t="s">
        <v>2248</v>
      </c>
      <c r="L417" s="50" t="s">
        <v>2330</v>
      </c>
      <c r="M417" s="41"/>
      <c r="N417" s="39" t="s">
        <v>2250</v>
      </c>
      <c r="O417" s="46" t="b">
        <f aca="false">FALSE()</f>
        <v>0</v>
      </c>
      <c r="P417" s="20" t="n">
        <v>1280.72</v>
      </c>
      <c r="Q417" s="45" t="n">
        <v>1280.72</v>
      </c>
      <c r="R417" s="43" t="n">
        <v>45208</v>
      </c>
      <c r="S417" s="20" t="str">
        <v>Beverages</v>
      </c>
    </row>
    <row r="418" customFormat="false" ht="15.75" hidden="false" customHeight="false" outlineLevel="0" collapsed="false">
      <c r="A418" s="39" t="str">
        <v>223ABCCE</v>
      </c>
      <c r="B418" s="44" t="str">
        <v>Mon,09-October-2023 ,10:16 PM</v>
      </c>
      <c r="C418" s="39" t="str">
        <v>Fanta Red Apple 500ml (Half Liter)</v>
      </c>
      <c r="D418" s="39" t="str">
        <v>Fanta</v>
      </c>
      <c r="E418" s="39" t="str">
        <v>Damaged Stock</v>
      </c>
      <c r="F418" s="45" t="n">
        <v>1</v>
      </c>
      <c r="G418" s="40" t="str">
        <v>[Code: 223ABCCE] TA: one bottel was less in pet and one bottel found without cap.</v>
      </c>
      <c r="H418" s="39" t="str">
        <v>Taufeeq Akhtar </v>
      </c>
      <c r="I418" s="39" t="str">
        <f aca="false">IF(ISBLANK(H418),"", IF($H$2:$H1917 = "Gohar Rehan","Overnight",IF($H$2:$H1917 = "Taufeeq Akhtar ","Overnight",IF($H$2:$H1917 = "Zeeshan Ali Malik","Audit",IF($H$2:$H1917 = "Ali Raza ","Receiving",IF($H$2:$H1917 = "Ali Ahmad","Full-In"))))))</f>
        <v>Overnight</v>
      </c>
      <c r="J418" s="29"/>
      <c r="K418" s="50" t="s">
        <v>2248</v>
      </c>
      <c r="L418" s="50" t="s">
        <v>2330</v>
      </c>
      <c r="M418" s="41"/>
      <c r="N418" s="39" t="s">
        <v>2250</v>
      </c>
      <c r="O418" s="46" t="b">
        <f aca="false">FALSE()</f>
        <v>0</v>
      </c>
      <c r="P418" s="20" t="n">
        <v>951.37</v>
      </c>
      <c r="Q418" s="45" t="n">
        <v>951.37</v>
      </c>
      <c r="R418" s="43" t="n">
        <v>45208</v>
      </c>
      <c r="S418" s="20" t="str">
        <v>Beverages</v>
      </c>
    </row>
    <row r="419" customFormat="false" ht="15.75" hidden="false" customHeight="false" outlineLevel="0" collapsed="false">
      <c r="A419" s="39" t="str">
        <v>9ABCDDEE</v>
      </c>
      <c r="B419" s="44" t="str">
        <v>Mon,09-October-2023 ,10:37 PM</v>
      </c>
      <c r="C419" s="39" t="str">
        <v>Ultra Pure Drain Opener 300ml Rs75</v>
      </c>
      <c r="D419" s="39" t="str">
        <v>Ultra Pure</v>
      </c>
      <c r="E419" s="39" t="str">
        <v>Damaged Stock</v>
      </c>
      <c r="F419" s="45" t="n">
        <v>1</v>
      </c>
      <c r="G419" s="40" t="str">
        <v>[Code: 9ABCDDEE]  TA; 1 unit damage found during sortin .</v>
      </c>
      <c r="H419" s="39" t="str">
        <v>Taufeeq Akhtar </v>
      </c>
      <c r="I419" s="39" t="str">
        <f aca="false">IF(ISBLANK(H419),"", IF($H$2:$H1918 = "Gohar Rehan","Overnight",IF($H$2:$H1918 = "Taufeeq Akhtar ","Overnight",IF($H$2:$H1918 = "Zeeshan Ali Malik","Audit",IF($H$2:$H1918 = "Ali Raza ","Receiving",IF($H$2:$H1918 = "Ali Ahmad","Full-In"))))))</f>
        <v>Overnight</v>
      </c>
      <c r="J419" s="29"/>
      <c r="K419" s="50" t="s">
        <v>2248</v>
      </c>
      <c r="L419" s="48" t="s">
        <v>2328</v>
      </c>
      <c r="M419" s="41" t="n">
        <v>1</v>
      </c>
      <c r="N419" s="39" t="s">
        <v>2212</v>
      </c>
      <c r="O419" s="46" t="b">
        <f aca="false">FALSE()</f>
        <v>0</v>
      </c>
      <c r="P419" s="20" t="n">
        <v>34</v>
      </c>
      <c r="Q419" s="45" t="n">
        <v>34</v>
      </c>
      <c r="R419" s="43" t="n">
        <v>45208</v>
      </c>
      <c r="S419" s="20" t="str">
        <v>Home Care</v>
      </c>
    </row>
    <row r="420" customFormat="false" ht="15.75" hidden="false" customHeight="false" outlineLevel="0" collapsed="false">
      <c r="A420" s="39" t="str">
        <v>488CDEGJ</v>
      </c>
      <c r="B420" s="44" t="str">
        <v>Mon,09-October-2023 ,10:40 PM</v>
      </c>
      <c r="C420" s="39" t="str">
        <v>Special Wooden Phool Jharoo</v>
      </c>
      <c r="D420" s="39" t="str">
        <v>Jharoo</v>
      </c>
      <c r="E420" s="39" t="str">
        <v>Damaged Stock</v>
      </c>
      <c r="F420" s="45" t="n">
        <v>1</v>
      </c>
      <c r="G420" s="40" t="str">
        <v>[Code: 488CDEGJ]  TA; 1 unit damage found during display </v>
      </c>
      <c r="H420" s="39" t="str">
        <v>Taufeeq Akhtar </v>
      </c>
      <c r="I420" s="39" t="str">
        <f aca="false">IF(ISBLANK(H420),"", IF($H$2:$H1919 = "Gohar Rehan","Overnight",IF($H$2:$H1919 = "Taufeeq Akhtar ","Overnight",IF($H$2:$H1919 = "Zeeshan Ali Malik","Audit",IF($H$2:$H1919 = "Ali Raza ","Receiving",IF($H$2:$H1919 = "Ali Ahmad","Full-In"))))))</f>
        <v>Overnight</v>
      </c>
      <c r="J420" s="29"/>
      <c r="K420" s="50" t="s">
        <v>2248</v>
      </c>
      <c r="L420" s="48" t="s">
        <v>2328</v>
      </c>
      <c r="M420" s="41"/>
      <c r="N420" s="39" t="s">
        <v>2250</v>
      </c>
      <c r="O420" s="46" t="b">
        <f aca="false">FALSE()</f>
        <v>0</v>
      </c>
      <c r="P420" s="20" t="n">
        <v>135</v>
      </c>
      <c r="Q420" s="45" t="n">
        <v>135</v>
      </c>
      <c r="R420" s="43" t="n">
        <v>45208</v>
      </c>
      <c r="S420" s="20" t="str">
        <v>Home Care</v>
      </c>
    </row>
    <row r="421" customFormat="false" ht="15.75" hidden="false" customHeight="false" outlineLevel="0" collapsed="false">
      <c r="A421" s="39" t="str">
        <v>3455778A</v>
      </c>
      <c r="B421" s="44" t="str">
        <v>Wed,11-October-2023 ,08:46 PM</v>
      </c>
      <c r="C421" s="39" t="str">
        <v>Coca Cola plastic 1.5L</v>
      </c>
      <c r="D421" s="39" t="str">
        <v>Coca Cola</v>
      </c>
      <c r="E421" s="39" t="str">
        <v>Damaged Stock</v>
      </c>
      <c r="F421" s="45" t="n">
        <v>1</v>
      </c>
      <c r="G421" s="40" t="str">
        <v>[Code: 3455778A]  TA: 4 bottels found in loose condition during sorting.</v>
      </c>
      <c r="H421" s="39" t="str">
        <v>Taufeeq Akhtar </v>
      </c>
      <c r="I421" s="39" t="str">
        <f aca="false">IF(ISBLANK(H421),"", IF($H$2:$H1920 = "Gohar Rehan","Overnight",IF($H$2:$H1920 = "Taufeeq Akhtar ","Overnight",IF($H$2:$H1920 = "Zeeshan Ali Malik","Audit",IF($H$2:$H1920 = "Ali Raza ","Receiving",IF($H$2:$H1920 = "Ali Ahmad","Full-In"))))))</f>
        <v>Overnight</v>
      </c>
      <c r="J421" s="29"/>
      <c r="K421" s="50" t="s">
        <v>2248</v>
      </c>
      <c r="L421" s="50" t="s">
        <v>2330</v>
      </c>
      <c r="M421" s="41"/>
      <c r="N421" s="39" t="s">
        <v>2250</v>
      </c>
      <c r="O421" s="46" t="b">
        <f aca="false">FALSE()</f>
        <v>0</v>
      </c>
      <c r="P421" s="20" t="n">
        <v>914.68</v>
      </c>
      <c r="Q421" s="45" t="n">
        <v>914.68</v>
      </c>
      <c r="R421" s="43" t="n">
        <v>45210</v>
      </c>
      <c r="S421" s="20" t="str">
        <v>Beverages</v>
      </c>
    </row>
    <row r="422" customFormat="false" ht="15.75" hidden="false" customHeight="false" outlineLevel="0" collapsed="false">
      <c r="A422" s="39" t="str">
        <v>3556CEGK</v>
      </c>
      <c r="B422" s="44" t="str">
        <v>Thu,12-October-2023 ,05:01 PM</v>
      </c>
      <c r="C422" s="39" t="str">
        <v>Quality Grains White Chana Motta 1kg</v>
      </c>
      <c r="D422" s="39" t="str">
        <v>Quality Grains</v>
      </c>
      <c r="E422" s="39" t="str">
        <v>Damaged Stock</v>
      </c>
      <c r="F422" s="45" t="n">
        <v>1</v>
      </c>
      <c r="G422" s="40" t="str">
        <v>[Code: 3556CEGK] 1 unit found damaged due to quality issue.</v>
      </c>
      <c r="H422" s="39" t="str">
        <v>Ali Raza </v>
      </c>
      <c r="I422" s="39" t="str">
        <f aca="false">IF(ISBLANK(H422),"", IF($H$2:$H1921 = "Gohar Rehan","Overnight",IF($H$2:$H1921 = "Taufeeq Akhtar ","Overnight",IF($H$2:$H1921 = "Zeeshan Ali Malik","Audit",IF($H$2:$H1921 = "Ali Raza ","Receiving",IF($H$2:$H1921 = "Ali Ahmad","Full-In"))))))</f>
        <v>Receiving</v>
      </c>
      <c r="J422" s="29"/>
      <c r="K422" s="50" t="s">
        <v>2248</v>
      </c>
      <c r="L422" s="50" t="s">
        <v>2330</v>
      </c>
      <c r="M422" s="41" t="n">
        <v>1</v>
      </c>
      <c r="N422" s="39" t="s">
        <v>2212</v>
      </c>
      <c r="O422" s="42" t="b">
        <f aca="false">TRUE()</f>
        <v>1</v>
      </c>
      <c r="P422" s="20" t="n">
        <v>391</v>
      </c>
      <c r="Q422" s="45" t="n">
        <v>391</v>
      </c>
      <c r="R422" s="43" t="n">
        <v>45211</v>
      </c>
      <c r="S422" s="20" t="str">
        <v>Pulses</v>
      </c>
    </row>
    <row r="423" customFormat="false" ht="15.75" hidden="false" customHeight="false" outlineLevel="0" collapsed="false">
      <c r="A423" s="39" t="str">
        <v>5679ACKL</v>
      </c>
      <c r="B423" s="44" t="str">
        <v>Thu,12-October-2023 ,05:02 PM</v>
      </c>
      <c r="C423" s="39" t="str">
        <v>Quality Grains Black Chana Desi 1kg</v>
      </c>
      <c r="D423" s="39" t="str">
        <v>Quality Grains</v>
      </c>
      <c r="E423" s="39" t="str">
        <v>Damaged Stock</v>
      </c>
      <c r="F423" s="45" t="n">
        <v>3</v>
      </c>
      <c r="G423" s="40" t="str">
        <v>[Code: 5679ACKL] 3 units found damaged due to quality issue.</v>
      </c>
      <c r="H423" s="39" t="str">
        <v>Ali Raza </v>
      </c>
      <c r="I423" s="39" t="str">
        <f aca="false">IF(ISBLANK(H423),"", IF($H$2:$H1922 = "Gohar Rehan","Overnight",IF($H$2:$H1922 = "Taufeeq Akhtar ","Overnight",IF($H$2:$H1922 = "Zeeshan Ali Malik","Audit",IF($H$2:$H1922 = "Ali Raza ","Receiving",IF($H$2:$H1922 = "Ali Ahmad","Full-In"))))))</f>
        <v>Receiving</v>
      </c>
      <c r="J423" s="29"/>
      <c r="K423" s="50" t="s">
        <v>2248</v>
      </c>
      <c r="L423" s="50" t="s">
        <v>2330</v>
      </c>
      <c r="M423" s="41" t="n">
        <v>3</v>
      </c>
      <c r="N423" s="39" t="s">
        <v>2212</v>
      </c>
      <c r="O423" s="42" t="b">
        <f aca="false">TRUE()</f>
        <v>1</v>
      </c>
      <c r="P423" s="20" t="n">
        <v>224</v>
      </c>
      <c r="Q423" s="45" t="n">
        <v>672</v>
      </c>
      <c r="R423" s="43" t="n">
        <v>45211</v>
      </c>
      <c r="S423" s="20" t="str">
        <v>Pulses</v>
      </c>
    </row>
    <row r="424" customFormat="false" ht="15.75" hidden="false" customHeight="false" outlineLevel="0" collapsed="false">
      <c r="A424" s="39" t="str">
        <v>3CFFJLLN</v>
      </c>
      <c r="B424" s="44" t="str">
        <v>Fri,13-October-2023 ,05:57 PM</v>
      </c>
      <c r="C424" s="39" t="str">
        <v>Aquafina plastic 500ml (Half Liter)</v>
      </c>
      <c r="D424" s="39" t="str">
        <v>Aquafina</v>
      </c>
      <c r="E424" s="39" t="str">
        <v>Damaged Stock</v>
      </c>
      <c r="F424" s="45" t="n">
        <v>1</v>
      </c>
      <c r="G424" s="40" t="str">
        <v>[Code: 3CFFJLLN]  TA: 4 bottels found in loose condition during sorting.</v>
      </c>
      <c r="H424" s="39" t="str">
        <v>Taufeeq Akhtar </v>
      </c>
      <c r="I424" s="39" t="str">
        <f aca="false">IF(ISBLANK(H424),"", IF($H$2:$H1923 = "Gohar Rehan","Overnight",IF($H$2:$H1923 = "Taufeeq Akhtar ","Overnight",IF($H$2:$H1923 = "Zeeshan Ali Malik","Audit",IF($H$2:$H1923 = "Ali Raza ","Receiving",IF($H$2:$H1923 = "Ali Ahmad","Full-In"))))))</f>
        <v>Overnight</v>
      </c>
      <c r="J424" s="29"/>
      <c r="K424" s="50" t="s">
        <v>2248</v>
      </c>
      <c r="L424" s="50" t="s">
        <v>2330</v>
      </c>
      <c r="M424" s="41"/>
      <c r="N424" s="39" t="s">
        <v>2250</v>
      </c>
      <c r="O424" s="46" t="b">
        <f aca="false">FALSE()</f>
        <v>0</v>
      </c>
      <c r="P424" s="20" t="n">
        <v>450</v>
      </c>
      <c r="Q424" s="45" t="n">
        <v>450</v>
      </c>
      <c r="R424" s="43" t="n">
        <v>45212</v>
      </c>
      <c r="S424" s="20" t="str">
        <v>Beverages</v>
      </c>
    </row>
    <row r="425" customFormat="false" ht="15.75" hidden="false" customHeight="false" outlineLevel="0" collapsed="false">
      <c r="A425" s="39" t="str">
        <v>2457BFHJ</v>
      </c>
      <c r="B425" s="44" t="str">
        <v>Fri,13-October-2023 ,07:47 PM</v>
      </c>
      <c r="C425" s="39" t="str">
        <v>Lipton yellow label tea 85g Rs270</v>
      </c>
      <c r="D425" s="39" t="str">
        <v>Lipton</v>
      </c>
      <c r="E425" s="39" t="str">
        <v>Damaged Stock</v>
      </c>
      <c r="F425" s="45" t="n">
        <v>1</v>
      </c>
      <c r="G425" s="40" t="str">
        <v>[Code: 2457BFHJ] TA: Found damaged in box during display..</v>
      </c>
      <c r="H425" s="39" t="str">
        <v>Taufeeq Akhtar </v>
      </c>
      <c r="I425" s="39" t="str">
        <f aca="false">IF(ISBLANK(H425),"", IF($H$2:$H1924 = "Gohar Rehan","Overnight",IF($H$2:$H1924 = "Taufeeq Akhtar ","Overnight",IF($H$2:$H1924 = "Zeeshan Ali Malik","Audit",IF($H$2:$H1924 = "Ali Raza ","Receiving",IF($H$2:$H1924 = "Ali Ahmad","Full-In"))))))</f>
        <v>Overnight</v>
      </c>
      <c r="J425" s="29"/>
      <c r="K425" s="50" t="s">
        <v>2248</v>
      </c>
      <c r="L425" s="50" t="s">
        <v>2330</v>
      </c>
      <c r="M425" s="41"/>
      <c r="N425" s="39" t="s">
        <v>2250</v>
      </c>
      <c r="O425" s="46" t="b">
        <f aca="false">FALSE()</f>
        <v>0</v>
      </c>
      <c r="P425" s="20" t="n">
        <v>248.2</v>
      </c>
      <c r="Q425" s="45" t="n">
        <v>248.2</v>
      </c>
      <c r="R425" s="43" t="n">
        <v>45212</v>
      </c>
      <c r="S425" s="20" t="str">
        <v>Tea, Coffee</v>
      </c>
    </row>
    <row r="426" customFormat="false" ht="15.75" hidden="false" customHeight="false" outlineLevel="0" collapsed="false">
      <c r="A426" s="39" t="str">
        <v>58ABCEHM</v>
      </c>
      <c r="B426" s="44" t="str">
        <v>Sat,14-October-2023 ,08:26 PM</v>
      </c>
      <c r="C426" s="39" t="str">
        <v>Sprite plastic 1.5L</v>
      </c>
      <c r="D426" s="39" t="str">
        <v>Sprite</v>
      </c>
      <c r="E426" s="39" t="str">
        <v>Damaged Stock</v>
      </c>
      <c r="F426" s="45" t="n">
        <v>1</v>
      </c>
      <c r="G426" s="40" t="str">
        <v>[Code: 58ABCEHM]  TA: 2 bottels found in loose   condition during sorting.</v>
      </c>
      <c r="H426" s="39" t="str">
        <v>Taufeeq Akhtar </v>
      </c>
      <c r="I426" s="39" t="str">
        <f aca="false">IF(ISBLANK(H426),"", IF($H$2:$H1925 = "Gohar Rehan","Overnight",IF($H$2:$H1925 = "Taufeeq Akhtar ","Overnight",IF($H$2:$H1925 = "Zeeshan Ali Malik","Audit",IF($H$2:$H1925 = "Ali Raza ","Receiving",IF($H$2:$H1925 = "Ali Ahmad","Full-In"))))))</f>
        <v>Overnight</v>
      </c>
      <c r="J426" s="29"/>
      <c r="K426" s="50" t="s">
        <v>2248</v>
      </c>
      <c r="L426" s="50" t="s">
        <v>2330</v>
      </c>
      <c r="M426" s="41"/>
      <c r="N426" s="39" t="s">
        <v>2250</v>
      </c>
      <c r="O426" s="46" t="b">
        <f aca="false">FALSE()</f>
        <v>0</v>
      </c>
      <c r="P426" s="20" t="n">
        <v>870</v>
      </c>
      <c r="Q426" s="45" t="n">
        <v>870</v>
      </c>
      <c r="R426" s="43" t="n">
        <v>45213</v>
      </c>
      <c r="S426" s="20" t="str">
        <v>Beverages</v>
      </c>
    </row>
    <row r="427" customFormat="false" ht="15.75" hidden="false" customHeight="false" outlineLevel="0" collapsed="false">
      <c r="A427" s="39" t="str">
        <v>289CDEHJ</v>
      </c>
      <c r="B427" s="44" t="str">
        <v>Sun,15-October-2023 ,12:44 AM</v>
      </c>
      <c r="C427" s="39" t="str">
        <v>Jan Mango 1L</v>
      </c>
      <c r="D427" s="39" t="str">
        <v>Jan</v>
      </c>
      <c r="E427" s="39" t="str">
        <v>Damaged Stock</v>
      </c>
      <c r="F427" s="45" t="n">
        <v>2</v>
      </c>
      <c r="G427" s="40" t="str">
        <v>[Code: 289CDEHJ] TA; 2unit damage found during sorting  wihtout  cap</v>
      </c>
      <c r="H427" s="39" t="str">
        <v>Taufeeq Akhtar </v>
      </c>
      <c r="I427" s="39" t="str">
        <f aca="false">IF(ISBLANK(H427),"", IF($H$2:$H1926 = "Gohar Rehan","Overnight",IF($H$2:$H1926 = "Taufeeq Akhtar ","Overnight",IF($H$2:$H1926 = "Zeeshan Ali Malik","Audit",IF($H$2:$H1926 = "Ali Raza ","Receiving",IF($H$2:$H1926 = "Ali Ahmad","Full-In"))))))</f>
        <v>Overnight</v>
      </c>
      <c r="J427" s="29"/>
      <c r="K427" s="50" t="s">
        <v>2248</v>
      </c>
      <c r="L427" s="50" t="s">
        <v>2330</v>
      </c>
      <c r="M427" s="41"/>
      <c r="N427" s="39" t="s">
        <v>2250</v>
      </c>
      <c r="O427" s="46" t="b">
        <f aca="false">FALSE()</f>
        <v>0</v>
      </c>
      <c r="P427" s="20" t="n">
        <v>130.83</v>
      </c>
      <c r="Q427" s="45" t="n">
        <v>261.66</v>
      </c>
      <c r="R427" s="43" t="n">
        <v>45214</v>
      </c>
      <c r="S427" s="20" t="str">
        <v>Juice, Syrup, Squash</v>
      </c>
    </row>
    <row r="428" customFormat="false" ht="15.75" hidden="false" customHeight="false" outlineLevel="0" collapsed="false">
      <c r="A428" s="39" t="str">
        <v>5779DEFG</v>
      </c>
      <c r="B428" s="44" t="str">
        <v>Sun,15-October-2023 ,11:32 AM</v>
      </c>
      <c r="C428" s="39" t="str">
        <v>Ariel Original Surf 2kg Rs1250</v>
      </c>
      <c r="D428" s="39" t="str">
        <v>Ariel Surf</v>
      </c>
      <c r="E428" s="39" t="str">
        <v>Damaged Stock</v>
      </c>
      <c r="F428" s="45" t="n">
        <v>1</v>
      </c>
      <c r="G428" s="40" t="str">
        <v>[Code: 5779DEFG] 1 unit damaged during sorting by rack</v>
      </c>
      <c r="H428" s="39" t="str">
        <v>Ali Raza </v>
      </c>
      <c r="I428" s="39" t="str">
        <f aca="false">IF(ISBLANK(H428),"", IF($H$2:$H1927 = "Gohar Rehan","Overnight",IF($H$2:$H1927 = "Taufeeq Akhtar ","Overnight",IF($H$2:$H1927 = "Zeeshan Ali Malik","Audit",IF($H$2:$H1927 = "Ali Raza ","Receiving",IF($H$2:$H1927 = "Ali Ahmad","Full-In"))))))</f>
        <v>Receiving</v>
      </c>
      <c r="J428" s="29"/>
      <c r="K428" s="50" t="s">
        <v>2248</v>
      </c>
      <c r="L428" s="48" t="s">
        <v>2236</v>
      </c>
      <c r="M428" s="41"/>
      <c r="N428" s="39" t="s">
        <v>2212</v>
      </c>
      <c r="O428" s="46" t="b">
        <f aca="false">FALSE()</f>
        <v>0</v>
      </c>
      <c r="P428" s="20" t="n">
        <v>1120</v>
      </c>
      <c r="Q428" s="45" t="n">
        <v>1120</v>
      </c>
      <c r="R428" s="43" t="n">
        <v>45214</v>
      </c>
      <c r="S428" s="20" t="str">
        <v>Surf, Bleach</v>
      </c>
    </row>
    <row r="429" customFormat="false" ht="15.75" hidden="false" customHeight="false" outlineLevel="0" collapsed="false">
      <c r="A429" s="39" t="str">
        <v>4478CDEJ</v>
      </c>
      <c r="B429" s="44" t="str">
        <v>Sun,15-October-2023 ,11:33 AM</v>
      </c>
      <c r="C429" s="39" t="str">
        <v>Swadi Besan 5kg</v>
      </c>
      <c r="D429" s="39" t="str">
        <v>Swadi</v>
      </c>
      <c r="E429" s="39" t="str">
        <v>Damaged Stock</v>
      </c>
      <c r="F429" s="45" t="n">
        <v>1</v>
      </c>
      <c r="G429" s="40" t="str">
        <v>[Code: 4478CDEJ] 1 unit found damaged due to fungus</v>
      </c>
      <c r="H429" s="39" t="str">
        <v>Ali Raza </v>
      </c>
      <c r="I429" s="39" t="str">
        <f aca="false">IF(ISBLANK(H429),"", IF($H$2:$H1928 = "Gohar Rehan","Overnight",IF($H$2:$H1928 = "Taufeeq Akhtar ","Overnight",IF($H$2:$H1928 = "Zeeshan Ali Malik","Audit",IF($H$2:$H1928 = "Ali Raza ","Receiving",IF($H$2:$H1928 = "Ali Ahmad","Full-In"))))))</f>
        <v>Receiving</v>
      </c>
      <c r="J429" s="29"/>
      <c r="K429" s="50" t="s">
        <v>2248</v>
      </c>
      <c r="L429" s="50" t="s">
        <v>2330</v>
      </c>
      <c r="M429" s="41" t="n">
        <v>1</v>
      </c>
      <c r="N429" s="39" t="s">
        <v>2212</v>
      </c>
      <c r="O429" s="42" t="b">
        <f aca="false">TRUE()</f>
        <v>1</v>
      </c>
      <c r="P429" s="20" t="n">
        <v>1050</v>
      </c>
      <c r="Q429" s="45" t="n">
        <v>1050</v>
      </c>
      <c r="R429" s="43" t="n">
        <v>45214</v>
      </c>
      <c r="S429" s="20" t="str">
        <v>Pulses</v>
      </c>
    </row>
    <row r="430" customFormat="false" ht="15.75" hidden="false" customHeight="false" outlineLevel="0" collapsed="false">
      <c r="A430" s="39" t="str">
        <v>2388ABCE</v>
      </c>
      <c r="B430" s="44" t="str">
        <v>Sun,15-October-2023 ,03:26 PM</v>
      </c>
      <c r="C430" s="39" t="str">
        <v>Sherdil Daal Mash Wash 5kg</v>
      </c>
      <c r="D430" s="39" t="str">
        <v>Sherdil</v>
      </c>
      <c r="E430" s="39" t="str">
        <v>Damaged Stock</v>
      </c>
      <c r="F430" s="45" t="n">
        <v>2</v>
      </c>
      <c r="G430" s="40" t="str">
        <v>[Code: 2388ABCE] 2 units found damaged due to fungus </v>
      </c>
      <c r="H430" s="39" t="str">
        <v>Ali Raza </v>
      </c>
      <c r="I430" s="39" t="str">
        <f aca="false">IF(ISBLANK(H430),"", IF($H$2:$H1929 = "Gohar Rehan","Overnight",IF($H$2:$H1929 = "Taufeeq Akhtar ","Overnight",IF($H$2:$H1929 = "Zeeshan Ali Malik","Audit",IF($H$2:$H1929 = "Ali Raza ","Receiving",IF($H$2:$H1929 = "Ali Ahmad","Full-In"))))))</f>
        <v>Receiving</v>
      </c>
      <c r="J430" s="29"/>
      <c r="K430" s="50" t="s">
        <v>2248</v>
      </c>
      <c r="L430" s="50" t="s">
        <v>2330</v>
      </c>
      <c r="M430" s="53"/>
      <c r="N430" s="39" t="s">
        <v>2212</v>
      </c>
      <c r="O430" s="46" t="b">
        <f aca="false">FALSE()</f>
        <v>0</v>
      </c>
      <c r="P430" s="20" t="n">
        <v>3006</v>
      </c>
      <c r="Q430" s="45" t="n">
        <v>6012</v>
      </c>
      <c r="R430" s="43" t="n">
        <v>45214</v>
      </c>
      <c r="S430" s="20" t="str">
        <v>Pulses</v>
      </c>
    </row>
    <row r="431" customFormat="false" ht="15.75" hidden="false" customHeight="false" outlineLevel="0" collapsed="false">
      <c r="A431" s="39" t="str">
        <v>2788BCDH</v>
      </c>
      <c r="B431" s="44" t="str">
        <v>Mon,16-October-2023 ,08:39 PM</v>
      </c>
      <c r="C431" s="39" t="str">
        <v>Mirinda plastic 1.5L Mrinda Marinda</v>
      </c>
      <c r="D431" s="39" t="str">
        <v>Mirinda</v>
      </c>
      <c r="E431" s="39" t="str">
        <v>Damaged Stock</v>
      </c>
      <c r="F431" s="45" t="n">
        <v>1</v>
      </c>
      <c r="G431" s="40" t="str">
        <v>[Code: 2788BCDH]   TA: 2 bottels found in loose condition during sorting.</v>
      </c>
      <c r="H431" s="39" t="str">
        <v>Taufeeq Akhtar </v>
      </c>
      <c r="I431" s="39" t="str">
        <f aca="false">IF(ISBLANK(H431),"", IF($H$2:$H1930 = "Gohar Rehan","Overnight",IF($H$2:$H1930 = "Taufeeq Akhtar ","Overnight",IF($H$2:$H1930 = "Zeeshan Ali Malik","Audit",IF($H$2:$H1930 = "Ali Raza ","Receiving",IF($H$2:$H1930 = "Ali Ahmad","Full-In"))))))</f>
        <v>Overnight</v>
      </c>
      <c r="J431" s="29"/>
      <c r="K431" s="50" t="s">
        <v>2248</v>
      </c>
      <c r="L431" s="50" t="s">
        <v>2330</v>
      </c>
      <c r="M431" s="41"/>
      <c r="N431" s="39" t="s">
        <v>2250</v>
      </c>
      <c r="O431" s="46" t="b">
        <f aca="false">FALSE()</f>
        <v>0</v>
      </c>
      <c r="P431" s="20" t="n">
        <v>800</v>
      </c>
      <c r="Q431" s="45" t="n">
        <v>800</v>
      </c>
      <c r="R431" s="43" t="n">
        <v>45215</v>
      </c>
      <c r="S431" s="20" t="str">
        <v>Beverages</v>
      </c>
    </row>
    <row r="432" customFormat="false" ht="15.75" hidden="false" customHeight="false" outlineLevel="0" collapsed="false">
      <c r="A432" s="39" t="str">
        <v>577889BC</v>
      </c>
      <c r="B432" s="44" t="str">
        <v>Mon,16-October-2023 ,08:39 PM</v>
      </c>
      <c r="C432" s="39" t="str">
        <v>Coca Cola plastic 1L</v>
      </c>
      <c r="D432" s="39" t="str">
        <v>Coca Cola</v>
      </c>
      <c r="E432" s="39" t="str">
        <v>Damaged Stock</v>
      </c>
      <c r="F432" s="45" t="n">
        <v>1</v>
      </c>
      <c r="G432" s="40" t="str">
        <v>[Code: 577889BC]   TA: 2 bottels found in loose condition during sorting.</v>
      </c>
      <c r="H432" s="39" t="str">
        <v>Taufeeq Akhtar </v>
      </c>
      <c r="I432" s="39" t="str">
        <f aca="false">IF(ISBLANK(H432),"", IF($H$2:$H1931 = "Gohar Rehan","Overnight",IF($H$2:$H1931 = "Taufeeq Akhtar ","Overnight",IF($H$2:$H1931 = "Zeeshan Ali Malik","Audit",IF($H$2:$H1931 = "Ali Raza ","Receiving",IF($H$2:$H1931 = "Ali Ahmad","Full-In"))))))</f>
        <v>Overnight</v>
      </c>
      <c r="J432" s="29"/>
      <c r="K432" s="50" t="s">
        <v>2248</v>
      </c>
      <c r="L432" s="50" t="s">
        <v>2330</v>
      </c>
      <c r="M432" s="41"/>
      <c r="N432" s="39" t="s">
        <v>2250</v>
      </c>
      <c r="O432" s="46" t="b">
        <f aca="false">FALSE()</f>
        <v>0</v>
      </c>
      <c r="P432" s="20" t="n">
        <v>773.13</v>
      </c>
      <c r="Q432" s="45" t="n">
        <v>773.13</v>
      </c>
      <c r="R432" s="43" t="n">
        <v>45215</v>
      </c>
      <c r="S432" s="20" t="str">
        <v>Beverages</v>
      </c>
    </row>
    <row r="433" customFormat="false" ht="15.75" hidden="false" customHeight="false" outlineLevel="0" collapsed="false">
      <c r="A433" s="39" t="str">
        <v>35579BKL</v>
      </c>
      <c r="B433" s="44" t="str">
        <v>Tue,17-October-2023 ,08:04 PM</v>
      </c>
      <c r="C433" s="39" t="str">
        <v>Gourmet Mango Mauj 500ml</v>
      </c>
      <c r="D433" s="39" t="str">
        <v>Gourmet</v>
      </c>
      <c r="E433" s="39" t="str">
        <v>Damaged Stock</v>
      </c>
      <c r="F433" s="45" t="n">
        <v>1</v>
      </c>
      <c r="G433" s="40" t="str">
        <v>[Code: 35579BKL] TA; 1 unit damage found during sorting</v>
      </c>
      <c r="H433" s="39" t="str">
        <v>Taufeeq Akhtar </v>
      </c>
      <c r="I433" s="39" t="str">
        <f aca="false">IF(ISBLANK(H433),"", IF($H$2:$H1932 = "Gohar Rehan","Overnight",IF($H$2:$H1932 = "Taufeeq Akhtar ","Overnight",IF($H$2:$H1932 = "Zeeshan Ali Malik","Audit",IF($H$2:$H1932 = "Ali Raza ","Receiving",IF($H$2:$H1932 = "Ali Ahmad","Full-In"))))))</f>
        <v>Overnight</v>
      </c>
      <c r="J433" s="29"/>
      <c r="K433" s="50" t="s">
        <v>2248</v>
      </c>
      <c r="L433" s="50" t="s">
        <v>2330</v>
      </c>
      <c r="M433" s="41"/>
      <c r="N433" s="39" t="s">
        <v>2250</v>
      </c>
      <c r="O433" s="46" t="b">
        <f aca="false">FALSE()</f>
        <v>0</v>
      </c>
      <c r="P433" s="20" t="n">
        <v>736.02</v>
      </c>
      <c r="Q433" s="45" t="n">
        <v>736.02</v>
      </c>
      <c r="R433" s="43" t="n">
        <v>45216</v>
      </c>
      <c r="S433" s="20" t="str">
        <v>Juice, Syrup, Squash</v>
      </c>
    </row>
    <row r="434" customFormat="false" ht="15.75" hidden="false" customHeight="false" outlineLevel="0" collapsed="false">
      <c r="A434" s="39" t="str">
        <v>234579AD</v>
      </c>
      <c r="B434" s="44" t="str">
        <v>Wed,18-October-2023 ,08:20 PM</v>
      </c>
      <c r="C434" s="39" t="str">
        <v>Coca Cola plastic 1.5L</v>
      </c>
      <c r="D434" s="39" t="str">
        <v>Coca Cola</v>
      </c>
      <c r="E434" s="39" t="str">
        <v>Damaged Stock</v>
      </c>
      <c r="F434" s="45" t="n">
        <v>1</v>
      </c>
      <c r="G434" s="40" t="str">
        <v>[Code: 234579AD]  TA: 2 bottels found in loose condition during sorting.</v>
      </c>
      <c r="H434" s="39" t="str">
        <v>Taufeeq Akhtar </v>
      </c>
      <c r="I434" s="39" t="str">
        <f aca="false">IF(ISBLANK(H434),"", IF($H$2:$H1933 = "Gohar Rehan","Overnight",IF($H$2:$H1933 = "Taufeeq Akhtar ","Overnight",IF($H$2:$H1933 = "Zeeshan Ali Malik","Audit",IF($H$2:$H1933 = "Ali Raza ","Receiving",IF($H$2:$H1933 = "Ali Ahmad","Full-In"))))))</f>
        <v>Overnight</v>
      </c>
      <c r="J434" s="29"/>
      <c r="K434" s="50" t="s">
        <v>2248</v>
      </c>
      <c r="L434" s="50" t="s">
        <v>2330</v>
      </c>
      <c r="M434" s="41"/>
      <c r="N434" s="39" t="s">
        <v>2250</v>
      </c>
      <c r="O434" s="46" t="b">
        <f aca="false">FALSE()</f>
        <v>0</v>
      </c>
      <c r="P434" s="20" t="n">
        <v>914.68</v>
      </c>
      <c r="Q434" s="45" t="n">
        <v>914.68</v>
      </c>
      <c r="R434" s="43" t="n">
        <v>45217</v>
      </c>
      <c r="S434" s="20" t="str">
        <v>Beverages</v>
      </c>
    </row>
    <row r="435" customFormat="false" ht="15.75" hidden="false" customHeight="false" outlineLevel="0" collapsed="false">
      <c r="A435" s="39" t="str">
        <v>8AAELNQ</v>
      </c>
      <c r="B435" s="44" t="str">
        <v>Wed,18-October-2023 ,08:25 PM</v>
      </c>
      <c r="C435" s="39" t="str">
        <v>Aish Water 1500ml</v>
      </c>
      <c r="D435" s="39" t="str">
        <v>Aish Water</v>
      </c>
      <c r="E435" s="39" t="str">
        <v>Damaged Stock</v>
      </c>
      <c r="F435" s="45" t="n">
        <v>1</v>
      </c>
      <c r="G435" s="40" t="str">
        <v>[Code: 8AAELNQ] TA: 1 unit damage during sorting (sorter sy damage hoi he 1bottel )</v>
      </c>
      <c r="H435" s="39" t="str">
        <v>Taufeeq Akhtar </v>
      </c>
      <c r="I435" s="39" t="str">
        <f aca="false">IF(ISBLANK(H435),"", IF($H$2:$H1934 = "Gohar Rehan","Overnight",IF($H$2:$H1934 = "Taufeeq Akhtar ","Overnight",IF($H$2:$H1934 = "Zeeshan Ali Malik","Audit",IF($H$2:$H1934 = "Ali Raza ","Receiving",IF($H$2:$H1934 = "Ali Ahmad","Full-In"))))))</f>
        <v>Overnight</v>
      </c>
      <c r="J435" s="29"/>
      <c r="K435" s="50" t="s">
        <v>2248</v>
      </c>
      <c r="L435" s="50" t="s">
        <v>2330</v>
      </c>
      <c r="M435" s="41"/>
      <c r="N435" s="39" t="s">
        <v>2250</v>
      </c>
      <c r="O435" s="46" t="b">
        <f aca="false">FALSE()</f>
        <v>0</v>
      </c>
      <c r="P435" s="20" t="n">
        <v>190</v>
      </c>
      <c r="Q435" s="45" t="n">
        <v>190</v>
      </c>
      <c r="R435" s="43" t="n">
        <v>45217</v>
      </c>
      <c r="S435" s="20" t="str">
        <v>Beverages</v>
      </c>
    </row>
    <row r="436" customFormat="false" ht="15.75" hidden="false" customHeight="false" outlineLevel="0" collapsed="false">
      <c r="A436" s="39" t="str">
        <v>56779EGH</v>
      </c>
      <c r="B436" s="44" t="str">
        <v>Wed,18-October-2023 ,09:19 PM</v>
      </c>
      <c r="C436" s="39" t="str">
        <v>Lemon Max Liquid Regular Bottle 475ml Rs260</v>
      </c>
      <c r="D436" s="39" t="str">
        <v>Lemon Max</v>
      </c>
      <c r="E436" s="39" t="str">
        <v>Damaged Stock</v>
      </c>
      <c r="F436" s="45" t="n">
        <v>1</v>
      </c>
      <c r="G436" s="40" t="str">
        <v>[Code: 56779EGH] TA: Found damaged from box during stock display (cap toota hua hayn...)</v>
      </c>
      <c r="H436" s="39" t="str">
        <v>Taufeeq Akhtar </v>
      </c>
      <c r="I436" s="39" t="str">
        <f aca="false">IF(ISBLANK(H436),"", IF($H$2:$H1935 = "Gohar Rehan","Overnight",IF($H$2:$H1935 = "Taufeeq Akhtar ","Overnight",IF($H$2:$H1935 = "Zeeshan Ali Malik","Audit",IF($H$2:$H1935 = "Ali Raza ","Receiving",IF($H$2:$H1935 = "Ali Ahmad","Full-In"))))))</f>
        <v>Overnight</v>
      </c>
      <c r="J436" s="29"/>
      <c r="K436" s="50" t="s">
        <v>2248</v>
      </c>
      <c r="L436" s="48" t="s">
        <v>2328</v>
      </c>
      <c r="M436" s="41" t="n">
        <v>1</v>
      </c>
      <c r="N436" s="39" t="s">
        <v>2212</v>
      </c>
      <c r="O436" s="46" t="b">
        <f aca="false">FALSE()</f>
        <v>0</v>
      </c>
      <c r="P436" s="20" t="n">
        <v>239.63</v>
      </c>
      <c r="Q436" s="45" t="n">
        <v>239.63</v>
      </c>
      <c r="R436" s="43" t="n">
        <v>45217</v>
      </c>
      <c r="S436" s="20" t="str">
        <v>Home Care</v>
      </c>
    </row>
    <row r="437" customFormat="false" ht="15.75" hidden="false" customHeight="false" outlineLevel="0" collapsed="false">
      <c r="A437" s="39" t="str">
        <v>22788CCF</v>
      </c>
      <c r="B437" s="44" t="str">
        <v>Sat,21-October-2023 ,07:39 PM</v>
      </c>
      <c r="C437" s="39" t="str">
        <v>Coca Cola plastic 1.5L</v>
      </c>
      <c r="D437" s="39" t="str">
        <v>Coca Cola</v>
      </c>
      <c r="E437" s="39" t="str">
        <v>Damaged Stock</v>
      </c>
      <c r="F437" s="45" t="n">
        <v>2</v>
      </c>
      <c r="G437" s="40" t="str">
        <v>[Code: 22788CCF] TA: Found empty bottels during sorting...</v>
      </c>
      <c r="H437" s="39" t="str">
        <v>Taufeeq Akhtar </v>
      </c>
      <c r="I437" s="39" t="str">
        <f aca="false">IF(ISBLANK(H437),"", IF($H$2:$H1936 = "Gohar Rehan","Overnight",IF($H$2:$H1936 = "Taufeeq Akhtar ","Overnight",IF($H$2:$H1936 = "Zeeshan Ali Malik","Audit",IF($H$2:$H1936 = "Ali Raza ","Receiving",IF($H$2:$H1936 = "Ali Ahmad","Full-In"))))))</f>
        <v>Overnight</v>
      </c>
      <c r="J437" s="29"/>
      <c r="K437" s="50" t="s">
        <v>2248</v>
      </c>
      <c r="L437" s="50" t="s">
        <v>2330</v>
      </c>
      <c r="M437" s="41"/>
      <c r="N437" s="39" t="s">
        <v>2250</v>
      </c>
      <c r="O437" s="46" t="b">
        <f aca="false">FALSE()</f>
        <v>0</v>
      </c>
      <c r="P437" s="20" t="n">
        <v>914.68</v>
      </c>
      <c r="Q437" s="45" t="n">
        <v>1829.36</v>
      </c>
      <c r="R437" s="43" t="n">
        <v>45220</v>
      </c>
      <c r="S437" s="20" t="str">
        <v>Beverages</v>
      </c>
    </row>
    <row r="438" customFormat="false" ht="15.75" hidden="false" customHeight="false" outlineLevel="0" collapsed="false">
      <c r="A438" s="39" t="str">
        <v>3458BBEH</v>
      </c>
      <c r="B438" s="44" t="str">
        <v>Sat,21-October-2023 ,07:40 PM</v>
      </c>
      <c r="C438" s="39" t="str">
        <v>Coca Cola plastic 1L</v>
      </c>
      <c r="D438" s="39" t="str">
        <v>Coca Cola</v>
      </c>
      <c r="E438" s="39" t="str">
        <v>Damaged Stock</v>
      </c>
      <c r="F438" s="45" t="n">
        <v>1</v>
      </c>
      <c r="G438" s="40" t="str">
        <v>[Code: 3458BBEH] TA: Found loose bottels during sorting....</v>
      </c>
      <c r="H438" s="39" t="str">
        <v>Taufeeq Akhtar </v>
      </c>
      <c r="I438" s="39" t="str">
        <f aca="false">IF(ISBLANK(H438),"", IF($H$2:$H1937 = "Gohar Rehan","Overnight",IF($H$2:$H1937 = "Taufeeq Akhtar ","Overnight",IF($H$2:$H1937 = "Zeeshan Ali Malik","Audit",IF($H$2:$H1937 = "Ali Raza ","Receiving",IF($H$2:$H1937 = "Ali Ahmad","Full-In"))))))</f>
        <v>Overnight</v>
      </c>
      <c r="J438" s="29"/>
      <c r="K438" s="50" t="s">
        <v>2248</v>
      </c>
      <c r="L438" s="50" t="s">
        <v>2330</v>
      </c>
      <c r="M438" s="41"/>
      <c r="N438" s="39" t="s">
        <v>2250</v>
      </c>
      <c r="O438" s="46" t="b">
        <f aca="false">FALSE()</f>
        <v>0</v>
      </c>
      <c r="P438" s="20" t="n">
        <v>773.13</v>
      </c>
      <c r="Q438" s="45" t="n">
        <v>773.13</v>
      </c>
      <c r="R438" s="43" t="n">
        <v>45220</v>
      </c>
      <c r="S438" s="20" t="str">
        <v>Beverages</v>
      </c>
    </row>
    <row r="439" customFormat="false" ht="15.75" hidden="false" customHeight="false" outlineLevel="0" collapsed="false">
      <c r="A439" s="39" t="str">
        <v>45666DJL</v>
      </c>
      <c r="B439" s="44" t="str">
        <v>Sat,21-October-2023 ,08:28 PM</v>
      </c>
      <c r="C439" s="39" t="str">
        <v>Engro Dairy Omung Milk x27 Crate 225ml</v>
      </c>
      <c r="D439" s="39" t="str">
        <v>Omung</v>
      </c>
      <c r="E439" s="39" t="str">
        <v>Damaged Stock</v>
      </c>
      <c r="F439" s="45" t="n">
        <v>1</v>
      </c>
      <c r="G439" s="40" t="str">
        <v>[Code: 45666DJL] TA: 1unit damage found during display (unit me sy 1pc leak mila he )</v>
      </c>
      <c r="H439" s="39" t="str">
        <v>Taufeeq Akhtar </v>
      </c>
      <c r="I439" s="39" t="str">
        <f aca="false">IF(ISBLANK(H439),"", IF($H$2:$H1938 = "Gohar Rehan","Overnight",IF($H$2:$H1938 = "Taufeeq Akhtar ","Overnight",IF($H$2:$H1938 = "Zeeshan Ali Malik","Audit",IF($H$2:$H1938 = "Ali Raza ","Receiving",IF($H$2:$H1938 = "Ali Ahmad","Full-In"))))))</f>
        <v>Overnight</v>
      </c>
      <c r="J439" s="29"/>
      <c r="K439" s="50" t="s">
        <v>2248</v>
      </c>
      <c r="L439" s="50" t="s">
        <v>2330</v>
      </c>
      <c r="M439" s="41" t="n">
        <v>1</v>
      </c>
      <c r="N439" s="39" t="s">
        <v>2212</v>
      </c>
      <c r="O439" s="42" t="b">
        <f aca="false">TRUE()</f>
        <v>1</v>
      </c>
      <c r="P439" s="20" t="n">
        <v>1230</v>
      </c>
      <c r="Q439" s="45" t="n">
        <v>1230</v>
      </c>
      <c r="R439" s="43" t="n">
        <v>45220</v>
      </c>
      <c r="S439" s="20" t="str">
        <v>Dairy</v>
      </c>
    </row>
    <row r="440" customFormat="false" ht="15.75" hidden="false" customHeight="false" outlineLevel="0" collapsed="false">
      <c r="A440" s="39" t="str">
        <v>26789ACH</v>
      </c>
      <c r="B440" s="44" t="str">
        <v>Sun,22-October-2023 ,03:50 PM</v>
      </c>
      <c r="C440" s="39" t="str">
        <v>Head and Shoulders Anti Hairfall Shampoo 185ml Rs500</v>
      </c>
      <c r="D440" s="39" t="str">
        <v>Head and Shoulders</v>
      </c>
      <c r="E440" s="39" t="str">
        <v>Damaged Stock</v>
      </c>
      <c r="F440" s="45" t="n">
        <v>1</v>
      </c>
      <c r="G440" s="40" t="str">
        <v>[Code: 26789ACH] AR: 01 unit found empty in a packed Carton</v>
      </c>
      <c r="H440" s="39" t="str">
        <v>Ali Raza </v>
      </c>
      <c r="I440" s="39" t="str">
        <f aca="false">IF(ISBLANK(H440),"", IF($H$2:$H1939 = "Gohar Rehan","Overnight",IF($H$2:$H1939 = "Taufeeq Akhtar ","Overnight",IF($H$2:$H1939 = "Zeeshan Ali Malik","Audit",IF($H$2:$H1939 = "Ali Raza ","Receiving",IF($H$2:$H1939 = "Ali Ahmad","Full-In"))))))</f>
        <v>Receiving</v>
      </c>
      <c r="J440" s="29"/>
      <c r="K440" s="50" t="s">
        <v>2248</v>
      </c>
      <c r="L440" s="48" t="s">
        <v>2236</v>
      </c>
      <c r="M440" s="41"/>
      <c r="N440" s="39" t="s">
        <v>2212</v>
      </c>
      <c r="O440" s="46" t="b">
        <f aca="false">FALSE()</f>
        <v>0</v>
      </c>
      <c r="P440" s="20" t="n">
        <v>429</v>
      </c>
      <c r="Q440" s="45" t="n">
        <v>429</v>
      </c>
      <c r="R440" s="43" t="n">
        <v>45221</v>
      </c>
      <c r="S440" s="20" t="str">
        <v>Shampoo</v>
      </c>
    </row>
    <row r="441" customFormat="false" ht="15.75" hidden="false" customHeight="false" outlineLevel="0" collapsed="false">
      <c r="A441" s="39" t="str">
        <v>3344CDGG</v>
      </c>
      <c r="B441" s="44" t="str">
        <v>Mon,23-October-2023 ,07:35 PM</v>
      </c>
      <c r="C441" s="39" t="str">
        <v>Coca Cola plastic 1L</v>
      </c>
      <c r="D441" s="39" t="str">
        <v>Coca Cola</v>
      </c>
      <c r="E441" s="39" t="str">
        <v>Damaged Stock</v>
      </c>
      <c r="F441" s="45" t="n">
        <v>2</v>
      </c>
      <c r="G441" s="40" t="str">
        <v>[Code: 3344CDGG]   TA: Found loose and empty bottels during sorting....</v>
      </c>
      <c r="H441" s="39" t="str">
        <v>Taufeeq Akhtar </v>
      </c>
      <c r="I441" s="39" t="str">
        <f aca="false">IF(ISBLANK(H441),"", IF($H$2:$H1940 = "Gohar Rehan","Overnight",IF($H$2:$H1940 = "Taufeeq Akhtar ","Overnight",IF($H$2:$H1940 = "Zeeshan Ali Malik","Audit",IF($H$2:$H1940 = "Ali Raza ","Receiving",IF($H$2:$H1940 = "Ali Ahmad","Full-In"))))))</f>
        <v>Overnight</v>
      </c>
      <c r="J441" s="29"/>
      <c r="K441" s="50" t="s">
        <v>2248</v>
      </c>
      <c r="L441" s="50" t="s">
        <v>2330</v>
      </c>
      <c r="M441" s="41"/>
      <c r="N441" s="39" t="s">
        <v>2250</v>
      </c>
      <c r="O441" s="46" t="b">
        <f aca="false">FALSE()</f>
        <v>0</v>
      </c>
      <c r="P441" s="20" t="n">
        <v>773.13</v>
      </c>
      <c r="Q441" s="45" t="n">
        <v>1546.26</v>
      </c>
      <c r="R441" s="43" t="n">
        <v>45222</v>
      </c>
      <c r="S441" s="20" t="str">
        <v>Beverages</v>
      </c>
    </row>
    <row r="442" customFormat="false" ht="15.75" hidden="false" customHeight="false" outlineLevel="0" collapsed="false">
      <c r="A442" s="39" t="str">
        <v>237CCCDE</v>
      </c>
      <c r="B442" s="44" t="str">
        <v>Mon,23-October-2023 ,07:36 PM</v>
      </c>
      <c r="C442" s="39" t="str">
        <v>Pepsi plastic 1L</v>
      </c>
      <c r="D442" s="39" t="str">
        <v>Pepsi</v>
      </c>
      <c r="E442" s="39" t="str">
        <v>Damaged Stock</v>
      </c>
      <c r="F442" s="45" t="n">
        <v>1</v>
      </c>
      <c r="G442" s="40" t="str">
        <v>[Code: 237CCCDE]  TA: Found loose bottels during sorting....</v>
      </c>
      <c r="H442" s="39" t="str">
        <v>Taufeeq Akhtar </v>
      </c>
      <c r="I442" s="39" t="str">
        <f aca="false">IF(ISBLANK(H442),"", IF($H$2:$H1941 = "Gohar Rehan","Overnight",IF($H$2:$H1941 = "Taufeeq Akhtar ","Overnight",IF($H$2:$H1941 = "Zeeshan Ali Malik","Audit",IF($H$2:$H1941 = "Ali Raza ","Receiving",IF($H$2:$H1941 = "Ali Ahmad","Full-In"))))))</f>
        <v>Overnight</v>
      </c>
      <c r="J442" s="29"/>
      <c r="K442" s="50" t="s">
        <v>2248</v>
      </c>
      <c r="L442" s="50" t="s">
        <v>2330</v>
      </c>
      <c r="M442" s="41"/>
      <c r="N442" s="39" t="s">
        <v>2250</v>
      </c>
      <c r="O442" s="46" t="b">
        <f aca="false">FALSE()</f>
        <v>0</v>
      </c>
      <c r="P442" s="20" t="n">
        <v>595</v>
      </c>
      <c r="Q442" s="45" t="n">
        <v>595</v>
      </c>
      <c r="R442" s="43" t="n">
        <v>45222</v>
      </c>
      <c r="S442" s="20" t="str">
        <v>Beverages</v>
      </c>
    </row>
    <row r="443" customFormat="false" ht="15.75" hidden="false" customHeight="false" outlineLevel="0" collapsed="false">
      <c r="A443" s="39" t="str">
        <v>4899DEGK</v>
      </c>
      <c r="B443" s="44" t="str">
        <v>Tue,24-October-2023 ,09:01 AM</v>
      </c>
      <c r="C443" s="39" t="str">
        <v>Dummer Super Fine Atta 15kg</v>
      </c>
      <c r="D443" s="39" t="str">
        <v>Dummer Atta</v>
      </c>
      <c r="E443" s="39" t="str">
        <v>Damaged Stock</v>
      </c>
      <c r="F443" s="45" t="n">
        <v>1</v>
      </c>
      <c r="G443" s="40" t="str">
        <v>[Code: 4899DEGK] 01 unit found damaged due to mouse cut</v>
      </c>
      <c r="H443" s="39" t="str">
        <v>Ali Raza </v>
      </c>
      <c r="I443" s="39" t="str">
        <f aca="false">IF(ISBLANK(H443),"", IF($H$2:$H1942 = "Gohar Rehan","Overnight",IF($H$2:$H1942 = "Taufeeq Akhtar ","Overnight",IF($H$2:$H1942 = "Zeeshan Ali Malik","Audit",IF($H$2:$H1942 = "Ali Raza ","Receiving",IF($H$2:$H1942 = "Ali Ahmad","Full-In"))))))</f>
        <v>Receiving</v>
      </c>
      <c r="J443" s="29"/>
      <c r="K443" s="50" t="s">
        <v>2248</v>
      </c>
      <c r="L443" s="50" t="s">
        <v>2330</v>
      </c>
      <c r="M443" s="41" t="n">
        <v>1</v>
      </c>
      <c r="N443" s="39" t="s">
        <v>2212</v>
      </c>
      <c r="O443" s="42" t="b">
        <f aca="false">TRUE()</f>
        <v>1</v>
      </c>
      <c r="P443" s="20" t="n">
        <v>2100</v>
      </c>
      <c r="Q443" s="45" t="n">
        <v>2100</v>
      </c>
      <c r="R443" s="43" t="n">
        <v>45223</v>
      </c>
      <c r="S443" s="20" t="str">
        <v>Flour</v>
      </c>
    </row>
    <row r="444" customFormat="false" ht="15.75" hidden="false" customHeight="false" outlineLevel="0" collapsed="false">
      <c r="A444" s="39" t="str">
        <v>2336799A</v>
      </c>
      <c r="B444" s="44" t="str">
        <v>Tue,24-October-2023 ,09:02 AM</v>
      </c>
      <c r="C444" s="39" t="str">
        <v>Dummer Super Fine Atta 10kg</v>
      </c>
      <c r="D444" s="39" t="str">
        <v>Dummer Atta</v>
      </c>
      <c r="E444" s="39" t="str">
        <v>Damaged Stock</v>
      </c>
      <c r="F444" s="45" t="n">
        <v>2</v>
      </c>
      <c r="G444" s="40" t="str">
        <v>[Code: 2336799A] 02 units found damaged due to mouse cut</v>
      </c>
      <c r="H444" s="39" t="str">
        <v>Ali Raza </v>
      </c>
      <c r="I444" s="39" t="str">
        <f aca="false">IF(ISBLANK(H444),"", IF($H$2:$H1943 = "Gohar Rehan","Overnight",IF($H$2:$H1943 = "Taufeeq Akhtar ","Overnight",IF($H$2:$H1943 = "Zeeshan Ali Malik","Audit",IF($H$2:$H1943 = "Ali Raza ","Receiving",IF($H$2:$H1943 = "Ali Ahmad","Full-In"))))))</f>
        <v>Receiving</v>
      </c>
      <c r="J444" s="29"/>
      <c r="K444" s="50" t="s">
        <v>2248</v>
      </c>
      <c r="L444" s="50" t="s">
        <v>2330</v>
      </c>
      <c r="M444" s="41" t="n">
        <v>2</v>
      </c>
      <c r="N444" s="39" t="s">
        <v>2212</v>
      </c>
      <c r="O444" s="42" t="b">
        <f aca="false">TRUE()</f>
        <v>1</v>
      </c>
      <c r="P444" s="20" t="n">
        <v>1400</v>
      </c>
      <c r="Q444" s="45" t="n">
        <v>2800</v>
      </c>
      <c r="R444" s="43" t="n">
        <v>45223</v>
      </c>
      <c r="S444" s="20" t="str">
        <v>Flour</v>
      </c>
    </row>
    <row r="445" customFormat="false" ht="15.75" hidden="false" customHeight="false" outlineLevel="0" collapsed="false">
      <c r="A445" s="39" t="str">
        <v>CDEEEFFK</v>
      </c>
      <c r="B445" s="44" t="str">
        <v>Tue,24-October-2023 ,02:11 PM</v>
      </c>
      <c r="C445" s="39" t="str">
        <v>A One Fine Atta 10kg</v>
      </c>
      <c r="D445" s="39" t="str">
        <v>A One Atta</v>
      </c>
      <c r="E445" s="39" t="str">
        <v>Damaged Stock</v>
      </c>
      <c r="F445" s="45" t="n">
        <v>27</v>
      </c>
      <c r="G445" s="40" t="str">
        <v>[Code: CDEEEFFK] 27 units found damaged due to quality issue.</v>
      </c>
      <c r="H445" s="39" t="str">
        <v>Ali Raza </v>
      </c>
      <c r="I445" s="39" t="str">
        <f aca="false">IF(ISBLANK(H445),"", IF($H$2:$H1944 = "Gohar Rehan","Overnight",IF($H$2:$H1944 = "Taufeeq Akhtar ","Overnight",IF($H$2:$H1944 = "Zeeshan Ali Malik","Audit",IF($H$2:$H1944 = "Ali Raza ","Receiving",IF($H$2:$H1944 = "Ali Ahmad","Full-In"))))))</f>
        <v>Receiving</v>
      </c>
      <c r="J445" s="29"/>
      <c r="K445" s="50" t="s">
        <v>2248</v>
      </c>
      <c r="L445" s="50" t="s">
        <v>2330</v>
      </c>
      <c r="M445" s="41"/>
      <c r="N445" s="39" t="s">
        <v>2212</v>
      </c>
      <c r="O445" s="46" t="b">
        <f aca="false">FALSE()</f>
        <v>0</v>
      </c>
      <c r="P445" s="20" t="n">
        <v>1395</v>
      </c>
      <c r="Q445" s="45" t="n">
        <v>37665</v>
      </c>
      <c r="R445" s="43" t="n">
        <v>45223</v>
      </c>
      <c r="S445" s="20" t="str">
        <v>Flour</v>
      </c>
    </row>
    <row r="446" customFormat="false" ht="15.75" hidden="false" customHeight="false" outlineLevel="0" collapsed="false">
      <c r="A446" s="39" t="str">
        <v>339ACEGJ</v>
      </c>
      <c r="B446" s="44" t="str">
        <v>Tue,24-October-2023 ,02:12 PM</v>
      </c>
      <c r="C446" s="39" t="str">
        <v>A One Fine Atta 15kg</v>
      </c>
      <c r="D446" s="39" t="str">
        <v>A One Atta</v>
      </c>
      <c r="E446" s="39" t="str">
        <v>Damaged Stock</v>
      </c>
      <c r="F446" s="45" t="n">
        <v>8</v>
      </c>
      <c r="G446" s="40" t="str">
        <v>[Code: 339ACEGJ] 8 units found damaged due to quality issue.</v>
      </c>
      <c r="H446" s="39" t="str">
        <v>Ali Raza </v>
      </c>
      <c r="I446" s="39" t="str">
        <f aca="false">IF(ISBLANK(H446),"", IF($H$2:$H1945 = "Gohar Rehan","Overnight",IF($H$2:$H1945 = "Taufeeq Akhtar ","Overnight",IF($H$2:$H1945 = "Zeeshan Ali Malik","Audit",IF($H$2:$H1945 = "Ali Raza ","Receiving",IF($H$2:$H1945 = "Ali Ahmad","Full-In"))))))</f>
        <v>Receiving</v>
      </c>
      <c r="J446" s="29"/>
      <c r="K446" s="50" t="s">
        <v>2248</v>
      </c>
      <c r="L446" s="50" t="s">
        <v>2330</v>
      </c>
      <c r="M446" s="41"/>
      <c r="N446" s="39" t="s">
        <v>2212</v>
      </c>
      <c r="O446" s="46" t="b">
        <f aca="false">FALSE()</f>
        <v>0</v>
      </c>
      <c r="P446" s="20" t="n">
        <v>2095</v>
      </c>
      <c r="Q446" s="45" t="n">
        <v>16760</v>
      </c>
      <c r="R446" s="43" t="n">
        <v>45223</v>
      </c>
      <c r="S446" s="20" t="str">
        <v>Flour</v>
      </c>
    </row>
    <row r="447" customFormat="false" ht="15.75" hidden="false" customHeight="false" outlineLevel="0" collapsed="false">
      <c r="A447" s="39" t="str">
        <v>7888ACCE</v>
      </c>
      <c r="B447" s="44" t="str">
        <v>Tue,24-October-2023 ,02:13 PM</v>
      </c>
      <c r="C447" s="39" t="str">
        <v>Super Shaheen Atta 10kg</v>
      </c>
      <c r="D447" s="39" t="str">
        <v>Khalid Flour &amp; General Mills</v>
      </c>
      <c r="E447" s="39" t="str">
        <v>Damaged Stock</v>
      </c>
      <c r="F447" s="45" t="n">
        <v>8</v>
      </c>
      <c r="G447" s="40" t="str">
        <v>[Code: 7888ACCE] 8 units found damaged due to qaulity issue.</v>
      </c>
      <c r="H447" s="39" t="str">
        <v>Ali Raza </v>
      </c>
      <c r="I447" s="39" t="str">
        <f aca="false">IF(ISBLANK(H447),"", IF($H$2:$H1946 = "Gohar Rehan","Overnight",IF($H$2:$H1946 = "Taufeeq Akhtar ","Overnight",IF($H$2:$H1946 = "Zeeshan Ali Malik","Audit",IF($H$2:$H1946 = "Ali Raza ","Receiving",IF($H$2:$H1946 = "Ali Ahmad","Full-In"))))))</f>
        <v>Receiving</v>
      </c>
      <c r="J447" s="29"/>
      <c r="K447" s="50" t="s">
        <v>2248</v>
      </c>
      <c r="L447" s="50" t="s">
        <v>2330</v>
      </c>
      <c r="M447" s="41"/>
      <c r="N447" s="39" t="s">
        <v>2212</v>
      </c>
      <c r="O447" s="46" t="b">
        <f aca="false">FALSE()</f>
        <v>0</v>
      </c>
      <c r="P447" s="20" t="n">
        <v>1355</v>
      </c>
      <c r="Q447" s="45" t="n">
        <v>10840</v>
      </c>
      <c r="R447" s="43" t="n">
        <v>45223</v>
      </c>
      <c r="S447" s="20" t="str">
        <v>Flour</v>
      </c>
    </row>
    <row r="448" customFormat="false" ht="15.75" hidden="false" customHeight="false" outlineLevel="0" collapsed="false">
      <c r="A448" s="39" t="str">
        <v>5699AAAM</v>
      </c>
      <c r="B448" s="44" t="str">
        <v>Tue,24-October-2023 ,07:04 PM</v>
      </c>
      <c r="C448" s="39" t="str">
        <v>A One Fine Atta 15kg</v>
      </c>
      <c r="D448" s="39" t="str">
        <v>A One Atta</v>
      </c>
      <c r="E448" s="39" t="str">
        <v>Damaged Stock</v>
      </c>
      <c r="F448" s="45" t="n">
        <v>3</v>
      </c>
      <c r="G448" s="40" t="str">
        <v>[Code: 5699AAAM] TA:Qaulity kharab hay(Susri lagi hui hai...)</v>
      </c>
      <c r="H448" s="39" t="str">
        <v>Taufeeq Akhtar </v>
      </c>
      <c r="I448" s="39" t="str">
        <f aca="false">IF(ISBLANK(H448),"", IF($H$2:$H1947 = "Gohar Rehan","Overnight",IF($H$2:$H1947 = "Taufeeq Akhtar ","Overnight",IF($H$2:$H1947 = "Zeeshan Ali Malik","Audit",IF($H$2:$H1947 = "Ali Raza ","Receiving",IF($H$2:$H1947 = "Ali Ahmad","Full-In"))))))</f>
        <v>Overnight</v>
      </c>
      <c r="J448" s="29"/>
      <c r="K448" s="50" t="s">
        <v>2248</v>
      </c>
      <c r="L448" s="50" t="s">
        <v>2330</v>
      </c>
      <c r="M448" s="41"/>
      <c r="N448" s="39" t="s">
        <v>2212</v>
      </c>
      <c r="O448" s="46" t="b">
        <f aca="false">FALSE()</f>
        <v>0</v>
      </c>
      <c r="P448" s="20" t="n">
        <v>2095</v>
      </c>
      <c r="Q448" s="45" t="n">
        <v>6285</v>
      </c>
      <c r="R448" s="43" t="n">
        <v>45223</v>
      </c>
      <c r="S448" s="20" t="str">
        <v>Flour</v>
      </c>
    </row>
    <row r="449" customFormat="false" ht="15.75" hidden="false" customHeight="false" outlineLevel="0" collapsed="false">
      <c r="A449" s="39" t="str">
        <v>22566678</v>
      </c>
      <c r="B449" s="44" t="str">
        <v>Tue,24-October-2023 ,08:03 PM</v>
      </c>
      <c r="C449" s="39" t="str">
        <v>Murree Brewery Bigg Apple Plastic x6 Crate 1.5L</v>
      </c>
      <c r="D449" s="39" t="str">
        <v>Murree Brewery</v>
      </c>
      <c r="E449" s="39" t="str">
        <v>Damaged Stock</v>
      </c>
      <c r="F449" s="45" t="n">
        <v>1</v>
      </c>
      <c r="G449" s="40" t="str">
        <v>[Code: 22566678] TA: One bottel found in loose condition during sorting.....</v>
      </c>
      <c r="H449" s="39" t="str">
        <v>Taufeeq Akhtar </v>
      </c>
      <c r="I449" s="39" t="str">
        <f aca="false">IF(ISBLANK(H449),"", IF($H$2:$H1948 = "Gohar Rehan","Overnight",IF($H$2:$H1948 = "Taufeeq Akhtar ","Overnight",IF($H$2:$H1948 = "Zeeshan Ali Malik","Audit",IF($H$2:$H1948 = "Ali Raza ","Receiving",IF($H$2:$H1948 = "Ali Ahmad","Full-In"))))))</f>
        <v>Overnight</v>
      </c>
      <c r="J449" s="29"/>
      <c r="K449" s="50" t="s">
        <v>2248</v>
      </c>
      <c r="L449" s="50" t="s">
        <v>2330</v>
      </c>
      <c r="M449" s="41"/>
      <c r="N449" s="39" t="s">
        <v>2250</v>
      </c>
      <c r="O449" s="46" t="b">
        <f aca="false">FALSE()</f>
        <v>0</v>
      </c>
      <c r="P449" s="20" t="n">
        <v>779</v>
      </c>
      <c r="Q449" s="45" t="n">
        <v>779</v>
      </c>
      <c r="R449" s="43" t="n">
        <v>45223</v>
      </c>
      <c r="S449" s="20" t="str">
        <v>Beverages</v>
      </c>
    </row>
    <row r="450" customFormat="false" ht="15.75" hidden="false" customHeight="false" outlineLevel="0" collapsed="false">
      <c r="A450" s="39" t="str">
        <v>2234446D</v>
      </c>
      <c r="B450" s="44" t="str">
        <v>Tue,24-October-2023 ,09:28 PM</v>
      </c>
      <c r="C450" s="39" t="str">
        <v>Shangrila Tomato Ketchup x3 Bundle 800g</v>
      </c>
      <c r="D450" s="39" t="str">
        <v>Shangrila</v>
      </c>
      <c r="E450" s="39" t="str">
        <v>Damaged Stock</v>
      </c>
      <c r="F450" s="45" t="n">
        <v>1</v>
      </c>
      <c r="G450" s="40" t="str">
        <v>[Code: 2234446D] TA: Found damaged from display during sorting.</v>
      </c>
      <c r="H450" s="39" t="str">
        <v>Taufeeq Akhtar </v>
      </c>
      <c r="I450" s="39" t="str">
        <f aca="false">IF(ISBLANK(H450),"", IF($H$2:$H1949 = "Gohar Rehan","Overnight",IF($H$2:$H1949 = "Taufeeq Akhtar ","Overnight",IF($H$2:$H1949 = "Zeeshan Ali Malik","Audit",IF($H$2:$H1949 = "Ali Raza ","Receiving",IF($H$2:$H1949 = "Ali Ahmad","Full-In"))))))</f>
        <v>Overnight</v>
      </c>
      <c r="J450" s="29"/>
      <c r="K450" s="50" t="s">
        <v>2248</v>
      </c>
      <c r="L450" s="50" t="s">
        <v>2330</v>
      </c>
      <c r="M450" s="41"/>
      <c r="N450" s="39" t="s">
        <v>2250</v>
      </c>
      <c r="O450" s="46" t="b">
        <f aca="false">FALSE()</f>
        <v>0</v>
      </c>
      <c r="P450" s="20" t="n">
        <v>987.91</v>
      </c>
      <c r="Q450" s="45" t="n">
        <v>987.91</v>
      </c>
      <c r="R450" s="43" t="n">
        <v>45223</v>
      </c>
      <c r="S450" s="20" t="str">
        <v>Sauces</v>
      </c>
    </row>
    <row r="451" customFormat="false" ht="15.75" hidden="false" customHeight="false" outlineLevel="0" collapsed="false">
      <c r="A451" s="39" t="str">
        <v>289AGLMN</v>
      </c>
      <c r="B451" s="44" t="str">
        <v>Tue,24-October-2023 ,09:30 PM</v>
      </c>
      <c r="C451" s="39" t="str">
        <v>Shangrila Tomato Ketchup x6 Bundle 70g</v>
      </c>
      <c r="D451" s="39" t="str">
        <v>Shangrila</v>
      </c>
      <c r="E451" s="39" t="str">
        <v>Damaged Stock</v>
      </c>
      <c r="F451" s="45" t="n">
        <v>1</v>
      </c>
      <c r="G451" s="40" t="str">
        <v>[Code: 289AGLMN] TA: Found in damaged condition during stock display .</v>
      </c>
      <c r="H451" s="39" t="str">
        <v>Taufeeq Akhtar </v>
      </c>
      <c r="I451" s="39" t="str">
        <f aca="false">IF(ISBLANK(H451),"", IF($H$2:$H1950 = "Gohar Rehan","Overnight",IF($H$2:$H1950 = "Taufeeq Akhtar ","Overnight",IF($H$2:$H1950 = "Zeeshan Ali Malik","Audit",IF($H$2:$H1950 = "Ali Raza ","Receiving",IF($H$2:$H1950 = "Ali Ahmad","Full-In"))))))</f>
        <v>Overnight</v>
      </c>
      <c r="J451" s="29"/>
      <c r="K451" s="50" t="s">
        <v>2248</v>
      </c>
      <c r="L451" s="50" t="s">
        <v>2330</v>
      </c>
      <c r="M451" s="41"/>
      <c r="N451" s="39" t="s">
        <v>2250</v>
      </c>
      <c r="O451" s="46" t="b">
        <f aca="false">FALSE()</f>
        <v>0</v>
      </c>
      <c r="P451" s="20" t="n">
        <v>188.49</v>
      </c>
      <c r="Q451" s="45" t="n">
        <v>188.49</v>
      </c>
      <c r="R451" s="43" t="n">
        <v>45223</v>
      </c>
      <c r="S451" s="20" t="str">
        <v>Sauces</v>
      </c>
    </row>
    <row r="452" customFormat="false" ht="15.75" hidden="false" customHeight="false" outlineLevel="0" collapsed="false">
      <c r="A452" s="39" t="str">
        <v>244578BC</v>
      </c>
      <c r="B452" s="44" t="str">
        <v>Wed,25-October-2023 ,09:55 PM</v>
      </c>
      <c r="C452" s="39" t="str">
        <v>Special Wooden Phool Jharoo</v>
      </c>
      <c r="D452" s="39" t="str">
        <v>Jharoo</v>
      </c>
      <c r="E452" s="39" t="str">
        <v>Damaged Stock</v>
      </c>
      <c r="F452" s="45" t="n">
        <v>1</v>
      </c>
      <c r="G452" s="40" t="str">
        <v>[Code: 244578BC] TA: found damaged from bundle during sorting.</v>
      </c>
      <c r="H452" s="39" t="str">
        <v>Taufeeq Akhtar </v>
      </c>
      <c r="I452" s="39" t="str">
        <f aca="false">IF(ISBLANK(H452),"", IF($H$2:$H1951 = "Gohar Rehan","Overnight",IF($H$2:$H1951 = "Taufeeq Akhtar ","Overnight",IF($H$2:$H1951 = "Zeeshan Ali Malik","Audit",IF($H$2:$H1951 = "Ali Raza ","Receiving",IF($H$2:$H1951 = "Ali Ahmad","Full-In"))))))</f>
        <v>Overnight</v>
      </c>
      <c r="J452" s="29"/>
      <c r="K452" s="50" t="s">
        <v>2248</v>
      </c>
      <c r="L452" s="48" t="s">
        <v>2328</v>
      </c>
      <c r="M452" s="41"/>
      <c r="N452" s="39" t="s">
        <v>2250</v>
      </c>
      <c r="O452" s="46" t="b">
        <f aca="false">FALSE()</f>
        <v>0</v>
      </c>
      <c r="P452" s="20" t="n">
        <v>135</v>
      </c>
      <c r="Q452" s="45" t="n">
        <v>135</v>
      </c>
      <c r="R452" s="43" t="n">
        <v>45224</v>
      </c>
      <c r="S452" s="20" t="str">
        <v>Home Care</v>
      </c>
    </row>
    <row r="453" customFormat="false" ht="15.75" hidden="false" customHeight="false" outlineLevel="0" collapsed="false">
      <c r="A453" s="39" t="str">
        <v>468ACEFH</v>
      </c>
      <c r="B453" s="44" t="str">
        <v>Wed,25-October-2023 ,09:56 PM</v>
      </c>
      <c r="C453" s="39" t="str">
        <v>Bonus tristar detergent x6 bundle 48g Rs10</v>
      </c>
      <c r="D453" s="39" t="str">
        <v>Bonus Surf</v>
      </c>
      <c r="E453" s="39" t="str">
        <v>Damaged Stock</v>
      </c>
      <c r="F453" s="45" t="n">
        <v>1</v>
      </c>
      <c r="G453" s="40" t="str">
        <v>[Code: 468ACEFH] TA: Found damaged from bag during sorting.</v>
      </c>
      <c r="H453" s="39" t="str">
        <v>Taufeeq Akhtar </v>
      </c>
      <c r="I453" s="39" t="str">
        <f aca="false">IF(ISBLANK(H453),"", IF($H$2:$H1952 = "Gohar Rehan","Overnight",IF($H$2:$H1952 = "Taufeeq Akhtar ","Overnight",IF($H$2:$H1952 = "Zeeshan Ali Malik","Audit",IF($H$2:$H1952 = "Ali Raza ","Receiving",IF($H$2:$H1952 = "Ali Ahmad","Full-In"))))))</f>
        <v>Overnight</v>
      </c>
      <c r="J453" s="29"/>
      <c r="K453" s="50" t="s">
        <v>2248</v>
      </c>
      <c r="L453" s="48" t="s">
        <v>2328</v>
      </c>
      <c r="M453" s="41"/>
      <c r="N453" s="39" t="s">
        <v>2212</v>
      </c>
      <c r="O453" s="46" t="b">
        <f aca="false">FALSE()</f>
        <v>0</v>
      </c>
      <c r="P453" s="20" t="n">
        <v>55.38</v>
      </c>
      <c r="Q453" s="45" t="n">
        <v>55.38</v>
      </c>
      <c r="R453" s="43" t="n">
        <v>45224</v>
      </c>
      <c r="S453" s="20" t="str">
        <v>Surf, Bleach</v>
      </c>
    </row>
    <row r="454" customFormat="false" ht="15.75" hidden="false" customHeight="false" outlineLevel="0" collapsed="false">
      <c r="A454" s="39" t="str">
        <v>2467BEEE</v>
      </c>
      <c r="B454" s="44" t="str">
        <v>Fri,27-October-2023 ,03:57 PM</v>
      </c>
      <c r="C454" s="39" t="str">
        <v>Coca Cola plastic 1.5L</v>
      </c>
      <c r="D454" s="39" t="str">
        <v>Coca Cola</v>
      </c>
      <c r="E454" s="39" t="str">
        <v>Damaged Stock</v>
      </c>
      <c r="F454" s="45" t="n">
        <v>1</v>
      </c>
      <c r="G454" s="40" t="str">
        <v>[Code: 2467BEEE] TA: Found empty bottels during soring..</v>
      </c>
      <c r="H454" s="39" t="str">
        <v>Taufeeq Akhtar </v>
      </c>
      <c r="I454" s="39" t="str">
        <f aca="false">IF(ISBLANK(H454),"", IF($H$2:$H1953 = "Gohar Rehan","Overnight",IF($H$2:$H1953 = "Taufeeq Akhtar ","Overnight",IF($H$2:$H1953 = "Zeeshan Ali Malik","Audit",IF($H$2:$H1953 = "Ali Raza ","Receiving",IF($H$2:$H1953 = "Ali Ahmad","Full-In"))))))</f>
        <v>Overnight</v>
      </c>
      <c r="J454" s="29"/>
      <c r="K454" s="50" t="s">
        <v>2248</v>
      </c>
      <c r="L454" s="50" t="s">
        <v>2330</v>
      </c>
      <c r="M454" s="41"/>
      <c r="N454" s="39" t="s">
        <v>2250</v>
      </c>
      <c r="O454" s="46" t="b">
        <f aca="false">FALSE()</f>
        <v>0</v>
      </c>
      <c r="P454" s="20" t="n">
        <v>914.68</v>
      </c>
      <c r="Q454" s="45" t="n">
        <v>914.68</v>
      </c>
      <c r="R454" s="43" t="n">
        <v>45226</v>
      </c>
      <c r="S454" s="20" t="str">
        <v>Beverages</v>
      </c>
    </row>
    <row r="455" customFormat="false" ht="15.75" hidden="false" customHeight="false" outlineLevel="0" collapsed="false">
      <c r="A455" s="39" t="str">
        <v>359BCEEE</v>
      </c>
      <c r="B455" s="44" t="str">
        <v>Fri,27-October-2023 ,03:58 PM</v>
      </c>
      <c r="C455" s="39" t="str">
        <v>Sprite plastic 1.5L</v>
      </c>
      <c r="D455" s="39" t="str">
        <v>Sprite</v>
      </c>
      <c r="E455" s="39" t="str">
        <v>Damaged Stock</v>
      </c>
      <c r="F455" s="45" t="n">
        <v>1</v>
      </c>
      <c r="G455" s="40" t="str">
        <v>[Code: 359BCEEE] TA: Found empty bottels during sorting//</v>
      </c>
      <c r="H455" s="39" t="str">
        <v>Taufeeq Akhtar </v>
      </c>
      <c r="I455" s="39" t="str">
        <f aca="false">IF(ISBLANK(H455),"", IF($H$2:$H1954 = "Gohar Rehan","Overnight",IF($H$2:$H1954 = "Taufeeq Akhtar ","Overnight",IF($H$2:$H1954 = "Zeeshan Ali Malik","Audit",IF($H$2:$H1954 = "Ali Raza ","Receiving",IF($H$2:$H1954 = "Ali Ahmad","Full-In"))))))</f>
        <v>Overnight</v>
      </c>
      <c r="J455" s="29"/>
      <c r="K455" s="50" t="s">
        <v>2248</v>
      </c>
      <c r="L455" s="50" t="s">
        <v>2330</v>
      </c>
      <c r="M455" s="41"/>
      <c r="N455" s="39" t="s">
        <v>2250</v>
      </c>
      <c r="O455" s="46" t="b">
        <f aca="false">FALSE()</f>
        <v>0</v>
      </c>
      <c r="P455" s="20" t="n">
        <v>870</v>
      </c>
      <c r="Q455" s="45" t="n">
        <v>870</v>
      </c>
      <c r="R455" s="43" t="n">
        <v>45226</v>
      </c>
      <c r="S455" s="20" t="str">
        <v>Beverages</v>
      </c>
    </row>
    <row r="456" customFormat="false" ht="15.75" hidden="false" customHeight="false" outlineLevel="0" collapsed="false">
      <c r="A456" s="39" t="str">
        <v>278ABEHJ</v>
      </c>
      <c r="B456" s="44" t="str">
        <v>Fri,27-October-2023 ,05:54 PM</v>
      </c>
      <c r="C456" s="39" t="str">
        <v>Surf Excel x6 bundle Rs50</v>
      </c>
      <c r="D456" s="39" t="str">
        <v>Surf Excel</v>
      </c>
      <c r="E456" s="39" t="str">
        <v>Damaged Stock</v>
      </c>
      <c r="F456" s="45" t="n">
        <v>1</v>
      </c>
      <c r="G456" s="40" t="str">
        <v>[Code: 278ABEHJ] TA: found Damaged from bag during sorting.</v>
      </c>
      <c r="H456" s="39" t="str">
        <v>Taufeeq Akhtar </v>
      </c>
      <c r="I456" s="39" t="str">
        <f aca="false">IF(ISBLANK(H456),"", IF($H$2:$H1955 = "Gohar Rehan","Overnight",IF($H$2:$H1955 = "Taufeeq Akhtar ","Overnight",IF($H$2:$H1955 = "Zeeshan Ali Malik","Audit",IF($H$2:$H1955 = "Ali Raza ","Receiving",IF($H$2:$H1955 = "Ali Ahmad","Full-In"))))))</f>
        <v>Overnight</v>
      </c>
      <c r="J456" s="29"/>
      <c r="K456" s="50" t="s">
        <v>2248</v>
      </c>
      <c r="L456" s="48" t="s">
        <v>2328</v>
      </c>
      <c r="M456" s="41"/>
      <c r="N456" s="39" t="s">
        <v>2250</v>
      </c>
      <c r="O456" s="46" t="b">
        <f aca="false">FALSE()</f>
        <v>0</v>
      </c>
      <c r="P456" s="20" t="n">
        <v>275</v>
      </c>
      <c r="Q456" s="45" t="n">
        <v>275</v>
      </c>
      <c r="R456" s="43" t="n">
        <v>45226</v>
      </c>
      <c r="S456" s="20" t="str">
        <v>Surf, Bleach</v>
      </c>
    </row>
    <row r="457" customFormat="false" ht="15.75" hidden="false" customHeight="false" outlineLevel="0" collapsed="false">
      <c r="A457" s="39" t="str">
        <v>4557ABDH</v>
      </c>
      <c r="B457" s="44" t="str">
        <v>Sat,28-October-2023 ,04:29 PM</v>
      </c>
      <c r="C457" s="39" t="str">
        <v>Quality Grains Daal Mash Wash 5kg</v>
      </c>
      <c r="D457" s="39" t="str">
        <v>Quality Grains</v>
      </c>
      <c r="E457" s="39" t="str">
        <v>Damaged Stock</v>
      </c>
      <c r="F457" s="45" t="n">
        <v>3</v>
      </c>
      <c r="G457" s="40" t="str">
        <v>[Code: 4557ABDH] 3 units found damaged due to fungus (quality issue) </v>
      </c>
      <c r="H457" s="39" t="str">
        <v>Ali Raza </v>
      </c>
      <c r="I457" s="39" t="str">
        <f aca="false">IF(ISBLANK(H457),"", IF($H$2:$H1956 = "Gohar Rehan","Overnight",IF($H$2:$H1956 = "Taufeeq Akhtar ","Overnight",IF($H$2:$H1956 = "Zeeshan Ali Malik","Audit",IF($H$2:$H1956 = "Ali Raza ","Receiving",IF($H$2:$H1956 = "Ali Ahmad","Full-In"))))))</f>
        <v>Receiving</v>
      </c>
      <c r="J457" s="29"/>
      <c r="K457" s="50" t="s">
        <v>2248</v>
      </c>
      <c r="L457" s="48" t="s">
        <v>2328</v>
      </c>
      <c r="M457" s="41" t="n">
        <v>3</v>
      </c>
      <c r="N457" s="39" t="s">
        <v>2212</v>
      </c>
      <c r="O457" s="46" t="b">
        <f aca="false">FALSE()</f>
        <v>0</v>
      </c>
      <c r="P457" s="20" t="n">
        <v>2785</v>
      </c>
      <c r="Q457" s="45" t="n">
        <v>8355</v>
      </c>
      <c r="R457" s="43" t="n">
        <v>45227</v>
      </c>
      <c r="S457" s="20" t="str">
        <v>Pulses</v>
      </c>
    </row>
    <row r="458" customFormat="false" ht="15.75" hidden="false" customHeight="false" outlineLevel="0" collapsed="false">
      <c r="A458" s="39" t="str">
        <v>378BBDFH</v>
      </c>
      <c r="B458" s="44" t="str">
        <v>Sat,28-October-2023 ,04:29 PM</v>
      </c>
      <c r="C458" s="39" t="str">
        <v>Sherdil Daal Mash Wash 5kg</v>
      </c>
      <c r="D458" s="39" t="str">
        <v>Sherdil</v>
      </c>
      <c r="E458" s="39" t="str">
        <v>Damaged Stock</v>
      </c>
      <c r="F458" s="45" t="n">
        <v>1</v>
      </c>
      <c r="G458" s="40" t="str">
        <v>[Code: 378BBDFH] 1 unit found damaged due to fungus (quality issue)</v>
      </c>
      <c r="H458" s="39" t="str">
        <v>Ali Raza </v>
      </c>
      <c r="I458" s="39" t="str">
        <f aca="false">IF(ISBLANK(H458),"", IF($H$2:$H1957 = "Gohar Rehan","Overnight",IF($H$2:$H1957 = "Taufeeq Akhtar ","Overnight",IF($H$2:$H1957 = "Zeeshan Ali Malik","Audit",IF($H$2:$H1957 = "Ali Raza ","Receiving",IF($H$2:$H1957 = "Ali Ahmad","Full-In"))))))</f>
        <v>Receiving</v>
      </c>
      <c r="J458" s="29"/>
      <c r="K458" s="50" t="s">
        <v>2248</v>
      </c>
      <c r="L458" s="50" t="s">
        <v>2330</v>
      </c>
      <c r="M458" s="41" t="n">
        <v>1</v>
      </c>
      <c r="N458" s="39" t="s">
        <v>2212</v>
      </c>
      <c r="O458" s="46" t="b">
        <f aca="false">FALSE()</f>
        <v>0</v>
      </c>
      <c r="P458" s="20" t="n">
        <v>3006</v>
      </c>
      <c r="Q458" s="45" t="n">
        <v>3006</v>
      </c>
      <c r="R458" s="43" t="n">
        <v>45227</v>
      </c>
      <c r="S458" s="20" t="str">
        <v>Pulses</v>
      </c>
    </row>
    <row r="459" customFormat="false" ht="15.75" hidden="false" customHeight="false" outlineLevel="0" collapsed="false">
      <c r="A459" s="39" t="str">
        <v>33789FKL</v>
      </c>
      <c r="B459" s="44" t="str">
        <v>Sat,28-October-2023 ,09:05 PM</v>
      </c>
      <c r="C459" s="39" t="str">
        <v>Sting Berry Blast plastic 500ml (Half Liter)</v>
      </c>
      <c r="D459" s="39" t="str">
        <v>Sting</v>
      </c>
      <c r="E459" s="39" t="str">
        <v>Damaged Stock</v>
      </c>
      <c r="F459" s="45" t="n">
        <v>1</v>
      </c>
      <c r="G459" s="40" t="str">
        <v>[Code: 33789FKL] TA: Found three empty bottels in pet during sorting</v>
      </c>
      <c r="H459" s="39" t="str">
        <v>Taufeeq Akhtar </v>
      </c>
      <c r="I459" s="39" t="str">
        <f aca="false">IF(ISBLANK(H459),"", IF($H$2:$H1958 = "Gohar Rehan","Overnight",IF($H$2:$H1958 = "Taufeeq Akhtar ","Overnight",IF($H$2:$H1958 = "Zeeshan Ali Malik","Audit",IF($H$2:$H1958 = "Ali Raza ","Receiving",IF($H$2:$H1958 = "Ali Ahmad","Full-In"))))))</f>
        <v>Overnight</v>
      </c>
      <c r="J459" s="29"/>
      <c r="K459" s="50" t="s">
        <v>2248</v>
      </c>
      <c r="L459" s="50" t="s">
        <v>2330</v>
      </c>
      <c r="M459" s="41"/>
      <c r="N459" s="39" t="s">
        <v>2250</v>
      </c>
      <c r="O459" s="46" t="b">
        <f aca="false">FALSE()</f>
        <v>0</v>
      </c>
      <c r="P459" s="20" t="n">
        <v>980</v>
      </c>
      <c r="Q459" s="45" t="n">
        <v>980</v>
      </c>
      <c r="R459" s="43" t="n">
        <v>45227</v>
      </c>
      <c r="S459" s="20" t="str">
        <v>Beverages</v>
      </c>
    </row>
    <row r="460" customFormat="false" ht="15.75" hidden="false" customHeight="false" outlineLevel="0" collapsed="false">
      <c r="A460" s="39" t="str">
        <v>569AACDE</v>
      </c>
      <c r="B460" s="44" t="str">
        <v>Sat,28-October-2023 ,09:07 PM</v>
      </c>
      <c r="C460" s="39" t="str">
        <v>Habib Foods Funtime Apple Flavoured Drink 200mL</v>
      </c>
      <c r="D460" s="39" t="str">
        <v>Habib Foods</v>
      </c>
      <c r="E460" s="39" t="str">
        <v>Damaged Stock</v>
      </c>
      <c r="F460" s="45" t="n">
        <v>1</v>
      </c>
      <c r="G460" s="40" t="str">
        <v>[Code: 569AACDE] TA: Found damaged from display during sorting.</v>
      </c>
      <c r="H460" s="39" t="str">
        <v>Taufeeq Akhtar </v>
      </c>
      <c r="I460" s="39" t="str">
        <f aca="false">IF(ISBLANK(H460),"", IF($H$2:$H1959 = "Gohar Rehan","Overnight",IF($H$2:$H1959 = "Taufeeq Akhtar ","Overnight",IF($H$2:$H1959 = "Zeeshan Ali Malik","Audit",IF($H$2:$H1959 = "Ali Raza ","Receiving",IF($H$2:$H1959 = "Ali Ahmad","Full-In"))))))</f>
        <v>Overnight</v>
      </c>
      <c r="J460" s="29"/>
      <c r="K460" s="50" t="s">
        <v>2248</v>
      </c>
      <c r="L460" s="50" t="s">
        <v>2330</v>
      </c>
      <c r="M460" s="41"/>
      <c r="N460" s="39" t="s">
        <v>2250</v>
      </c>
      <c r="O460" s="46" t="b">
        <f aca="false">FALSE()</f>
        <v>0</v>
      </c>
      <c r="P460" s="20" t="n">
        <v>500</v>
      </c>
      <c r="Q460" s="45" t="n">
        <v>500</v>
      </c>
      <c r="R460" s="43" t="n">
        <v>45227</v>
      </c>
      <c r="S460" s="20" t="str">
        <v>Juice, Syrup, Squash</v>
      </c>
    </row>
    <row r="461" customFormat="false" ht="15.75" hidden="false" customHeight="false" outlineLevel="0" collapsed="false">
      <c r="A461" s="39" t="str">
        <v>26789DDG</v>
      </c>
      <c r="B461" s="44" t="str">
        <v>Sat,28-October-2023 ,09:38 PM</v>
      </c>
      <c r="C461" s="39" t="str">
        <v>Habib Foods Funtime Mango Flavoured Drink 200mL</v>
      </c>
      <c r="D461" s="39" t="str">
        <v>Habib Foods</v>
      </c>
      <c r="E461" s="39" t="str">
        <v>Damaged Stock</v>
      </c>
      <c r="F461" s="45" t="n">
        <v>1</v>
      </c>
      <c r="G461" s="40" t="str">
        <v>[Code: 26789DDG] TA: found damaged from display during sorting.</v>
      </c>
      <c r="H461" s="39" t="str">
        <v>Taufeeq Akhtar </v>
      </c>
      <c r="I461" s="39" t="str">
        <f aca="false">IF(ISBLANK(H461),"", IF($H$2:$H1960 = "Gohar Rehan","Overnight",IF($H$2:$H1960 = "Taufeeq Akhtar ","Overnight",IF($H$2:$H1960 = "Zeeshan Ali Malik","Audit",IF($H$2:$H1960 = "Ali Raza ","Receiving",IF($H$2:$H1960 = "Ali Ahmad","Full-In"))))))</f>
        <v>Overnight</v>
      </c>
      <c r="J461" s="29"/>
      <c r="K461" s="50" t="s">
        <v>2248</v>
      </c>
      <c r="L461" s="50" t="s">
        <v>2330</v>
      </c>
      <c r="M461" s="41"/>
      <c r="N461" s="39" t="s">
        <v>2250</v>
      </c>
      <c r="O461" s="46" t="b">
        <f aca="false">FALSE()</f>
        <v>0</v>
      </c>
      <c r="P461" s="20" t="n">
        <v>500</v>
      </c>
      <c r="Q461" s="45" t="n">
        <v>500</v>
      </c>
      <c r="R461" s="43" t="n">
        <v>45227</v>
      </c>
      <c r="S461" s="20" t="str">
        <v>Juice, Syrup, Squash</v>
      </c>
    </row>
    <row r="462" customFormat="false" ht="15.75" hidden="false" customHeight="false" outlineLevel="0" collapsed="false">
      <c r="A462" s="39" t="str">
        <v>234999EE</v>
      </c>
      <c r="B462" s="44" t="str">
        <v>Sat,28-October-2023 ,10:16 PM</v>
      </c>
      <c r="C462" s="39" t="str">
        <v>Sunlight Pink Clean and Jasmine Fresh 380g Rs99</v>
      </c>
      <c r="D462" s="39" t="str">
        <v>Sunlight</v>
      </c>
      <c r="E462" s="39" t="str">
        <v>Damaged Stock</v>
      </c>
      <c r="F462" s="45" t="n">
        <v>1</v>
      </c>
      <c r="G462" s="40" t="str">
        <v>[Code: 234999EE] TA: 1 unit damage found during display (bag sy damage mila he)</v>
      </c>
      <c r="H462" s="39" t="str">
        <v>Taufeeq Akhtar </v>
      </c>
      <c r="I462" s="39" t="str">
        <f aca="false">IF(ISBLANK(H462),"", IF($H$2:$H1961 = "Gohar Rehan","Overnight",IF($H$2:$H1961 = "Taufeeq Akhtar ","Overnight",IF($H$2:$H1961 = "Zeeshan Ali Malik","Audit",IF($H$2:$H1961 = "Ali Raza ","Receiving",IF($H$2:$H1961 = "Ali Ahmad","Full-In"))))))</f>
        <v>Overnight</v>
      </c>
      <c r="J462" s="29"/>
      <c r="K462" s="50" t="s">
        <v>2248</v>
      </c>
      <c r="L462" s="50" t="s">
        <v>2330</v>
      </c>
      <c r="M462" s="41"/>
      <c r="N462" s="39" t="s">
        <v>2250</v>
      </c>
      <c r="O462" s="46" t="b">
        <f aca="false">FALSE()</f>
        <v>0</v>
      </c>
      <c r="P462" s="20" t="n">
        <v>89.1</v>
      </c>
      <c r="Q462" s="45" t="n">
        <v>89.1</v>
      </c>
      <c r="R462" s="43" t="n">
        <v>45227</v>
      </c>
      <c r="S462" s="20" t="str">
        <v>Surf, Bleach</v>
      </c>
    </row>
    <row r="463" customFormat="false" ht="15.75" hidden="false" customHeight="false" outlineLevel="0" collapsed="false">
      <c r="A463" s="39" t="str">
        <v>4468889E</v>
      </c>
      <c r="B463" s="44" t="str">
        <v>Sat,28-October-2023 ,10:54 PM</v>
      </c>
      <c r="C463" s="39" t="str">
        <v>Swadi Besan 5kg</v>
      </c>
      <c r="D463" s="39" t="str">
        <v>Swadi</v>
      </c>
      <c r="E463" s="39" t="str">
        <v>Damaged Stock</v>
      </c>
      <c r="F463" s="45" t="n">
        <v>1</v>
      </c>
      <c r="G463" s="40" t="str">
        <v>[Code: 4468889E] TA: quality kharap hay...susri lagi hay </v>
      </c>
      <c r="H463" s="39" t="str">
        <v>Taufeeq Akhtar </v>
      </c>
      <c r="I463" s="39" t="str">
        <f aca="false">IF(ISBLANK(H463),"", IF($H$2:$H1962 = "Gohar Rehan","Overnight",IF($H$2:$H1962 = "Taufeeq Akhtar ","Overnight",IF($H$2:$H1962 = "Zeeshan Ali Malik","Audit",IF($H$2:$H1962 = "Ali Raza ","Receiving",IF($H$2:$H1962 = "Ali Ahmad","Full-In"))))))</f>
        <v>Overnight</v>
      </c>
      <c r="J463" s="29"/>
      <c r="K463" s="50" t="s">
        <v>2248</v>
      </c>
      <c r="L463" s="50" t="s">
        <v>2330</v>
      </c>
      <c r="M463" s="41" t="n">
        <v>1</v>
      </c>
      <c r="N463" s="39" t="s">
        <v>2212</v>
      </c>
      <c r="O463" s="46" t="b">
        <f aca="false">FALSE()</f>
        <v>0</v>
      </c>
      <c r="P463" s="20" t="n">
        <v>1050</v>
      </c>
      <c r="Q463" s="45" t="n">
        <v>1050</v>
      </c>
      <c r="R463" s="43" t="n">
        <v>45227</v>
      </c>
      <c r="S463" s="20" t="str">
        <v>Pulses</v>
      </c>
    </row>
    <row r="464" customFormat="false" ht="15.75" hidden="false" customHeight="false" outlineLevel="0" collapsed="false">
      <c r="A464" s="39" t="str">
        <v>22ACDEEF</v>
      </c>
      <c r="B464" s="44" t="str">
        <v>Mon,30-October-2023 ,09:30 AM</v>
      </c>
      <c r="C464" s="39" t="str">
        <v>Sprite plastic 1.5L</v>
      </c>
      <c r="D464" s="39" t="str">
        <v>Sprite</v>
      </c>
      <c r="E464" s="39" t="str">
        <v>Damaged Stock</v>
      </c>
      <c r="F464" s="45" t="n">
        <v>5</v>
      </c>
      <c r="G464" s="40" t="str">
        <v>[Code: 22ACDEEF] 05 units found damaged (Mouse Cut)</v>
      </c>
      <c r="H464" s="39" t="str">
        <v>Ali Raza </v>
      </c>
      <c r="I464" s="39" t="str">
        <f aca="false">IF(ISBLANK(H464),"", IF($H$2:$H1963 = "Gohar Rehan","Overnight",IF($H$2:$H1963 = "Taufeeq Akhtar ","Overnight",IF($H$2:$H1963 = "Zeeshan Ali Malik","Audit",IF($H$2:$H1963 = "Ali Raza ","Receiving",IF($H$2:$H1963 = "Ali Ahmad","Full-In"))))))</f>
        <v>Receiving</v>
      </c>
      <c r="J464" s="29"/>
      <c r="K464" s="50" t="s">
        <v>2248</v>
      </c>
      <c r="L464" s="50" t="s">
        <v>2330</v>
      </c>
      <c r="M464" s="41"/>
      <c r="N464" s="39" t="s">
        <v>2250</v>
      </c>
      <c r="O464" s="46" t="b">
        <f aca="false">FALSE()</f>
        <v>0</v>
      </c>
      <c r="P464" s="20" t="n">
        <v>870</v>
      </c>
      <c r="Q464" s="45" t="n">
        <v>4350</v>
      </c>
      <c r="R464" s="43" t="n">
        <v>45229</v>
      </c>
      <c r="S464" s="20" t="str">
        <v>Beverages</v>
      </c>
    </row>
    <row r="465" customFormat="false" ht="15.75" hidden="false" customHeight="false" outlineLevel="0" collapsed="false">
      <c r="A465" s="39" t="str">
        <v>255BBDEG</v>
      </c>
      <c r="B465" s="44" t="str">
        <v>Mon,30-October-2023 ,10:11 AM</v>
      </c>
      <c r="C465" s="39" t="str">
        <v>Candyland Paradise Chocolate 12pcs Box Rs20 (large box)</v>
      </c>
      <c r="D465" s="39" t="str">
        <v>Candyland</v>
      </c>
      <c r="E465" s="39" t="str">
        <v>Damaged Stock</v>
      </c>
      <c r="F465" s="45" t="n">
        <v>1</v>
      </c>
      <c r="G465" s="40" t="str">
        <v>[Code: 255BBDEG] 01 unit found damaged quality issue.</v>
      </c>
      <c r="H465" s="39" t="str">
        <v>Ali Raza </v>
      </c>
      <c r="I465" s="39" t="str">
        <f aca="false">IF(ISBLANK(H465),"", IF($H$2:$H1964 = "Gohar Rehan","Overnight",IF($H$2:$H1964 = "Taufeeq Akhtar ","Overnight",IF($H$2:$H1964 = "Zeeshan Ali Malik","Audit",IF($H$2:$H1964 = "Ali Raza ","Receiving",IF($H$2:$H1964 = "Ali Ahmad","Full-In"))))))</f>
        <v>Receiving</v>
      </c>
      <c r="J465" s="29"/>
      <c r="K465" s="50" t="s">
        <v>2248</v>
      </c>
      <c r="L465" s="50" t="s">
        <v>2330</v>
      </c>
      <c r="M465" s="41"/>
      <c r="N465" s="39" t="s">
        <v>2250</v>
      </c>
      <c r="O465" s="46" t="b">
        <f aca="false">FALSE()</f>
        <v>0</v>
      </c>
      <c r="P465" s="20" t="n">
        <v>184.25</v>
      </c>
      <c r="Q465" s="45" t="n">
        <v>184.25</v>
      </c>
      <c r="R465" s="43" t="n">
        <v>45229</v>
      </c>
      <c r="S465" s="20" t="str">
        <v>Confectionary</v>
      </c>
    </row>
    <row r="466" customFormat="false" ht="15.75" hidden="false" customHeight="false" outlineLevel="0" collapsed="false">
      <c r="A466" s="39" t="str">
        <v>2356679A</v>
      </c>
      <c r="B466" s="44" t="str">
        <v>Mon,30-October-2023 ,12:25 PM</v>
      </c>
      <c r="C466" s="39" t="str">
        <v>Quality Grains Daal Mash Wash 5kg</v>
      </c>
      <c r="D466" s="39" t="str">
        <v>Quality Grains</v>
      </c>
      <c r="E466" s="39" t="str">
        <v>Damaged Stock</v>
      </c>
      <c r="F466" s="45" t="n">
        <v>1</v>
      </c>
      <c r="G466" s="40" t="str">
        <v>[Code: 2356679A] 01 unit found damaged due to fungus</v>
      </c>
      <c r="H466" s="39" t="str">
        <v>Ali Raza </v>
      </c>
      <c r="I466" s="39" t="str">
        <f aca="false">IF(ISBLANK(H466),"", IF($H$2:$H1965 = "Gohar Rehan","Overnight",IF($H$2:$H1965 = "Taufeeq Akhtar ","Overnight",IF($H$2:$H1965 = "Zeeshan Ali Malik","Audit",IF($H$2:$H1965 = "Ali Raza ","Receiving",IF($H$2:$H1965 = "Ali Ahmad","Full-In"))))))</f>
        <v>Receiving</v>
      </c>
      <c r="J466" s="29"/>
      <c r="K466" s="50" t="s">
        <v>2248</v>
      </c>
      <c r="L466" s="50" t="s">
        <v>2330</v>
      </c>
      <c r="M466" s="41" t="n">
        <v>1</v>
      </c>
      <c r="N466" s="39" t="s">
        <v>2212</v>
      </c>
      <c r="O466" s="46" t="b">
        <f aca="false">FALSE()</f>
        <v>0</v>
      </c>
      <c r="P466" s="20" t="n">
        <v>2785</v>
      </c>
      <c r="Q466" s="45" t="n">
        <v>2785</v>
      </c>
      <c r="R466" s="43" t="n">
        <v>45229</v>
      </c>
      <c r="S466" s="20" t="str">
        <v>Pulses</v>
      </c>
    </row>
    <row r="467" customFormat="false" ht="15.75" hidden="false" customHeight="false" outlineLevel="0" collapsed="false">
      <c r="A467" s="39" t="str">
        <v>34788ABB</v>
      </c>
      <c r="B467" s="44" t="str">
        <v>Tue,31-October-2023 ,06:36 PM</v>
      </c>
      <c r="C467" s="39" t="str">
        <v>Sunridge Fortified Chakki Atta 5kg</v>
      </c>
      <c r="D467" s="39" t="str">
        <v>Sunridge</v>
      </c>
      <c r="E467" s="39" t="str">
        <v>Damaged Stock</v>
      </c>
      <c r="F467" s="45" t="n">
        <v>7</v>
      </c>
      <c r="G467" s="40" t="str">
        <v>[Code: 34788ABB] AR: Stock Removed due to Damage</v>
      </c>
      <c r="H467" s="39" t="str">
        <v>Ali Raza </v>
      </c>
      <c r="I467" s="39" t="str">
        <f aca="false">IF(ISBLANK(H467),"", IF($H$2:$H1966 = "Gohar Rehan","Overnight",IF($H$2:$H1966 = "Taufeeq Akhtar ","Overnight",IF($H$2:$H1966 = "Zeeshan Ali Malik","Audit",IF($H$2:$H1966 = "Ali Raza ","Receiving",IF($H$2:$H1966 = "Ali Ahmad","Full-In"))))))</f>
        <v>Receiving</v>
      </c>
      <c r="J467" s="29"/>
      <c r="K467" s="50" t="s">
        <v>2248</v>
      </c>
      <c r="L467" s="50" t="s">
        <v>2330</v>
      </c>
      <c r="M467" s="41"/>
      <c r="N467" s="39" t="s">
        <v>2250</v>
      </c>
      <c r="O467" s="46" t="b">
        <f aca="false">FALSE()</f>
        <v>0</v>
      </c>
      <c r="P467" s="20" t="n">
        <v>828</v>
      </c>
      <c r="Q467" s="45" t="n">
        <v>5796</v>
      </c>
      <c r="R467" s="43" t="n">
        <v>45230</v>
      </c>
      <c r="S467" s="20" t="str">
        <v>Flour</v>
      </c>
    </row>
    <row r="468" customFormat="false" ht="15.75" hidden="false" customHeight="false" outlineLevel="0" collapsed="false">
      <c r="A468" s="39" t="str">
        <v>2345ACDF</v>
      </c>
      <c r="B468" s="44" t="str">
        <v>Tue,31-October-2023 ,08:36 PM</v>
      </c>
      <c r="C468" s="39" t="str">
        <v>Sprite plastic 1.5L</v>
      </c>
      <c r="D468" s="39" t="str">
        <v>Sprite</v>
      </c>
      <c r="E468" s="39" t="str">
        <v>Damaged Stock</v>
      </c>
      <c r="F468" s="45" t="n">
        <v>2</v>
      </c>
      <c r="G468" s="40" t="str">
        <v>[Code: 2345ACDF] TA: 2unit damage found during soritng,</v>
      </c>
      <c r="H468" s="39" t="str">
        <v>Taufeeq Akhtar </v>
      </c>
      <c r="I468" s="39" t="str">
        <f aca="false">IF(ISBLANK(H468),"", IF($H$2:$H1967 = "Gohar Rehan","Overnight",IF($H$2:$H1967 = "Taufeeq Akhtar ","Overnight",IF($H$2:$H1967 = "Zeeshan Ali Malik","Audit",IF($H$2:$H1967 = "Ali Raza ","Receiving",IF($H$2:$H1967 = "Ali Ahmad","Full-In"))))))</f>
        <v>Overnight</v>
      </c>
      <c r="J468" s="29"/>
      <c r="K468" s="50" t="s">
        <v>2248</v>
      </c>
      <c r="L468" s="50" t="s">
        <v>2330</v>
      </c>
      <c r="M468" s="41"/>
      <c r="N468" s="39" t="s">
        <v>2250</v>
      </c>
      <c r="O468" s="46" t="b">
        <f aca="false">FALSE()</f>
        <v>0</v>
      </c>
      <c r="P468" s="20" t="n">
        <v>870</v>
      </c>
      <c r="Q468" s="45" t="n">
        <v>1740</v>
      </c>
      <c r="R468" s="43" t="n">
        <v>45230</v>
      </c>
      <c r="S468" s="20" t="str">
        <v>Beverages</v>
      </c>
    </row>
    <row r="469" customFormat="false" ht="15.75" hidden="false" customHeight="false" outlineLevel="0" collapsed="false">
      <c r="A469" s="39" t="str">
        <v>2567899A</v>
      </c>
      <c r="B469" s="44" t="str">
        <v>Tue,31-October-2023 ,09:55 PM</v>
      </c>
      <c r="C469" s="39" t="str">
        <v>Sunsilk Stunning Black Shine Shampoo x16 bundle 4.5ml</v>
      </c>
      <c r="D469" s="39" t="str">
        <v>Sunsilk</v>
      </c>
      <c r="E469" s="39" t="str">
        <v>Damaged Stock</v>
      </c>
      <c r="F469" s="45" t="n">
        <v>1</v>
      </c>
      <c r="G469" s="40" t="str">
        <v>[Code: 2567899A]  TA:1unit damage found during display (empty packet )</v>
      </c>
      <c r="H469" s="39" t="str">
        <v>Taufeeq Akhtar </v>
      </c>
      <c r="I469" s="39" t="str">
        <f aca="false">IF(ISBLANK(H469),"", IF($H$2:$H1968 = "Gohar Rehan","Overnight",IF($H$2:$H1968 = "Taufeeq Akhtar ","Overnight",IF($H$2:$H1968 = "Zeeshan Ali Malik","Audit",IF($H$2:$H1968 = "Ali Raza ","Receiving",IF($H$2:$H1968 = "Ali Ahmad","Full-In"))))))</f>
        <v>Overnight</v>
      </c>
      <c r="J469" s="29"/>
      <c r="K469" s="50" t="s">
        <v>2248</v>
      </c>
      <c r="L469" s="48" t="s">
        <v>2328</v>
      </c>
      <c r="M469" s="41"/>
      <c r="N469" s="39" t="s">
        <v>2250</v>
      </c>
      <c r="O469" s="46" t="b">
        <f aca="false">FALSE()</f>
        <v>0</v>
      </c>
      <c r="P469" s="20" t="n">
        <v>72.92</v>
      </c>
      <c r="Q469" s="45" t="n">
        <v>72.92</v>
      </c>
      <c r="R469" s="43" t="n">
        <v>45230</v>
      </c>
      <c r="S469" s="20" t="str">
        <v>Shampoo</v>
      </c>
    </row>
    <row r="470" customFormat="false" ht="15.75" hidden="false" customHeight="false" outlineLevel="0" collapsed="false">
      <c r="A470" s="39" t="str">
        <v>89BEEFHK</v>
      </c>
      <c r="B470" s="44" t="str">
        <v>Wed,01-November-2023 ,03:43 PM</v>
      </c>
      <c r="C470" s="39" t="str">
        <v>Quality Grains Daal Moung Chilka 1kg</v>
      </c>
      <c r="D470" s="39" t="str">
        <v>Quality Grains</v>
      </c>
      <c r="E470" s="39" t="str">
        <v>Damaged Stock</v>
      </c>
      <c r="F470" s="45" t="n">
        <v>5</v>
      </c>
      <c r="G470" s="40" t="str">
        <v>[Code: 89BEEFHK] 5 units found damaged due to susri (quality issue)</v>
      </c>
      <c r="H470" s="39" t="str">
        <v>Ali Raza </v>
      </c>
      <c r="I470" s="39" t="str">
        <f aca="false">IF(ISBLANK(H470),"", IF($H$2:$H1969 = "Gohar Rehan","Overnight",IF($H$2:$H1969 = "Taufeeq Akhtar ","Overnight",IF($H$2:$H1969 = "Zeeshan Ali Malik","Audit",IF($H$2:$H1969 = "Ali Raza ","Receiving",IF($H$2:$H1969 = "Ali Ahmad","Full-In"))))))</f>
        <v>Receiving</v>
      </c>
      <c r="J470" s="29"/>
      <c r="K470" s="50" t="s">
        <v>2248</v>
      </c>
      <c r="L470" s="48" t="s">
        <v>2332</v>
      </c>
      <c r="M470" s="41" t="n">
        <v>5</v>
      </c>
      <c r="N470" s="39" t="s">
        <v>2212</v>
      </c>
      <c r="O470" s="42" t="b">
        <f aca="false">TRUE()</f>
        <v>1</v>
      </c>
      <c r="P470" s="20" t="n">
        <v>245</v>
      </c>
      <c r="Q470" s="45" t="n">
        <v>1225</v>
      </c>
      <c r="R470" s="43" t="n">
        <v>45231</v>
      </c>
      <c r="S470" s="20" t="str">
        <v>Pulses</v>
      </c>
    </row>
    <row r="471" customFormat="false" ht="15.75" hidden="false" customHeight="false" outlineLevel="0" collapsed="false">
      <c r="A471" s="39" t="str">
        <v>2247FHMN</v>
      </c>
      <c r="B471" s="44" t="str">
        <v>Wed,01-November-2023 ,07:24 PM</v>
      </c>
      <c r="C471" s="39" t="str">
        <v>Sheikhoo White Sugar 50kg</v>
      </c>
      <c r="D471" s="39" t="str">
        <v>Sheikhoo Sugar</v>
      </c>
      <c r="E471" s="39" t="str">
        <v>Damaged Stock</v>
      </c>
      <c r="F471" s="45" t="n">
        <v>7</v>
      </c>
      <c r="G471" s="40" t="str">
        <v>[Code: 2247FHMN] TA: 7unit  Temporary Remove Due to Wet,</v>
      </c>
      <c r="H471" s="39" t="str">
        <v>Taufeeq Akhtar </v>
      </c>
      <c r="I471" s="39" t="str">
        <f aca="false">IF(ISBLANK(H471),"", IF($H$2:$H1970 = "Gohar Rehan","Overnight",IF($H$2:$H1970 = "Taufeeq Akhtar ","Overnight",IF($H$2:$H1970 = "Zeeshan Ali Malik","Audit",IF($H$2:$H1970 = "Ali Raza ","Receiving",IF($H$2:$H1970 = "Ali Ahmad","Full-In"))))))</f>
        <v>Overnight</v>
      </c>
      <c r="J471" s="29"/>
      <c r="K471" s="50" t="s">
        <v>2248</v>
      </c>
      <c r="L471" s="50" t="s">
        <v>2333</v>
      </c>
      <c r="M471" s="41" t="n">
        <v>7</v>
      </c>
      <c r="N471" s="39" t="s">
        <v>2212</v>
      </c>
      <c r="O471" s="42" t="b">
        <f aca="false">TRUE()</f>
        <v>1</v>
      </c>
      <c r="P471" s="20" t="n">
        <v>6750</v>
      </c>
      <c r="Q471" s="45" t="n">
        <v>47250</v>
      </c>
      <c r="R471" s="43" t="n">
        <v>45231</v>
      </c>
      <c r="S471" s="20" t="str">
        <v>Sugar</v>
      </c>
    </row>
    <row r="472" customFormat="false" ht="15.75" hidden="false" customHeight="false" outlineLevel="0" collapsed="false">
      <c r="A472" s="39" t="str">
        <v>22466BDE</v>
      </c>
      <c r="B472" s="44" t="str">
        <v>Wed,01-November-2023 ,07:28 PM</v>
      </c>
      <c r="C472" s="39" t="str">
        <v>Murree Brewery Bigg Apple Plastic x6 Crate 1L (One Liter)</v>
      </c>
      <c r="D472" s="39" t="str">
        <v>Murree Brewery</v>
      </c>
      <c r="E472" s="39" t="str">
        <v>Damaged Stock</v>
      </c>
      <c r="F472" s="45" t="n">
        <v>1</v>
      </c>
      <c r="G472" s="40" t="str">
        <v>[Code: 22466BDE] TA: 1unit Damage Found During Sorting .</v>
      </c>
      <c r="H472" s="39" t="str">
        <v>Taufeeq Akhtar </v>
      </c>
      <c r="I472" s="39" t="str">
        <f aca="false">IF(ISBLANK(H472),"", IF($H$2:$H1971 = "Gohar Rehan","Overnight",IF($H$2:$H1971 = "Taufeeq Akhtar ","Overnight",IF($H$2:$H1971 = "Zeeshan Ali Malik","Audit",IF($H$2:$H1971 = "Ali Raza ","Receiving",IF($H$2:$H1971 = "Ali Ahmad","Full-In"))))))</f>
        <v>Overnight</v>
      </c>
      <c r="J472" s="29"/>
      <c r="K472" s="50" t="s">
        <v>2248</v>
      </c>
      <c r="L472" s="50" t="s">
        <v>2333</v>
      </c>
      <c r="M472" s="41"/>
      <c r="N472" s="39" t="s">
        <v>2250</v>
      </c>
      <c r="O472" s="46" t="b">
        <f aca="false">FALSE()</f>
        <v>0</v>
      </c>
      <c r="P472" s="20" t="n">
        <v>508.25</v>
      </c>
      <c r="Q472" s="45" t="n">
        <v>508.25</v>
      </c>
      <c r="R472" s="43" t="n">
        <v>45231</v>
      </c>
      <c r="S472" s="20" t="str">
        <v>Beverages</v>
      </c>
    </row>
    <row r="473" customFormat="false" ht="15.75" hidden="false" customHeight="false" outlineLevel="0" collapsed="false">
      <c r="A473" s="39" t="str">
        <v>347888GG</v>
      </c>
      <c r="B473" s="44" t="str">
        <v>Wed,01-November-2023 ,07:32 PM</v>
      </c>
      <c r="C473" s="39" t="str">
        <v>Ariel Original x3 180gm Rs99</v>
      </c>
      <c r="D473" s="39" t="str">
        <v>Ariel Surf</v>
      </c>
      <c r="E473" s="39" t="str">
        <v>Damaged Stock</v>
      </c>
      <c r="F473" s="45" t="n">
        <v>1</v>
      </c>
      <c r="G473" s="40" t="str">
        <v>[Code: 347888GG]  TA: 1unit Damage Found During display  [bag sy damage mila he]</v>
      </c>
      <c r="H473" s="39" t="str">
        <v>Taufeeq Akhtar </v>
      </c>
      <c r="I473" s="39" t="str">
        <f aca="false">IF(ISBLANK(H473),"", IF($H$2:$H1972 = "Gohar Rehan","Overnight",IF($H$2:$H1972 = "Taufeeq Akhtar ","Overnight",IF($H$2:$H1972 = "Zeeshan Ali Malik","Audit",IF($H$2:$H1972 = "Ali Raza ","Receiving",IF($H$2:$H1972 = "Ali Ahmad","Full-In"))))))</f>
        <v>Overnight</v>
      </c>
      <c r="J473" s="29"/>
      <c r="K473" s="50" t="s">
        <v>2248</v>
      </c>
      <c r="L473" s="48" t="s">
        <v>2236</v>
      </c>
      <c r="M473" s="41"/>
      <c r="N473" s="39" t="s">
        <v>2250</v>
      </c>
      <c r="O473" s="46" t="b">
        <f aca="false">FALSE()</f>
        <v>0</v>
      </c>
      <c r="P473" s="20" t="n">
        <v>258</v>
      </c>
      <c r="Q473" s="45" t="n">
        <v>258</v>
      </c>
      <c r="R473" s="43" t="n">
        <v>45231</v>
      </c>
      <c r="S473" s="20" t="str">
        <v>Surf, Bleach</v>
      </c>
    </row>
    <row r="474" customFormat="false" ht="15.75" hidden="false" customHeight="false" outlineLevel="0" collapsed="false">
      <c r="A474" s="39" t="str">
        <v>334479AB</v>
      </c>
      <c r="B474" s="44" t="str">
        <v>Fri,03-November-2023 ,05:32 PM</v>
      </c>
      <c r="C474" s="39" t="str">
        <v>Bonus tristar detergent x6 bundle 48g Rs10</v>
      </c>
      <c r="D474" s="39" t="str">
        <v>Bonus Surf</v>
      </c>
      <c r="E474" s="39" t="str">
        <v>Damaged Stock</v>
      </c>
      <c r="F474" s="45" t="n">
        <v>4</v>
      </c>
      <c r="G474" s="40" t="str">
        <v>[Code: 334479AB]  TA: 4unit Damage Found During Display .</v>
      </c>
      <c r="H474" s="39" t="str">
        <v>Taufeeq Akhtar </v>
      </c>
      <c r="I474" s="39" t="str">
        <f aca="false">IF(ISBLANK(H474),"", IF($H$2:$H1973 = "Gohar Rehan","Overnight",IF($H$2:$H1973 = "Taufeeq Akhtar ","Overnight",IF($H$2:$H1973 = "Zeeshan Ali Malik","Audit",IF($H$2:$H1973 = "Ali Raza ","Receiving",IF($H$2:$H1973 = "Ali Ahmad","Full-In"))))))</f>
        <v>Overnight</v>
      </c>
      <c r="J474" s="29"/>
      <c r="K474" s="50" t="s">
        <v>2248</v>
      </c>
      <c r="L474" s="48" t="s">
        <v>2332</v>
      </c>
      <c r="M474" s="45" t="n">
        <v>4</v>
      </c>
      <c r="N474" s="39" t="s">
        <v>2212</v>
      </c>
      <c r="O474" s="42" t="b">
        <f aca="false">TRUE()</f>
        <v>1</v>
      </c>
      <c r="P474" s="20" t="n">
        <v>55.25</v>
      </c>
      <c r="Q474" s="45" t="n">
        <v>221</v>
      </c>
      <c r="R474" s="43" t="n">
        <v>45233</v>
      </c>
      <c r="S474" s="20" t="str">
        <v>Surf, Bleach</v>
      </c>
    </row>
    <row r="475" customFormat="false" ht="15.75" hidden="false" customHeight="false" outlineLevel="0" collapsed="false">
      <c r="A475" s="39" t="str">
        <v>2579CDDE</v>
      </c>
      <c r="B475" s="44" t="str">
        <v>Fri,03-November-2023 ,05:32 PM</v>
      </c>
      <c r="C475" s="39" t="str">
        <v>Sunlight Pink Clean and Jasmine Fresh 380g Rs99</v>
      </c>
      <c r="D475" s="39" t="str">
        <v>Sunlight</v>
      </c>
      <c r="E475" s="39" t="str">
        <v>Damaged Stock</v>
      </c>
      <c r="F475" s="45" t="n">
        <v>1</v>
      </c>
      <c r="G475" s="40" t="str">
        <v>[Code: 2579CDDE]  TA: 1unit Damage Found During Sorting .</v>
      </c>
      <c r="H475" s="39" t="str">
        <v>Taufeeq Akhtar </v>
      </c>
      <c r="I475" s="39" t="str">
        <f aca="false">IF(ISBLANK(H475),"", IF($H$2:$H1974 = "Gohar Rehan","Overnight",IF($H$2:$H1974 = "Taufeeq Akhtar ","Overnight",IF($H$2:$H1974 = "Zeeshan Ali Malik","Audit",IF($H$2:$H1974 = "Ali Raza ","Receiving",IF($H$2:$H1974 = "Ali Ahmad","Full-In"))))))</f>
        <v>Overnight</v>
      </c>
      <c r="J475" s="29"/>
      <c r="K475" s="50" t="s">
        <v>2248</v>
      </c>
      <c r="L475" s="48" t="s">
        <v>2332</v>
      </c>
      <c r="M475" s="41"/>
      <c r="N475" s="39" t="s">
        <v>2250</v>
      </c>
      <c r="O475" s="46" t="b">
        <f aca="false">FALSE()</f>
        <v>0</v>
      </c>
      <c r="P475" s="20" t="n">
        <v>84</v>
      </c>
      <c r="Q475" s="45" t="n">
        <v>84</v>
      </c>
      <c r="R475" s="43" t="n">
        <v>45233</v>
      </c>
      <c r="S475" s="20" t="str">
        <v>Surf, Bleach</v>
      </c>
    </row>
    <row r="476" customFormat="false" ht="15.75" hidden="false" customHeight="false" outlineLevel="0" collapsed="false">
      <c r="A476" s="39" t="str">
        <v>69AHKPQR</v>
      </c>
      <c r="B476" s="44" t="str">
        <v>Fri,03-November-2023 ,05:33 PM</v>
      </c>
      <c r="C476" s="39" t="str">
        <v>Special Wooden Phool Jharoo</v>
      </c>
      <c r="D476" s="39" t="str">
        <v>Jharoo</v>
      </c>
      <c r="E476" s="39" t="str">
        <v>Damaged Stock</v>
      </c>
      <c r="F476" s="45" t="n">
        <v>1</v>
      </c>
      <c r="G476" s="40" t="str">
        <v>[Code: 69AHKPQR]  TA: 1unit Damage Found During Sorting  (stock me se damage mila he)</v>
      </c>
      <c r="H476" s="39" t="str">
        <v>Taufeeq Akhtar </v>
      </c>
      <c r="I476" s="39" t="str">
        <f aca="false">IF(ISBLANK(H476),"", IF($H$2:$H1975 = "Gohar Rehan","Overnight",IF($H$2:$H1975 = "Taufeeq Akhtar ","Overnight",IF($H$2:$H1975 = "Zeeshan Ali Malik","Audit",IF($H$2:$H1975 = "Ali Raza ","Receiving",IF($H$2:$H1975 = "Ali Ahmad","Full-In"))))))</f>
        <v>Overnight</v>
      </c>
      <c r="J476" s="29"/>
      <c r="K476" s="50" t="s">
        <v>2248</v>
      </c>
      <c r="L476" s="48" t="s">
        <v>2332</v>
      </c>
      <c r="M476" s="41"/>
      <c r="N476" s="39" t="s">
        <v>2250</v>
      </c>
      <c r="O476" s="46" t="b">
        <f aca="false">FALSE()</f>
        <v>0</v>
      </c>
      <c r="P476" s="20" t="n">
        <v>135</v>
      </c>
      <c r="Q476" s="45" t="n">
        <v>135</v>
      </c>
      <c r="R476" s="43" t="n">
        <v>45233</v>
      </c>
      <c r="S476" s="20" t="str">
        <v>Home Care</v>
      </c>
    </row>
    <row r="477" customFormat="false" ht="15.75" hidden="false" customHeight="false" outlineLevel="0" collapsed="false">
      <c r="A477" s="39" t="str">
        <v>359ABDHH</v>
      </c>
      <c r="B477" s="44" t="str">
        <v>Fri,03-November-2023 ,05:34 PM</v>
      </c>
      <c r="C477" s="39" t="str">
        <v>Aquafina Mineral Water 1.5L </v>
      </c>
      <c r="D477" s="39" t="str">
        <v>Aquafina</v>
      </c>
      <c r="E477" s="39" t="str">
        <v>Damaged Stock</v>
      </c>
      <c r="F477" s="45" t="n">
        <v>1</v>
      </c>
      <c r="G477" s="40" t="str">
        <v>[Code: 359ABDHH]  TA: 1unit Damage Found During Sorting .</v>
      </c>
      <c r="H477" s="39" t="str">
        <v>Taufeeq Akhtar </v>
      </c>
      <c r="I477" s="39" t="str">
        <f aca="false">IF(ISBLANK(H477),"", IF($H$2:$H1976 = "Gohar Rehan","Overnight",IF($H$2:$H1976 = "Taufeeq Akhtar ","Overnight",IF($H$2:$H1976 = "Zeeshan Ali Malik","Audit",IF($H$2:$H1976 = "Ali Raza ","Receiving",IF($H$2:$H1976 = "Ali Ahmad","Full-In"))))))</f>
        <v>Overnight</v>
      </c>
      <c r="J477" s="29"/>
      <c r="K477" s="50" t="s">
        <v>2248</v>
      </c>
      <c r="L477" s="50" t="s">
        <v>2333</v>
      </c>
      <c r="M477" s="41"/>
      <c r="N477" s="39" t="s">
        <v>2250</v>
      </c>
      <c r="O477" s="46" t="b">
        <f aca="false">FALSE()</f>
        <v>0</v>
      </c>
      <c r="P477" s="20" t="n">
        <v>425</v>
      </c>
      <c r="Q477" s="45" t="n">
        <v>425</v>
      </c>
      <c r="R477" s="43" t="n">
        <v>45233</v>
      </c>
      <c r="S477" s="20" t="str">
        <v>Beverages</v>
      </c>
    </row>
    <row r="478" customFormat="false" ht="15.75" hidden="false" customHeight="false" outlineLevel="0" collapsed="false">
      <c r="A478" s="39" t="str">
        <v>3589CCEH</v>
      </c>
      <c r="B478" s="44" t="str">
        <v>Fri,03-November-2023 ,05:35 PM</v>
      </c>
      <c r="C478" s="39" t="str">
        <v>Shahi Chewra Rs100</v>
      </c>
      <c r="D478" s="39" t="str">
        <v>Shahi</v>
      </c>
      <c r="E478" s="39" t="str">
        <v>Damaged Stock</v>
      </c>
      <c r="F478" s="45" t="n">
        <v>1</v>
      </c>
      <c r="G478" s="40" t="str">
        <v>[Code: 3589CCEH]  TA: 1unit Damage Found During Display. (cotton sy damage mila he)</v>
      </c>
      <c r="H478" s="39" t="str">
        <v>Taufeeq Akhtar </v>
      </c>
      <c r="I478" s="39" t="str">
        <f aca="false">IF(ISBLANK(H478),"", IF($H$2:$H1977 = "Gohar Rehan","Overnight",IF($H$2:$H1977 = "Taufeeq Akhtar ","Overnight",IF($H$2:$H1977 = "Zeeshan Ali Malik","Audit",IF($H$2:$H1977 = "Ali Raza ","Receiving",IF($H$2:$H1977 = "Ali Ahmad","Full-In"))))))</f>
        <v>Overnight</v>
      </c>
      <c r="J478" s="29"/>
      <c r="K478" s="50" t="s">
        <v>2248</v>
      </c>
      <c r="L478" s="50" t="s">
        <v>2333</v>
      </c>
      <c r="M478" s="41"/>
      <c r="N478" s="39" t="s">
        <v>2250</v>
      </c>
      <c r="O478" s="46" t="b">
        <f aca="false">FALSE()</f>
        <v>0</v>
      </c>
      <c r="P478" s="20" t="n">
        <v>70.91</v>
      </c>
      <c r="Q478" s="45" t="n">
        <v>70.91</v>
      </c>
      <c r="R478" s="43" t="n">
        <v>45233</v>
      </c>
      <c r="S478" s="20" t="str">
        <v>Snacks</v>
      </c>
    </row>
    <row r="479" customFormat="false" ht="15.75" hidden="false" customHeight="false" outlineLevel="0" collapsed="false">
      <c r="A479" s="39" t="str">
        <v>35589EFG</v>
      </c>
      <c r="B479" s="44" t="str">
        <v>Sat,04-November-2023 ,05:16 PM</v>
      </c>
      <c r="C479" s="39" t="str">
        <v>Sherdil White Chana Bareek 5kg</v>
      </c>
      <c r="D479" s="39" t="str">
        <v>Sherdil</v>
      </c>
      <c r="E479" s="39" t="str">
        <v>Damaged Stock</v>
      </c>
      <c r="F479" s="45" t="n">
        <v>1</v>
      </c>
      <c r="G479" s="40" t="str">
        <v>[Code: 35589EFG] AR Stock Removed due to Quality Issue</v>
      </c>
      <c r="H479" s="39" t="str">
        <v>Ali Raza </v>
      </c>
      <c r="I479" s="39" t="str">
        <f aca="false">IF(ISBLANK(H479),"", IF($H$2:$H1978 = "Gohar Rehan","Overnight",IF($H$2:$H1978 = "Taufeeq Akhtar ","Overnight",IF($H$2:$H1978 = "Zeeshan Ali Malik","Audit",IF($H$2:$H1978 = "Ali Raza ","Receiving",IF($H$2:$H1978 = "Ali Ahmad","Full-In"))))))</f>
        <v>Receiving</v>
      </c>
      <c r="J479" s="29"/>
      <c r="K479" s="50" t="s">
        <v>2248</v>
      </c>
      <c r="L479" s="48" t="s">
        <v>2332</v>
      </c>
      <c r="M479" s="41"/>
      <c r="N479" s="39" t="s">
        <v>2212</v>
      </c>
      <c r="O479" s="46" t="b">
        <f aca="false">FALSE()</f>
        <v>0</v>
      </c>
      <c r="P479" s="20" t="n">
        <v>1625</v>
      </c>
      <c r="Q479" s="45" t="n">
        <v>1625</v>
      </c>
      <c r="R479" s="43" t="n">
        <v>45234</v>
      </c>
      <c r="S479" s="20" t="str">
        <v>Pulses</v>
      </c>
    </row>
    <row r="480" customFormat="false" ht="15.75" hidden="false" customHeight="false" outlineLevel="0" collapsed="false">
      <c r="A480" s="39" t="str">
        <v>356BBGGK</v>
      </c>
      <c r="B480" s="44" t="str">
        <v>Sun,05-November-2023 ,07:32 PM</v>
      </c>
      <c r="C480" s="39" t="str">
        <v>Murree Brewery Lychee White Malt Glass x24 Crate 300ml (white liquid)</v>
      </c>
      <c r="D480" s="39" t="str">
        <v>Murree Brewery</v>
      </c>
      <c r="E480" s="39" t="str">
        <v>Damaged Stock</v>
      </c>
      <c r="F480" s="45" t="n">
        <v>1</v>
      </c>
      <c r="G480" s="40" t="str">
        <v>[Code: 356BBGGK] TA: 1 unit damage found during sorting (cotton me  sy bottels damage hain)</v>
      </c>
      <c r="H480" s="39" t="str">
        <v>Taufeeq Akhtar </v>
      </c>
      <c r="I480" s="39" t="str">
        <f aca="false">IF(ISBLANK(H480),"", IF($H$2:$H1979 = "Gohar Rehan","Overnight",IF($H$2:$H1979 = "Taufeeq Akhtar ","Overnight",IF($H$2:$H1979 = "Zeeshan Ali Malik","Audit",IF($H$2:$H1979 = "Ali Raza ","Receiving",IF($H$2:$H1979 = "Ali Ahmad","Full-In"))))))</f>
        <v>Overnight</v>
      </c>
      <c r="J480" s="29"/>
      <c r="K480" s="50" t="s">
        <v>2248</v>
      </c>
      <c r="L480" s="50" t="s">
        <v>2333</v>
      </c>
      <c r="M480" s="41"/>
      <c r="N480" s="39" t="s">
        <v>2250</v>
      </c>
      <c r="O480" s="46" t="b">
        <f aca="false">FALSE()</f>
        <v>0</v>
      </c>
      <c r="P480" s="20" t="n">
        <v>1453.5</v>
      </c>
      <c r="Q480" s="45" t="n">
        <v>1453.5</v>
      </c>
      <c r="R480" s="43" t="n">
        <v>45235</v>
      </c>
      <c r="S480" s="20" t="str">
        <v>Beverages</v>
      </c>
    </row>
    <row r="481" customFormat="false" ht="15.75" hidden="false" customHeight="false" outlineLevel="0" collapsed="false">
      <c r="A481" s="39" t="str">
        <v>79CFFGGH</v>
      </c>
      <c r="B481" s="44" t="str">
        <v>Sun,05-November-2023 ,07:44 PM</v>
      </c>
      <c r="C481" s="39" t="str">
        <v>Sunsilk Stunning Black Shine Shampoo x16 bundle 4.5ml</v>
      </c>
      <c r="D481" s="39" t="str">
        <v>Sunsilk</v>
      </c>
      <c r="E481" s="39" t="str">
        <v>Damaged Stock</v>
      </c>
      <c r="F481" s="45" t="n">
        <v>4</v>
      </c>
      <c r="G481" s="40" t="str">
        <v>[Code: 79CFFGGH]  TA: 4 unit damage found during sorting (cotton me  sy  empty packet mily hain )</v>
      </c>
      <c r="H481" s="39" t="str">
        <v>Taufeeq Akhtar </v>
      </c>
      <c r="I481" s="39" t="str">
        <f aca="false">IF(ISBLANK(H481),"", IF($H$2:$H1980 = "Gohar Rehan","Overnight",IF($H$2:$H1980 = "Taufeeq Akhtar ","Overnight",IF($H$2:$H1980 = "Zeeshan Ali Malik","Audit",IF($H$2:$H1980 = "Ali Raza ","Receiving",IF($H$2:$H1980 = "Ali Ahmad","Full-In"))))))</f>
        <v>Overnight</v>
      </c>
      <c r="J481" s="29"/>
      <c r="K481" s="50" t="s">
        <v>2248</v>
      </c>
      <c r="L481" s="48" t="s">
        <v>2332</v>
      </c>
      <c r="M481" s="41"/>
      <c r="N481" s="39" t="s">
        <v>2250</v>
      </c>
      <c r="O481" s="46" t="b">
        <f aca="false">FALSE()</f>
        <v>0</v>
      </c>
      <c r="P481" s="20" t="n">
        <v>72.92</v>
      </c>
      <c r="Q481" s="45" t="n">
        <v>291.68</v>
      </c>
      <c r="R481" s="43" t="n">
        <v>45235</v>
      </c>
      <c r="S481" s="20" t="str">
        <v>Shampoo</v>
      </c>
    </row>
    <row r="482" customFormat="false" ht="15.75" hidden="false" customHeight="false" outlineLevel="0" collapsed="false">
      <c r="A482" s="39" t="str">
        <v>5699AAAA</v>
      </c>
      <c r="B482" s="44" t="str">
        <v>Sun,05-November-2023 ,09:08 PM</v>
      </c>
      <c r="C482" s="39" t="str">
        <v>Quality Grains Daal Mash Wash 500g</v>
      </c>
      <c r="D482" s="39" t="str">
        <v>Quality Grains</v>
      </c>
      <c r="E482" s="39" t="str">
        <v>Damaged Stock</v>
      </c>
      <c r="F482" s="45" t="n">
        <v>6</v>
      </c>
      <c r="G482" s="40" t="str">
        <v>[Code: 5699AAAA] TA: Stock Removed due to quality issue</v>
      </c>
      <c r="H482" s="39" t="str">
        <v>Taufeeq Akhtar </v>
      </c>
      <c r="I482" s="39" t="str">
        <f aca="false">IF(ISBLANK(H482),"", IF($H$2:$H1981 = "Gohar Rehan","Overnight",IF($H$2:$H1981 = "Taufeeq Akhtar ","Overnight",IF($H$2:$H1981 = "Zeeshan Ali Malik","Audit",IF($H$2:$H1981 = "Ali Raza ","Receiving",IF($H$2:$H1981 = "Ali Ahmad","Full-In"))))))</f>
        <v>Overnight</v>
      </c>
      <c r="J482" s="29"/>
      <c r="K482" s="50" t="s">
        <v>2248</v>
      </c>
      <c r="L482" s="48" t="s">
        <v>2332</v>
      </c>
      <c r="M482" s="41" t="n">
        <v>6</v>
      </c>
      <c r="N482" s="39" t="s">
        <v>2212</v>
      </c>
      <c r="O482" s="42" t="b">
        <f aca="false">TRUE()</f>
        <v>1</v>
      </c>
      <c r="P482" s="20" t="n">
        <v>281</v>
      </c>
      <c r="Q482" s="45" t="n">
        <v>1686</v>
      </c>
      <c r="R482" s="43" t="n">
        <v>45235</v>
      </c>
      <c r="S482" s="20" t="str">
        <v>Pulses</v>
      </c>
    </row>
    <row r="483" customFormat="false" ht="15.75" hidden="false" customHeight="false" outlineLevel="0" collapsed="false">
      <c r="A483" s="39" t="str">
        <v>36GGJLMN</v>
      </c>
      <c r="B483" s="44" t="str">
        <v>Sun,05-November-2023 ,10:19 PM</v>
      </c>
      <c r="C483" s="39" t="str">
        <v>Bahadur Fellow Fountain Pen 10pcs Box (BIP001)</v>
      </c>
      <c r="D483" s="39" t="str">
        <v>Bahadur</v>
      </c>
      <c r="E483" s="39" t="str">
        <v>Damaged Stock</v>
      </c>
      <c r="F483" s="45" t="n">
        <v>2</v>
      </c>
      <c r="G483" s="40" t="str">
        <v>[Code: 36GGJLMN] TA; 2unit damage found (paking is bad qualty)</v>
      </c>
      <c r="H483" s="39" t="str">
        <v>Taufeeq Akhtar </v>
      </c>
      <c r="I483" s="39" t="str">
        <f aca="false">IF(ISBLANK(H483),"", IF($H$2:$H1982 = "Gohar Rehan","Overnight",IF($H$2:$H1982 = "Taufeeq Akhtar ","Overnight",IF($H$2:$H1982 = "Zeeshan Ali Malik","Audit",IF($H$2:$H1982 = "Ali Raza ","Receiving",IF($H$2:$H1982 = "Ali Ahmad","Full-In"))))))</f>
        <v>Overnight</v>
      </c>
      <c r="J483" s="29"/>
      <c r="K483" s="50" t="s">
        <v>2248</v>
      </c>
      <c r="L483" s="48" t="s">
        <v>2332</v>
      </c>
      <c r="M483" s="41"/>
      <c r="N483" s="39" t="s">
        <v>2250</v>
      </c>
      <c r="O483" s="46" t="b">
        <f aca="false">FALSE()</f>
        <v>0</v>
      </c>
      <c r="P483" s="20" t="n">
        <v>358.1</v>
      </c>
      <c r="Q483" s="45" t="n">
        <v>716.2</v>
      </c>
      <c r="R483" s="43" t="n">
        <v>45235</v>
      </c>
      <c r="S483" s="20" t="str">
        <v>Stationery</v>
      </c>
    </row>
    <row r="484" customFormat="false" ht="15.75" hidden="false" customHeight="false" outlineLevel="0" collapsed="false">
      <c r="A484" s="39" t="str">
        <v>239BGJMM</v>
      </c>
      <c r="B484" s="44" t="str">
        <v>Sun,05-November-2023 ,10:22 PM</v>
      </c>
      <c r="C484" s="39" t="str">
        <v>Sunlight Green Clean and Fresh x6 Bundle 25g</v>
      </c>
      <c r="D484" s="39" t="str">
        <v>Sunlight</v>
      </c>
      <c r="E484" s="39" t="str">
        <v>Damaged Stock</v>
      </c>
      <c r="F484" s="45" t="n">
        <v>1</v>
      </c>
      <c r="G484" s="40" t="str">
        <v>[Code: 239BGJMM]  TA: 1unit Damage Found During Sorting .</v>
      </c>
      <c r="H484" s="39" t="str">
        <v>Taufeeq Akhtar </v>
      </c>
      <c r="I484" s="39" t="str">
        <f aca="false">IF(ISBLANK(H484),"", IF($H$2:$H1983 = "Gohar Rehan","Overnight",IF($H$2:$H1983 = "Taufeeq Akhtar ","Overnight",IF($H$2:$H1983 = "Zeeshan Ali Malik","Audit",IF($H$2:$H1983 = "Ali Raza ","Receiving",IF($H$2:$H1983 = "Ali Ahmad","Full-In"))))))</f>
        <v>Overnight</v>
      </c>
      <c r="J484" s="29"/>
      <c r="K484" s="50" t="s">
        <v>2248</v>
      </c>
      <c r="L484" s="48" t="s">
        <v>2332</v>
      </c>
      <c r="M484" s="41"/>
      <c r="N484" s="39" t="s">
        <v>2250</v>
      </c>
      <c r="O484" s="46" t="b">
        <f aca="false">FALSE()</f>
        <v>0</v>
      </c>
      <c r="P484" s="20" t="n">
        <v>55</v>
      </c>
      <c r="Q484" s="45" t="n">
        <v>55</v>
      </c>
      <c r="R484" s="43" t="n">
        <v>45235</v>
      </c>
      <c r="S484" s="20" t="str">
        <v>Surf, Bleach</v>
      </c>
    </row>
    <row r="485" customFormat="false" ht="15.75" hidden="false" customHeight="false" outlineLevel="0" collapsed="false">
      <c r="A485" s="39" t="str">
        <v>22349AAB</v>
      </c>
      <c r="B485" s="44" t="str">
        <v>Sun,05-November-2023 ,10:25 PM</v>
      </c>
      <c r="C485" s="39" t="str">
        <v>Bonus tristar detergent x6 bundle 48g Rs10</v>
      </c>
      <c r="D485" s="39" t="str">
        <v>Bonus Surf</v>
      </c>
      <c r="E485" s="39" t="str">
        <v>Damaged Stock</v>
      </c>
      <c r="F485" s="45" t="n">
        <v>2</v>
      </c>
      <c r="G485" s="40" t="str">
        <v>[Code: 22349AAB]  TA: 1unit Damage Found During  display.</v>
      </c>
      <c r="H485" s="39" t="str">
        <v>Taufeeq Akhtar </v>
      </c>
      <c r="I485" s="39" t="str">
        <f aca="false">IF(ISBLANK(H485),"", IF($H$2:$H1984 = "Gohar Rehan","Overnight",IF($H$2:$H1984 = "Taufeeq Akhtar ","Overnight",IF($H$2:$H1984 = "Zeeshan Ali Malik","Audit",IF($H$2:$H1984 = "Ali Raza ","Receiving",IF($H$2:$H1984 = "Ali Ahmad","Full-In"))))))</f>
        <v>Overnight</v>
      </c>
      <c r="J485" s="29"/>
      <c r="K485" s="50" t="s">
        <v>2248</v>
      </c>
      <c r="L485" s="48" t="s">
        <v>2332</v>
      </c>
      <c r="M485" s="45" t="n">
        <v>2</v>
      </c>
      <c r="N485" s="39" t="s">
        <v>2212</v>
      </c>
      <c r="O485" s="42" t="b">
        <f aca="false">TRUE()</f>
        <v>1</v>
      </c>
      <c r="P485" s="20" t="n">
        <v>55.25</v>
      </c>
      <c r="Q485" s="45" t="n">
        <v>110.5</v>
      </c>
      <c r="R485" s="43" t="n">
        <v>45235</v>
      </c>
      <c r="S485" s="20" t="str">
        <v>Surf, Bleach</v>
      </c>
    </row>
    <row r="486" customFormat="false" ht="15.75" hidden="false" customHeight="false" outlineLevel="0" collapsed="false">
      <c r="A486" s="39" t="str">
        <v>2AEFJKLM</v>
      </c>
      <c r="B486" s="44" t="str">
        <v>Mon,06-November-2023 ,03:19 PM</v>
      </c>
      <c r="C486" s="39" t="str">
        <v>Quality Grains White Chana Bareek 5kg</v>
      </c>
      <c r="D486" s="39" t="str">
        <v>Quality Grains</v>
      </c>
      <c r="E486" s="39" t="str">
        <v>Damaged Stock</v>
      </c>
      <c r="F486" s="45" t="n">
        <v>5</v>
      </c>
      <c r="G486" s="40" t="str">
        <v>[Code: 2AEFJKLM] 5 units found damaged due to susri (Quality Issue)</v>
      </c>
      <c r="H486" s="39" t="str">
        <v>Ali Raza </v>
      </c>
      <c r="I486" s="39" t="str">
        <f aca="false">IF(ISBLANK(H486),"", IF($H$2:$H1985 = "Gohar Rehan","Overnight",IF($H$2:$H1985 = "Taufeeq Akhtar ","Overnight",IF($H$2:$H1985 = "Zeeshan Ali Malik","Audit",IF($H$2:$H1985 = "Ali Raza ","Receiving",IF($H$2:$H1985 = "Ali Ahmad","Full-In"))))))</f>
        <v>Receiving</v>
      </c>
      <c r="J486" s="29"/>
      <c r="K486" s="50" t="s">
        <v>2248</v>
      </c>
      <c r="L486" s="48" t="s">
        <v>2332</v>
      </c>
      <c r="M486" s="41" t="n">
        <v>5</v>
      </c>
      <c r="N486" s="39" t="s">
        <v>2212</v>
      </c>
      <c r="O486" s="42" t="b">
        <f aca="false">TRUE()</f>
        <v>1</v>
      </c>
      <c r="P486" s="20" t="n">
        <v>1685</v>
      </c>
      <c r="Q486" s="45" t="n">
        <v>8425</v>
      </c>
      <c r="R486" s="43" t="n">
        <v>45236</v>
      </c>
      <c r="S486" s="20" t="str">
        <v>Pulses</v>
      </c>
    </row>
    <row r="487" customFormat="false" ht="15.75" hidden="false" customHeight="false" outlineLevel="0" collapsed="false">
      <c r="A487" s="39" t="str">
        <v>2478BCGJ</v>
      </c>
      <c r="B487" s="44" t="str">
        <v>Mon,06-November-2023 ,10:20 PM</v>
      </c>
      <c r="C487" s="39" t="str">
        <v>Sunsilk Stunning Black Shine Shampoo x16 bundle 4.5ml</v>
      </c>
      <c r="D487" s="39" t="str">
        <v>Sunsilk</v>
      </c>
      <c r="E487" s="39" t="str">
        <v>Damaged Stock</v>
      </c>
      <c r="F487" s="45" t="n">
        <v>2</v>
      </c>
      <c r="G487" s="40" t="str">
        <v>[Code: 2478BCGJ]   TA: 2unit damage found during sorting  </v>
      </c>
      <c r="H487" s="39" t="str">
        <v>Taufeeq Akhtar </v>
      </c>
      <c r="I487" s="39" t="str">
        <f aca="false">IF(ISBLANK(H487),"", IF($H$2:$H1986 = "Gohar Rehan","Overnight",IF($H$2:$H1986 = "Taufeeq Akhtar ","Overnight",IF($H$2:$H1986 = "Zeeshan Ali Malik","Audit",IF($H$2:$H1986 = "Ali Raza ","Receiving",IF($H$2:$H1986 = "Ali Ahmad","Full-In"))))))</f>
        <v>Overnight</v>
      </c>
      <c r="J487" s="29"/>
      <c r="K487" s="50" t="s">
        <v>2248</v>
      </c>
      <c r="L487" s="48" t="s">
        <v>2332</v>
      </c>
      <c r="M487" s="41"/>
      <c r="N487" s="39" t="s">
        <v>2250</v>
      </c>
      <c r="O487" s="46" t="b">
        <f aca="false">FALSE()</f>
        <v>0</v>
      </c>
      <c r="P487" s="20" t="n">
        <v>72.92</v>
      </c>
      <c r="Q487" s="45" t="n">
        <v>145.84</v>
      </c>
      <c r="R487" s="43" t="n">
        <v>45236</v>
      </c>
      <c r="S487" s="20" t="str">
        <v>Shampoo</v>
      </c>
    </row>
    <row r="488" customFormat="false" ht="15.75" hidden="false" customHeight="false" outlineLevel="0" collapsed="false">
      <c r="A488" s="39" t="str">
        <v>247778AD</v>
      </c>
      <c r="B488" s="44" t="str">
        <v>Tue,07-November-2023 ,08:51 PM</v>
      </c>
      <c r="C488" s="39" t="str">
        <v>Sunlight Green Clean and Fresh x6 Bundle 25g</v>
      </c>
      <c r="D488" s="39" t="str">
        <v>Sunlight</v>
      </c>
      <c r="E488" s="39" t="str">
        <v>Damaged Stock</v>
      </c>
      <c r="F488" s="45" t="n">
        <v>3</v>
      </c>
      <c r="G488" s="40" t="str">
        <v>[Code: 247778AD]  TA: 1unit Damage Found During Display . [bag s damage mily hain]</v>
      </c>
      <c r="H488" s="39" t="str">
        <v>Taufeeq Akhtar </v>
      </c>
      <c r="I488" s="39" t="str">
        <f aca="false">IF(ISBLANK(H488),"", IF($H$2:$H1987 = "Gohar Rehan","Overnight",IF($H$2:$H1987 = "Taufeeq Akhtar ","Overnight",IF($H$2:$H1987 = "Zeeshan Ali Malik","Audit",IF($H$2:$H1987 = "Ali Raza ","Receiving",IF($H$2:$H1987 = "Ali Ahmad","Full-In"))))))</f>
        <v>Overnight</v>
      </c>
      <c r="J488" s="29"/>
      <c r="K488" s="50" t="s">
        <v>2248</v>
      </c>
      <c r="L488" s="48" t="s">
        <v>2332</v>
      </c>
      <c r="M488" s="41"/>
      <c r="N488" s="39" t="s">
        <v>2250</v>
      </c>
      <c r="O488" s="46" t="b">
        <f aca="false">FALSE()</f>
        <v>0</v>
      </c>
      <c r="P488" s="20" t="n">
        <v>55</v>
      </c>
      <c r="Q488" s="45" t="n">
        <v>165</v>
      </c>
      <c r="R488" s="43" t="n">
        <v>45237</v>
      </c>
      <c r="S488" s="20" t="str">
        <v>Surf, Bleach</v>
      </c>
    </row>
    <row r="489" customFormat="false" ht="15.75" hidden="false" customHeight="false" outlineLevel="0" collapsed="false">
      <c r="A489" s="39" t="str">
        <v>2467BDHJ</v>
      </c>
      <c r="B489" s="44" t="str">
        <v>Tue,07-November-2023 ,10:02 PM</v>
      </c>
      <c r="C489" s="39" t="str">
        <v>Lipton yellow label tea 85g Rs270</v>
      </c>
      <c r="D489" s="39" t="str">
        <v>Lipton</v>
      </c>
      <c r="E489" s="39" t="str">
        <v>Damaged Stock</v>
      </c>
      <c r="F489" s="45" t="n">
        <v>21</v>
      </c>
      <c r="G489" s="40" t="str">
        <v>[Code: 2467BDHJ]  TA: 21unit Damage Found During Display. [ cotton sy damage mily hain]</v>
      </c>
      <c r="H489" s="39" t="str">
        <v>Taufeeq Akhtar </v>
      </c>
      <c r="I489" s="39" t="str">
        <f aca="false">IF(ISBLANK(H489),"", IF($H$2:$H1988 = "Gohar Rehan","Overnight",IF($H$2:$H1988 = "Taufeeq Akhtar ","Overnight",IF($H$2:$H1988 = "Zeeshan Ali Malik","Audit",IF($H$2:$H1988 = "Ali Raza ","Receiving",IF($H$2:$H1988 = "Ali Ahmad","Full-In"))))))</f>
        <v>Overnight</v>
      </c>
      <c r="J489" s="29"/>
      <c r="K489" s="50" t="s">
        <v>2248</v>
      </c>
      <c r="L489" s="48" t="s">
        <v>2332</v>
      </c>
      <c r="M489" s="41"/>
      <c r="N489" s="39" t="s">
        <v>2250</v>
      </c>
      <c r="O489" s="46" t="b">
        <f aca="false">FALSE()</f>
        <v>0</v>
      </c>
      <c r="P489" s="20" t="n">
        <v>248.2</v>
      </c>
      <c r="Q489" s="45" t="n">
        <v>5212.2</v>
      </c>
      <c r="R489" s="43" t="n">
        <v>45237</v>
      </c>
      <c r="S489" s="20" t="str">
        <v>Tea, Coffee</v>
      </c>
    </row>
    <row r="490" customFormat="false" ht="15.75" hidden="false" customHeight="false" outlineLevel="0" collapsed="false">
      <c r="A490" s="39" t="str">
        <v>7799DDDF</v>
      </c>
      <c r="B490" s="44" t="str">
        <v>Wed,08-November-2023 ,11:17 AM</v>
      </c>
      <c r="C490" s="39" t="str">
        <v>Sherdil White Chana Bareek 1kg</v>
      </c>
      <c r="D490" s="39" t="str">
        <v>Sherdil</v>
      </c>
      <c r="E490" s="39" t="str">
        <v>Damaged Stock</v>
      </c>
      <c r="F490" s="45" t="n">
        <v>1</v>
      </c>
      <c r="G490" s="40" t="str">
        <v>[Code: 7799DDDF] 1 unit found damaged due to susri (Quality Issue)</v>
      </c>
      <c r="H490" s="39" t="str">
        <v>Ali Raza </v>
      </c>
      <c r="I490" s="39" t="str">
        <f aca="false">IF(ISBLANK(H490),"", IF($H$2:$H1989 = "Gohar Rehan","Overnight",IF($H$2:$H1989 = "Taufeeq Akhtar ","Overnight",IF($H$2:$H1989 = "Zeeshan Ali Malik","Audit",IF($H$2:$H1989 = "Ali Raza ","Receiving",IF($H$2:$H1989 = "Ali Ahmad","Full-In"))))))</f>
        <v>Receiving</v>
      </c>
      <c r="J490" s="29"/>
      <c r="K490" s="50" t="s">
        <v>2248</v>
      </c>
      <c r="L490" s="48" t="s">
        <v>2332</v>
      </c>
      <c r="M490" s="41"/>
      <c r="N490" s="39" t="s">
        <v>2250</v>
      </c>
      <c r="O490" s="46" t="b">
        <f aca="false">FALSE()</f>
        <v>0</v>
      </c>
      <c r="P490" s="20" t="n">
        <v>342</v>
      </c>
      <c r="Q490" s="45" t="n">
        <v>342</v>
      </c>
      <c r="R490" s="43" t="n">
        <v>45238</v>
      </c>
      <c r="S490" s="20" t="str">
        <v>Pulses</v>
      </c>
    </row>
    <row r="491" customFormat="false" ht="15.75" hidden="false" customHeight="false" outlineLevel="0" collapsed="false">
      <c r="A491" s="39" t="str">
        <v>239FJMNN</v>
      </c>
      <c r="B491" s="44" t="str">
        <v>Wed,08-November-2023 ,04:54 PM</v>
      </c>
      <c r="C491" s="39" t="str">
        <v>National Chicken Tikka 20G x6 bundle Rs60</v>
      </c>
      <c r="D491" s="39" t="str">
        <v>National</v>
      </c>
      <c r="E491" s="39" t="str">
        <v>Damaged Stock</v>
      </c>
      <c r="F491" s="45" t="n">
        <v>1</v>
      </c>
      <c r="G491" s="40" t="str">
        <v>[Code: 239FJMNN] 1 unit found damaged (Seal Open)</v>
      </c>
      <c r="H491" s="39" t="str">
        <v>Ali Raza </v>
      </c>
      <c r="I491" s="39" t="str">
        <f aca="false">IF(ISBLANK(H491),"", IF($H$2:$H1990 = "Gohar Rehan","Overnight",IF($H$2:$H1990 = "Taufeeq Akhtar ","Overnight",IF($H$2:$H1990 = "Zeeshan Ali Malik","Audit",IF($H$2:$H1990 = "Ali Raza ","Receiving",IF($H$2:$H1990 = "Ali Ahmad","Full-In"))))))</f>
        <v>Receiving</v>
      </c>
      <c r="J491" s="29"/>
      <c r="K491" s="50" t="s">
        <v>2248</v>
      </c>
      <c r="L491" s="48" t="s">
        <v>2332</v>
      </c>
      <c r="M491" s="41"/>
      <c r="N491" s="39" t="s">
        <v>2250</v>
      </c>
      <c r="O491" s="46" t="b">
        <f aca="false">FALSE()</f>
        <v>0</v>
      </c>
      <c r="P491" s="20" t="n">
        <v>292.25</v>
      </c>
      <c r="Q491" s="45" t="n">
        <v>292.25</v>
      </c>
      <c r="R491" s="43" t="n">
        <v>45238</v>
      </c>
      <c r="S491" s="20" t="str">
        <v>Spices</v>
      </c>
    </row>
    <row r="492" customFormat="false" ht="15.75" hidden="false" customHeight="false" outlineLevel="0" collapsed="false">
      <c r="A492" s="39" t="str">
        <v>268ABHLL</v>
      </c>
      <c r="B492" s="44" t="str">
        <v>Wed,08-November-2023 ,06:13 PM</v>
      </c>
      <c r="C492" s="39" t="str">
        <v>Deer Finger Crayons 6pcs x2Bundle</v>
      </c>
      <c r="D492" s="39" t="str">
        <v>Deer</v>
      </c>
      <c r="E492" s="39" t="str">
        <v>Damaged Stock</v>
      </c>
      <c r="F492" s="45" t="n">
        <v>1</v>
      </c>
      <c r="G492" s="40" t="str">
        <v>[Code: 268ABHLL] AR: 2 Crayons found damage in one box</v>
      </c>
      <c r="H492" s="39" t="str">
        <v>Ali Raza </v>
      </c>
      <c r="I492" s="39" t="str">
        <f aca="false">IF(ISBLANK(H492),"", IF($H$2:$H1991 = "Gohar Rehan","Overnight",IF($H$2:$H1991 = "Taufeeq Akhtar ","Overnight",IF($H$2:$H1991 = "Zeeshan Ali Malik","Audit",IF($H$2:$H1991 = "Ali Raza ","Receiving",IF($H$2:$H1991 = "Ali Ahmad","Full-In"))))))</f>
        <v>Receiving</v>
      </c>
      <c r="J492" s="29"/>
      <c r="K492" s="50" t="s">
        <v>2248</v>
      </c>
      <c r="L492" s="50" t="s">
        <v>2333</v>
      </c>
      <c r="M492" s="41"/>
      <c r="N492" s="39" t="s">
        <v>2250</v>
      </c>
      <c r="O492" s="46" t="b">
        <f aca="false">FALSE()</f>
        <v>0</v>
      </c>
      <c r="P492" s="20" t="n">
        <v>241.8</v>
      </c>
      <c r="Q492" s="45" t="n">
        <v>241.8</v>
      </c>
      <c r="R492" s="43" t="n">
        <v>45238</v>
      </c>
      <c r="S492" s="20" t="str">
        <v>Stationery</v>
      </c>
    </row>
    <row r="493" customFormat="false" ht="15.75" hidden="false" customHeight="false" outlineLevel="0" collapsed="false">
      <c r="A493" s="39" t="str">
        <v>23899CGG</v>
      </c>
      <c r="B493" s="44" t="str">
        <v>Fri,10-November-2023 ,07:41 PM</v>
      </c>
      <c r="C493" s="39" t="str">
        <v>Habib Foods Funtime Mango Flavoured Drink 200mL</v>
      </c>
      <c r="D493" s="39" t="str">
        <v>Habib Foods</v>
      </c>
      <c r="E493" s="39" t="str">
        <v>Damaged Stock</v>
      </c>
      <c r="F493" s="45" t="n">
        <v>1</v>
      </c>
      <c r="G493" s="40" t="str">
        <v>[Code: 23899CGG] TA: 1 unit Damage Found during Sorting.</v>
      </c>
      <c r="H493" s="39" t="str">
        <v>Taufeeq Akhtar </v>
      </c>
      <c r="I493" s="39" t="str">
        <f aca="false">IF(ISBLANK(H493),"", IF($H$2:$H1992 = "Gohar Rehan","Overnight",IF($H$2:$H1992 = "Taufeeq Akhtar ","Overnight",IF($H$2:$H1992 = "Zeeshan Ali Malik","Audit",IF($H$2:$H1992 = "Ali Raza ","Receiving",IF($H$2:$H1992 = "Ali Ahmad","Full-In"))))))</f>
        <v>Overnight</v>
      </c>
      <c r="J493" s="29"/>
      <c r="K493" s="50" t="s">
        <v>2248</v>
      </c>
      <c r="L493" s="50" t="s">
        <v>2333</v>
      </c>
      <c r="M493" s="41"/>
      <c r="N493" s="39" t="s">
        <v>2250</v>
      </c>
      <c r="O493" s="46" t="b">
        <f aca="false">FALSE()</f>
        <v>0</v>
      </c>
      <c r="P493" s="20" t="n">
        <v>500</v>
      </c>
      <c r="Q493" s="45" t="n">
        <v>500</v>
      </c>
      <c r="R493" s="43" t="n">
        <v>45240</v>
      </c>
      <c r="S493" s="20" t="str">
        <v>Juice, Syrup, Squash</v>
      </c>
    </row>
    <row r="494" customFormat="false" ht="15.75" hidden="false" customHeight="false" outlineLevel="0" collapsed="false">
      <c r="A494" s="39" t="str">
        <v>578ACEFG</v>
      </c>
      <c r="B494" s="44" t="str">
        <v>Fri,10-November-2023 ,07:57 PM</v>
      </c>
      <c r="C494" s="39" t="str">
        <v>Bonus tristar yellow surf 1kg Rs230</v>
      </c>
      <c r="D494" s="39" t="str">
        <v>Bonus Surf</v>
      </c>
      <c r="E494" s="39" t="str">
        <v>Damaged Stock</v>
      </c>
      <c r="F494" s="45" t="n">
        <v>2</v>
      </c>
      <c r="G494" s="40" t="str">
        <v>[Code: 578ACEFG]  TA: 2 unit Damage Found during display. (seal sy open hain )</v>
      </c>
      <c r="H494" s="39" t="str">
        <v>Taufeeq Akhtar </v>
      </c>
      <c r="I494" s="39" t="str">
        <f aca="false">IF(ISBLANK(H494),"", IF($H$2:$H1993 = "Gohar Rehan","Overnight",IF($H$2:$H1993 = "Taufeeq Akhtar ","Overnight",IF($H$2:$H1993 = "Zeeshan Ali Malik","Audit",IF($H$2:$H1993 = "Ali Raza ","Receiving",IF($H$2:$H1993 = "Ali Ahmad","Full-In"))))))</f>
        <v>Overnight</v>
      </c>
      <c r="J494" s="29"/>
      <c r="K494" s="50" t="s">
        <v>2248</v>
      </c>
      <c r="L494" s="48" t="s">
        <v>2332</v>
      </c>
      <c r="M494" s="41"/>
      <c r="N494" s="39" t="s">
        <v>2250</v>
      </c>
      <c r="O494" s="46" t="b">
        <f aca="false">FALSE()</f>
        <v>0</v>
      </c>
      <c r="P494" s="20" t="n">
        <v>210.36</v>
      </c>
      <c r="Q494" s="45" t="n">
        <v>420.72</v>
      </c>
      <c r="R494" s="43" t="n">
        <v>45240</v>
      </c>
      <c r="S494" s="20" t="str">
        <v>Surf, Bleach</v>
      </c>
    </row>
    <row r="495" customFormat="false" ht="15.75" hidden="false" customHeight="false" outlineLevel="0" collapsed="false">
      <c r="A495" s="39" t="str">
        <v>4666ADEJ</v>
      </c>
      <c r="B495" s="44" t="str">
        <v>Fri,10-November-2023 ,08:08 PM</v>
      </c>
      <c r="C495" s="39" t="str">
        <v>Ultra Pure Surf 1kg Rs350</v>
      </c>
      <c r="D495" s="39" t="str">
        <v>Ultra Pure</v>
      </c>
      <c r="E495" s="39" t="str">
        <v>Damaged Stock</v>
      </c>
      <c r="F495" s="45" t="n">
        <v>1</v>
      </c>
      <c r="G495" s="40" t="str">
        <v>[Code: 4666ADEJ]  TA: 1unit Damage Found during display. (seal sy open hain )</v>
      </c>
      <c r="H495" s="39" t="str">
        <v>Taufeeq Akhtar </v>
      </c>
      <c r="I495" s="39" t="str">
        <f aca="false">IF(ISBLANK(H495),"", IF($H$2:$H1994 = "Gohar Rehan","Overnight",IF($H$2:$H1994 = "Taufeeq Akhtar ","Overnight",IF($H$2:$H1994 = "Zeeshan Ali Malik","Audit",IF($H$2:$H1994 = "Ali Raza ","Receiving",IF($H$2:$H1994 = "Ali Ahmad","Full-In"))))))</f>
        <v>Overnight</v>
      </c>
      <c r="J495" s="29"/>
      <c r="K495" s="50" t="s">
        <v>2248</v>
      </c>
      <c r="L495" s="48" t="s">
        <v>2332</v>
      </c>
      <c r="M495" s="41"/>
      <c r="N495" s="39" t="s">
        <v>2250</v>
      </c>
      <c r="O495" s="46" t="b">
        <f aca="false">FALSE()</f>
        <v>0</v>
      </c>
      <c r="P495" s="20" t="n">
        <v>189</v>
      </c>
      <c r="Q495" s="45" t="n">
        <v>189</v>
      </c>
      <c r="R495" s="43" t="n">
        <v>45240</v>
      </c>
      <c r="S495" s="20" t="str">
        <v>Surf, Bleach</v>
      </c>
    </row>
    <row r="496" customFormat="false" ht="15.75" hidden="false" customHeight="false" outlineLevel="0" collapsed="false">
      <c r="A496" s="39" t="str">
        <v>334AABCD</v>
      </c>
      <c r="B496" s="44" t="str">
        <v>Sat,11-November-2023 ,10:20 PM</v>
      </c>
      <c r="C496" s="39" t="str">
        <v>Softmints Ice Cool Chewy Mints 100pcs Rs2</v>
      </c>
      <c r="D496" s="39" t="str">
        <v>Cadbury</v>
      </c>
      <c r="E496" s="39" t="str">
        <v>Damaged Stock</v>
      </c>
      <c r="F496" s="45" t="n">
        <v>2</v>
      </c>
      <c r="G496" s="40" t="str">
        <v>[Code: 334AABCD] TA: found damaged from box during display...</v>
      </c>
      <c r="H496" s="39" t="str">
        <v>Taufeeq Akhtar </v>
      </c>
      <c r="I496" s="39" t="str">
        <f aca="false">IF(ISBLANK(H496),"", IF($H$2:$H1995 = "Gohar Rehan","Overnight",IF($H$2:$H1995 = "Taufeeq Akhtar ","Overnight",IF($H$2:$H1995 = "Zeeshan Ali Malik","Audit",IF($H$2:$H1995 = "Ali Raza ","Receiving",IF($H$2:$H1995 = "Ali Ahmad","Full-In"))))))</f>
        <v>Overnight</v>
      </c>
      <c r="J496" s="29"/>
      <c r="K496" s="50" t="s">
        <v>2248</v>
      </c>
      <c r="L496" s="50" t="s">
        <v>2333</v>
      </c>
      <c r="M496" s="41"/>
      <c r="N496" s="39" t="s">
        <v>2250</v>
      </c>
      <c r="O496" s="46" t="b">
        <f aca="false">FALSE()</f>
        <v>0</v>
      </c>
      <c r="P496" s="20" t="n">
        <v>173.74</v>
      </c>
      <c r="Q496" s="45" t="n">
        <v>347.48</v>
      </c>
      <c r="R496" s="43" t="n">
        <v>45241</v>
      </c>
      <c r="S496" s="20" t="str">
        <v>Confectionary</v>
      </c>
    </row>
    <row r="497" customFormat="false" ht="15.75" hidden="false" customHeight="false" outlineLevel="0" collapsed="false">
      <c r="A497" s="39" t="str">
        <v>3CDEEFHJ</v>
      </c>
      <c r="B497" s="44" t="str">
        <v>Sun,12-November-2023 ,10:03 PM</v>
      </c>
      <c r="C497" s="39" t="str">
        <v>Sunsilk Hairfall Shampoo x16 bundle 7ml Rs10</v>
      </c>
      <c r="D497" s="39" t="str">
        <v>Sunsilk</v>
      </c>
      <c r="E497" s="39" t="str">
        <v>Damaged Stock</v>
      </c>
      <c r="F497" s="45" t="n">
        <v>1</v>
      </c>
      <c r="G497" s="40" t="str">
        <v>[Code: 3CDEEFHJ] TA; 1unit damage found during display</v>
      </c>
      <c r="H497" s="39" t="str">
        <v>Taufeeq Akhtar </v>
      </c>
      <c r="I497" s="39" t="str">
        <f aca="false">IF(ISBLANK(H497),"", IF($H$2:$H1996 = "Gohar Rehan","Overnight",IF($H$2:$H1996 = "Taufeeq Akhtar ","Overnight",IF($H$2:$H1996 = "Zeeshan Ali Malik","Audit",IF($H$2:$H1996 = "Ali Raza ","Receiving",IF($H$2:$H1996 = "Ali Ahmad","Full-In"))))))</f>
        <v>Overnight</v>
      </c>
      <c r="J497" s="29"/>
      <c r="K497" s="50" t="s">
        <v>2248</v>
      </c>
      <c r="L497" s="48" t="s">
        <v>2332</v>
      </c>
      <c r="M497" s="41"/>
      <c r="N497" s="39" t="s">
        <v>2250</v>
      </c>
      <c r="O497" s="46" t="b">
        <f aca="false">FALSE()</f>
        <v>0</v>
      </c>
      <c r="P497" s="20" t="n">
        <v>142</v>
      </c>
      <c r="Q497" s="45" t="n">
        <v>142</v>
      </c>
      <c r="R497" s="43" t="n">
        <v>45242</v>
      </c>
      <c r="S497" s="20" t="str">
        <v>Shampoo</v>
      </c>
    </row>
    <row r="498" customFormat="false" ht="15.75" hidden="false" customHeight="false" outlineLevel="0" collapsed="false">
      <c r="A498" s="39" t="str">
        <v>55566ABG</v>
      </c>
      <c r="B498" s="44" t="str">
        <v>Sun,12-November-2023 ,10:04 PM</v>
      </c>
      <c r="C498" s="39" t="str">
        <v>Anne French Hair Removing Cream Rose 14g Rs35</v>
      </c>
      <c r="D498" s="39" t="str">
        <v>Anne French</v>
      </c>
      <c r="E498" s="39" t="str">
        <v>Damaged Stock</v>
      </c>
      <c r="F498" s="45" t="n">
        <v>1</v>
      </c>
      <c r="G498" s="40" t="str">
        <v>[Code: 55566ABG] TA: 1 unit damage found during sorting</v>
      </c>
      <c r="H498" s="39" t="str">
        <v>Taufeeq Akhtar </v>
      </c>
      <c r="I498" s="39" t="str">
        <f aca="false">IF(ISBLANK(H498),"", IF($H$2:$H1997 = "Gohar Rehan","Overnight",IF($H$2:$H1997 = "Taufeeq Akhtar ","Overnight",IF($H$2:$H1997 = "Zeeshan Ali Malik","Audit",IF($H$2:$H1997 = "Ali Raza ","Receiving",IF($H$2:$H1997 = "Ali Ahmad","Full-In"))))))</f>
        <v>Overnight</v>
      </c>
      <c r="J498" s="29"/>
      <c r="K498" s="50" t="s">
        <v>2248</v>
      </c>
      <c r="L498" s="48" t="s">
        <v>2332</v>
      </c>
      <c r="M498" s="41"/>
      <c r="N498" s="39" t="s">
        <v>2250</v>
      </c>
      <c r="O498" s="46" t="b">
        <f aca="false">FALSE()</f>
        <v>0</v>
      </c>
      <c r="P498" s="20" t="n">
        <v>33.35</v>
      </c>
      <c r="Q498" s="45" t="n">
        <v>33.35</v>
      </c>
      <c r="R498" s="43" t="n">
        <v>45242</v>
      </c>
      <c r="S498" s="20" t="str">
        <v>Personal Care</v>
      </c>
    </row>
    <row r="499" customFormat="false" ht="15.75" hidden="false" customHeight="false" outlineLevel="0" collapsed="false">
      <c r="A499" s="39" t="str">
        <v>4666CEHJ</v>
      </c>
      <c r="B499" s="44" t="str">
        <v>Mon,13-November-2023 ,09:20 PM</v>
      </c>
      <c r="C499" s="39" t="str">
        <v>Al-Munawar Special Muzafati Dates Box</v>
      </c>
      <c r="D499" s="39" t="str">
        <v>Al-Munawar</v>
      </c>
      <c r="E499" s="39" t="str">
        <v>Damaged Stock</v>
      </c>
      <c r="F499" s="45" t="n">
        <v>1</v>
      </c>
      <c r="G499" s="40" t="str">
        <v>[Code: 4666CEHJ] TA; 1unit found damage due to bad quality (box ky andr sundi lgi he)</v>
      </c>
      <c r="H499" s="39" t="str">
        <v>Taufeeq Akhtar </v>
      </c>
      <c r="I499" s="39" t="str">
        <f aca="false">IF(ISBLANK(H499),"", IF($H$2:$H1998 = "Gohar Rehan","Overnight",IF($H$2:$H1998 = "Taufeeq Akhtar ","Overnight",IF($H$2:$H1998 = "Zeeshan Ali Malik","Audit",IF($H$2:$H1998 = "Ali Raza ","Receiving",IF($H$2:$H1998 = "Ali Ahmad","Full-In"))))))</f>
        <v>Overnight</v>
      </c>
      <c r="J499" s="29"/>
      <c r="K499" s="50" t="s">
        <v>2248</v>
      </c>
      <c r="L499" s="48" t="s">
        <v>2332</v>
      </c>
      <c r="M499" s="41" t="n">
        <v>1</v>
      </c>
      <c r="N499" s="39" t="s">
        <v>2212</v>
      </c>
      <c r="O499" s="42" t="b">
        <f aca="false">TRUE()</f>
        <v>1</v>
      </c>
      <c r="P499" s="20" t="n">
        <v>420</v>
      </c>
      <c r="Q499" s="45" t="n">
        <v>420</v>
      </c>
      <c r="R499" s="43" t="n">
        <v>45243</v>
      </c>
      <c r="S499" s="20" t="str">
        <v>Khajoor &amp; Pakoriyan</v>
      </c>
    </row>
    <row r="500" customFormat="false" ht="15.75" hidden="false" customHeight="false" outlineLevel="0" collapsed="false">
      <c r="A500" s="39" t="str">
        <v>68ABCEJL</v>
      </c>
      <c r="B500" s="44" t="str">
        <v>Tue,14-November-2023 ,09:34 PM</v>
      </c>
      <c r="C500" s="39" t="str">
        <v>Bonus tristar yellow surf 225g Rs50</v>
      </c>
      <c r="D500" s="39" t="str">
        <v>Bonus Surf</v>
      </c>
      <c r="E500" s="39" t="str">
        <v>Damaged Stock</v>
      </c>
      <c r="F500" s="45" t="n">
        <v>3</v>
      </c>
      <c r="G500" s="40" t="str">
        <v>[Code: 68ABCEJL] TA: 3unit Damage Found during Display (bag sy damage mily hain)</v>
      </c>
      <c r="H500" s="39" t="str">
        <v>Taufeeq Akhtar </v>
      </c>
      <c r="I500" s="39" t="str">
        <f aca="false">IF(ISBLANK(H500),"", IF($H$2:$H1999 = "Gohar Rehan","Overnight",IF($H$2:$H1999 = "Taufeeq Akhtar ","Overnight",IF($H$2:$H1999 = "Zeeshan Ali Malik","Audit",IF($H$2:$H1999 = "Ali Raza ","Receiving",IF($H$2:$H1999 = "Ali Ahmad","Full-In"))))))</f>
        <v>Overnight</v>
      </c>
      <c r="J500" s="29"/>
      <c r="K500" s="50" t="s">
        <v>2248</v>
      </c>
      <c r="L500" s="48" t="s">
        <v>2332</v>
      </c>
      <c r="M500" s="41"/>
      <c r="N500" s="39" t="s">
        <v>2250</v>
      </c>
      <c r="O500" s="46" t="b">
        <f aca="false">FALSE()</f>
        <v>0</v>
      </c>
      <c r="P500" s="20" t="n">
        <v>45.59</v>
      </c>
      <c r="Q500" s="45" t="n">
        <v>136.77</v>
      </c>
      <c r="R500" s="43" t="n">
        <v>45244</v>
      </c>
      <c r="S500" s="20" t="str">
        <v>Surf, Bleach</v>
      </c>
    </row>
    <row r="501" customFormat="false" ht="15.75" hidden="false" customHeight="false" outlineLevel="0" collapsed="false">
      <c r="A501" s="39" t="str">
        <v>3578ADDD</v>
      </c>
      <c r="B501" s="44" t="str">
        <v>Wed,15-November-2023 ,12:50 PM</v>
      </c>
      <c r="C501" s="39" t="str">
        <v>Super Crisp Mix Nimko Spicy Family Pack Rs50 30g</v>
      </c>
      <c r="D501" s="39" t="str">
        <v>Super Crisp</v>
      </c>
      <c r="E501" s="39" t="str">
        <v>Damaged Stock</v>
      </c>
      <c r="F501" s="45" t="n">
        <v>24</v>
      </c>
      <c r="G501" s="40" t="str">
        <v>[Code: 3578ADDD] 1 ctn having 24 units but when open found 19 units</v>
      </c>
      <c r="H501" s="39" t="str">
        <v>Ali Raza </v>
      </c>
      <c r="I501" s="39" t="str">
        <f aca="false">IF(ISBLANK(H501),"", IF($H$2:$H2000 = "Gohar Rehan","Overnight",IF($H$2:$H2000 = "Taufeeq Akhtar ","Overnight",IF($H$2:$H2000 = "Zeeshan Ali Malik","Audit",IF($H$2:$H2000 = "Ali Raza ","Receiving",IF($H$2:$H2000 = "Ali Ahmad","Full-In"))))))</f>
        <v>Receiving</v>
      </c>
      <c r="J501" s="29"/>
      <c r="K501" s="50" t="s">
        <v>2248</v>
      </c>
      <c r="L501" s="50" t="s">
        <v>2334</v>
      </c>
      <c r="M501" s="41"/>
      <c r="N501" s="39" t="s">
        <v>2250</v>
      </c>
      <c r="O501" s="46" t="b">
        <f aca="false">FALSE()</f>
        <v>0</v>
      </c>
      <c r="P501" s="20" t="n">
        <v>40.42</v>
      </c>
      <c r="Q501" s="45" t="n">
        <v>970.08</v>
      </c>
      <c r="R501" s="43" t="n">
        <v>45245</v>
      </c>
      <c r="S501" s="20" t="str">
        <v>Snacks</v>
      </c>
    </row>
    <row r="502" customFormat="false" ht="15.75" hidden="false" customHeight="false" outlineLevel="0" collapsed="false">
      <c r="A502" s="39" t="str">
        <v>66666ACG</v>
      </c>
      <c r="B502" s="44" t="str">
        <v>Wed,15-November-2023 ,09:54 PM</v>
      </c>
      <c r="C502" s="39" t="str">
        <v>Guard Long Grain Rice 1kg Rs225</v>
      </c>
      <c r="D502" s="39" t="str">
        <v>Guard Agri</v>
      </c>
      <c r="E502" s="39" t="str">
        <v>Damaged Stock</v>
      </c>
      <c r="F502" s="45" t="n">
        <v>173</v>
      </c>
      <c r="G502" s="40" t="str">
        <v>[Code: 66666ACG] TA: Quality bohot ziada kharab hay..(susri lagi hay) </v>
      </c>
      <c r="H502" s="39" t="str">
        <v>Taufeeq Akhtar </v>
      </c>
      <c r="I502" s="39" t="str">
        <f aca="false">IF(ISBLANK(H502),"", IF($H$2:$H2001 = "Gohar Rehan","Overnight",IF($H$2:$H2001 = "Taufeeq Akhtar ","Overnight",IF($H$2:$H2001 = "Zeeshan Ali Malik","Audit",IF($H$2:$H2001 = "Ali Raza ","Receiving",IF($H$2:$H2001 = "Ali Ahmad","Full-In"))))))</f>
        <v>Overnight</v>
      </c>
      <c r="J502" s="29"/>
      <c r="K502" s="50" t="s">
        <v>2248</v>
      </c>
      <c r="L502" s="48" t="s">
        <v>2332</v>
      </c>
      <c r="M502" s="41"/>
      <c r="N502" s="39" t="s">
        <v>2250</v>
      </c>
      <c r="O502" s="46" t="b">
        <f aca="false">FALSE()</f>
        <v>0</v>
      </c>
      <c r="P502" s="20" t="n">
        <v>191.67</v>
      </c>
      <c r="Q502" s="45" t="n">
        <v>33158.91</v>
      </c>
      <c r="R502" s="43" t="n">
        <v>45245</v>
      </c>
      <c r="S502" s="20" t="str">
        <v>Rice</v>
      </c>
    </row>
    <row r="503" customFormat="false" ht="15.75" hidden="false" customHeight="false" outlineLevel="0" collapsed="false">
      <c r="A503" s="39" t="str">
        <v>2378BCCG</v>
      </c>
      <c r="B503" s="44" t="str">
        <v>Fri,17-November-2023 ,05:38 PM</v>
      </c>
      <c r="C503" s="39" t="str">
        <v>Jan Peach 1L</v>
      </c>
      <c r="D503" s="39" t="str">
        <v>Jan</v>
      </c>
      <c r="E503" s="39" t="str">
        <v>Damaged Stock</v>
      </c>
      <c r="F503" s="45" t="n">
        <v>1</v>
      </c>
      <c r="G503" s="40" t="str">
        <v>[Code: 2378BCCG] TA: 1unit damage found during sorting </v>
      </c>
      <c r="H503" s="39" t="str">
        <v>Taufeeq Akhtar </v>
      </c>
      <c r="I503" s="39" t="str">
        <f aca="false">IF(ISBLANK(H503),"", IF($H$2:$H2002 = "Gohar Rehan","Overnight",IF($H$2:$H2002 = "Taufeeq Akhtar ","Overnight",IF($H$2:$H2002 = "Zeeshan Ali Malik","Audit",IF($H$2:$H2002 = "Ali Raza ","Receiving",IF($H$2:$H2002 = "Ali Ahmad","Full-In"))))))</f>
        <v>Overnight</v>
      </c>
      <c r="J503" s="29"/>
      <c r="K503" s="50" t="s">
        <v>2248</v>
      </c>
      <c r="L503" s="50" t="s">
        <v>2333</v>
      </c>
      <c r="M503" s="41"/>
      <c r="N503" s="39" t="s">
        <v>2250</v>
      </c>
      <c r="O503" s="46" t="b">
        <f aca="false">FALSE()</f>
        <v>0</v>
      </c>
      <c r="P503" s="20" t="n">
        <v>130.83</v>
      </c>
      <c r="Q503" s="45" t="n">
        <v>130.83</v>
      </c>
      <c r="R503" s="43" t="n">
        <v>45247</v>
      </c>
      <c r="S503" s="20" t="str">
        <v>Juice, Syrup, Squash</v>
      </c>
    </row>
    <row r="504" customFormat="false" ht="15.75" hidden="false" customHeight="false" outlineLevel="0" collapsed="false">
      <c r="A504" s="39" t="str">
        <v>456ABGGJ</v>
      </c>
      <c r="B504" s="44" t="str">
        <v>Fri,17-November-2023 ,07:01 PM</v>
      </c>
      <c r="C504" s="39" t="str">
        <v>Special Wooden Phool Jharoo</v>
      </c>
      <c r="D504" s="39" t="str">
        <v>Jharoo</v>
      </c>
      <c r="E504" s="39" t="str">
        <v>Damaged Stock</v>
      </c>
      <c r="F504" s="45" t="n">
        <v>1</v>
      </c>
      <c r="G504" s="40" t="str">
        <v>[Code: 456ABGGJ]  TA: 1unit damage found during sorting </v>
      </c>
      <c r="H504" s="39" t="str">
        <v>Taufeeq Akhtar </v>
      </c>
      <c r="I504" s="39" t="str">
        <f aca="false">IF(ISBLANK(H504),"", IF($H$2:$H2003 = "Gohar Rehan","Overnight",IF($H$2:$H2003 = "Taufeeq Akhtar ","Overnight",IF($H$2:$H2003 = "Zeeshan Ali Malik","Audit",IF($H$2:$H2003 = "Ali Raza ","Receiving",IF($H$2:$H2003 = "Ali Ahmad","Full-In"))))))</f>
        <v>Overnight</v>
      </c>
      <c r="J504" s="29"/>
      <c r="K504" s="50" t="s">
        <v>2248</v>
      </c>
      <c r="L504" s="48" t="s">
        <v>2332</v>
      </c>
      <c r="M504" s="41"/>
      <c r="N504" s="39" t="s">
        <v>2250</v>
      </c>
      <c r="O504" s="46" t="b">
        <f aca="false">FALSE()</f>
        <v>0</v>
      </c>
      <c r="P504" s="20" t="n">
        <v>135</v>
      </c>
      <c r="Q504" s="45" t="n">
        <v>135</v>
      </c>
      <c r="R504" s="43" t="n">
        <v>45247</v>
      </c>
      <c r="S504" s="20" t="str">
        <v>Home Care</v>
      </c>
    </row>
    <row r="505" customFormat="false" ht="15.75" hidden="false" customHeight="false" outlineLevel="0" collapsed="false">
      <c r="A505" s="39" t="str">
        <v>3699DDGG</v>
      </c>
      <c r="B505" s="44" t="str">
        <v>Fri,17-November-2023 ,07:02 PM</v>
      </c>
      <c r="C505" s="39" t="str">
        <v>Sunsilk Stunning Black Shine Shampoo x16 bundle 4.5ml</v>
      </c>
      <c r="D505" s="39" t="str">
        <v>Sunsilk</v>
      </c>
      <c r="E505" s="39" t="str">
        <v>Damaged Stock</v>
      </c>
      <c r="F505" s="45" t="n">
        <v>1</v>
      </c>
      <c r="G505" s="40" t="str">
        <v>[Code: 3699DDGG]   TA: 1unit damage found during sorting </v>
      </c>
      <c r="H505" s="39" t="str">
        <v>Taufeeq Akhtar </v>
      </c>
      <c r="I505" s="39" t="str">
        <f aca="false">IF(ISBLANK(H505),"", IF($H$2:$H2004 = "Gohar Rehan","Overnight",IF($H$2:$H2004 = "Taufeeq Akhtar ","Overnight",IF($H$2:$H2004 = "Zeeshan Ali Malik","Audit",IF($H$2:$H2004 = "Ali Raza ","Receiving",IF($H$2:$H2004 = "Ali Ahmad","Full-In"))))))</f>
        <v>Overnight</v>
      </c>
      <c r="J505" s="29"/>
      <c r="K505" s="50" t="s">
        <v>2248</v>
      </c>
      <c r="L505" s="48" t="s">
        <v>2332</v>
      </c>
      <c r="M505" s="41"/>
      <c r="N505" s="39" t="s">
        <v>2250</v>
      </c>
      <c r="O505" s="46" t="b">
        <f aca="false">FALSE()</f>
        <v>0</v>
      </c>
      <c r="P505" s="20" t="n">
        <v>72.92</v>
      </c>
      <c r="Q505" s="45" t="n">
        <v>72.92</v>
      </c>
      <c r="R505" s="43" t="n">
        <v>45247</v>
      </c>
      <c r="S505" s="20" t="str">
        <v>Shampoo</v>
      </c>
    </row>
    <row r="506" customFormat="false" ht="15.75" hidden="false" customHeight="false" outlineLevel="0" collapsed="false">
      <c r="A506" s="39" t="str">
        <v>235678GH</v>
      </c>
      <c r="B506" s="44" t="str">
        <v>Sat,18-November-2023 ,09:39 PM</v>
      </c>
      <c r="C506" s="39" t="str">
        <v>Coca Cola plastic 500ml (Half Liter)</v>
      </c>
      <c r="D506" s="39" t="str">
        <v>Coca Cola</v>
      </c>
      <c r="E506" s="39" t="str">
        <v>Damaged Stock</v>
      </c>
      <c r="F506" s="45" t="n">
        <v>1</v>
      </c>
      <c r="G506" s="40" t="str">
        <v>[Code: 235678GH] TA: Found damaged during sorting.</v>
      </c>
      <c r="H506" s="39" t="str">
        <v>Taufeeq Akhtar </v>
      </c>
      <c r="I506" s="39" t="str">
        <f aca="false">IF(ISBLANK(H506),"", IF($H$2:$H2005 = "Gohar Rehan","Overnight",IF($H$2:$H2005 = "Taufeeq Akhtar ","Overnight",IF($H$2:$H2005 = "Zeeshan Ali Malik","Audit",IF($H$2:$H2005 = "Ali Raza ","Receiving",IF($H$2:$H2005 = "Ali Ahmad","Full-In"))))))</f>
        <v>Overnight</v>
      </c>
      <c r="J506" s="29"/>
      <c r="K506" s="50" t="s">
        <v>2248</v>
      </c>
      <c r="L506" s="50" t="s">
        <v>2333</v>
      </c>
      <c r="M506" s="41"/>
      <c r="N506" s="39" t="s">
        <v>2250</v>
      </c>
      <c r="O506" s="46" t="b">
        <f aca="false">FALSE()</f>
        <v>0</v>
      </c>
      <c r="P506" s="20" t="n">
        <v>905.36</v>
      </c>
      <c r="Q506" s="45" t="n">
        <v>905.36</v>
      </c>
      <c r="R506" s="43" t="n">
        <v>45248</v>
      </c>
      <c r="S506" s="20" t="str">
        <v>Beverages</v>
      </c>
    </row>
    <row r="507" customFormat="false" ht="15.75" hidden="false" customHeight="false" outlineLevel="0" collapsed="false">
      <c r="A507" s="39" t="str">
        <v>278CDEJN</v>
      </c>
      <c r="B507" s="44" t="str">
        <v>Sat,18-November-2023 ,10:56 PM</v>
      </c>
      <c r="C507" s="39" t="str">
        <v>Sunlight Pink Clean and Jasmine Fresh 700g Rs199</v>
      </c>
      <c r="D507" s="39" t="str">
        <v>Sunlight</v>
      </c>
      <c r="E507" s="39" t="str">
        <v>Damaged Stock</v>
      </c>
      <c r="F507" s="45" t="n">
        <v>1</v>
      </c>
      <c r="G507" s="40" t="str">
        <v>[Code: 278CDEJN] TA: 1unit damage found during display.</v>
      </c>
      <c r="H507" s="39" t="str">
        <v>Taufeeq Akhtar </v>
      </c>
      <c r="I507" s="39" t="str">
        <f aca="false">IF(ISBLANK(H507),"", IF($H$2:$H2006 = "Gohar Rehan","Overnight",IF($H$2:$H2006 = "Taufeeq Akhtar ","Overnight",IF($H$2:$H2006 = "Zeeshan Ali Malik","Audit",IF($H$2:$H2006 = "Ali Raza ","Receiving",IF($H$2:$H2006 = "Ali Ahmad","Full-In"))))))</f>
        <v>Overnight</v>
      </c>
      <c r="J507" s="29"/>
      <c r="K507" s="50" t="s">
        <v>2248</v>
      </c>
      <c r="L507" s="48" t="s">
        <v>2332</v>
      </c>
      <c r="M507" s="41"/>
      <c r="N507" s="39" t="s">
        <v>2250</v>
      </c>
      <c r="O507" s="46" t="b">
        <f aca="false">FALSE()</f>
        <v>0</v>
      </c>
      <c r="P507" s="20" t="n">
        <v>180.2</v>
      </c>
      <c r="Q507" s="45" t="n">
        <v>180.2</v>
      </c>
      <c r="R507" s="43" t="n">
        <v>45248</v>
      </c>
      <c r="S507" s="20" t="str">
        <v>Surf, Bleach</v>
      </c>
    </row>
    <row r="508" customFormat="false" ht="15.75" hidden="false" customHeight="false" outlineLevel="0" collapsed="false">
      <c r="A508" s="39" t="str">
        <v>445688CF</v>
      </c>
      <c r="B508" s="44" t="str">
        <v>Sun,19-November-2023 ,01:22 PM</v>
      </c>
      <c r="C508" s="39" t="str">
        <v>Swadi Zeera 1kg</v>
      </c>
      <c r="D508" s="39" t="str">
        <v>Swadi</v>
      </c>
      <c r="E508" s="39" t="str">
        <v>Damaged Stock</v>
      </c>
      <c r="F508" s="45" t="n">
        <v>7</v>
      </c>
      <c r="G508" s="40" t="str">
        <v>[Code: 445688CF] 7 units found quality issue.</v>
      </c>
      <c r="H508" s="39" t="str">
        <v>Ali Raza </v>
      </c>
      <c r="I508" s="39" t="str">
        <f aca="false">IF(ISBLANK(H508),"", IF($H$2:$H2007 = "Gohar Rehan","Overnight",IF($H$2:$H2007 = "Taufeeq Akhtar ","Overnight",IF($H$2:$H2007 = "Zeeshan Ali Malik","Audit",IF($H$2:$H2007 = "Ali Raza ","Receiving",IF($H$2:$H2007 = "Ali Ahmad","Full-In"))))))</f>
        <v>Receiving</v>
      </c>
      <c r="J508" s="29"/>
      <c r="K508" s="50" t="s">
        <v>2248</v>
      </c>
      <c r="L508" s="48" t="s">
        <v>2332</v>
      </c>
      <c r="M508" s="41"/>
      <c r="N508" s="39" t="s">
        <v>2250</v>
      </c>
      <c r="O508" s="46" t="b">
        <f aca="false">FALSE()</f>
        <v>0</v>
      </c>
      <c r="P508" s="20" t="n">
        <v>2425</v>
      </c>
      <c r="Q508" s="45" t="n">
        <v>16975</v>
      </c>
      <c r="R508" s="43" t="n">
        <v>45249</v>
      </c>
      <c r="S508" s="20" t="str">
        <v>Spices</v>
      </c>
    </row>
    <row r="509" customFormat="false" ht="15.75" hidden="false" customHeight="false" outlineLevel="0" collapsed="false">
      <c r="A509" s="39" t="str">
        <v>2237BDEK</v>
      </c>
      <c r="B509" s="44" t="str">
        <v>Sun,19-November-2023 ,07:24 PM</v>
      </c>
      <c r="C509" s="39" t="str">
        <v>Ultra Pure Bleach 300ml Rs 80</v>
      </c>
      <c r="D509" s="39" t="str">
        <v>Ultra Pure</v>
      </c>
      <c r="E509" s="39" t="str">
        <v>Damaged Stock</v>
      </c>
      <c r="F509" s="45" t="n">
        <v>1</v>
      </c>
      <c r="G509" s="40" t="str">
        <v>[Code: 2237BDEK] TA; 1unit damage found during display. (cotton sy leak mili he )</v>
      </c>
      <c r="H509" s="39" t="str">
        <v>Taufeeq Akhtar </v>
      </c>
      <c r="I509" s="39" t="str">
        <f aca="false">IF(ISBLANK(H509),"", IF($H$2:$H2008 = "Gohar Rehan","Overnight",IF($H$2:$H2008 = "Taufeeq Akhtar ","Overnight",IF($H$2:$H2008 = "Zeeshan Ali Malik","Audit",IF($H$2:$H2008 = "Ali Raza ","Receiving",IF($H$2:$H2008 = "Ali Ahmad","Full-In"))))))</f>
        <v>Overnight</v>
      </c>
      <c r="J509" s="29"/>
      <c r="K509" s="50" t="s">
        <v>2248</v>
      </c>
      <c r="L509" s="48" t="s">
        <v>2332</v>
      </c>
      <c r="M509" s="41"/>
      <c r="N509" s="39" t="s">
        <v>2250</v>
      </c>
      <c r="O509" s="46" t="b">
        <f aca="false">FALSE()</f>
        <v>0</v>
      </c>
      <c r="P509" s="20" t="n">
        <v>39</v>
      </c>
      <c r="Q509" s="45" t="n">
        <v>39</v>
      </c>
      <c r="R509" s="43" t="n">
        <v>45249</v>
      </c>
      <c r="S509" s="20" t="str">
        <v>Surf, Bleach</v>
      </c>
    </row>
    <row r="510" customFormat="false" ht="15.75" hidden="false" customHeight="false" outlineLevel="0" collapsed="false">
      <c r="A510" s="39" t="str">
        <v>34559ABC</v>
      </c>
      <c r="B510" s="44" t="str">
        <v>Sun,19-November-2023 ,09:04 PM</v>
      </c>
      <c r="C510" s="39" t="str">
        <v>Sunsilk Stunning Black Shine Shampoo x16 bundle 4.5ml</v>
      </c>
      <c r="D510" s="39" t="str">
        <v>Sunsilk</v>
      </c>
      <c r="E510" s="39" t="str">
        <v>Damaged Stock</v>
      </c>
      <c r="F510" s="45" t="n">
        <v>4</v>
      </c>
      <c r="G510" s="40" t="str">
        <v>[Code: 34559ABC]  TA; 4unit damage found during display. ( cotton sy leak mile hain )</v>
      </c>
      <c r="H510" s="39" t="str">
        <v>Taufeeq Akhtar </v>
      </c>
      <c r="I510" s="39" t="str">
        <f aca="false">IF(ISBLANK(H510),"", IF($H$2:$H2009 = "Gohar Rehan","Overnight",IF($H$2:$H2009 = "Taufeeq Akhtar ","Overnight",IF($H$2:$H2009 = "Zeeshan Ali Malik","Audit",IF($H$2:$H2009 = "Ali Raza ","Receiving",IF($H$2:$H2009 = "Ali Ahmad","Full-In"))))))</f>
        <v>Overnight</v>
      </c>
      <c r="J510" s="29"/>
      <c r="K510" s="50" t="s">
        <v>2248</v>
      </c>
      <c r="L510" s="48" t="s">
        <v>2332</v>
      </c>
      <c r="M510" s="41"/>
      <c r="N510" s="39" t="s">
        <v>2250</v>
      </c>
      <c r="O510" s="46" t="b">
        <f aca="false">FALSE()</f>
        <v>0</v>
      </c>
      <c r="P510" s="20" t="n">
        <v>72.92</v>
      </c>
      <c r="Q510" s="45" t="n">
        <v>291.68</v>
      </c>
      <c r="R510" s="43" t="n">
        <v>45249</v>
      </c>
      <c r="S510" s="20" t="str">
        <v>Shampoo</v>
      </c>
    </row>
    <row r="511" customFormat="false" ht="15.75" hidden="false" customHeight="false" outlineLevel="0" collapsed="false">
      <c r="A511" s="39" t="str">
        <v>2458ABBD</v>
      </c>
      <c r="B511" s="44" t="str">
        <v>Sun,19-November-2023 ,09:09 PM</v>
      </c>
      <c r="C511" s="39" t="str">
        <v>Sunsilk Hairfall Shampoo x16 bundle 7ml Rs10</v>
      </c>
      <c r="D511" s="39" t="str">
        <v>Sunsilk</v>
      </c>
      <c r="E511" s="39" t="str">
        <v>Damaged Stock</v>
      </c>
      <c r="F511" s="45" t="n">
        <v>1</v>
      </c>
      <c r="G511" s="40" t="str">
        <v>[Code: 2458ABBD]   TA: 1unit damage found during sorting </v>
      </c>
      <c r="H511" s="39" t="str">
        <v>Taufeeq Akhtar </v>
      </c>
      <c r="I511" s="39" t="str">
        <f aca="false">IF(ISBLANK(H511),"", IF($H$2:$H2010 = "Gohar Rehan","Overnight",IF($H$2:$H2010 = "Taufeeq Akhtar ","Overnight",IF($H$2:$H2010 = "Zeeshan Ali Malik","Audit",IF($H$2:$H2010 = "Ali Raza ","Receiving",IF($H$2:$H2010 = "Ali Ahmad","Full-In"))))))</f>
        <v>Overnight</v>
      </c>
      <c r="J511" s="29"/>
      <c r="K511" s="50" t="s">
        <v>2248</v>
      </c>
      <c r="L511" s="48" t="s">
        <v>2332</v>
      </c>
      <c r="M511" s="41"/>
      <c r="N511" s="39" t="s">
        <v>2250</v>
      </c>
      <c r="O511" s="42" t="b">
        <f aca="false">FALSE()</f>
        <v>0</v>
      </c>
      <c r="P511" s="20" t="n">
        <v>142</v>
      </c>
      <c r="Q511" s="45" t="n">
        <v>142</v>
      </c>
      <c r="R511" s="43" t="n">
        <v>45249</v>
      </c>
      <c r="S511" s="20" t="str">
        <v>Shampoo</v>
      </c>
    </row>
    <row r="512" customFormat="false" ht="15.75" hidden="false" customHeight="false" outlineLevel="0" collapsed="false">
      <c r="A512" s="39" t="str">
        <v>35679ACD</v>
      </c>
      <c r="B512" s="44" t="str">
        <v>Mon,20-November-2023 ,10:01 PM</v>
      </c>
      <c r="C512" s="39" t="str">
        <v>Bio Amla Praima Hair Colour Dark brown 43</v>
      </c>
      <c r="D512" s="39" t="str">
        <v>Bio Amla</v>
      </c>
      <c r="E512" s="39" t="str">
        <v>Damaged Stock</v>
      </c>
      <c r="F512" s="45" t="n">
        <v>1</v>
      </c>
      <c r="G512" s="40" t="str">
        <v>[Code: 35679ACD] TA: box may say damaged nikla.</v>
      </c>
      <c r="H512" s="39" t="str">
        <v>Taufeeq Akhtar </v>
      </c>
      <c r="I512" s="39" t="str">
        <f aca="false">IF(ISBLANK(H512),"", IF($H$2:$H2011 = "Gohar Rehan","Overnight",IF($H$2:$H2011 = "Taufeeq Akhtar ","Overnight",IF($H$2:$H2011 = "Zeeshan Ali Malik","Audit",IF($H$2:$H2011 = "Ali Raza ","Receiving",IF($H$2:$H2011 = "Ali Ahmad","Full-In"))))))</f>
        <v>Overnight</v>
      </c>
      <c r="J512" s="29"/>
      <c r="K512" s="50" t="s">
        <v>2248</v>
      </c>
      <c r="L512" s="48" t="s">
        <v>2332</v>
      </c>
      <c r="M512" s="41"/>
      <c r="N512" s="39" t="s">
        <v>2250</v>
      </c>
      <c r="O512" s="46" t="b">
        <f aca="false">FALSE()</f>
        <v>0</v>
      </c>
      <c r="P512" s="20" t="n">
        <v>45</v>
      </c>
      <c r="Q512" s="45" t="n">
        <v>45</v>
      </c>
      <c r="R512" s="43" t="n">
        <v>45250</v>
      </c>
      <c r="S512" s="20" t="str">
        <v>Personal Care</v>
      </c>
    </row>
    <row r="513" customFormat="false" ht="15.75" hidden="false" customHeight="false" outlineLevel="0" collapsed="false">
      <c r="A513" s="39" t="n">
        <v>0</v>
      </c>
      <c r="B513" s="44" t="str">
        <v/>
      </c>
      <c r="C513" s="39" t="n">
        <v>0</v>
      </c>
      <c r="D513" s="39" t="n">
        <v>0</v>
      </c>
      <c r="E513" s="39" t="str">
        <v/>
      </c>
      <c r="F513" s="45" t="n">
        <v>0</v>
      </c>
      <c r="G513" s="40" t="n">
        <v>0</v>
      </c>
      <c r="H513" s="39" t="n">
        <v>0</v>
      </c>
      <c r="I513" s="49" t="b">
        <f aca="false">IF(ISBLANK(H513),"", IF($H$2:$H2012 = "Gohar Rehan","Overnight",IF($H$2:$H2012 = "Taufeeq Akhtar ","Overnight",IF($H$2:$H2012 = "Zeeshan Ali Malik","Audit",IF($H$2:$H2012 = "Ali Raza ","Receiving",IF($H$2:$H2012 = "Ali Ahmad","Full-In"))))))</f>
        <v>0</v>
      </c>
      <c r="J513" s="29"/>
      <c r="K513" s="40"/>
      <c r="L513" s="40"/>
      <c r="M513" s="41"/>
      <c r="N513" s="39" t="s">
        <v>2335</v>
      </c>
      <c r="O513" s="46" t="b">
        <f aca="false">FALSE()</f>
        <v>0</v>
      </c>
      <c r="P513" s="20" t="n">
        <v>0</v>
      </c>
      <c r="Q513" s="45" t="n">
        <v>0</v>
      </c>
      <c r="R513" s="43" t="n">
        <v>0</v>
      </c>
      <c r="S513" s="20" t="n">
        <v>0</v>
      </c>
    </row>
    <row r="514" customFormat="false" ht="15.75" hidden="false" customHeight="false" outlineLevel="0" collapsed="false">
      <c r="A514" s="39" t="n">
        <v>0</v>
      </c>
      <c r="B514" s="44" t="str">
        <v/>
      </c>
      <c r="C514" s="39" t="n">
        <v>0</v>
      </c>
      <c r="D514" s="39" t="n">
        <v>0</v>
      </c>
      <c r="E514" s="39" t="str">
        <v/>
      </c>
      <c r="F514" s="45" t="n">
        <v>0</v>
      </c>
      <c r="G514" s="40" t="n">
        <v>0</v>
      </c>
      <c r="H514" s="39" t="n">
        <v>0</v>
      </c>
      <c r="I514" s="49" t="b">
        <f aca="false">IF(ISBLANK(H514),"", IF($H$2:$H2013 = "Gohar Rehan","Overnight",IF($H$2:$H2013 = "Taufeeq Akhtar ","Overnight",IF($H$2:$H2013 = "Zeeshan Ali Malik","Audit",IF($H$2:$H2013 = "Ali Raza ","Receiving",IF($H$2:$H2013 = "Ali Ahmad","Full-In"))))))</f>
        <v>0</v>
      </c>
      <c r="J514" s="29"/>
      <c r="K514" s="40"/>
      <c r="L514" s="40"/>
      <c r="M514" s="41"/>
      <c r="N514" s="39" t="s">
        <v>2335</v>
      </c>
      <c r="O514" s="46" t="b">
        <f aca="false">FALSE()</f>
        <v>0</v>
      </c>
      <c r="P514" s="20" t="n">
        <v>0</v>
      </c>
      <c r="Q514" s="45" t="n">
        <v>0</v>
      </c>
      <c r="R514" s="43" t="n">
        <v>0</v>
      </c>
      <c r="S514" s="20" t="n">
        <v>0</v>
      </c>
    </row>
    <row r="515" customFormat="false" ht="15.75" hidden="false" customHeight="false" outlineLevel="0" collapsed="false">
      <c r="A515" s="39" t="n">
        <v>0</v>
      </c>
      <c r="B515" s="44" t="str">
        <v/>
      </c>
      <c r="C515" s="39" t="n">
        <v>0</v>
      </c>
      <c r="D515" s="39" t="n">
        <v>0</v>
      </c>
      <c r="E515" s="39" t="str">
        <v/>
      </c>
      <c r="F515" s="45" t="n">
        <v>0</v>
      </c>
      <c r="G515" s="40" t="n">
        <v>0</v>
      </c>
      <c r="H515" s="39" t="n">
        <v>0</v>
      </c>
      <c r="I515" s="49" t="b">
        <f aca="false">IF(ISBLANK(H515),"", IF($H$2:$H2014 = "Gohar Rehan","Overnight",IF($H$2:$H2014 = "Taufeeq Akhtar ","Overnight",IF($H$2:$H2014 = "Zeeshan Ali Malik","Audit",IF($H$2:$H2014 = "Ali Raza ","Receiving",IF($H$2:$H2014 = "Ali Ahmad","Full-In"))))))</f>
        <v>0</v>
      </c>
      <c r="J515" s="29"/>
      <c r="K515" s="40"/>
      <c r="L515" s="40"/>
      <c r="M515" s="41"/>
      <c r="N515" s="39" t="s">
        <v>2335</v>
      </c>
      <c r="O515" s="46" t="b">
        <f aca="false">FALSE()</f>
        <v>0</v>
      </c>
      <c r="P515" s="20" t="n">
        <v>0</v>
      </c>
      <c r="Q515" s="45" t="n">
        <v>0</v>
      </c>
      <c r="R515" s="43" t="n">
        <v>0</v>
      </c>
      <c r="S515" s="20" t="n">
        <v>0</v>
      </c>
    </row>
    <row r="516" customFormat="false" ht="15.75" hidden="false" customHeight="false" outlineLevel="0" collapsed="false">
      <c r="A516" s="39" t="n">
        <v>0</v>
      </c>
      <c r="B516" s="44" t="str">
        <v/>
      </c>
      <c r="C516" s="39" t="n">
        <v>0</v>
      </c>
      <c r="D516" s="39" t="n">
        <v>0</v>
      </c>
      <c r="E516" s="39" t="str">
        <v/>
      </c>
      <c r="F516" s="45" t="n">
        <v>0</v>
      </c>
      <c r="G516" s="40" t="n">
        <v>0</v>
      </c>
      <c r="H516" s="39" t="n">
        <v>0</v>
      </c>
      <c r="I516" s="49" t="b">
        <f aca="false">IF(ISBLANK(H516),"", IF($H$2:$H2015 = "Gohar Rehan","Overnight",IF($H$2:$H2015 = "Taufeeq Akhtar ","Overnight",IF($H$2:$H2015 = "Zeeshan Ali Malik","Audit",IF($H$2:$H2015 = "Ali Raza ","Receiving",IF($H$2:$H2015 = "Ali Ahmad","Full-In"))))))</f>
        <v>0</v>
      </c>
      <c r="J516" s="29"/>
      <c r="K516" s="40"/>
      <c r="L516" s="40"/>
      <c r="M516" s="41"/>
      <c r="N516" s="39" t="s">
        <v>2335</v>
      </c>
      <c r="O516" s="46" t="b">
        <f aca="false">FALSE()</f>
        <v>0</v>
      </c>
      <c r="P516" s="20" t="n">
        <v>0</v>
      </c>
      <c r="Q516" s="45" t="n">
        <v>0</v>
      </c>
      <c r="R516" s="43" t="n">
        <v>0</v>
      </c>
      <c r="S516" s="20" t="n">
        <v>0</v>
      </c>
    </row>
    <row r="517" customFormat="false" ht="15.75" hidden="false" customHeight="false" outlineLevel="0" collapsed="false">
      <c r="A517" s="39" t="n">
        <v>0</v>
      </c>
      <c r="B517" s="44" t="str">
        <v/>
      </c>
      <c r="C517" s="39" t="n">
        <v>0</v>
      </c>
      <c r="D517" s="39" t="n">
        <v>0</v>
      </c>
      <c r="E517" s="39" t="str">
        <v/>
      </c>
      <c r="F517" s="45" t="n">
        <v>0</v>
      </c>
      <c r="G517" s="40" t="n">
        <v>0</v>
      </c>
      <c r="H517" s="39" t="n">
        <v>0</v>
      </c>
      <c r="I517" s="49" t="b">
        <f aca="false">IF(ISBLANK(H517),"", IF($H$2:$H2016 = "Gohar Rehan","Overnight",IF($H$2:$H2016 = "Taufeeq Akhtar ","Overnight",IF($H$2:$H2016 = "Zeeshan Ali Malik","Audit",IF($H$2:$H2016 = "Ali Raza ","Receiving",IF($H$2:$H2016 = "Ali Ahmad","Full-In"))))))</f>
        <v>0</v>
      </c>
      <c r="J517" s="29"/>
      <c r="K517" s="40"/>
      <c r="L517" s="40"/>
      <c r="M517" s="41"/>
      <c r="N517" s="39" t="s">
        <v>2335</v>
      </c>
      <c r="O517" s="46" t="b">
        <f aca="false">FALSE()</f>
        <v>0</v>
      </c>
      <c r="P517" s="20" t="n">
        <v>0</v>
      </c>
      <c r="Q517" s="45" t="n">
        <v>0</v>
      </c>
      <c r="R517" s="43" t="n">
        <v>0</v>
      </c>
      <c r="S517" s="20" t="n">
        <v>0</v>
      </c>
    </row>
    <row r="518" customFormat="false" ht="15.75" hidden="false" customHeight="false" outlineLevel="0" collapsed="false">
      <c r="A518" s="39" t="n">
        <v>0</v>
      </c>
      <c r="B518" s="44" t="str">
        <v/>
      </c>
      <c r="C518" s="39" t="n">
        <v>0</v>
      </c>
      <c r="D518" s="39" t="n">
        <v>0</v>
      </c>
      <c r="E518" s="39" t="str">
        <v/>
      </c>
      <c r="F518" s="45" t="n">
        <v>0</v>
      </c>
      <c r="G518" s="40" t="n">
        <v>0</v>
      </c>
      <c r="H518" s="39" t="n">
        <v>0</v>
      </c>
      <c r="I518" s="49" t="b">
        <f aca="false">IF(ISBLANK(H518),"", IF($H$2:$H2017 = "Gohar Rehan","Overnight",IF($H$2:$H2017 = "Taufeeq Akhtar ","Overnight",IF($H$2:$H2017 = "Zeeshan Ali Malik","Audit",IF($H$2:$H2017 = "Ali Raza ","Receiving",IF($H$2:$H2017 = "Ali Ahmad","Full-In"))))))</f>
        <v>0</v>
      </c>
      <c r="J518" s="29"/>
      <c r="K518" s="40"/>
      <c r="L518" s="40"/>
      <c r="M518" s="41"/>
      <c r="N518" s="39" t="s">
        <v>2335</v>
      </c>
      <c r="O518" s="46" t="b">
        <f aca="false">FALSE()</f>
        <v>0</v>
      </c>
      <c r="P518" s="20" t="n">
        <v>0</v>
      </c>
      <c r="Q518" s="45" t="n">
        <v>0</v>
      </c>
      <c r="R518" s="43" t="n">
        <v>0</v>
      </c>
      <c r="S518" s="20" t="n">
        <v>0</v>
      </c>
    </row>
    <row r="519" customFormat="false" ht="15.75" hidden="false" customHeight="false" outlineLevel="0" collapsed="false">
      <c r="A519" s="39" t="n">
        <v>0</v>
      </c>
      <c r="B519" s="44" t="str">
        <v/>
      </c>
      <c r="C519" s="39" t="n">
        <v>0</v>
      </c>
      <c r="D519" s="39" t="n">
        <v>0</v>
      </c>
      <c r="E519" s="39" t="str">
        <v/>
      </c>
      <c r="F519" s="45" t="n">
        <v>0</v>
      </c>
      <c r="G519" s="40" t="n">
        <v>0</v>
      </c>
      <c r="H519" s="39" t="n">
        <v>0</v>
      </c>
      <c r="I519" s="49" t="b">
        <f aca="false">IF(ISBLANK(H519),"", IF($H$2:$H2018 = "Gohar Rehan","Overnight",IF($H$2:$H2018 = "Taufeeq Akhtar ","Overnight",IF($H$2:$H2018 = "Zeeshan Ali Malik","Audit",IF($H$2:$H2018 = "Ali Raza ","Receiving",IF($H$2:$H2018 = "Ali Ahmad","Full-In"))))))</f>
        <v>0</v>
      </c>
      <c r="J519" s="29"/>
      <c r="K519" s="40"/>
      <c r="L519" s="40"/>
      <c r="M519" s="41"/>
      <c r="N519" s="39" t="s">
        <v>2335</v>
      </c>
      <c r="O519" s="46" t="b">
        <f aca="false">FALSE()</f>
        <v>0</v>
      </c>
      <c r="P519" s="20" t="n">
        <v>0</v>
      </c>
      <c r="Q519" s="45" t="n">
        <v>0</v>
      </c>
      <c r="R519" s="43" t="n">
        <v>0</v>
      </c>
      <c r="S519" s="20" t="n">
        <v>0</v>
      </c>
    </row>
    <row r="520" customFormat="false" ht="15.75" hidden="false" customHeight="false" outlineLevel="0" collapsed="false">
      <c r="A520" s="39" t="n">
        <v>0</v>
      </c>
      <c r="B520" s="44" t="str">
        <v/>
      </c>
      <c r="C520" s="39" t="n">
        <v>0</v>
      </c>
      <c r="D520" s="39" t="n">
        <v>0</v>
      </c>
      <c r="E520" s="39" t="str">
        <v/>
      </c>
      <c r="F520" s="45" t="n">
        <v>0</v>
      </c>
      <c r="G520" s="40" t="n">
        <v>0</v>
      </c>
      <c r="H520" s="39" t="n">
        <v>0</v>
      </c>
      <c r="I520" s="49" t="b">
        <f aca="false">IF(ISBLANK(H520),"", IF($H$2:$H2019 = "Gohar Rehan","Overnight",IF($H$2:$H2019 = "Taufeeq Akhtar ","Overnight",IF($H$2:$H2019 = "Zeeshan Ali Malik","Audit",IF($H$2:$H2019 = "Ali Raza ","Receiving",IF($H$2:$H2019 = "Ali Ahmad","Full-In"))))))</f>
        <v>0</v>
      </c>
      <c r="J520" s="29"/>
      <c r="K520" s="40"/>
      <c r="L520" s="40"/>
      <c r="M520" s="41"/>
      <c r="N520" s="39" t="s">
        <v>2335</v>
      </c>
      <c r="O520" s="46" t="b">
        <f aca="false">FALSE()</f>
        <v>0</v>
      </c>
      <c r="P520" s="20" t="n">
        <v>0</v>
      </c>
      <c r="Q520" s="45" t="n">
        <v>0</v>
      </c>
      <c r="R520" s="43" t="n">
        <v>0</v>
      </c>
      <c r="S520" s="20" t="n">
        <v>0</v>
      </c>
    </row>
    <row r="521" customFormat="false" ht="15.75" hidden="false" customHeight="false" outlineLevel="0" collapsed="false">
      <c r="A521" s="39" t="n">
        <v>0</v>
      </c>
      <c r="B521" s="44" t="str">
        <v/>
      </c>
      <c r="C521" s="39" t="n">
        <v>0</v>
      </c>
      <c r="D521" s="39" t="n">
        <v>0</v>
      </c>
      <c r="E521" s="39" t="str">
        <v/>
      </c>
      <c r="F521" s="45" t="n">
        <v>0</v>
      </c>
      <c r="G521" s="40" t="n">
        <v>0</v>
      </c>
      <c r="H521" s="39" t="n">
        <v>0</v>
      </c>
      <c r="I521" s="49" t="b">
        <f aca="false">IF(ISBLANK(H521),"", IF($H$2:$H2020 = "Gohar Rehan","Overnight",IF($H$2:$H2020 = "Taufeeq Akhtar ","Overnight",IF($H$2:$H2020 = "Zeeshan Ali Malik","Audit",IF($H$2:$H2020 = "Ali Raza ","Receiving",IF($H$2:$H2020 = "Ali Ahmad","Full-In"))))))</f>
        <v>0</v>
      </c>
      <c r="J521" s="29"/>
      <c r="K521" s="40"/>
      <c r="L521" s="40"/>
      <c r="M521" s="41"/>
      <c r="N521" s="39" t="s">
        <v>2335</v>
      </c>
      <c r="O521" s="46" t="b">
        <f aca="false">FALSE()</f>
        <v>0</v>
      </c>
      <c r="P521" s="20" t="n">
        <v>0</v>
      </c>
      <c r="Q521" s="45" t="n">
        <v>0</v>
      </c>
      <c r="R521" s="43" t="n">
        <v>0</v>
      </c>
      <c r="S521" s="20" t="n">
        <v>0</v>
      </c>
    </row>
    <row r="522" customFormat="false" ht="15.75" hidden="false" customHeight="false" outlineLevel="0" collapsed="false">
      <c r="A522" s="39" t="n">
        <v>0</v>
      </c>
      <c r="B522" s="44" t="str">
        <v/>
      </c>
      <c r="C522" s="39" t="n">
        <v>0</v>
      </c>
      <c r="D522" s="39" t="n">
        <v>0</v>
      </c>
      <c r="E522" s="39" t="str">
        <v/>
      </c>
      <c r="F522" s="45" t="n">
        <v>0</v>
      </c>
      <c r="G522" s="40" t="n">
        <v>0</v>
      </c>
      <c r="H522" s="39" t="n">
        <v>0</v>
      </c>
      <c r="I522" s="49" t="b">
        <f aca="false">IF(ISBLANK(H522),"", IF($H$2:$H2021 = "Gohar Rehan","Overnight",IF($H$2:$H2021 = "Taufeeq Akhtar ","Overnight",IF($H$2:$H2021 = "Zeeshan Ali Malik","Audit",IF($H$2:$H2021 = "Ali Raza ","Receiving",IF($H$2:$H2021 = "Ali Ahmad","Full-In"))))))</f>
        <v>0</v>
      </c>
      <c r="J522" s="29"/>
      <c r="K522" s="40"/>
      <c r="L522" s="40"/>
      <c r="M522" s="41"/>
      <c r="N522" s="39" t="s">
        <v>2335</v>
      </c>
      <c r="O522" s="46" t="b">
        <f aca="false">FALSE()</f>
        <v>0</v>
      </c>
      <c r="P522" s="20" t="n">
        <v>0</v>
      </c>
      <c r="Q522" s="45" t="n">
        <v>0</v>
      </c>
      <c r="R522" s="43" t="n">
        <v>0</v>
      </c>
      <c r="S522" s="20" t="n">
        <v>0</v>
      </c>
    </row>
    <row r="523" customFormat="false" ht="15.75" hidden="false" customHeight="false" outlineLevel="0" collapsed="false">
      <c r="A523" s="39" t="n">
        <v>0</v>
      </c>
      <c r="B523" s="44" t="str">
        <v/>
      </c>
      <c r="C523" s="39" t="n">
        <v>0</v>
      </c>
      <c r="D523" s="39" t="n">
        <v>0</v>
      </c>
      <c r="E523" s="39" t="str">
        <v/>
      </c>
      <c r="F523" s="45" t="n">
        <v>0</v>
      </c>
      <c r="G523" s="40" t="n">
        <v>0</v>
      </c>
      <c r="H523" s="39" t="n">
        <v>0</v>
      </c>
      <c r="I523" s="49" t="b">
        <f aca="false">IF(ISBLANK(H523),"", IF($H$2:$H2022 = "Gohar Rehan","Overnight",IF($H$2:$H2022 = "Taufeeq Akhtar ","Overnight",IF($H$2:$H2022 = "Zeeshan Ali Malik","Audit",IF($H$2:$H2022 = "Ali Raza ","Receiving",IF($H$2:$H2022 = "Ali Ahmad","Full-In"))))))</f>
        <v>0</v>
      </c>
      <c r="J523" s="29"/>
      <c r="K523" s="40"/>
      <c r="L523" s="40"/>
      <c r="M523" s="41"/>
      <c r="N523" s="39" t="s">
        <v>2335</v>
      </c>
      <c r="O523" s="46" t="b">
        <f aca="false">FALSE()</f>
        <v>0</v>
      </c>
      <c r="P523" s="20" t="n">
        <v>0</v>
      </c>
      <c r="Q523" s="45" t="n">
        <v>0</v>
      </c>
      <c r="R523" s="43" t="n">
        <v>0</v>
      </c>
      <c r="S523" s="20" t="n">
        <v>0</v>
      </c>
    </row>
    <row r="524" customFormat="false" ht="15.75" hidden="false" customHeight="false" outlineLevel="0" collapsed="false">
      <c r="A524" s="39" t="n">
        <v>0</v>
      </c>
      <c r="B524" s="44" t="str">
        <v/>
      </c>
      <c r="C524" s="39" t="n">
        <v>0</v>
      </c>
      <c r="D524" s="39" t="n">
        <v>0</v>
      </c>
      <c r="E524" s="39" t="str">
        <v/>
      </c>
      <c r="F524" s="45" t="n">
        <v>0</v>
      </c>
      <c r="G524" s="40" t="n">
        <v>0</v>
      </c>
      <c r="H524" s="39" t="n">
        <v>0</v>
      </c>
      <c r="I524" s="49" t="b">
        <f aca="false">IF(ISBLANK(H524),"", IF($H$2:$H2023 = "Gohar Rehan","Overnight",IF($H$2:$H2023 = "Taufeeq Akhtar ","Overnight",IF($H$2:$H2023 = "Zeeshan Ali Malik","Audit",IF($H$2:$H2023 = "Ali Raza ","Receiving",IF($H$2:$H2023 = "Ali Ahmad","Full-In"))))))</f>
        <v>0</v>
      </c>
      <c r="J524" s="29"/>
      <c r="K524" s="40"/>
      <c r="L524" s="40"/>
      <c r="M524" s="41"/>
      <c r="N524" s="39" t="s">
        <v>2335</v>
      </c>
      <c r="O524" s="46" t="b">
        <f aca="false">FALSE()</f>
        <v>0</v>
      </c>
      <c r="P524" s="20" t="n">
        <v>0</v>
      </c>
      <c r="Q524" s="45" t="n">
        <v>0</v>
      </c>
      <c r="R524" s="43" t="n">
        <v>0</v>
      </c>
      <c r="S524" s="20" t="n">
        <v>0</v>
      </c>
    </row>
    <row r="525" customFormat="false" ht="15.75" hidden="false" customHeight="false" outlineLevel="0" collapsed="false">
      <c r="A525" s="39" t="n">
        <v>0</v>
      </c>
      <c r="B525" s="44" t="str">
        <v/>
      </c>
      <c r="C525" s="39" t="n">
        <v>0</v>
      </c>
      <c r="D525" s="39" t="n">
        <v>0</v>
      </c>
      <c r="E525" s="39" t="str">
        <v/>
      </c>
      <c r="F525" s="45" t="n">
        <v>0</v>
      </c>
      <c r="G525" s="40" t="n">
        <v>0</v>
      </c>
      <c r="H525" s="39" t="n">
        <v>0</v>
      </c>
      <c r="I525" s="49" t="b">
        <f aca="false">IF(ISBLANK(H525),"", IF($H$2:$H2024 = "Gohar Rehan","Overnight",IF($H$2:$H2024 = "Taufeeq Akhtar ","Overnight",IF($H$2:$H2024 = "Zeeshan Ali Malik","Audit",IF($H$2:$H2024 = "Ali Raza ","Receiving",IF($H$2:$H2024 = "Ali Ahmad","Full-In"))))))</f>
        <v>0</v>
      </c>
      <c r="J525" s="29"/>
      <c r="K525" s="40"/>
      <c r="L525" s="40"/>
      <c r="M525" s="41"/>
      <c r="N525" s="39" t="s">
        <v>2335</v>
      </c>
      <c r="O525" s="46" t="b">
        <f aca="false">FALSE()</f>
        <v>0</v>
      </c>
      <c r="P525" s="20" t="n">
        <v>0</v>
      </c>
      <c r="Q525" s="45" t="n">
        <v>0</v>
      </c>
      <c r="R525" s="43" t="n">
        <v>0</v>
      </c>
      <c r="S525" s="20" t="n">
        <v>0</v>
      </c>
    </row>
    <row r="526" customFormat="false" ht="15.75" hidden="false" customHeight="false" outlineLevel="0" collapsed="false">
      <c r="A526" s="39" t="n">
        <v>0</v>
      </c>
      <c r="B526" s="44" t="str">
        <v/>
      </c>
      <c r="C526" s="39" t="n">
        <v>0</v>
      </c>
      <c r="D526" s="39" t="n">
        <v>0</v>
      </c>
      <c r="E526" s="39" t="str">
        <v/>
      </c>
      <c r="F526" s="45" t="n">
        <v>0</v>
      </c>
      <c r="G526" s="40" t="n">
        <v>0</v>
      </c>
      <c r="H526" s="39" t="n">
        <v>0</v>
      </c>
      <c r="I526" s="49" t="b">
        <f aca="false">IF(ISBLANK(H526),"", IF($H$2:$H2025 = "Gohar Rehan","Overnight",IF($H$2:$H2025 = "Taufeeq Akhtar ","Overnight",IF($H$2:$H2025 = "Zeeshan Ali Malik","Audit",IF($H$2:$H2025 = "Ali Raza ","Receiving",IF($H$2:$H2025 = "Ali Ahmad","Full-In"))))))</f>
        <v>0</v>
      </c>
      <c r="J526" s="29"/>
      <c r="K526" s="40"/>
      <c r="L526" s="40"/>
      <c r="M526" s="41"/>
      <c r="N526" s="39" t="s">
        <v>2335</v>
      </c>
      <c r="O526" s="46" t="b">
        <f aca="false">FALSE()</f>
        <v>0</v>
      </c>
      <c r="P526" s="20" t="n">
        <v>0</v>
      </c>
      <c r="Q526" s="45" t="n">
        <v>0</v>
      </c>
      <c r="R526" s="43" t="n">
        <v>0</v>
      </c>
      <c r="S526" s="20" t="n">
        <v>0</v>
      </c>
    </row>
    <row r="527" customFormat="false" ht="15.75" hidden="false" customHeight="false" outlineLevel="0" collapsed="false">
      <c r="A527" s="39" t="n">
        <v>0</v>
      </c>
      <c r="B527" s="44" t="str">
        <v/>
      </c>
      <c r="C527" s="39" t="n">
        <v>0</v>
      </c>
      <c r="D527" s="39" t="n">
        <v>0</v>
      </c>
      <c r="E527" s="39" t="str">
        <v/>
      </c>
      <c r="F527" s="45" t="n">
        <v>0</v>
      </c>
      <c r="G527" s="40" t="n">
        <v>0</v>
      </c>
      <c r="H527" s="39" t="n">
        <v>0</v>
      </c>
      <c r="I527" s="49" t="b">
        <f aca="false">IF(ISBLANK(H527),"", IF($H$2:$H2026 = "Gohar Rehan","Overnight",IF($H$2:$H2026 = "Taufeeq Akhtar ","Overnight",IF($H$2:$H2026 = "Zeeshan Ali Malik","Audit",IF($H$2:$H2026 = "Ali Raza ","Receiving",IF($H$2:$H2026 = "Ali Ahmad","Full-In"))))))</f>
        <v>0</v>
      </c>
      <c r="J527" s="29"/>
      <c r="K527" s="40"/>
      <c r="L527" s="40"/>
      <c r="M527" s="41"/>
      <c r="N527" s="39" t="s">
        <v>2335</v>
      </c>
      <c r="O527" s="46" t="b">
        <f aca="false">FALSE()</f>
        <v>0</v>
      </c>
      <c r="P527" s="20" t="n">
        <v>0</v>
      </c>
      <c r="Q527" s="45" t="n">
        <v>0</v>
      </c>
      <c r="R527" s="43" t="n">
        <v>0</v>
      </c>
      <c r="S527" s="20" t="n">
        <v>0</v>
      </c>
    </row>
    <row r="528" customFormat="false" ht="15.75" hidden="false" customHeight="false" outlineLevel="0" collapsed="false">
      <c r="A528" s="39" t="n">
        <v>0</v>
      </c>
      <c r="B528" s="44" t="str">
        <v/>
      </c>
      <c r="C528" s="39" t="n">
        <v>0</v>
      </c>
      <c r="D528" s="39" t="n">
        <v>0</v>
      </c>
      <c r="E528" s="39" t="str">
        <v/>
      </c>
      <c r="F528" s="45" t="n">
        <v>0</v>
      </c>
      <c r="G528" s="40" t="n">
        <v>0</v>
      </c>
      <c r="H528" s="39" t="n">
        <v>0</v>
      </c>
      <c r="I528" s="49" t="b">
        <f aca="false">IF(ISBLANK(H528),"", IF($H$2:$H2027 = "Gohar Rehan","Overnight",IF($H$2:$H2027 = "Taufeeq Akhtar ","Overnight",IF($H$2:$H2027 = "Zeeshan Ali Malik","Audit",IF($H$2:$H2027 = "Ali Raza ","Receiving",IF($H$2:$H2027 = "Ali Ahmad","Full-In"))))))</f>
        <v>0</v>
      </c>
      <c r="J528" s="29"/>
      <c r="K528" s="40"/>
      <c r="L528" s="40"/>
      <c r="M528" s="41"/>
      <c r="N528" s="39" t="s">
        <v>2335</v>
      </c>
      <c r="O528" s="46" t="b">
        <f aca="false">FALSE()</f>
        <v>0</v>
      </c>
      <c r="P528" s="20" t="n">
        <v>0</v>
      </c>
      <c r="Q528" s="45" t="n">
        <v>0</v>
      </c>
      <c r="R528" s="43" t="n">
        <v>0</v>
      </c>
      <c r="S528" s="20" t="n">
        <v>0</v>
      </c>
    </row>
    <row r="529" customFormat="false" ht="15.75" hidden="false" customHeight="false" outlineLevel="0" collapsed="false">
      <c r="A529" s="39" t="n">
        <v>0</v>
      </c>
      <c r="B529" s="44" t="str">
        <v/>
      </c>
      <c r="C529" s="39" t="n">
        <v>0</v>
      </c>
      <c r="D529" s="39" t="n">
        <v>0</v>
      </c>
      <c r="E529" s="39" t="str">
        <v/>
      </c>
      <c r="F529" s="45" t="n">
        <v>0</v>
      </c>
      <c r="G529" s="40" t="n">
        <v>0</v>
      </c>
      <c r="H529" s="39" t="n">
        <v>0</v>
      </c>
      <c r="I529" s="49" t="b">
        <f aca="false">IF(ISBLANK(H529),"", IF($H$2:$H2028 = "Gohar Rehan","Overnight",IF($H$2:$H2028 = "Taufeeq Akhtar ","Overnight",IF($H$2:$H2028 = "Zeeshan Ali Malik","Audit",IF($H$2:$H2028 = "Ali Raza ","Receiving",IF($H$2:$H2028 = "Ali Ahmad","Full-In"))))))</f>
        <v>0</v>
      </c>
      <c r="J529" s="29"/>
      <c r="K529" s="40"/>
      <c r="L529" s="40"/>
      <c r="M529" s="41"/>
      <c r="N529" s="39" t="s">
        <v>2335</v>
      </c>
      <c r="O529" s="46" t="b">
        <f aca="false">FALSE()</f>
        <v>0</v>
      </c>
      <c r="P529" s="20" t="n">
        <v>0</v>
      </c>
      <c r="Q529" s="45" t="n">
        <v>0</v>
      </c>
      <c r="R529" s="43" t="n">
        <v>0</v>
      </c>
      <c r="S529" s="20" t="n">
        <v>0</v>
      </c>
    </row>
    <row r="530" customFormat="false" ht="15.75" hidden="false" customHeight="false" outlineLevel="0" collapsed="false">
      <c r="A530" s="39" t="n">
        <v>0</v>
      </c>
      <c r="B530" s="44" t="str">
        <v/>
      </c>
      <c r="C530" s="39" t="n">
        <v>0</v>
      </c>
      <c r="D530" s="39" t="n">
        <v>0</v>
      </c>
      <c r="E530" s="39" t="str">
        <v/>
      </c>
      <c r="F530" s="45" t="n">
        <v>0</v>
      </c>
      <c r="G530" s="40" t="n">
        <v>0</v>
      </c>
      <c r="H530" s="39" t="n">
        <v>0</v>
      </c>
      <c r="I530" s="49" t="b">
        <f aca="false">IF(ISBLANK(H530),"", IF($H$2:$H2029 = "Gohar Rehan","Overnight",IF($H$2:$H2029 = "Taufeeq Akhtar ","Overnight",IF($H$2:$H2029 = "Zeeshan Ali Malik","Audit",IF($H$2:$H2029 = "Ali Raza ","Receiving",IF($H$2:$H2029 = "Ali Ahmad","Full-In"))))))</f>
        <v>0</v>
      </c>
      <c r="J530" s="29"/>
      <c r="K530" s="40"/>
      <c r="L530" s="40"/>
      <c r="M530" s="41"/>
      <c r="N530" s="39" t="s">
        <v>2335</v>
      </c>
      <c r="O530" s="46" t="b">
        <f aca="false">FALSE()</f>
        <v>0</v>
      </c>
      <c r="P530" s="20" t="n">
        <v>0</v>
      </c>
      <c r="Q530" s="45" t="n">
        <v>0</v>
      </c>
      <c r="R530" s="43" t="n">
        <v>0</v>
      </c>
      <c r="S530" s="20" t="n">
        <v>0</v>
      </c>
    </row>
    <row r="531" customFormat="false" ht="15.75" hidden="false" customHeight="false" outlineLevel="0" collapsed="false">
      <c r="A531" s="39" t="n">
        <v>0</v>
      </c>
      <c r="B531" s="44" t="str">
        <v/>
      </c>
      <c r="C531" s="39" t="n">
        <v>0</v>
      </c>
      <c r="D531" s="39" t="n">
        <v>0</v>
      </c>
      <c r="E531" s="39" t="str">
        <v/>
      </c>
      <c r="F531" s="45" t="n">
        <v>0</v>
      </c>
      <c r="G531" s="40" t="n">
        <v>0</v>
      </c>
      <c r="H531" s="39" t="n">
        <v>0</v>
      </c>
      <c r="I531" s="49" t="b">
        <f aca="false">IF(ISBLANK(H531),"", IF($H$2:$H2030 = "Gohar Rehan","Overnight",IF($H$2:$H2030 = "Taufeeq Akhtar ","Overnight",IF($H$2:$H2030 = "Zeeshan Ali Malik","Audit",IF($H$2:$H2030 = "Ali Raza ","Receiving",IF($H$2:$H2030 = "Ali Ahmad","Full-In"))))))</f>
        <v>0</v>
      </c>
      <c r="J531" s="29"/>
      <c r="K531" s="40"/>
      <c r="L531" s="40"/>
      <c r="M531" s="41"/>
      <c r="N531" s="39" t="s">
        <v>2335</v>
      </c>
      <c r="O531" s="46" t="b">
        <f aca="false">FALSE()</f>
        <v>0</v>
      </c>
      <c r="P531" s="20" t="n">
        <v>0</v>
      </c>
      <c r="Q531" s="45" t="n">
        <v>0</v>
      </c>
      <c r="R531" s="43" t="n">
        <v>0</v>
      </c>
      <c r="S531" s="20" t="n">
        <v>0</v>
      </c>
    </row>
    <row r="532" customFormat="false" ht="15.75" hidden="false" customHeight="false" outlineLevel="0" collapsed="false">
      <c r="A532" s="39" t="n">
        <v>0</v>
      </c>
      <c r="B532" s="44" t="str">
        <v/>
      </c>
      <c r="C532" s="39" t="n">
        <v>0</v>
      </c>
      <c r="D532" s="39" t="n">
        <v>0</v>
      </c>
      <c r="E532" s="39" t="str">
        <v/>
      </c>
      <c r="F532" s="45" t="n">
        <v>0</v>
      </c>
      <c r="G532" s="40" t="n">
        <v>0</v>
      </c>
      <c r="H532" s="39" t="n">
        <v>0</v>
      </c>
      <c r="I532" s="49" t="b">
        <f aca="false">IF(ISBLANK(H532),"", IF($H$2:$H2031 = "Gohar Rehan","Overnight",IF($H$2:$H2031 = "Taufeeq Akhtar ","Overnight",IF($H$2:$H2031 = "Zeeshan Ali Malik","Audit",IF($H$2:$H2031 = "Ali Raza ","Receiving",IF($H$2:$H2031 = "Ali Ahmad","Full-In"))))))</f>
        <v>0</v>
      </c>
      <c r="J532" s="29"/>
      <c r="K532" s="40"/>
      <c r="L532" s="40"/>
      <c r="M532" s="41"/>
      <c r="N532" s="39" t="s">
        <v>2335</v>
      </c>
      <c r="O532" s="46" t="b">
        <f aca="false">FALSE()</f>
        <v>0</v>
      </c>
      <c r="P532" s="20" t="n">
        <v>0</v>
      </c>
      <c r="Q532" s="45" t="n">
        <v>0</v>
      </c>
      <c r="R532" s="43" t="n">
        <v>0</v>
      </c>
      <c r="S532" s="20" t="n">
        <v>0</v>
      </c>
    </row>
    <row r="533" customFormat="false" ht="15.75" hidden="false" customHeight="false" outlineLevel="0" collapsed="false">
      <c r="A533" s="39" t="n">
        <v>0</v>
      </c>
      <c r="B533" s="44" t="str">
        <v/>
      </c>
      <c r="C533" s="39" t="n">
        <v>0</v>
      </c>
      <c r="D533" s="39" t="n">
        <v>0</v>
      </c>
      <c r="E533" s="39" t="str">
        <v/>
      </c>
      <c r="F533" s="45" t="n">
        <v>0</v>
      </c>
      <c r="G533" s="40" t="n">
        <v>0</v>
      </c>
      <c r="H533" s="39" t="n">
        <v>0</v>
      </c>
      <c r="I533" s="49" t="b">
        <f aca="false">IF(ISBLANK(H533),"", IF($H$2:$H2032 = "Gohar Rehan","Overnight",IF($H$2:$H2032 = "Taufeeq Akhtar ","Overnight",IF($H$2:$H2032 = "Zeeshan Ali Malik","Audit",IF($H$2:$H2032 = "Ali Raza ","Receiving",IF($H$2:$H2032 = "Ali Ahmad","Full-In"))))))</f>
        <v>0</v>
      </c>
      <c r="J533" s="29"/>
      <c r="K533" s="40"/>
      <c r="L533" s="40"/>
      <c r="M533" s="41"/>
      <c r="N533" s="39" t="s">
        <v>2335</v>
      </c>
      <c r="O533" s="46" t="b">
        <f aca="false">FALSE()</f>
        <v>0</v>
      </c>
      <c r="P533" s="20" t="n">
        <v>0</v>
      </c>
      <c r="Q533" s="45" t="n">
        <v>0</v>
      </c>
      <c r="R533" s="43" t="n">
        <v>0</v>
      </c>
      <c r="S533" s="20" t="n">
        <v>0</v>
      </c>
    </row>
    <row r="534" customFormat="false" ht="15.75" hidden="false" customHeight="false" outlineLevel="0" collapsed="false">
      <c r="A534" s="39" t="n">
        <v>0</v>
      </c>
      <c r="B534" s="44" t="str">
        <v/>
      </c>
      <c r="C534" s="39" t="n">
        <v>0</v>
      </c>
      <c r="D534" s="39" t="n">
        <v>0</v>
      </c>
      <c r="E534" s="39" t="str">
        <v/>
      </c>
      <c r="F534" s="45" t="n">
        <v>0</v>
      </c>
      <c r="G534" s="40" t="n">
        <v>0</v>
      </c>
      <c r="H534" s="39" t="n">
        <v>0</v>
      </c>
      <c r="I534" s="49" t="b">
        <f aca="false">IF(ISBLANK(H534),"", IF($H$2:$H2033 = "Gohar Rehan","Overnight",IF($H$2:$H2033 = "Taufeeq Akhtar ","Overnight",IF($H$2:$H2033 = "Zeeshan Ali Malik","Audit",IF($H$2:$H2033 = "Ali Raza ","Receiving",IF($H$2:$H2033 = "Ali Ahmad","Full-In"))))))</f>
        <v>0</v>
      </c>
      <c r="J534" s="29"/>
      <c r="K534" s="40"/>
      <c r="L534" s="40"/>
      <c r="M534" s="41"/>
      <c r="N534" s="39" t="s">
        <v>2335</v>
      </c>
      <c r="O534" s="46" t="b">
        <f aca="false">FALSE()</f>
        <v>0</v>
      </c>
      <c r="P534" s="20" t="n">
        <v>0</v>
      </c>
      <c r="Q534" s="45" t="n">
        <v>0</v>
      </c>
      <c r="R534" s="43" t="n">
        <v>0</v>
      </c>
      <c r="S534" s="20" t="n">
        <v>0</v>
      </c>
    </row>
    <row r="535" customFormat="false" ht="15.75" hidden="false" customHeight="false" outlineLevel="0" collapsed="false">
      <c r="A535" s="39" t="n">
        <v>0</v>
      </c>
      <c r="B535" s="44" t="str">
        <v/>
      </c>
      <c r="C535" s="39" t="n">
        <v>0</v>
      </c>
      <c r="D535" s="39" t="n">
        <v>0</v>
      </c>
      <c r="E535" s="39" t="str">
        <v/>
      </c>
      <c r="F535" s="45" t="n">
        <v>0</v>
      </c>
      <c r="G535" s="40" t="n">
        <v>0</v>
      </c>
      <c r="H535" s="39" t="n">
        <v>0</v>
      </c>
      <c r="I535" s="49" t="b">
        <f aca="false">IF(ISBLANK(H535),"", IF($H$2:$H2034 = "Gohar Rehan","Overnight",IF($H$2:$H2034 = "Taufeeq Akhtar ","Overnight",IF($H$2:$H2034 = "Zeeshan Ali Malik","Audit",IF($H$2:$H2034 = "Ali Raza ","Receiving",IF($H$2:$H2034 = "Ali Ahmad","Full-In"))))))</f>
        <v>0</v>
      </c>
      <c r="J535" s="29"/>
      <c r="K535" s="40"/>
      <c r="L535" s="40"/>
      <c r="M535" s="41"/>
      <c r="N535" s="39" t="s">
        <v>2335</v>
      </c>
      <c r="O535" s="46" t="b">
        <f aca="false">FALSE()</f>
        <v>0</v>
      </c>
      <c r="P535" s="20" t="n">
        <v>0</v>
      </c>
      <c r="Q535" s="45" t="n">
        <v>0</v>
      </c>
      <c r="R535" s="43" t="n">
        <v>0</v>
      </c>
      <c r="S535" s="20" t="n">
        <v>0</v>
      </c>
    </row>
    <row r="536" customFormat="false" ht="15.75" hidden="false" customHeight="false" outlineLevel="0" collapsed="false">
      <c r="A536" s="39" t="n">
        <v>0</v>
      </c>
      <c r="B536" s="44" t="str">
        <v/>
      </c>
      <c r="C536" s="39" t="n">
        <v>0</v>
      </c>
      <c r="D536" s="39" t="n">
        <v>0</v>
      </c>
      <c r="E536" s="39" t="str">
        <v/>
      </c>
      <c r="F536" s="45" t="n">
        <v>0</v>
      </c>
      <c r="G536" s="40" t="n">
        <v>0</v>
      </c>
      <c r="H536" s="39" t="n">
        <v>0</v>
      </c>
      <c r="I536" s="49" t="b">
        <f aca="false">IF(ISBLANK(H536),"", IF($H$2:$H2035 = "Gohar Rehan","Overnight",IF($H$2:$H2035 = "Taufeeq Akhtar ","Overnight",IF($H$2:$H2035 = "Zeeshan Ali Malik","Audit",IF($H$2:$H2035 = "Ali Raza ","Receiving",IF($H$2:$H2035 = "Ali Ahmad","Full-In"))))))</f>
        <v>0</v>
      </c>
      <c r="J536" s="29"/>
      <c r="K536" s="40"/>
      <c r="L536" s="40"/>
      <c r="M536" s="41"/>
      <c r="N536" s="39" t="s">
        <v>2335</v>
      </c>
      <c r="O536" s="46" t="b">
        <f aca="false">FALSE()</f>
        <v>0</v>
      </c>
      <c r="P536" s="20" t="n">
        <v>0</v>
      </c>
      <c r="Q536" s="45" t="n">
        <v>0</v>
      </c>
      <c r="R536" s="43" t="n">
        <v>0</v>
      </c>
      <c r="S536" s="20" t="n">
        <v>0</v>
      </c>
    </row>
    <row r="537" customFormat="false" ht="15.75" hidden="false" customHeight="false" outlineLevel="0" collapsed="false">
      <c r="A537" s="39" t="n">
        <v>0</v>
      </c>
      <c r="B537" s="44" t="str">
        <v/>
      </c>
      <c r="C537" s="39" t="n">
        <v>0</v>
      </c>
      <c r="D537" s="39" t="n">
        <v>0</v>
      </c>
      <c r="E537" s="39" t="str">
        <v/>
      </c>
      <c r="F537" s="45" t="n">
        <v>0</v>
      </c>
      <c r="G537" s="40" t="n">
        <v>0</v>
      </c>
      <c r="H537" s="39" t="n">
        <v>0</v>
      </c>
      <c r="I537" s="49" t="b">
        <f aca="false">IF(ISBLANK(H537),"", IF($H$2:$H2036 = "Gohar Rehan","Overnight",IF($H$2:$H2036 = "Taufeeq Akhtar ","Overnight",IF($H$2:$H2036 = "Zeeshan Ali Malik","Audit",IF($H$2:$H2036 = "Ali Raza ","Receiving",IF($H$2:$H2036 = "Ali Ahmad","Full-In"))))))</f>
        <v>0</v>
      </c>
      <c r="J537" s="29"/>
      <c r="K537" s="40"/>
      <c r="L537" s="40"/>
      <c r="M537" s="41"/>
      <c r="N537" s="39" t="s">
        <v>2335</v>
      </c>
      <c r="O537" s="46" t="b">
        <f aca="false">FALSE()</f>
        <v>0</v>
      </c>
      <c r="P537" s="20" t="n">
        <v>0</v>
      </c>
      <c r="Q537" s="45" t="n">
        <v>0</v>
      </c>
      <c r="R537" s="43" t="n">
        <v>0</v>
      </c>
      <c r="S537" s="20" t="n">
        <v>0</v>
      </c>
    </row>
    <row r="538" customFormat="false" ht="15.75" hidden="false" customHeight="false" outlineLevel="0" collapsed="false">
      <c r="A538" s="39" t="n">
        <v>0</v>
      </c>
      <c r="B538" s="44" t="str">
        <v/>
      </c>
      <c r="C538" s="39" t="n">
        <v>0</v>
      </c>
      <c r="D538" s="39" t="n">
        <v>0</v>
      </c>
      <c r="E538" s="39" t="str">
        <v/>
      </c>
      <c r="F538" s="45" t="n">
        <v>0</v>
      </c>
      <c r="G538" s="40" t="n">
        <v>0</v>
      </c>
      <c r="H538" s="39" t="n">
        <v>0</v>
      </c>
      <c r="I538" s="49" t="b">
        <f aca="false">IF(ISBLANK(H538),"", IF($H$2:$H2037 = "Gohar Rehan","Overnight",IF($H$2:$H2037 = "Taufeeq Akhtar ","Overnight",IF($H$2:$H2037 = "Zeeshan Ali Malik","Audit",IF($H$2:$H2037 = "Ali Raza ","Receiving",IF($H$2:$H2037 = "Ali Ahmad","Full-In"))))))</f>
        <v>0</v>
      </c>
      <c r="J538" s="29"/>
      <c r="K538" s="40"/>
      <c r="L538" s="40"/>
      <c r="M538" s="41"/>
      <c r="N538" s="39" t="s">
        <v>2335</v>
      </c>
      <c r="O538" s="46" t="b">
        <f aca="false">FALSE()</f>
        <v>0</v>
      </c>
      <c r="P538" s="20" t="n">
        <v>0</v>
      </c>
      <c r="Q538" s="45" t="n">
        <v>0</v>
      </c>
      <c r="R538" s="43" t="n">
        <v>0</v>
      </c>
      <c r="S538" s="20" t="n">
        <v>0</v>
      </c>
    </row>
    <row r="539" customFormat="false" ht="15.75" hidden="false" customHeight="false" outlineLevel="0" collapsed="false">
      <c r="A539" s="39" t="n">
        <v>0</v>
      </c>
      <c r="B539" s="44" t="str">
        <v/>
      </c>
      <c r="C539" s="39" t="n">
        <v>0</v>
      </c>
      <c r="D539" s="39" t="n">
        <v>0</v>
      </c>
      <c r="E539" s="39" t="str">
        <v/>
      </c>
      <c r="F539" s="45" t="n">
        <v>0</v>
      </c>
      <c r="G539" s="40" t="n">
        <v>0</v>
      </c>
      <c r="H539" s="39" t="n">
        <v>0</v>
      </c>
      <c r="I539" s="49" t="b">
        <f aca="false">IF(ISBLANK(H539),"", IF($H$2:$H2038 = "Gohar Rehan","Overnight",IF($H$2:$H2038 = "Taufeeq Akhtar ","Overnight",IF($H$2:$H2038 = "Zeeshan Ali Malik","Audit",IF($H$2:$H2038 = "Ali Raza ","Receiving",IF($H$2:$H2038 = "Ali Ahmad","Full-In"))))))</f>
        <v>0</v>
      </c>
      <c r="J539" s="29"/>
      <c r="K539" s="40"/>
      <c r="L539" s="40"/>
      <c r="M539" s="41"/>
      <c r="N539" s="39" t="s">
        <v>2335</v>
      </c>
      <c r="O539" s="46" t="b">
        <f aca="false">FALSE()</f>
        <v>0</v>
      </c>
      <c r="P539" s="20" t="n">
        <v>0</v>
      </c>
      <c r="Q539" s="45" t="n">
        <v>0</v>
      </c>
      <c r="R539" s="43" t="n">
        <v>0</v>
      </c>
      <c r="S539" s="20" t="n">
        <v>0</v>
      </c>
    </row>
    <row r="540" customFormat="false" ht="15.75" hidden="false" customHeight="false" outlineLevel="0" collapsed="false">
      <c r="A540" s="39" t="n">
        <v>0</v>
      </c>
      <c r="B540" s="44" t="str">
        <v/>
      </c>
      <c r="C540" s="39" t="n">
        <v>0</v>
      </c>
      <c r="D540" s="39" t="n">
        <v>0</v>
      </c>
      <c r="E540" s="39" t="str">
        <v/>
      </c>
      <c r="F540" s="45" t="n">
        <v>0</v>
      </c>
      <c r="G540" s="40" t="n">
        <v>0</v>
      </c>
      <c r="H540" s="39" t="n">
        <v>0</v>
      </c>
      <c r="I540" s="49" t="b">
        <f aca="false">IF(ISBLANK(H540),"", IF($H$2:$H2039 = "Gohar Rehan","Overnight",IF($H$2:$H2039 = "Taufeeq Akhtar ","Overnight",IF($H$2:$H2039 = "Zeeshan Ali Malik","Audit",IF($H$2:$H2039 = "Ali Raza ","Receiving",IF($H$2:$H2039 = "Ali Ahmad","Full-In"))))))</f>
        <v>0</v>
      </c>
      <c r="J540" s="29"/>
      <c r="K540" s="40"/>
      <c r="L540" s="40"/>
      <c r="M540" s="41"/>
      <c r="N540" s="39" t="s">
        <v>2335</v>
      </c>
      <c r="O540" s="46" t="b">
        <f aca="false">FALSE()</f>
        <v>0</v>
      </c>
      <c r="P540" s="20" t="n">
        <v>0</v>
      </c>
      <c r="Q540" s="45" t="n">
        <v>0</v>
      </c>
      <c r="R540" s="43" t="n">
        <v>0</v>
      </c>
      <c r="S540" s="20" t="n">
        <v>0</v>
      </c>
    </row>
    <row r="541" customFormat="false" ht="15.75" hidden="false" customHeight="false" outlineLevel="0" collapsed="false">
      <c r="A541" s="39" t="n">
        <v>0</v>
      </c>
      <c r="B541" s="44" t="str">
        <v/>
      </c>
      <c r="C541" s="39" t="n">
        <v>0</v>
      </c>
      <c r="D541" s="39" t="n">
        <v>0</v>
      </c>
      <c r="E541" s="39" t="str">
        <v/>
      </c>
      <c r="F541" s="45" t="n">
        <v>0</v>
      </c>
      <c r="G541" s="40" t="n">
        <v>0</v>
      </c>
      <c r="H541" s="39" t="n">
        <v>0</v>
      </c>
      <c r="I541" s="49" t="b">
        <f aca="false">IF(ISBLANK(H541),"", IF($H$2:$H2040 = "Gohar Rehan","Overnight",IF($H$2:$H2040 = "Taufeeq Akhtar ","Overnight",IF($H$2:$H2040 = "Zeeshan Ali Malik","Audit",IF($H$2:$H2040 = "Ali Raza ","Receiving",IF($H$2:$H2040 = "Ali Ahmad","Full-In"))))))</f>
        <v>0</v>
      </c>
      <c r="J541" s="29"/>
      <c r="K541" s="40"/>
      <c r="L541" s="40"/>
      <c r="M541" s="41"/>
      <c r="N541" s="39" t="s">
        <v>2335</v>
      </c>
      <c r="O541" s="46" t="b">
        <f aca="false">FALSE()</f>
        <v>0</v>
      </c>
      <c r="P541" s="20" t="n">
        <v>0</v>
      </c>
      <c r="Q541" s="45" t="n">
        <v>0</v>
      </c>
      <c r="R541" s="43" t="n">
        <v>0</v>
      </c>
      <c r="S541" s="20" t="n">
        <v>0</v>
      </c>
    </row>
    <row r="542" customFormat="false" ht="15.75" hidden="false" customHeight="false" outlineLevel="0" collapsed="false">
      <c r="A542" s="39" t="n">
        <v>0</v>
      </c>
      <c r="B542" s="44" t="str">
        <v/>
      </c>
      <c r="C542" s="39" t="n">
        <v>0</v>
      </c>
      <c r="D542" s="39" t="n">
        <v>0</v>
      </c>
      <c r="E542" s="39" t="str">
        <v/>
      </c>
      <c r="F542" s="45" t="n">
        <v>0</v>
      </c>
      <c r="G542" s="40" t="n">
        <v>0</v>
      </c>
      <c r="H542" s="39" t="n">
        <v>0</v>
      </c>
      <c r="I542" s="49" t="b">
        <f aca="false">IF(ISBLANK(H542),"", IF($H$2:$H2041 = "Gohar Rehan","Overnight",IF($H$2:$H2041 = "Taufeeq Akhtar ","Overnight",IF($H$2:$H2041 = "Zeeshan Ali Malik","Audit",IF($H$2:$H2041 = "Ali Raza ","Receiving",IF($H$2:$H2041 = "Ali Ahmad","Full-In"))))))</f>
        <v>0</v>
      </c>
      <c r="J542" s="29"/>
      <c r="K542" s="40"/>
      <c r="L542" s="40"/>
      <c r="M542" s="41"/>
      <c r="N542" s="39" t="s">
        <v>2335</v>
      </c>
      <c r="O542" s="46" t="b">
        <f aca="false">FALSE()</f>
        <v>0</v>
      </c>
      <c r="P542" s="20" t="n">
        <v>0</v>
      </c>
      <c r="Q542" s="45" t="n">
        <v>0</v>
      </c>
      <c r="R542" s="43" t="n">
        <v>0</v>
      </c>
      <c r="S542" s="20" t="n">
        <v>0</v>
      </c>
    </row>
    <row r="543" customFormat="false" ht="15.75" hidden="false" customHeight="false" outlineLevel="0" collapsed="false">
      <c r="A543" s="39" t="n">
        <v>0</v>
      </c>
      <c r="B543" s="44" t="str">
        <v/>
      </c>
      <c r="C543" s="39" t="n">
        <v>0</v>
      </c>
      <c r="D543" s="39" t="n">
        <v>0</v>
      </c>
      <c r="E543" s="39" t="str">
        <v/>
      </c>
      <c r="F543" s="45" t="n">
        <v>0</v>
      </c>
      <c r="G543" s="40" t="n">
        <v>0</v>
      </c>
      <c r="H543" s="39" t="n">
        <v>0</v>
      </c>
      <c r="I543" s="49" t="b">
        <f aca="false">IF(ISBLANK(H543),"", IF($H$2:$H2042 = "Gohar Rehan","Overnight",IF($H$2:$H2042 = "Taufeeq Akhtar ","Overnight",IF($H$2:$H2042 = "Zeeshan Ali Malik","Audit",IF($H$2:$H2042 = "Ali Raza ","Receiving",IF($H$2:$H2042 = "Ali Ahmad","Full-In"))))))</f>
        <v>0</v>
      </c>
      <c r="J543" s="29"/>
      <c r="K543" s="40"/>
      <c r="L543" s="40"/>
      <c r="M543" s="41"/>
      <c r="N543" s="39" t="s">
        <v>2335</v>
      </c>
      <c r="O543" s="46" t="b">
        <f aca="false">FALSE()</f>
        <v>0</v>
      </c>
      <c r="P543" s="20" t="n">
        <v>0</v>
      </c>
      <c r="Q543" s="45" t="n">
        <v>0</v>
      </c>
      <c r="R543" s="43" t="n">
        <v>0</v>
      </c>
      <c r="S543" s="20" t="n">
        <v>0</v>
      </c>
    </row>
    <row r="544" customFormat="false" ht="15.75" hidden="false" customHeight="false" outlineLevel="0" collapsed="false">
      <c r="A544" s="39" t="n">
        <v>0</v>
      </c>
      <c r="B544" s="44" t="str">
        <v/>
      </c>
      <c r="C544" s="39" t="n">
        <v>0</v>
      </c>
      <c r="D544" s="39" t="n">
        <v>0</v>
      </c>
      <c r="E544" s="39" t="str">
        <v/>
      </c>
      <c r="F544" s="45" t="n">
        <v>0</v>
      </c>
      <c r="G544" s="40" t="n">
        <v>0</v>
      </c>
      <c r="H544" s="39" t="n">
        <v>0</v>
      </c>
      <c r="I544" s="49" t="b">
        <f aca="false">IF(ISBLANK(H544),"", IF($H$2:$H2043 = "Gohar Rehan","Overnight",IF($H$2:$H2043 = "Taufeeq Akhtar ","Overnight",IF($H$2:$H2043 = "Zeeshan Ali Malik","Audit",IF($H$2:$H2043 = "Ali Raza ","Receiving",IF($H$2:$H2043 = "Ali Ahmad","Full-In"))))))</f>
        <v>0</v>
      </c>
      <c r="J544" s="29"/>
      <c r="K544" s="40"/>
      <c r="L544" s="40"/>
      <c r="M544" s="41"/>
      <c r="N544" s="39" t="s">
        <v>2335</v>
      </c>
      <c r="O544" s="46" t="b">
        <f aca="false">FALSE()</f>
        <v>0</v>
      </c>
      <c r="P544" s="20" t="n">
        <v>0</v>
      </c>
      <c r="Q544" s="45" t="n">
        <v>0</v>
      </c>
      <c r="R544" s="43" t="n">
        <v>0</v>
      </c>
      <c r="S544" s="20" t="n">
        <v>0</v>
      </c>
    </row>
    <row r="545" customFormat="false" ht="15.75" hidden="false" customHeight="false" outlineLevel="0" collapsed="false">
      <c r="A545" s="39" t="n">
        <v>0</v>
      </c>
      <c r="B545" s="44" t="str">
        <v/>
      </c>
      <c r="C545" s="39" t="n">
        <v>0</v>
      </c>
      <c r="D545" s="39" t="n">
        <v>0</v>
      </c>
      <c r="E545" s="39" t="str">
        <v/>
      </c>
      <c r="F545" s="45" t="n">
        <v>0</v>
      </c>
      <c r="G545" s="40" t="n">
        <v>0</v>
      </c>
      <c r="H545" s="39" t="n">
        <v>0</v>
      </c>
      <c r="I545" s="49" t="b">
        <f aca="false">IF(ISBLANK(H545),"", IF($H$2:$H2044 = "Gohar Rehan","Overnight",IF($H$2:$H2044 = "Taufeeq Akhtar ","Overnight",IF($H$2:$H2044 = "Zeeshan Ali Malik","Audit",IF($H$2:$H2044 = "Ali Raza ","Receiving",IF($H$2:$H2044 = "Ali Ahmad","Full-In"))))))</f>
        <v>0</v>
      </c>
      <c r="J545" s="29"/>
      <c r="K545" s="40"/>
      <c r="L545" s="40"/>
      <c r="M545" s="41"/>
      <c r="N545" s="39" t="s">
        <v>2335</v>
      </c>
      <c r="O545" s="46" t="b">
        <f aca="false">FALSE()</f>
        <v>0</v>
      </c>
      <c r="P545" s="20" t="n">
        <v>0</v>
      </c>
      <c r="Q545" s="45" t="n">
        <v>0</v>
      </c>
      <c r="R545" s="43" t="n">
        <v>0</v>
      </c>
      <c r="S545" s="20" t="n">
        <v>0</v>
      </c>
    </row>
    <row r="546" customFormat="false" ht="15.75" hidden="false" customHeight="false" outlineLevel="0" collapsed="false">
      <c r="A546" s="39" t="n">
        <v>0</v>
      </c>
      <c r="B546" s="44" t="str">
        <v/>
      </c>
      <c r="C546" s="39" t="n">
        <v>0</v>
      </c>
      <c r="D546" s="39" t="n">
        <v>0</v>
      </c>
      <c r="E546" s="39" t="str">
        <v/>
      </c>
      <c r="F546" s="45" t="n">
        <v>0</v>
      </c>
      <c r="G546" s="40" t="n">
        <v>0</v>
      </c>
      <c r="H546" s="39" t="n">
        <v>0</v>
      </c>
      <c r="I546" s="49" t="b">
        <f aca="false">IF(ISBLANK(H546),"", IF($H$2:$H2045 = "Gohar Rehan","Overnight",IF($H$2:$H2045 = "Taufeeq Akhtar ","Overnight",IF($H$2:$H2045 = "Zeeshan Ali Malik","Audit",IF($H$2:$H2045 = "Ali Raza ","Receiving",IF($H$2:$H2045 = "Ali Ahmad","Full-In"))))))</f>
        <v>0</v>
      </c>
      <c r="J546" s="29"/>
      <c r="K546" s="40"/>
      <c r="L546" s="40"/>
      <c r="M546" s="41"/>
      <c r="N546" s="39" t="s">
        <v>2335</v>
      </c>
      <c r="O546" s="46" t="b">
        <f aca="false">FALSE()</f>
        <v>0</v>
      </c>
      <c r="P546" s="20" t="n">
        <v>0</v>
      </c>
      <c r="Q546" s="45" t="n">
        <v>0</v>
      </c>
      <c r="R546" s="43" t="n">
        <v>0</v>
      </c>
      <c r="S546" s="20" t="n">
        <v>0</v>
      </c>
    </row>
    <row r="547" customFormat="false" ht="15.75" hidden="false" customHeight="false" outlineLevel="0" collapsed="false">
      <c r="A547" s="39" t="n">
        <v>0</v>
      </c>
      <c r="B547" s="44" t="str">
        <v/>
      </c>
      <c r="C547" s="39" t="n">
        <v>0</v>
      </c>
      <c r="D547" s="39" t="n">
        <v>0</v>
      </c>
      <c r="E547" s="39" t="str">
        <v/>
      </c>
      <c r="F547" s="45" t="n">
        <v>0</v>
      </c>
      <c r="G547" s="40" t="n">
        <v>0</v>
      </c>
      <c r="H547" s="39" t="n">
        <v>0</v>
      </c>
      <c r="I547" s="49" t="b">
        <f aca="false">IF(ISBLANK(H547),"", IF($H$2:$H2046 = "Gohar Rehan","Overnight",IF($H$2:$H2046 = "Taufeeq Akhtar ","Overnight",IF($H$2:$H2046 = "Zeeshan Ali Malik","Audit",IF($H$2:$H2046 = "Ali Raza ","Receiving",IF($H$2:$H2046 = "Ali Ahmad","Full-In"))))))</f>
        <v>0</v>
      </c>
      <c r="J547" s="29"/>
      <c r="K547" s="40"/>
      <c r="L547" s="40"/>
      <c r="M547" s="41"/>
      <c r="N547" s="39" t="s">
        <v>2335</v>
      </c>
      <c r="O547" s="46" t="b">
        <f aca="false">FALSE()</f>
        <v>0</v>
      </c>
      <c r="P547" s="20" t="n">
        <v>0</v>
      </c>
      <c r="Q547" s="45" t="n">
        <v>0</v>
      </c>
      <c r="R547" s="43" t="n">
        <v>0</v>
      </c>
      <c r="S547" s="20" t="n">
        <v>0</v>
      </c>
    </row>
    <row r="548" customFormat="false" ht="15.75" hidden="false" customHeight="false" outlineLevel="0" collapsed="false">
      <c r="A548" s="39" t="n">
        <v>0</v>
      </c>
      <c r="B548" s="44" t="str">
        <v/>
      </c>
      <c r="C548" s="39" t="n">
        <v>0</v>
      </c>
      <c r="D548" s="39" t="n">
        <v>0</v>
      </c>
      <c r="E548" s="39" t="str">
        <v/>
      </c>
      <c r="F548" s="45" t="n">
        <v>0</v>
      </c>
      <c r="G548" s="40" t="n">
        <v>0</v>
      </c>
      <c r="H548" s="39" t="n">
        <v>0</v>
      </c>
      <c r="I548" s="49" t="b">
        <f aca="false">IF(ISBLANK(H548),"", IF($H$2:$H2047 = "Gohar Rehan","Overnight",IF($H$2:$H2047 = "Taufeeq Akhtar ","Overnight",IF($H$2:$H2047 = "Zeeshan Ali Malik","Audit",IF($H$2:$H2047 = "Ali Raza ","Receiving",IF($H$2:$H2047 = "Ali Ahmad","Full-In"))))))</f>
        <v>0</v>
      </c>
      <c r="J548" s="29"/>
      <c r="K548" s="40"/>
      <c r="L548" s="40"/>
      <c r="M548" s="41"/>
      <c r="N548" s="39" t="s">
        <v>2335</v>
      </c>
      <c r="O548" s="46" t="b">
        <f aca="false">FALSE()</f>
        <v>0</v>
      </c>
      <c r="P548" s="20" t="n">
        <v>0</v>
      </c>
      <c r="Q548" s="45" t="n">
        <v>0</v>
      </c>
      <c r="R548" s="43" t="n">
        <v>0</v>
      </c>
      <c r="S548" s="20" t="n">
        <v>0</v>
      </c>
    </row>
    <row r="549" customFormat="false" ht="15.75" hidden="false" customHeight="false" outlineLevel="0" collapsed="false">
      <c r="A549" s="39" t="n">
        <v>0</v>
      </c>
      <c r="B549" s="44" t="str">
        <v/>
      </c>
      <c r="C549" s="39" t="n">
        <v>0</v>
      </c>
      <c r="D549" s="39" t="n">
        <v>0</v>
      </c>
      <c r="E549" s="39" t="str">
        <v/>
      </c>
      <c r="F549" s="45" t="n">
        <v>0</v>
      </c>
      <c r="G549" s="40" t="n">
        <v>0</v>
      </c>
      <c r="H549" s="39" t="n">
        <v>0</v>
      </c>
      <c r="I549" s="49" t="b">
        <f aca="false">IF(ISBLANK(H549),"", IF($H$2:$H2048 = "Gohar Rehan","Overnight",IF($H$2:$H2048 = "Taufeeq Akhtar ","Overnight",IF($H$2:$H2048 = "Zeeshan Ali Malik","Audit",IF($H$2:$H2048 = "Ali Raza ","Receiving",IF($H$2:$H2048 = "Ali Ahmad","Full-In"))))))</f>
        <v>0</v>
      </c>
      <c r="J549" s="29"/>
      <c r="K549" s="40"/>
      <c r="L549" s="40"/>
      <c r="M549" s="41"/>
      <c r="N549" s="39" t="s">
        <v>2335</v>
      </c>
      <c r="O549" s="46" t="b">
        <f aca="false">FALSE()</f>
        <v>0</v>
      </c>
      <c r="P549" s="20" t="n">
        <v>0</v>
      </c>
      <c r="Q549" s="45" t="n">
        <v>0</v>
      </c>
      <c r="R549" s="43" t="n">
        <v>0</v>
      </c>
      <c r="S549" s="20" t="n">
        <v>0</v>
      </c>
    </row>
    <row r="550" customFormat="false" ht="15.75" hidden="false" customHeight="false" outlineLevel="0" collapsed="false">
      <c r="A550" s="39" t="n">
        <v>0</v>
      </c>
      <c r="B550" s="44" t="str">
        <v/>
      </c>
      <c r="C550" s="39" t="n">
        <v>0</v>
      </c>
      <c r="D550" s="39" t="n">
        <v>0</v>
      </c>
      <c r="E550" s="39" t="str">
        <v/>
      </c>
      <c r="F550" s="45" t="n">
        <v>0</v>
      </c>
      <c r="G550" s="40" t="n">
        <v>0</v>
      </c>
      <c r="H550" s="39" t="n">
        <v>0</v>
      </c>
      <c r="I550" s="49" t="b">
        <f aca="false">IF(ISBLANK(H550),"", IF($H$2:$H2049 = "Gohar Rehan","Overnight",IF($H$2:$H2049 = "Taufeeq Akhtar ","Overnight",IF($H$2:$H2049 = "Zeeshan Ali Malik","Audit",IF($H$2:$H2049 = "Ali Raza ","Receiving",IF($H$2:$H2049 = "Ali Ahmad","Full-In"))))))</f>
        <v>0</v>
      </c>
      <c r="J550" s="29"/>
      <c r="K550" s="40"/>
      <c r="L550" s="40"/>
      <c r="M550" s="41"/>
      <c r="N550" s="39" t="s">
        <v>2335</v>
      </c>
      <c r="O550" s="46" t="b">
        <f aca="false">FALSE()</f>
        <v>0</v>
      </c>
      <c r="P550" s="20" t="n">
        <v>0</v>
      </c>
      <c r="Q550" s="45" t="n">
        <v>0</v>
      </c>
      <c r="R550" s="43" t="n">
        <v>0</v>
      </c>
      <c r="S550" s="20" t="n">
        <v>0</v>
      </c>
    </row>
    <row r="551" customFormat="false" ht="15.75" hidden="false" customHeight="false" outlineLevel="0" collapsed="false">
      <c r="A551" s="39" t="n">
        <v>0</v>
      </c>
      <c r="B551" s="44" t="str">
        <v/>
      </c>
      <c r="C551" s="39" t="n">
        <v>0</v>
      </c>
      <c r="D551" s="39" t="n">
        <v>0</v>
      </c>
      <c r="E551" s="39" t="str">
        <v/>
      </c>
      <c r="F551" s="45" t="n">
        <v>0</v>
      </c>
      <c r="G551" s="40" t="n">
        <v>0</v>
      </c>
      <c r="H551" s="39" t="n">
        <v>0</v>
      </c>
      <c r="I551" s="49" t="b">
        <f aca="false">IF(ISBLANK(H551),"", IF($H$2:$H2050 = "Gohar Rehan","Overnight",IF($H$2:$H2050 = "Taufeeq Akhtar ","Overnight",IF($H$2:$H2050 = "Zeeshan Ali Malik","Audit",IF($H$2:$H2050 = "Ali Raza ","Receiving",IF($H$2:$H2050 = "Ali Ahmad","Full-In"))))))</f>
        <v>0</v>
      </c>
      <c r="J551" s="29"/>
      <c r="K551" s="40"/>
      <c r="L551" s="40"/>
      <c r="M551" s="41"/>
      <c r="N551" s="39" t="s">
        <v>2335</v>
      </c>
      <c r="O551" s="46" t="b">
        <f aca="false">FALSE()</f>
        <v>0</v>
      </c>
      <c r="P551" s="20" t="n">
        <v>0</v>
      </c>
      <c r="Q551" s="45" t="n">
        <v>0</v>
      </c>
      <c r="R551" s="43" t="n">
        <v>0</v>
      </c>
      <c r="S551" s="20" t="n">
        <v>0</v>
      </c>
    </row>
    <row r="552" customFormat="false" ht="15.75" hidden="false" customHeight="false" outlineLevel="0" collapsed="false">
      <c r="A552" s="39" t="n">
        <v>0</v>
      </c>
      <c r="B552" s="44" t="str">
        <v/>
      </c>
      <c r="C552" s="39" t="n">
        <v>0</v>
      </c>
      <c r="D552" s="39" t="n">
        <v>0</v>
      </c>
      <c r="E552" s="39" t="str">
        <v/>
      </c>
      <c r="F552" s="45" t="n">
        <v>0</v>
      </c>
      <c r="G552" s="40" t="n">
        <v>0</v>
      </c>
      <c r="H552" s="39" t="n">
        <v>0</v>
      </c>
      <c r="I552" s="49" t="b">
        <f aca="false">IF(ISBLANK(H552),"", IF($H$2:$H2051 = "Gohar Rehan","Overnight",IF($H$2:$H2051 = "Taufeeq Akhtar ","Overnight",IF($H$2:$H2051 = "Zeeshan Ali Malik","Audit",IF($H$2:$H2051 = "Ali Raza ","Receiving",IF($H$2:$H2051 = "Ali Ahmad","Full-In"))))))</f>
        <v>0</v>
      </c>
      <c r="J552" s="29"/>
      <c r="K552" s="40"/>
      <c r="L552" s="40"/>
      <c r="M552" s="41"/>
      <c r="N552" s="39" t="s">
        <v>2335</v>
      </c>
      <c r="O552" s="46" t="b">
        <f aca="false">FALSE()</f>
        <v>0</v>
      </c>
      <c r="P552" s="20" t="n">
        <v>0</v>
      </c>
      <c r="Q552" s="45" t="n">
        <v>0</v>
      </c>
      <c r="R552" s="43" t="n">
        <v>0</v>
      </c>
      <c r="S552" s="20" t="n">
        <v>0</v>
      </c>
    </row>
    <row r="553" customFormat="false" ht="15.75" hidden="false" customHeight="false" outlineLevel="0" collapsed="false">
      <c r="A553" s="39" t="n">
        <v>0</v>
      </c>
      <c r="B553" s="44" t="str">
        <v/>
      </c>
      <c r="C553" s="39" t="n">
        <v>0</v>
      </c>
      <c r="D553" s="39" t="n">
        <v>0</v>
      </c>
      <c r="E553" s="39" t="str">
        <v/>
      </c>
      <c r="F553" s="45" t="n">
        <v>0</v>
      </c>
      <c r="G553" s="40" t="n">
        <v>0</v>
      </c>
      <c r="H553" s="39" t="n">
        <v>0</v>
      </c>
      <c r="I553" s="49" t="b">
        <f aca="false">IF(ISBLANK(H553),"", IF($H$2:$H2052 = "Gohar Rehan","Overnight",IF($H$2:$H2052 = "Taufeeq Akhtar ","Overnight",IF($H$2:$H2052 = "Zeeshan Ali Malik","Audit",IF($H$2:$H2052 = "Ali Raza ","Receiving",IF($H$2:$H2052 = "Ali Ahmad","Full-In"))))))</f>
        <v>0</v>
      </c>
      <c r="J553" s="29"/>
      <c r="K553" s="40"/>
      <c r="L553" s="40"/>
      <c r="M553" s="41"/>
      <c r="N553" s="39" t="s">
        <v>2335</v>
      </c>
      <c r="O553" s="46" t="b">
        <f aca="false">FALSE()</f>
        <v>0</v>
      </c>
      <c r="P553" s="20" t="n">
        <v>0</v>
      </c>
      <c r="Q553" s="45" t="n">
        <v>0</v>
      </c>
      <c r="R553" s="43" t="n">
        <v>0</v>
      </c>
      <c r="S553" s="20" t="n">
        <v>0</v>
      </c>
    </row>
    <row r="554" customFormat="false" ht="15.75" hidden="false" customHeight="false" outlineLevel="0" collapsed="false">
      <c r="A554" s="39" t="n">
        <v>0</v>
      </c>
      <c r="B554" s="44" t="str">
        <v/>
      </c>
      <c r="C554" s="39" t="n">
        <v>0</v>
      </c>
      <c r="D554" s="39" t="n">
        <v>0</v>
      </c>
      <c r="E554" s="39" t="str">
        <v/>
      </c>
      <c r="F554" s="45" t="n">
        <v>0</v>
      </c>
      <c r="G554" s="40" t="n">
        <v>0</v>
      </c>
      <c r="H554" s="39" t="n">
        <v>0</v>
      </c>
      <c r="I554" s="49" t="b">
        <f aca="false">IF(ISBLANK(H554),"", IF($H$2:$H2053 = "Gohar Rehan","Overnight",IF($H$2:$H2053 = "Taufeeq Akhtar ","Overnight",IF($H$2:$H2053 = "Zeeshan Ali Malik","Audit",IF($H$2:$H2053 = "Ali Raza ","Receiving",IF($H$2:$H2053 = "Ali Ahmad","Full-In"))))))</f>
        <v>0</v>
      </c>
      <c r="J554" s="29"/>
      <c r="K554" s="40"/>
      <c r="L554" s="40"/>
      <c r="M554" s="41"/>
      <c r="N554" s="39" t="s">
        <v>2335</v>
      </c>
      <c r="O554" s="46" t="b">
        <f aca="false">FALSE()</f>
        <v>0</v>
      </c>
      <c r="P554" s="20" t="n">
        <v>0</v>
      </c>
      <c r="Q554" s="45" t="n">
        <v>0</v>
      </c>
      <c r="R554" s="43" t="n">
        <v>0</v>
      </c>
      <c r="S554" s="20" t="n">
        <v>0</v>
      </c>
    </row>
    <row r="555" customFormat="false" ht="15.75" hidden="false" customHeight="false" outlineLevel="0" collapsed="false">
      <c r="A555" s="39" t="n">
        <v>0</v>
      </c>
      <c r="B555" s="44" t="str">
        <v/>
      </c>
      <c r="C555" s="39" t="n">
        <v>0</v>
      </c>
      <c r="D555" s="39" t="n">
        <v>0</v>
      </c>
      <c r="E555" s="39" t="str">
        <v/>
      </c>
      <c r="F555" s="45" t="n">
        <v>0</v>
      </c>
      <c r="G555" s="40" t="n">
        <v>0</v>
      </c>
      <c r="H555" s="39" t="n">
        <v>0</v>
      </c>
      <c r="I555" s="49" t="b">
        <f aca="false">IF(ISBLANK(H555),"", IF($H$2:$H2054 = "Gohar Rehan","Overnight",IF($H$2:$H2054 = "Taufeeq Akhtar ","Overnight",IF($H$2:$H2054 = "Zeeshan Ali Malik","Audit",IF($H$2:$H2054 = "Ali Raza ","Receiving",IF($H$2:$H2054 = "Ali Ahmad","Full-In"))))))</f>
        <v>0</v>
      </c>
      <c r="J555" s="29"/>
      <c r="K555" s="40"/>
      <c r="L555" s="40"/>
      <c r="M555" s="41"/>
      <c r="N555" s="39" t="s">
        <v>2335</v>
      </c>
      <c r="O555" s="46" t="b">
        <f aca="false">FALSE()</f>
        <v>0</v>
      </c>
      <c r="P555" s="20" t="n">
        <v>0</v>
      </c>
      <c r="Q555" s="45" t="n">
        <v>0</v>
      </c>
      <c r="R555" s="43" t="n">
        <v>0</v>
      </c>
      <c r="S555" s="20" t="n">
        <v>0</v>
      </c>
    </row>
    <row r="556" customFormat="false" ht="15.75" hidden="false" customHeight="false" outlineLevel="0" collapsed="false">
      <c r="A556" s="39" t="n">
        <v>0</v>
      </c>
      <c r="B556" s="44" t="str">
        <v/>
      </c>
      <c r="C556" s="39" t="n">
        <v>0</v>
      </c>
      <c r="D556" s="39" t="n">
        <v>0</v>
      </c>
      <c r="E556" s="39" t="str">
        <v/>
      </c>
      <c r="F556" s="45" t="n">
        <v>0</v>
      </c>
      <c r="G556" s="40" t="n">
        <v>0</v>
      </c>
      <c r="H556" s="39" t="n">
        <v>0</v>
      </c>
      <c r="I556" s="49" t="b">
        <f aca="false">IF(ISBLANK(H556),"", IF($H$2:$H2055 = "Gohar Rehan","Overnight",IF($H$2:$H2055 = "Taufeeq Akhtar ","Overnight",IF($H$2:$H2055 = "Zeeshan Ali Malik","Audit",IF($H$2:$H2055 = "Ali Raza ","Receiving",IF($H$2:$H2055 = "Ali Ahmad","Full-In"))))))</f>
        <v>0</v>
      </c>
      <c r="J556" s="29"/>
      <c r="K556" s="40"/>
      <c r="L556" s="40"/>
      <c r="M556" s="41"/>
      <c r="N556" s="39" t="s">
        <v>2335</v>
      </c>
      <c r="O556" s="46" t="b">
        <f aca="false">FALSE()</f>
        <v>0</v>
      </c>
      <c r="P556" s="20" t="n">
        <v>0</v>
      </c>
      <c r="Q556" s="45" t="n">
        <v>0</v>
      </c>
      <c r="R556" s="43" t="n">
        <v>0</v>
      </c>
      <c r="S556" s="20" t="n">
        <v>0</v>
      </c>
    </row>
    <row r="557" customFormat="false" ht="15.75" hidden="false" customHeight="false" outlineLevel="0" collapsed="false">
      <c r="A557" s="39" t="n">
        <v>0</v>
      </c>
      <c r="B557" s="44" t="str">
        <v/>
      </c>
      <c r="C557" s="39" t="n">
        <v>0</v>
      </c>
      <c r="D557" s="39" t="n">
        <v>0</v>
      </c>
      <c r="E557" s="39" t="str">
        <v/>
      </c>
      <c r="F557" s="45" t="n">
        <v>0</v>
      </c>
      <c r="G557" s="40" t="n">
        <v>0</v>
      </c>
      <c r="H557" s="39" t="n">
        <v>0</v>
      </c>
      <c r="I557" s="49" t="b">
        <f aca="false">IF(ISBLANK(H557),"", IF($H$2:$H2056 = "Gohar Rehan","Overnight",IF($H$2:$H2056 = "Taufeeq Akhtar ","Overnight",IF($H$2:$H2056 = "Zeeshan Ali Malik","Audit",IF($H$2:$H2056 = "Ali Raza ","Receiving",IF($H$2:$H2056 = "Ali Ahmad","Full-In"))))))</f>
        <v>0</v>
      </c>
      <c r="J557" s="29"/>
      <c r="K557" s="40"/>
      <c r="L557" s="40"/>
      <c r="M557" s="41"/>
      <c r="N557" s="39" t="s">
        <v>2335</v>
      </c>
      <c r="O557" s="46" t="b">
        <f aca="false">FALSE()</f>
        <v>0</v>
      </c>
      <c r="P557" s="20" t="n">
        <v>0</v>
      </c>
      <c r="Q557" s="45" t="n">
        <v>0</v>
      </c>
      <c r="R557" s="43" t="n">
        <v>0</v>
      </c>
      <c r="S557" s="20" t="n">
        <v>0</v>
      </c>
    </row>
    <row r="558" customFormat="false" ht="15.75" hidden="false" customHeight="false" outlineLevel="0" collapsed="false">
      <c r="A558" s="39" t="n">
        <v>0</v>
      </c>
      <c r="B558" s="44" t="str">
        <v/>
      </c>
      <c r="C558" s="39" t="n">
        <v>0</v>
      </c>
      <c r="D558" s="39" t="n">
        <v>0</v>
      </c>
      <c r="E558" s="39" t="str">
        <v/>
      </c>
      <c r="F558" s="45" t="n">
        <v>0</v>
      </c>
      <c r="G558" s="40" t="n">
        <v>0</v>
      </c>
      <c r="H558" s="39" t="n">
        <v>0</v>
      </c>
      <c r="I558" s="49" t="b">
        <f aca="false">IF(ISBLANK(H558),"", IF($H$2:$H2057 = "Gohar Rehan","Overnight",IF($H$2:$H2057 = "Taufeeq Akhtar ","Overnight",IF($H$2:$H2057 = "Zeeshan Ali Malik","Audit",IF($H$2:$H2057 = "Ali Raza ","Receiving",IF($H$2:$H2057 = "Ali Ahmad","Full-In"))))))</f>
        <v>0</v>
      </c>
      <c r="J558" s="29"/>
      <c r="K558" s="40"/>
      <c r="L558" s="40"/>
      <c r="M558" s="41"/>
      <c r="N558" s="39" t="s">
        <v>2335</v>
      </c>
      <c r="O558" s="46" t="b">
        <f aca="false">FALSE()</f>
        <v>0</v>
      </c>
      <c r="P558" s="20" t="n">
        <v>0</v>
      </c>
      <c r="Q558" s="45" t="n">
        <v>0</v>
      </c>
      <c r="R558" s="43" t="n">
        <v>0</v>
      </c>
      <c r="S558" s="20" t="n">
        <v>0</v>
      </c>
    </row>
    <row r="559" customFormat="false" ht="15.75" hidden="false" customHeight="false" outlineLevel="0" collapsed="false">
      <c r="A559" s="39" t="n">
        <v>0</v>
      </c>
      <c r="B559" s="44" t="str">
        <v/>
      </c>
      <c r="C559" s="39" t="n">
        <v>0</v>
      </c>
      <c r="D559" s="39" t="n">
        <v>0</v>
      </c>
      <c r="E559" s="39" t="str">
        <v/>
      </c>
      <c r="F559" s="45" t="n">
        <v>0</v>
      </c>
      <c r="G559" s="40" t="n">
        <v>0</v>
      </c>
      <c r="H559" s="39" t="n">
        <v>0</v>
      </c>
      <c r="I559" s="49" t="b">
        <f aca="false">IF(ISBLANK(H559),"", IF($H$2:$H2058 = "Gohar Rehan","Overnight",IF($H$2:$H2058 = "Taufeeq Akhtar ","Overnight",IF($H$2:$H2058 = "Zeeshan Ali Malik","Audit",IF($H$2:$H2058 = "Ali Raza ","Receiving",IF($H$2:$H2058 = "Ali Ahmad","Full-In"))))))</f>
        <v>0</v>
      </c>
      <c r="J559" s="29"/>
      <c r="K559" s="40"/>
      <c r="L559" s="40"/>
      <c r="M559" s="41"/>
      <c r="N559" s="39" t="s">
        <v>2335</v>
      </c>
      <c r="O559" s="46" t="b">
        <f aca="false">FALSE()</f>
        <v>0</v>
      </c>
      <c r="P559" s="20" t="n">
        <v>0</v>
      </c>
      <c r="Q559" s="45" t="n">
        <v>0</v>
      </c>
      <c r="R559" s="43" t="n">
        <v>0</v>
      </c>
      <c r="S559" s="20" t="n">
        <v>0</v>
      </c>
    </row>
    <row r="560" customFormat="false" ht="15.75" hidden="false" customHeight="false" outlineLevel="0" collapsed="false">
      <c r="A560" s="39" t="n">
        <v>0</v>
      </c>
      <c r="B560" s="44" t="str">
        <v/>
      </c>
      <c r="C560" s="39" t="n">
        <v>0</v>
      </c>
      <c r="D560" s="39" t="n">
        <v>0</v>
      </c>
      <c r="E560" s="39" t="str">
        <v/>
      </c>
      <c r="F560" s="45" t="n">
        <v>0</v>
      </c>
      <c r="G560" s="40" t="n">
        <v>0</v>
      </c>
      <c r="H560" s="39" t="n">
        <v>0</v>
      </c>
      <c r="I560" s="49" t="b">
        <f aca="false">IF(ISBLANK(H560),"", IF($H$2:$H2059 = "Gohar Rehan","Overnight",IF($H$2:$H2059 = "Taufeeq Akhtar ","Overnight",IF($H$2:$H2059 = "Zeeshan Ali Malik","Audit",IF($H$2:$H2059 = "Ali Raza ","Receiving",IF($H$2:$H2059 = "Ali Ahmad","Full-In"))))))</f>
        <v>0</v>
      </c>
      <c r="J560" s="29"/>
      <c r="K560" s="40"/>
      <c r="L560" s="40"/>
      <c r="M560" s="41"/>
      <c r="N560" s="39" t="s">
        <v>2335</v>
      </c>
      <c r="O560" s="46" t="b">
        <f aca="false">FALSE()</f>
        <v>0</v>
      </c>
      <c r="P560" s="20" t="n">
        <v>0</v>
      </c>
      <c r="Q560" s="45" t="n">
        <v>0</v>
      </c>
      <c r="R560" s="43" t="n">
        <v>0</v>
      </c>
      <c r="S560" s="20" t="n">
        <v>0</v>
      </c>
    </row>
    <row r="561" customFormat="false" ht="15.75" hidden="false" customHeight="false" outlineLevel="0" collapsed="false">
      <c r="A561" s="39" t="n">
        <v>0</v>
      </c>
      <c r="B561" s="44" t="str">
        <v/>
      </c>
      <c r="C561" s="39" t="n">
        <v>0</v>
      </c>
      <c r="D561" s="39" t="n">
        <v>0</v>
      </c>
      <c r="E561" s="39" t="str">
        <v/>
      </c>
      <c r="F561" s="45" t="n">
        <v>0</v>
      </c>
      <c r="G561" s="40" t="n">
        <v>0</v>
      </c>
      <c r="H561" s="39" t="n">
        <v>0</v>
      </c>
      <c r="I561" s="49" t="b">
        <f aca="false">IF(ISBLANK(H561),"", IF($H$2:$H2060 = "Gohar Rehan","Overnight",IF($H$2:$H2060 = "Taufeeq Akhtar ","Overnight",IF($H$2:$H2060 = "Zeeshan Ali Malik","Audit",IF($H$2:$H2060 = "Ali Raza ","Receiving",IF($H$2:$H2060 = "Ali Ahmad","Full-In"))))))</f>
        <v>0</v>
      </c>
      <c r="J561" s="29"/>
      <c r="K561" s="40"/>
      <c r="L561" s="40"/>
      <c r="M561" s="41"/>
      <c r="N561" s="39" t="s">
        <v>2335</v>
      </c>
      <c r="O561" s="46" t="b">
        <f aca="false">FALSE()</f>
        <v>0</v>
      </c>
      <c r="P561" s="20" t="n">
        <v>0</v>
      </c>
      <c r="Q561" s="45" t="n">
        <v>0</v>
      </c>
      <c r="R561" s="43" t="n">
        <v>0</v>
      </c>
      <c r="S561" s="20" t="n">
        <v>0</v>
      </c>
    </row>
    <row r="562" customFormat="false" ht="15.75" hidden="false" customHeight="false" outlineLevel="0" collapsed="false">
      <c r="A562" s="39" t="n">
        <v>0</v>
      </c>
      <c r="B562" s="44" t="str">
        <v/>
      </c>
      <c r="C562" s="39" t="n">
        <v>0</v>
      </c>
      <c r="D562" s="39" t="n">
        <v>0</v>
      </c>
      <c r="E562" s="39" t="str">
        <v/>
      </c>
      <c r="F562" s="45" t="n">
        <v>0</v>
      </c>
      <c r="G562" s="40" t="n">
        <v>0</v>
      </c>
      <c r="H562" s="39" t="n">
        <v>0</v>
      </c>
      <c r="I562" s="49" t="b">
        <f aca="false">IF(ISBLANK(H562),"", IF($H$2:$H2061 = "Gohar Rehan","Overnight",IF($H$2:$H2061 = "Taufeeq Akhtar ","Overnight",IF($H$2:$H2061 = "Zeeshan Ali Malik","Audit",IF($H$2:$H2061 = "Ali Raza ","Receiving",IF($H$2:$H2061 = "Ali Ahmad","Full-In"))))))</f>
        <v>0</v>
      </c>
      <c r="J562" s="29"/>
      <c r="K562" s="40"/>
      <c r="L562" s="40"/>
      <c r="M562" s="41"/>
      <c r="N562" s="39" t="s">
        <v>2335</v>
      </c>
      <c r="O562" s="46" t="b">
        <f aca="false">FALSE()</f>
        <v>0</v>
      </c>
      <c r="P562" s="20" t="n">
        <v>0</v>
      </c>
      <c r="Q562" s="45" t="n">
        <v>0</v>
      </c>
      <c r="R562" s="43" t="n">
        <v>0</v>
      </c>
      <c r="S562" s="20" t="n">
        <v>0</v>
      </c>
    </row>
    <row r="563" customFormat="false" ht="15.75" hidden="false" customHeight="false" outlineLevel="0" collapsed="false">
      <c r="A563" s="39" t="n">
        <v>0</v>
      </c>
      <c r="B563" s="44" t="str">
        <v/>
      </c>
      <c r="C563" s="39" t="n">
        <v>0</v>
      </c>
      <c r="D563" s="39" t="n">
        <v>0</v>
      </c>
      <c r="E563" s="39" t="str">
        <v/>
      </c>
      <c r="F563" s="45" t="n">
        <v>0</v>
      </c>
      <c r="G563" s="40" t="n">
        <v>0</v>
      </c>
      <c r="H563" s="39" t="n">
        <v>0</v>
      </c>
      <c r="I563" s="49" t="b">
        <f aca="false">IF(ISBLANK(H563),"", IF($H$2:$H2062 = "Gohar Rehan","Overnight",IF($H$2:$H2062 = "Taufeeq Akhtar ","Overnight",IF($H$2:$H2062 = "Zeeshan Ali Malik","Audit",IF($H$2:$H2062 = "Ali Raza ","Receiving",IF($H$2:$H2062 = "Ali Ahmad","Full-In"))))))</f>
        <v>0</v>
      </c>
      <c r="J563" s="29"/>
      <c r="K563" s="40"/>
      <c r="L563" s="40"/>
      <c r="M563" s="41"/>
      <c r="N563" s="39" t="s">
        <v>2335</v>
      </c>
      <c r="O563" s="46" t="b">
        <f aca="false">FALSE()</f>
        <v>0</v>
      </c>
      <c r="P563" s="20" t="n">
        <v>0</v>
      </c>
      <c r="Q563" s="45" t="n">
        <v>0</v>
      </c>
      <c r="R563" s="43" t="n">
        <v>0</v>
      </c>
      <c r="S563" s="20" t="n">
        <v>0</v>
      </c>
    </row>
    <row r="564" customFormat="false" ht="15.75" hidden="false" customHeight="false" outlineLevel="0" collapsed="false">
      <c r="A564" s="39" t="n">
        <v>0</v>
      </c>
      <c r="B564" s="44" t="str">
        <v/>
      </c>
      <c r="C564" s="39" t="n">
        <v>0</v>
      </c>
      <c r="D564" s="39" t="n">
        <v>0</v>
      </c>
      <c r="E564" s="39" t="str">
        <v/>
      </c>
      <c r="F564" s="45" t="n">
        <v>0</v>
      </c>
      <c r="G564" s="40" t="n">
        <v>0</v>
      </c>
      <c r="H564" s="39" t="n">
        <v>0</v>
      </c>
      <c r="I564" s="49" t="b">
        <f aca="false">IF(ISBLANK(H564),"", IF($H$2:$H2063 = "Gohar Rehan","Overnight",IF($H$2:$H2063 = "Taufeeq Akhtar ","Overnight",IF($H$2:$H2063 = "Zeeshan Ali Malik","Audit",IF($H$2:$H2063 = "Ali Raza ","Receiving",IF($H$2:$H2063 = "Ali Ahmad","Full-In"))))))</f>
        <v>0</v>
      </c>
      <c r="J564" s="29"/>
      <c r="K564" s="40"/>
      <c r="L564" s="40"/>
      <c r="M564" s="41"/>
      <c r="N564" s="39" t="s">
        <v>2335</v>
      </c>
      <c r="O564" s="46" t="b">
        <f aca="false">FALSE()</f>
        <v>0</v>
      </c>
      <c r="P564" s="20" t="n">
        <v>0</v>
      </c>
      <c r="Q564" s="45" t="n">
        <v>0</v>
      </c>
      <c r="R564" s="43" t="n">
        <v>0</v>
      </c>
      <c r="S564" s="20" t="n">
        <v>0</v>
      </c>
    </row>
    <row r="565" customFormat="false" ht="15.75" hidden="false" customHeight="false" outlineLevel="0" collapsed="false">
      <c r="A565" s="39" t="n">
        <v>0</v>
      </c>
      <c r="B565" s="44" t="str">
        <v/>
      </c>
      <c r="C565" s="39" t="n">
        <v>0</v>
      </c>
      <c r="D565" s="39" t="n">
        <v>0</v>
      </c>
      <c r="E565" s="39" t="str">
        <v/>
      </c>
      <c r="F565" s="45" t="n">
        <v>0</v>
      </c>
      <c r="G565" s="40" t="n">
        <v>0</v>
      </c>
      <c r="H565" s="39" t="n">
        <v>0</v>
      </c>
      <c r="I565" s="49" t="b">
        <f aca="false">IF(ISBLANK(H565),"", IF($H$2:$H2064 = "Gohar Rehan","Overnight",IF($H$2:$H2064 = "Taufeeq Akhtar ","Overnight",IF($H$2:$H2064 = "Zeeshan Ali Malik","Audit",IF($H$2:$H2064 = "Ali Raza ","Receiving",IF($H$2:$H2064 = "Ali Ahmad","Full-In"))))))</f>
        <v>0</v>
      </c>
      <c r="J565" s="29"/>
      <c r="K565" s="40"/>
      <c r="L565" s="40"/>
      <c r="M565" s="41"/>
      <c r="N565" s="39" t="s">
        <v>2335</v>
      </c>
      <c r="O565" s="46" t="b">
        <f aca="false">FALSE()</f>
        <v>0</v>
      </c>
      <c r="P565" s="20" t="n">
        <v>0</v>
      </c>
      <c r="Q565" s="45" t="n">
        <v>0</v>
      </c>
      <c r="R565" s="43" t="n">
        <v>0</v>
      </c>
      <c r="S565" s="20" t="n">
        <v>0</v>
      </c>
    </row>
    <row r="566" customFormat="false" ht="15.75" hidden="false" customHeight="false" outlineLevel="0" collapsed="false">
      <c r="A566" s="39" t="n">
        <v>0</v>
      </c>
      <c r="B566" s="44" t="str">
        <v/>
      </c>
      <c r="C566" s="39" t="n">
        <v>0</v>
      </c>
      <c r="D566" s="39" t="n">
        <v>0</v>
      </c>
      <c r="E566" s="39" t="str">
        <v/>
      </c>
      <c r="F566" s="45" t="n">
        <v>0</v>
      </c>
      <c r="G566" s="40" t="n">
        <v>0</v>
      </c>
      <c r="H566" s="39" t="n">
        <v>0</v>
      </c>
      <c r="I566" s="49" t="b">
        <f aca="false">IF(ISBLANK(H566),"", IF($H$2:$H2065 = "Gohar Rehan","Overnight",IF($H$2:$H2065 = "Taufeeq Akhtar ","Overnight",IF($H$2:$H2065 = "Zeeshan Ali Malik","Audit",IF($H$2:$H2065 = "Ali Raza ","Receiving",IF($H$2:$H2065 = "Ali Ahmad","Full-In"))))))</f>
        <v>0</v>
      </c>
      <c r="J566" s="29"/>
      <c r="K566" s="40"/>
      <c r="L566" s="40"/>
      <c r="M566" s="41"/>
      <c r="N566" s="39" t="s">
        <v>2335</v>
      </c>
      <c r="O566" s="46" t="b">
        <f aca="false">FALSE()</f>
        <v>0</v>
      </c>
      <c r="P566" s="20" t="n">
        <v>0</v>
      </c>
      <c r="Q566" s="45" t="n">
        <v>0</v>
      </c>
      <c r="R566" s="43" t="n">
        <v>0</v>
      </c>
      <c r="S566" s="20" t="n">
        <v>0</v>
      </c>
    </row>
    <row r="567" customFormat="false" ht="15.75" hidden="false" customHeight="false" outlineLevel="0" collapsed="false">
      <c r="A567" s="39" t="n">
        <v>0</v>
      </c>
      <c r="B567" s="44" t="str">
        <v/>
      </c>
      <c r="C567" s="39" t="n">
        <v>0</v>
      </c>
      <c r="D567" s="39" t="n">
        <v>0</v>
      </c>
      <c r="E567" s="39" t="str">
        <v/>
      </c>
      <c r="F567" s="45" t="n">
        <v>0</v>
      </c>
      <c r="G567" s="40" t="n">
        <v>0</v>
      </c>
      <c r="H567" s="39" t="n">
        <v>0</v>
      </c>
      <c r="I567" s="49" t="b">
        <f aca="false">IF(ISBLANK(H567),"", IF($H$2:$H2066 = "Gohar Rehan","Overnight",IF($H$2:$H2066 = "Taufeeq Akhtar ","Overnight",IF($H$2:$H2066 = "Zeeshan Ali Malik","Audit",IF($H$2:$H2066 = "Ali Raza ","Receiving",IF($H$2:$H2066 = "Ali Ahmad","Full-In"))))))</f>
        <v>0</v>
      </c>
      <c r="J567" s="29"/>
      <c r="K567" s="40"/>
      <c r="L567" s="40"/>
      <c r="M567" s="41"/>
      <c r="N567" s="39" t="s">
        <v>2335</v>
      </c>
      <c r="O567" s="46" t="b">
        <f aca="false">FALSE()</f>
        <v>0</v>
      </c>
      <c r="P567" s="20" t="n">
        <v>0</v>
      </c>
      <c r="Q567" s="45" t="n">
        <v>0</v>
      </c>
      <c r="R567" s="43" t="n">
        <v>0</v>
      </c>
      <c r="S567" s="20" t="n">
        <v>0</v>
      </c>
    </row>
    <row r="568" customFormat="false" ht="15.75" hidden="false" customHeight="false" outlineLevel="0" collapsed="false">
      <c r="A568" s="39" t="n">
        <v>0</v>
      </c>
      <c r="B568" s="44" t="str">
        <v/>
      </c>
      <c r="C568" s="39" t="n">
        <v>0</v>
      </c>
      <c r="D568" s="39" t="n">
        <v>0</v>
      </c>
      <c r="E568" s="39" t="str">
        <v/>
      </c>
      <c r="F568" s="45" t="n">
        <v>0</v>
      </c>
      <c r="G568" s="40" t="n">
        <v>0</v>
      </c>
      <c r="H568" s="39" t="n">
        <v>0</v>
      </c>
      <c r="I568" s="49" t="b">
        <f aca="false">IF(ISBLANK(H568),"", IF($H$2:$H2067 = "Gohar Rehan","Overnight",IF($H$2:$H2067 = "Taufeeq Akhtar ","Overnight",IF($H$2:$H2067 = "Zeeshan Ali Malik","Audit",IF($H$2:$H2067 = "Ali Raza ","Receiving",IF($H$2:$H2067 = "Ali Ahmad","Full-In"))))))</f>
        <v>0</v>
      </c>
      <c r="J568" s="29"/>
      <c r="K568" s="40"/>
      <c r="L568" s="40"/>
      <c r="M568" s="41"/>
      <c r="N568" s="39" t="s">
        <v>2335</v>
      </c>
      <c r="O568" s="46" t="b">
        <f aca="false">FALSE()</f>
        <v>0</v>
      </c>
      <c r="P568" s="20" t="n">
        <v>0</v>
      </c>
      <c r="Q568" s="45" t="n">
        <v>0</v>
      </c>
      <c r="R568" s="43" t="n">
        <v>0</v>
      </c>
      <c r="S568" s="20" t="n">
        <v>0</v>
      </c>
    </row>
    <row r="569" customFormat="false" ht="15.75" hidden="false" customHeight="false" outlineLevel="0" collapsed="false">
      <c r="A569" s="39" t="n">
        <v>0</v>
      </c>
      <c r="B569" s="44" t="str">
        <v/>
      </c>
      <c r="C569" s="39" t="n">
        <v>0</v>
      </c>
      <c r="D569" s="39" t="n">
        <v>0</v>
      </c>
      <c r="E569" s="39" t="str">
        <v/>
      </c>
      <c r="F569" s="45" t="n">
        <v>0</v>
      </c>
      <c r="G569" s="40" t="n">
        <v>0</v>
      </c>
      <c r="H569" s="39" t="n">
        <v>0</v>
      </c>
      <c r="I569" s="49" t="b">
        <f aca="false">IF(ISBLANK(H569),"", IF($H$2:$H2068 = "Gohar Rehan","Overnight",IF($H$2:$H2068 = "Taufeeq Akhtar ","Overnight",IF($H$2:$H2068 = "Zeeshan Ali Malik","Audit",IF($H$2:$H2068 = "Ali Raza ","Receiving",IF($H$2:$H2068 = "Ali Ahmad","Full-In"))))))</f>
        <v>0</v>
      </c>
      <c r="J569" s="29"/>
      <c r="K569" s="40"/>
      <c r="L569" s="40"/>
      <c r="M569" s="41"/>
      <c r="N569" s="39" t="s">
        <v>2335</v>
      </c>
      <c r="O569" s="46" t="b">
        <f aca="false">FALSE()</f>
        <v>0</v>
      </c>
      <c r="P569" s="20" t="n">
        <v>0</v>
      </c>
      <c r="Q569" s="45" t="n">
        <v>0</v>
      </c>
      <c r="R569" s="43" t="n">
        <v>0</v>
      </c>
      <c r="S569" s="20" t="n">
        <v>0</v>
      </c>
    </row>
    <row r="570" customFormat="false" ht="15.75" hidden="false" customHeight="false" outlineLevel="0" collapsed="false">
      <c r="A570" s="39" t="n">
        <v>0</v>
      </c>
      <c r="B570" s="44" t="str">
        <v/>
      </c>
      <c r="C570" s="39" t="n">
        <v>0</v>
      </c>
      <c r="D570" s="39" t="n">
        <v>0</v>
      </c>
      <c r="E570" s="39" t="str">
        <v/>
      </c>
      <c r="F570" s="45" t="n">
        <v>0</v>
      </c>
      <c r="G570" s="40" t="n">
        <v>0</v>
      </c>
      <c r="H570" s="39" t="n">
        <v>0</v>
      </c>
      <c r="I570" s="49" t="b">
        <f aca="false">IF(ISBLANK(H570),"", IF($H$2:$H2069 = "Gohar Rehan","Overnight",IF($H$2:$H2069 = "Taufeeq Akhtar ","Overnight",IF($H$2:$H2069 = "Zeeshan Ali Malik","Audit",IF($H$2:$H2069 = "Ali Raza ","Receiving",IF($H$2:$H2069 = "Ali Ahmad","Full-In"))))))</f>
        <v>0</v>
      </c>
      <c r="J570" s="29"/>
      <c r="K570" s="40"/>
      <c r="L570" s="40"/>
      <c r="M570" s="41"/>
      <c r="N570" s="39" t="s">
        <v>2335</v>
      </c>
      <c r="O570" s="46" t="b">
        <f aca="false">FALSE()</f>
        <v>0</v>
      </c>
      <c r="P570" s="20" t="n">
        <v>0</v>
      </c>
      <c r="Q570" s="45" t="n">
        <v>0</v>
      </c>
      <c r="R570" s="43" t="n">
        <v>0</v>
      </c>
      <c r="S570" s="20" t="n">
        <v>0</v>
      </c>
    </row>
    <row r="571" customFormat="false" ht="15.75" hidden="false" customHeight="false" outlineLevel="0" collapsed="false">
      <c r="A571" s="39" t="n">
        <v>0</v>
      </c>
      <c r="B571" s="44" t="str">
        <v/>
      </c>
      <c r="C571" s="39" t="n">
        <v>0</v>
      </c>
      <c r="D571" s="39" t="n">
        <v>0</v>
      </c>
      <c r="E571" s="39" t="str">
        <v/>
      </c>
      <c r="F571" s="45" t="n">
        <v>0</v>
      </c>
      <c r="G571" s="40" t="n">
        <v>0</v>
      </c>
      <c r="H571" s="39" t="n">
        <v>0</v>
      </c>
      <c r="I571" s="49" t="b">
        <f aca="false">IF(ISBLANK(H571),"", IF($H$2:$H2070 = "Gohar Rehan","Overnight",IF($H$2:$H2070 = "Taufeeq Akhtar ","Overnight",IF($H$2:$H2070 = "Zeeshan Ali Malik","Audit",IF($H$2:$H2070 = "Ali Raza ","Receiving",IF($H$2:$H2070 = "Ali Ahmad","Full-In"))))))</f>
        <v>0</v>
      </c>
      <c r="J571" s="29"/>
      <c r="K571" s="40"/>
      <c r="L571" s="40"/>
      <c r="M571" s="41"/>
      <c r="N571" s="39" t="s">
        <v>2335</v>
      </c>
      <c r="O571" s="46" t="b">
        <f aca="false">FALSE()</f>
        <v>0</v>
      </c>
      <c r="P571" s="20" t="n">
        <v>0</v>
      </c>
      <c r="Q571" s="45" t="n">
        <v>0</v>
      </c>
      <c r="R571" s="43" t="n">
        <v>0</v>
      </c>
      <c r="S571" s="20" t="n">
        <v>0</v>
      </c>
    </row>
    <row r="572" customFormat="false" ht="15.75" hidden="false" customHeight="false" outlineLevel="0" collapsed="false">
      <c r="A572" s="39" t="n">
        <v>0</v>
      </c>
      <c r="B572" s="44" t="str">
        <v/>
      </c>
      <c r="C572" s="39" t="n">
        <v>0</v>
      </c>
      <c r="D572" s="39" t="n">
        <v>0</v>
      </c>
      <c r="E572" s="39" t="str">
        <v/>
      </c>
      <c r="F572" s="45" t="n">
        <v>0</v>
      </c>
      <c r="G572" s="40" t="n">
        <v>0</v>
      </c>
      <c r="H572" s="39" t="n">
        <v>0</v>
      </c>
      <c r="I572" s="49" t="b">
        <f aca="false">IF(ISBLANK(H572),"", IF($H$2:$H2071 = "Gohar Rehan","Overnight",IF($H$2:$H2071 = "Taufeeq Akhtar ","Overnight",IF($H$2:$H2071 = "Zeeshan Ali Malik","Audit",IF($H$2:$H2071 = "Ali Raza ","Receiving",IF($H$2:$H2071 = "Ali Ahmad","Full-In"))))))</f>
        <v>0</v>
      </c>
      <c r="J572" s="29"/>
      <c r="K572" s="40"/>
      <c r="L572" s="40"/>
      <c r="M572" s="41"/>
      <c r="N572" s="39" t="s">
        <v>2335</v>
      </c>
      <c r="O572" s="46" t="b">
        <f aca="false">FALSE()</f>
        <v>0</v>
      </c>
      <c r="P572" s="20" t="n">
        <v>0</v>
      </c>
      <c r="Q572" s="45" t="n">
        <v>0</v>
      </c>
      <c r="R572" s="43" t="n">
        <v>0</v>
      </c>
      <c r="S572" s="20" t="n">
        <v>0</v>
      </c>
    </row>
    <row r="573" customFormat="false" ht="15.75" hidden="false" customHeight="false" outlineLevel="0" collapsed="false">
      <c r="A573" s="39" t="n">
        <v>0</v>
      </c>
      <c r="B573" s="44" t="str">
        <v/>
      </c>
      <c r="C573" s="39" t="n">
        <v>0</v>
      </c>
      <c r="D573" s="39" t="n">
        <v>0</v>
      </c>
      <c r="E573" s="39" t="str">
        <v/>
      </c>
      <c r="F573" s="45" t="n">
        <v>0</v>
      </c>
      <c r="G573" s="40" t="n">
        <v>0</v>
      </c>
      <c r="H573" s="39" t="n">
        <v>0</v>
      </c>
      <c r="I573" s="49" t="b">
        <f aca="false">IF(ISBLANK(H573),"", IF($H$2:$H2072 = "Gohar Rehan","Overnight",IF($H$2:$H2072 = "Taufeeq Akhtar ","Overnight",IF($H$2:$H2072 = "Zeeshan Ali Malik","Audit",IF($H$2:$H2072 = "Ali Raza ","Receiving",IF($H$2:$H2072 = "Ali Ahmad","Full-In"))))))</f>
        <v>0</v>
      </c>
      <c r="J573" s="29"/>
      <c r="K573" s="40"/>
      <c r="L573" s="40"/>
      <c r="M573" s="41"/>
      <c r="N573" s="39" t="s">
        <v>2335</v>
      </c>
      <c r="O573" s="46" t="b">
        <f aca="false">FALSE()</f>
        <v>0</v>
      </c>
      <c r="P573" s="20" t="n">
        <v>0</v>
      </c>
      <c r="Q573" s="45" t="n">
        <v>0</v>
      </c>
      <c r="R573" s="43" t="n">
        <v>0</v>
      </c>
      <c r="S573" s="20" t="n">
        <v>0</v>
      </c>
    </row>
    <row r="574" customFormat="false" ht="15.75" hidden="false" customHeight="false" outlineLevel="0" collapsed="false">
      <c r="A574" s="39" t="n">
        <v>0</v>
      </c>
      <c r="B574" s="44" t="str">
        <v/>
      </c>
      <c r="C574" s="39" t="n">
        <v>0</v>
      </c>
      <c r="D574" s="39" t="n">
        <v>0</v>
      </c>
      <c r="E574" s="39" t="str">
        <v/>
      </c>
      <c r="F574" s="45" t="n">
        <v>0</v>
      </c>
      <c r="G574" s="40" t="n">
        <v>0</v>
      </c>
      <c r="H574" s="39" t="n">
        <v>0</v>
      </c>
      <c r="I574" s="49" t="b">
        <f aca="false">IF(ISBLANK(H574),"", IF($H$2:$H2073 = "Gohar Rehan","Overnight",IF($H$2:$H2073 = "Taufeeq Akhtar ","Overnight",IF($H$2:$H2073 = "Zeeshan Ali Malik","Audit",IF($H$2:$H2073 = "Ali Raza ","Receiving",IF($H$2:$H2073 = "Ali Ahmad","Full-In"))))))</f>
        <v>0</v>
      </c>
      <c r="J574" s="29"/>
      <c r="K574" s="40"/>
      <c r="L574" s="40"/>
      <c r="M574" s="41"/>
      <c r="N574" s="39" t="s">
        <v>2335</v>
      </c>
      <c r="O574" s="46" t="b">
        <f aca="false">FALSE()</f>
        <v>0</v>
      </c>
      <c r="P574" s="20" t="n">
        <v>0</v>
      </c>
      <c r="Q574" s="45" t="n">
        <v>0</v>
      </c>
      <c r="R574" s="43" t="n">
        <v>0</v>
      </c>
      <c r="S574" s="20" t="n">
        <v>0</v>
      </c>
    </row>
    <row r="575" customFormat="false" ht="15.75" hidden="false" customHeight="false" outlineLevel="0" collapsed="false">
      <c r="A575" s="39" t="n">
        <v>0</v>
      </c>
      <c r="B575" s="44" t="str">
        <v/>
      </c>
      <c r="C575" s="39" t="n">
        <v>0</v>
      </c>
      <c r="D575" s="39" t="n">
        <v>0</v>
      </c>
      <c r="E575" s="39" t="str">
        <v/>
      </c>
      <c r="F575" s="45" t="n">
        <v>0</v>
      </c>
      <c r="G575" s="40" t="n">
        <v>0</v>
      </c>
      <c r="H575" s="39" t="n">
        <v>0</v>
      </c>
      <c r="I575" s="49" t="b">
        <f aca="false">IF(ISBLANK(H575),"", IF($H$2:$H2074 = "Gohar Rehan","Overnight",IF($H$2:$H2074 = "Taufeeq Akhtar ","Overnight",IF($H$2:$H2074 = "Zeeshan Ali Malik","Audit",IF($H$2:$H2074 = "Ali Raza ","Receiving",IF($H$2:$H2074 = "Ali Ahmad","Full-In"))))))</f>
        <v>0</v>
      </c>
      <c r="J575" s="29"/>
      <c r="K575" s="40"/>
      <c r="L575" s="40"/>
      <c r="M575" s="41"/>
      <c r="N575" s="39" t="s">
        <v>2335</v>
      </c>
      <c r="O575" s="46" t="b">
        <f aca="false">FALSE()</f>
        <v>0</v>
      </c>
      <c r="P575" s="20" t="n">
        <v>0</v>
      </c>
      <c r="Q575" s="45" t="n">
        <v>0</v>
      </c>
      <c r="R575" s="43" t="n">
        <v>0</v>
      </c>
      <c r="S575" s="20" t="n">
        <v>0</v>
      </c>
    </row>
    <row r="576" customFormat="false" ht="15.75" hidden="false" customHeight="false" outlineLevel="0" collapsed="false">
      <c r="A576" s="39" t="n">
        <v>0</v>
      </c>
      <c r="B576" s="44" t="str">
        <v/>
      </c>
      <c r="C576" s="39" t="n">
        <v>0</v>
      </c>
      <c r="D576" s="39" t="n">
        <v>0</v>
      </c>
      <c r="E576" s="39" t="str">
        <v/>
      </c>
      <c r="F576" s="45" t="n">
        <v>0</v>
      </c>
      <c r="G576" s="40" t="n">
        <v>0</v>
      </c>
      <c r="H576" s="39" t="n">
        <v>0</v>
      </c>
      <c r="I576" s="49" t="b">
        <f aca="false">IF(ISBLANK(H576),"", IF($H$2:$H2075 = "Gohar Rehan","Overnight",IF($H$2:$H2075 = "Taufeeq Akhtar ","Overnight",IF($H$2:$H2075 = "Zeeshan Ali Malik","Audit",IF($H$2:$H2075 = "Ali Raza ","Receiving",IF($H$2:$H2075 = "Ali Ahmad","Full-In"))))))</f>
        <v>0</v>
      </c>
      <c r="J576" s="29"/>
      <c r="K576" s="40"/>
      <c r="L576" s="40"/>
      <c r="M576" s="41"/>
      <c r="N576" s="39" t="s">
        <v>2335</v>
      </c>
      <c r="O576" s="46" t="b">
        <f aca="false">FALSE()</f>
        <v>0</v>
      </c>
      <c r="P576" s="20" t="n">
        <v>0</v>
      </c>
      <c r="Q576" s="45" t="n">
        <v>0</v>
      </c>
      <c r="R576" s="43" t="n">
        <v>0</v>
      </c>
      <c r="S576" s="20" t="n">
        <v>0</v>
      </c>
    </row>
    <row r="577" customFormat="false" ht="15.75" hidden="false" customHeight="false" outlineLevel="0" collapsed="false">
      <c r="A577" s="39" t="n">
        <v>0</v>
      </c>
      <c r="B577" s="44" t="str">
        <v/>
      </c>
      <c r="C577" s="39" t="n">
        <v>0</v>
      </c>
      <c r="D577" s="39" t="n">
        <v>0</v>
      </c>
      <c r="E577" s="39" t="str">
        <v/>
      </c>
      <c r="F577" s="45" t="n">
        <v>0</v>
      </c>
      <c r="G577" s="40" t="n">
        <v>0</v>
      </c>
      <c r="H577" s="39" t="n">
        <v>0</v>
      </c>
      <c r="I577" s="49" t="b">
        <f aca="false">IF(ISBLANK(H577),"", IF($H$2:$H2076 = "Gohar Rehan","Overnight",IF($H$2:$H2076 = "Taufeeq Akhtar ","Overnight",IF($H$2:$H2076 = "Zeeshan Ali Malik","Audit",IF($H$2:$H2076 = "Ali Raza ","Receiving",IF($H$2:$H2076 = "Ali Ahmad","Full-In"))))))</f>
        <v>0</v>
      </c>
      <c r="J577" s="29"/>
      <c r="K577" s="40"/>
      <c r="L577" s="40"/>
      <c r="M577" s="41"/>
      <c r="N577" s="39" t="s">
        <v>2335</v>
      </c>
      <c r="O577" s="46" t="b">
        <f aca="false">FALSE()</f>
        <v>0</v>
      </c>
      <c r="P577" s="20" t="n">
        <v>0</v>
      </c>
      <c r="Q577" s="45" t="n">
        <v>0</v>
      </c>
      <c r="R577" s="43" t="n">
        <v>0</v>
      </c>
      <c r="S577" s="20" t="n">
        <v>0</v>
      </c>
    </row>
    <row r="578" customFormat="false" ht="15.75" hidden="false" customHeight="false" outlineLevel="0" collapsed="false">
      <c r="A578" s="39" t="n">
        <v>0</v>
      </c>
      <c r="B578" s="44" t="str">
        <v/>
      </c>
      <c r="C578" s="39" t="n">
        <v>0</v>
      </c>
      <c r="D578" s="39" t="n">
        <v>0</v>
      </c>
      <c r="E578" s="39" t="str">
        <v/>
      </c>
      <c r="F578" s="45" t="n">
        <v>0</v>
      </c>
      <c r="G578" s="40" t="n">
        <v>0</v>
      </c>
      <c r="H578" s="39" t="n">
        <v>0</v>
      </c>
      <c r="I578" s="49" t="b">
        <f aca="false">IF(ISBLANK(H578),"", IF($H$2:$H2077 = "Gohar Rehan","Overnight",IF($H$2:$H2077 = "Taufeeq Akhtar ","Overnight",IF($H$2:$H2077 = "Zeeshan Ali Malik","Audit",IF($H$2:$H2077 = "Ali Raza ","Receiving",IF($H$2:$H2077 = "Ali Ahmad","Full-In"))))))</f>
        <v>0</v>
      </c>
      <c r="J578" s="29"/>
      <c r="K578" s="40"/>
      <c r="L578" s="40"/>
      <c r="M578" s="41"/>
      <c r="N578" s="39" t="s">
        <v>2335</v>
      </c>
      <c r="O578" s="46" t="b">
        <f aca="false">FALSE()</f>
        <v>0</v>
      </c>
      <c r="P578" s="20" t="n">
        <v>0</v>
      </c>
      <c r="Q578" s="45" t="n">
        <v>0</v>
      </c>
      <c r="R578" s="43" t="n">
        <v>0</v>
      </c>
      <c r="S578" s="20" t="n">
        <v>0</v>
      </c>
    </row>
    <row r="579" customFormat="false" ht="15.75" hidden="false" customHeight="false" outlineLevel="0" collapsed="false">
      <c r="A579" s="39" t="n">
        <v>0</v>
      </c>
      <c r="B579" s="44" t="str">
        <v/>
      </c>
      <c r="C579" s="39" t="n">
        <v>0</v>
      </c>
      <c r="D579" s="39" t="n">
        <v>0</v>
      </c>
      <c r="E579" s="39" t="str">
        <v/>
      </c>
      <c r="F579" s="45" t="n">
        <v>0</v>
      </c>
      <c r="G579" s="40" t="n">
        <v>0</v>
      </c>
      <c r="H579" s="39" t="n">
        <v>0</v>
      </c>
      <c r="I579" s="49" t="b">
        <f aca="false">IF(ISBLANK(H579),"", IF($H$2:$H2078 = "Gohar Rehan","Overnight",IF($H$2:$H2078 = "Taufeeq Akhtar ","Overnight",IF($H$2:$H2078 = "Zeeshan Ali Malik","Audit",IF($H$2:$H2078 = "Ali Raza ","Receiving",IF($H$2:$H2078 = "Ali Ahmad","Full-In"))))))</f>
        <v>0</v>
      </c>
      <c r="J579" s="29"/>
      <c r="K579" s="40"/>
      <c r="L579" s="40"/>
      <c r="M579" s="41"/>
      <c r="N579" s="39" t="s">
        <v>2335</v>
      </c>
      <c r="O579" s="46" t="b">
        <f aca="false">FALSE()</f>
        <v>0</v>
      </c>
      <c r="P579" s="20" t="n">
        <v>0</v>
      </c>
      <c r="Q579" s="45" t="n">
        <v>0</v>
      </c>
      <c r="R579" s="43" t="n">
        <v>0</v>
      </c>
      <c r="S579" s="20" t="n">
        <v>0</v>
      </c>
    </row>
    <row r="580" customFormat="false" ht="15.75" hidden="false" customHeight="false" outlineLevel="0" collapsed="false">
      <c r="A580" s="39" t="n">
        <v>0</v>
      </c>
      <c r="B580" s="44" t="str">
        <v/>
      </c>
      <c r="C580" s="39" t="n">
        <v>0</v>
      </c>
      <c r="D580" s="39" t="n">
        <v>0</v>
      </c>
      <c r="E580" s="39" t="str">
        <v/>
      </c>
      <c r="F580" s="45" t="n">
        <v>0</v>
      </c>
      <c r="G580" s="40" t="n">
        <v>0</v>
      </c>
      <c r="H580" s="39" t="n">
        <v>0</v>
      </c>
      <c r="I580" s="49" t="b">
        <f aca="false">IF(ISBLANK(H580),"", IF($H$2:$H2079 = "Gohar Rehan","Overnight",IF($H$2:$H2079 = "Taufeeq Akhtar ","Overnight",IF($H$2:$H2079 = "Zeeshan Ali Malik","Audit",IF($H$2:$H2079 = "Ali Raza ","Receiving",IF($H$2:$H2079 = "Ali Ahmad","Full-In"))))))</f>
        <v>0</v>
      </c>
      <c r="J580" s="29"/>
      <c r="K580" s="40"/>
      <c r="L580" s="40"/>
      <c r="M580" s="41"/>
      <c r="N580" s="39" t="s">
        <v>2335</v>
      </c>
      <c r="O580" s="46" t="b">
        <f aca="false">FALSE()</f>
        <v>0</v>
      </c>
      <c r="P580" s="20" t="n">
        <v>0</v>
      </c>
      <c r="Q580" s="45" t="n">
        <v>0</v>
      </c>
      <c r="R580" s="43" t="n">
        <v>0</v>
      </c>
      <c r="S580" s="20" t="n">
        <v>0</v>
      </c>
    </row>
    <row r="581" customFormat="false" ht="15.75" hidden="false" customHeight="false" outlineLevel="0" collapsed="false">
      <c r="A581" s="39" t="n">
        <v>0</v>
      </c>
      <c r="B581" s="44" t="str">
        <v/>
      </c>
      <c r="C581" s="39" t="n">
        <v>0</v>
      </c>
      <c r="D581" s="39" t="n">
        <v>0</v>
      </c>
      <c r="E581" s="39" t="str">
        <v/>
      </c>
      <c r="F581" s="45" t="n">
        <v>0</v>
      </c>
      <c r="G581" s="40" t="n">
        <v>0</v>
      </c>
      <c r="H581" s="39" t="n">
        <v>0</v>
      </c>
      <c r="I581" s="49" t="b">
        <f aca="false">IF(ISBLANK(H581),"", IF($H$2:$H2080 = "Gohar Rehan","Overnight",IF($H$2:$H2080 = "Taufeeq Akhtar ","Overnight",IF($H$2:$H2080 = "Zeeshan Ali Malik","Audit",IF($H$2:$H2080 = "Ali Raza ","Receiving",IF($H$2:$H2080 = "Ali Ahmad","Full-In"))))))</f>
        <v>0</v>
      </c>
      <c r="J581" s="29"/>
      <c r="K581" s="40"/>
      <c r="L581" s="40"/>
      <c r="M581" s="41"/>
      <c r="N581" s="39" t="s">
        <v>2335</v>
      </c>
      <c r="O581" s="46" t="b">
        <f aca="false">FALSE()</f>
        <v>0</v>
      </c>
      <c r="P581" s="20" t="n">
        <v>0</v>
      </c>
      <c r="Q581" s="45" t="n">
        <v>0</v>
      </c>
      <c r="R581" s="43" t="n">
        <v>0</v>
      </c>
      <c r="S581" s="20" t="n">
        <v>0</v>
      </c>
    </row>
    <row r="582" customFormat="false" ht="15.75" hidden="false" customHeight="false" outlineLevel="0" collapsed="false">
      <c r="A582" s="39" t="n">
        <v>0</v>
      </c>
      <c r="B582" s="44" t="str">
        <v/>
      </c>
      <c r="C582" s="39" t="n">
        <v>0</v>
      </c>
      <c r="D582" s="39" t="n">
        <v>0</v>
      </c>
      <c r="E582" s="39" t="str">
        <v/>
      </c>
      <c r="F582" s="45" t="n">
        <v>0</v>
      </c>
      <c r="G582" s="40" t="n">
        <v>0</v>
      </c>
      <c r="H582" s="39" t="n">
        <v>0</v>
      </c>
      <c r="I582" s="49" t="b">
        <f aca="false">IF(ISBLANK(H582),"", IF($H$2:$H2081 = "Gohar Rehan","Overnight",IF($H$2:$H2081 = "Taufeeq Akhtar ","Overnight",IF($H$2:$H2081 = "Zeeshan Ali Malik","Audit",IF($H$2:$H2081 = "Ali Raza ","Receiving",IF($H$2:$H2081 = "Ali Ahmad","Full-In"))))))</f>
        <v>0</v>
      </c>
      <c r="J582" s="29"/>
      <c r="K582" s="40"/>
      <c r="L582" s="40"/>
      <c r="M582" s="41"/>
      <c r="N582" s="39" t="s">
        <v>2335</v>
      </c>
      <c r="O582" s="46" t="b">
        <f aca="false">FALSE()</f>
        <v>0</v>
      </c>
      <c r="P582" s="20" t="n">
        <v>0</v>
      </c>
      <c r="Q582" s="45" t="n">
        <v>0</v>
      </c>
      <c r="R582" s="43" t="n">
        <v>0</v>
      </c>
      <c r="S582" s="20" t="n">
        <v>0</v>
      </c>
    </row>
    <row r="583" customFormat="false" ht="15.75" hidden="false" customHeight="false" outlineLevel="0" collapsed="false">
      <c r="A583" s="39" t="n">
        <v>0</v>
      </c>
      <c r="B583" s="44" t="str">
        <v/>
      </c>
      <c r="C583" s="39" t="n">
        <v>0</v>
      </c>
      <c r="D583" s="39" t="n">
        <v>0</v>
      </c>
      <c r="E583" s="39" t="str">
        <v/>
      </c>
      <c r="F583" s="45" t="n">
        <v>0</v>
      </c>
      <c r="G583" s="40" t="n">
        <v>0</v>
      </c>
      <c r="H583" s="39" t="n">
        <v>0</v>
      </c>
      <c r="I583" s="49" t="b">
        <f aca="false">IF(ISBLANK(H583),"", IF($H$2:$H2082 = "Gohar Rehan","Overnight",IF($H$2:$H2082 = "Taufeeq Akhtar ","Overnight",IF($H$2:$H2082 = "Zeeshan Ali Malik","Audit",IF($H$2:$H2082 = "Ali Raza ","Receiving",IF($H$2:$H2082 = "Ali Ahmad","Full-In"))))))</f>
        <v>0</v>
      </c>
      <c r="J583" s="29"/>
      <c r="K583" s="40"/>
      <c r="L583" s="40"/>
      <c r="M583" s="41"/>
      <c r="N583" s="39" t="s">
        <v>2335</v>
      </c>
      <c r="O583" s="46" t="b">
        <f aca="false">FALSE()</f>
        <v>0</v>
      </c>
      <c r="P583" s="20" t="n">
        <v>0</v>
      </c>
      <c r="Q583" s="45" t="n">
        <v>0</v>
      </c>
      <c r="R583" s="43" t="n">
        <v>0</v>
      </c>
      <c r="S583" s="20" t="n">
        <v>0</v>
      </c>
    </row>
    <row r="584" customFormat="false" ht="15.75" hidden="false" customHeight="false" outlineLevel="0" collapsed="false">
      <c r="A584" s="39" t="n">
        <v>0</v>
      </c>
      <c r="B584" s="44" t="str">
        <v/>
      </c>
      <c r="C584" s="39" t="n">
        <v>0</v>
      </c>
      <c r="D584" s="39" t="n">
        <v>0</v>
      </c>
      <c r="E584" s="39" t="str">
        <v/>
      </c>
      <c r="F584" s="45" t="n">
        <v>0</v>
      </c>
      <c r="G584" s="40" t="n">
        <v>0</v>
      </c>
      <c r="H584" s="39" t="n">
        <v>0</v>
      </c>
      <c r="I584" s="49" t="b">
        <f aca="false">IF(ISBLANK(H584),"", IF($H$2:$H2083 = "Gohar Rehan","Overnight",IF($H$2:$H2083 = "Taufeeq Akhtar ","Overnight",IF($H$2:$H2083 = "Zeeshan Ali Malik","Audit",IF($H$2:$H2083 = "Ali Raza ","Receiving",IF($H$2:$H2083 = "Ali Ahmad","Full-In"))))))</f>
        <v>0</v>
      </c>
      <c r="J584" s="29"/>
      <c r="K584" s="40"/>
      <c r="L584" s="40"/>
      <c r="M584" s="41"/>
      <c r="N584" s="39" t="s">
        <v>2335</v>
      </c>
      <c r="O584" s="46" t="b">
        <f aca="false">FALSE()</f>
        <v>0</v>
      </c>
      <c r="P584" s="20" t="n">
        <v>0</v>
      </c>
      <c r="Q584" s="45" t="n">
        <v>0</v>
      </c>
      <c r="R584" s="43" t="n">
        <v>0</v>
      </c>
      <c r="S584" s="20" t="n">
        <v>0</v>
      </c>
    </row>
    <row r="585" customFormat="false" ht="15.75" hidden="false" customHeight="false" outlineLevel="0" collapsed="false">
      <c r="A585" s="39" t="n">
        <v>0</v>
      </c>
      <c r="B585" s="44" t="str">
        <v/>
      </c>
      <c r="C585" s="39" t="n">
        <v>0</v>
      </c>
      <c r="D585" s="39" t="n">
        <v>0</v>
      </c>
      <c r="E585" s="39" t="str">
        <v/>
      </c>
      <c r="F585" s="45" t="n">
        <v>0</v>
      </c>
      <c r="G585" s="40" t="n">
        <v>0</v>
      </c>
      <c r="H585" s="39" t="n">
        <v>0</v>
      </c>
      <c r="I585" s="49" t="b">
        <f aca="false">IF(ISBLANK(H585),"", IF($H$2:$H2084 = "Gohar Rehan","Overnight",IF($H$2:$H2084 = "Taufeeq Akhtar ","Overnight",IF($H$2:$H2084 = "Zeeshan Ali Malik","Audit",IF($H$2:$H2084 = "Ali Raza ","Receiving",IF($H$2:$H2084 = "Ali Ahmad","Full-In"))))))</f>
        <v>0</v>
      </c>
      <c r="J585" s="29"/>
      <c r="K585" s="40"/>
      <c r="L585" s="40"/>
      <c r="M585" s="41"/>
      <c r="N585" s="39" t="s">
        <v>2335</v>
      </c>
      <c r="O585" s="46" t="b">
        <f aca="false">FALSE()</f>
        <v>0</v>
      </c>
      <c r="P585" s="20" t="n">
        <v>0</v>
      </c>
      <c r="Q585" s="45" t="n">
        <v>0</v>
      </c>
      <c r="R585" s="43" t="n">
        <v>0</v>
      </c>
      <c r="S585" s="20" t="n">
        <v>0</v>
      </c>
    </row>
    <row r="586" customFormat="false" ht="15.75" hidden="false" customHeight="false" outlineLevel="0" collapsed="false">
      <c r="A586" s="39" t="n">
        <v>0</v>
      </c>
      <c r="B586" s="44" t="str">
        <v/>
      </c>
      <c r="C586" s="39" t="n">
        <v>0</v>
      </c>
      <c r="D586" s="39" t="n">
        <v>0</v>
      </c>
      <c r="E586" s="39" t="str">
        <v/>
      </c>
      <c r="F586" s="45" t="n">
        <v>0</v>
      </c>
      <c r="G586" s="40" t="n">
        <v>0</v>
      </c>
      <c r="H586" s="39" t="n">
        <v>0</v>
      </c>
      <c r="I586" s="49" t="b">
        <f aca="false">IF(ISBLANK(H586),"", IF($H$2:$H2085 = "Gohar Rehan","Overnight",IF($H$2:$H2085 = "Taufeeq Akhtar ","Overnight",IF($H$2:$H2085 = "Zeeshan Ali Malik","Audit",IF($H$2:$H2085 = "Ali Raza ","Receiving",IF($H$2:$H2085 = "Ali Ahmad","Full-In"))))))</f>
        <v>0</v>
      </c>
      <c r="J586" s="29"/>
      <c r="K586" s="40"/>
      <c r="L586" s="40"/>
      <c r="M586" s="41"/>
      <c r="N586" s="39" t="s">
        <v>2335</v>
      </c>
      <c r="O586" s="46" t="b">
        <f aca="false">FALSE()</f>
        <v>0</v>
      </c>
      <c r="P586" s="20" t="n">
        <v>0</v>
      </c>
      <c r="Q586" s="45" t="n">
        <v>0</v>
      </c>
      <c r="R586" s="43" t="n">
        <v>0</v>
      </c>
      <c r="S586" s="20" t="n">
        <v>0</v>
      </c>
    </row>
    <row r="587" customFormat="false" ht="15.75" hidden="false" customHeight="false" outlineLevel="0" collapsed="false">
      <c r="A587" s="39" t="n">
        <v>0</v>
      </c>
      <c r="B587" s="44" t="str">
        <v/>
      </c>
      <c r="C587" s="39" t="n">
        <v>0</v>
      </c>
      <c r="D587" s="39" t="n">
        <v>0</v>
      </c>
      <c r="E587" s="39" t="str">
        <v/>
      </c>
      <c r="F587" s="45" t="n">
        <v>0</v>
      </c>
      <c r="G587" s="40" t="n">
        <v>0</v>
      </c>
      <c r="H587" s="39" t="n">
        <v>0</v>
      </c>
      <c r="I587" s="49" t="b">
        <f aca="false">IF(ISBLANK(H587),"", IF($H$2:$H2086 = "Gohar Rehan","Overnight",IF($H$2:$H2086 = "Taufeeq Akhtar ","Overnight",IF($H$2:$H2086 = "Zeeshan Ali Malik","Audit",IF($H$2:$H2086 = "Ali Raza ","Receiving",IF($H$2:$H2086 = "Ali Ahmad","Full-In"))))))</f>
        <v>0</v>
      </c>
      <c r="J587" s="29"/>
      <c r="K587" s="40"/>
      <c r="L587" s="40"/>
      <c r="M587" s="41"/>
      <c r="N587" s="39" t="s">
        <v>2335</v>
      </c>
      <c r="O587" s="46" t="b">
        <f aca="false">FALSE()</f>
        <v>0</v>
      </c>
      <c r="P587" s="20" t="n">
        <v>0</v>
      </c>
      <c r="Q587" s="45" t="n">
        <v>0</v>
      </c>
      <c r="R587" s="43" t="n">
        <v>0</v>
      </c>
      <c r="S587" s="20" t="n">
        <v>0</v>
      </c>
    </row>
    <row r="588" customFormat="false" ht="15.75" hidden="false" customHeight="false" outlineLevel="0" collapsed="false">
      <c r="A588" s="39" t="n">
        <v>0</v>
      </c>
      <c r="B588" s="44" t="str">
        <v/>
      </c>
      <c r="C588" s="39" t="n">
        <v>0</v>
      </c>
      <c r="D588" s="39" t="n">
        <v>0</v>
      </c>
      <c r="E588" s="39" t="str">
        <v/>
      </c>
      <c r="F588" s="45" t="n">
        <v>0</v>
      </c>
      <c r="G588" s="40" t="n">
        <v>0</v>
      </c>
      <c r="H588" s="39" t="n">
        <v>0</v>
      </c>
      <c r="I588" s="49" t="b">
        <f aca="false">IF(ISBLANK(H588),"", IF($H$2:$H2087 = "Gohar Rehan","Overnight",IF($H$2:$H2087 = "Taufeeq Akhtar ","Overnight",IF($H$2:$H2087 = "Zeeshan Ali Malik","Audit",IF($H$2:$H2087 = "Ali Raza ","Receiving",IF($H$2:$H2087 = "Ali Ahmad","Full-In"))))))</f>
        <v>0</v>
      </c>
      <c r="J588" s="29"/>
      <c r="K588" s="40"/>
      <c r="L588" s="40"/>
      <c r="M588" s="41"/>
      <c r="N588" s="39" t="s">
        <v>2335</v>
      </c>
      <c r="O588" s="46" t="b">
        <f aca="false">FALSE()</f>
        <v>0</v>
      </c>
      <c r="P588" s="20" t="n">
        <v>0</v>
      </c>
      <c r="Q588" s="45" t="n">
        <v>0</v>
      </c>
      <c r="R588" s="43" t="n">
        <v>0</v>
      </c>
      <c r="S588" s="20" t="n">
        <v>0</v>
      </c>
    </row>
    <row r="589" customFormat="false" ht="15.75" hidden="false" customHeight="false" outlineLevel="0" collapsed="false">
      <c r="A589" s="39" t="n">
        <v>0</v>
      </c>
      <c r="B589" s="44" t="str">
        <v/>
      </c>
      <c r="C589" s="39" t="n">
        <v>0</v>
      </c>
      <c r="D589" s="39" t="n">
        <v>0</v>
      </c>
      <c r="E589" s="39" t="str">
        <v/>
      </c>
      <c r="F589" s="45" t="n">
        <v>0</v>
      </c>
      <c r="G589" s="40" t="n">
        <v>0</v>
      </c>
      <c r="H589" s="39" t="n">
        <v>0</v>
      </c>
      <c r="I589" s="49" t="b">
        <f aca="false">IF(ISBLANK(H589),"", IF($H$2:$H2088 = "Gohar Rehan","Overnight",IF($H$2:$H2088 = "Taufeeq Akhtar ","Overnight",IF($H$2:$H2088 = "Zeeshan Ali Malik","Audit",IF($H$2:$H2088 = "Ali Raza ","Receiving",IF($H$2:$H2088 = "Ali Ahmad","Full-In"))))))</f>
        <v>0</v>
      </c>
      <c r="J589" s="29"/>
      <c r="K589" s="40"/>
      <c r="L589" s="40"/>
      <c r="M589" s="41"/>
      <c r="N589" s="39" t="s">
        <v>2335</v>
      </c>
      <c r="O589" s="46" t="b">
        <f aca="false">FALSE()</f>
        <v>0</v>
      </c>
      <c r="P589" s="20" t="n">
        <v>0</v>
      </c>
      <c r="Q589" s="45" t="n">
        <v>0</v>
      </c>
      <c r="R589" s="43" t="n">
        <v>0</v>
      </c>
      <c r="S589" s="20" t="n">
        <v>0</v>
      </c>
    </row>
    <row r="590" customFormat="false" ht="15.75" hidden="false" customHeight="false" outlineLevel="0" collapsed="false">
      <c r="A590" s="39" t="n">
        <v>0</v>
      </c>
      <c r="B590" s="44" t="str">
        <v/>
      </c>
      <c r="C590" s="39" t="n">
        <v>0</v>
      </c>
      <c r="D590" s="39" t="n">
        <v>0</v>
      </c>
      <c r="E590" s="39" t="str">
        <v/>
      </c>
      <c r="F590" s="45" t="n">
        <v>0</v>
      </c>
      <c r="G590" s="40" t="n">
        <v>0</v>
      </c>
      <c r="H590" s="39" t="n">
        <v>0</v>
      </c>
      <c r="I590" s="49" t="b">
        <f aca="false">IF(ISBLANK(H590),"", IF($H$2:$H2089 = "Gohar Rehan","Overnight",IF($H$2:$H2089 = "Taufeeq Akhtar ","Overnight",IF($H$2:$H2089 = "Zeeshan Ali Malik","Audit",IF($H$2:$H2089 = "Ali Raza ","Receiving",IF($H$2:$H2089 = "Ali Ahmad","Full-In"))))))</f>
        <v>0</v>
      </c>
      <c r="J590" s="29"/>
      <c r="K590" s="40"/>
      <c r="L590" s="40"/>
      <c r="M590" s="41"/>
      <c r="N590" s="39" t="s">
        <v>2335</v>
      </c>
      <c r="O590" s="46" t="b">
        <f aca="false">FALSE()</f>
        <v>0</v>
      </c>
      <c r="P590" s="20" t="n">
        <v>0</v>
      </c>
      <c r="Q590" s="45" t="n">
        <v>0</v>
      </c>
      <c r="R590" s="43" t="n">
        <v>0</v>
      </c>
      <c r="S590" s="20" t="n">
        <v>0</v>
      </c>
    </row>
    <row r="591" customFormat="false" ht="15.75" hidden="false" customHeight="false" outlineLevel="0" collapsed="false">
      <c r="A591" s="39" t="n">
        <v>0</v>
      </c>
      <c r="B591" s="44" t="str">
        <v/>
      </c>
      <c r="C591" s="39" t="n">
        <v>0</v>
      </c>
      <c r="D591" s="39" t="n">
        <v>0</v>
      </c>
      <c r="E591" s="39" t="str">
        <v/>
      </c>
      <c r="F591" s="45" t="n">
        <v>0</v>
      </c>
      <c r="G591" s="40" t="n">
        <v>0</v>
      </c>
      <c r="H591" s="39" t="n">
        <v>0</v>
      </c>
      <c r="I591" s="49" t="b">
        <f aca="false">IF(ISBLANK(H591),"", IF($H$2:$H2090 = "Gohar Rehan","Overnight",IF($H$2:$H2090 = "Taufeeq Akhtar ","Overnight",IF($H$2:$H2090 = "Zeeshan Ali Malik","Audit",IF($H$2:$H2090 = "Ali Raza ","Receiving",IF($H$2:$H2090 = "Ali Ahmad","Full-In"))))))</f>
        <v>0</v>
      </c>
      <c r="J591" s="29"/>
      <c r="K591" s="40"/>
      <c r="L591" s="40"/>
      <c r="M591" s="41"/>
      <c r="N591" s="39" t="s">
        <v>2335</v>
      </c>
      <c r="O591" s="46" t="b">
        <f aca="false">FALSE()</f>
        <v>0</v>
      </c>
      <c r="P591" s="20" t="n">
        <v>0</v>
      </c>
      <c r="Q591" s="45" t="n">
        <v>0</v>
      </c>
      <c r="R591" s="43" t="n">
        <v>0</v>
      </c>
      <c r="S591" s="20" t="n">
        <v>0</v>
      </c>
    </row>
    <row r="592" customFormat="false" ht="15.75" hidden="false" customHeight="false" outlineLevel="0" collapsed="false">
      <c r="A592" s="39" t="n">
        <v>0</v>
      </c>
      <c r="B592" s="44" t="str">
        <v/>
      </c>
      <c r="C592" s="39" t="n">
        <v>0</v>
      </c>
      <c r="D592" s="39" t="n">
        <v>0</v>
      </c>
      <c r="E592" s="39" t="str">
        <v/>
      </c>
      <c r="F592" s="45" t="n">
        <v>0</v>
      </c>
      <c r="G592" s="40" t="n">
        <v>0</v>
      </c>
      <c r="H592" s="39" t="n">
        <v>0</v>
      </c>
      <c r="I592" s="49" t="b">
        <f aca="false">IF(ISBLANK(H592),"", IF($H$2:$H2091 = "Gohar Rehan","Overnight",IF($H$2:$H2091 = "Taufeeq Akhtar ","Overnight",IF($H$2:$H2091 = "Zeeshan Ali Malik","Audit",IF($H$2:$H2091 = "Ali Raza ","Receiving",IF($H$2:$H2091 = "Ali Ahmad","Full-In"))))))</f>
        <v>0</v>
      </c>
      <c r="J592" s="29"/>
      <c r="K592" s="40"/>
      <c r="L592" s="40"/>
      <c r="M592" s="41"/>
      <c r="N592" s="39" t="s">
        <v>2335</v>
      </c>
      <c r="O592" s="46" t="b">
        <f aca="false">FALSE()</f>
        <v>0</v>
      </c>
      <c r="P592" s="20" t="n">
        <v>0</v>
      </c>
      <c r="Q592" s="45" t="n">
        <v>0</v>
      </c>
      <c r="R592" s="43" t="n">
        <v>0</v>
      </c>
      <c r="S592" s="20" t="n">
        <v>0</v>
      </c>
    </row>
    <row r="593" customFormat="false" ht="15.75" hidden="false" customHeight="false" outlineLevel="0" collapsed="false">
      <c r="A593" s="39" t="n">
        <v>0</v>
      </c>
      <c r="B593" s="44" t="str">
        <v/>
      </c>
      <c r="C593" s="39" t="n">
        <v>0</v>
      </c>
      <c r="D593" s="39" t="n">
        <v>0</v>
      </c>
      <c r="E593" s="39" t="str">
        <v/>
      </c>
      <c r="F593" s="45" t="n">
        <v>0</v>
      </c>
      <c r="G593" s="40" t="n">
        <v>0</v>
      </c>
      <c r="H593" s="39" t="n">
        <v>0</v>
      </c>
      <c r="I593" s="49" t="b">
        <f aca="false">IF(ISBLANK(H593),"", IF($H$2:$H2092 = "Gohar Rehan","Overnight",IF($H$2:$H2092 = "Taufeeq Akhtar ","Overnight",IF($H$2:$H2092 = "Zeeshan Ali Malik","Audit",IF($H$2:$H2092 = "Ali Raza ","Receiving",IF($H$2:$H2092 = "Ali Ahmad","Full-In"))))))</f>
        <v>0</v>
      </c>
      <c r="J593" s="29"/>
      <c r="K593" s="40"/>
      <c r="L593" s="40"/>
      <c r="M593" s="41"/>
      <c r="N593" s="39" t="s">
        <v>2335</v>
      </c>
      <c r="O593" s="46" t="b">
        <f aca="false">FALSE()</f>
        <v>0</v>
      </c>
      <c r="P593" s="20" t="n">
        <v>0</v>
      </c>
      <c r="Q593" s="45" t="n">
        <v>0</v>
      </c>
      <c r="R593" s="43" t="n">
        <v>0</v>
      </c>
      <c r="S593" s="20" t="n">
        <v>0</v>
      </c>
    </row>
    <row r="594" customFormat="false" ht="15.75" hidden="false" customHeight="false" outlineLevel="0" collapsed="false">
      <c r="A594" s="39" t="n">
        <v>0</v>
      </c>
      <c r="B594" s="44" t="str">
        <v/>
      </c>
      <c r="C594" s="39" t="n">
        <v>0</v>
      </c>
      <c r="D594" s="39" t="n">
        <v>0</v>
      </c>
      <c r="E594" s="39" t="str">
        <v/>
      </c>
      <c r="F594" s="45" t="n">
        <v>0</v>
      </c>
      <c r="G594" s="40" t="n">
        <v>0</v>
      </c>
      <c r="H594" s="39" t="n">
        <v>0</v>
      </c>
      <c r="I594" s="49" t="b">
        <f aca="false">IF(ISBLANK(H594),"", IF($H$2:$H2093 = "Gohar Rehan","Overnight",IF($H$2:$H2093 = "Taufeeq Akhtar ","Overnight",IF($H$2:$H2093 = "Zeeshan Ali Malik","Audit",IF($H$2:$H2093 = "Ali Raza ","Receiving",IF($H$2:$H2093 = "Ali Ahmad","Full-In"))))))</f>
        <v>0</v>
      </c>
      <c r="J594" s="29"/>
      <c r="K594" s="40"/>
      <c r="L594" s="40"/>
      <c r="M594" s="41"/>
      <c r="N594" s="39" t="s">
        <v>2335</v>
      </c>
      <c r="O594" s="46" t="b">
        <f aca="false">FALSE()</f>
        <v>0</v>
      </c>
      <c r="P594" s="20" t="n">
        <v>0</v>
      </c>
      <c r="Q594" s="45" t="n">
        <v>0</v>
      </c>
      <c r="R594" s="43" t="n">
        <v>0</v>
      </c>
      <c r="S594" s="20" t="n">
        <v>0</v>
      </c>
    </row>
    <row r="595" customFormat="false" ht="15.75" hidden="false" customHeight="false" outlineLevel="0" collapsed="false">
      <c r="A595" s="39" t="n">
        <v>0</v>
      </c>
      <c r="B595" s="44" t="str">
        <v/>
      </c>
      <c r="C595" s="39" t="n">
        <v>0</v>
      </c>
      <c r="D595" s="39" t="n">
        <v>0</v>
      </c>
      <c r="E595" s="39" t="str">
        <v/>
      </c>
      <c r="F595" s="45" t="n">
        <v>0</v>
      </c>
      <c r="G595" s="40" t="n">
        <v>0</v>
      </c>
      <c r="H595" s="39" t="n">
        <v>0</v>
      </c>
      <c r="I595" s="49" t="b">
        <f aca="false">IF(ISBLANK(H595),"", IF($H$2:$H2094 = "Gohar Rehan","Overnight",IF($H$2:$H2094 = "Taufeeq Akhtar ","Overnight",IF($H$2:$H2094 = "Zeeshan Ali Malik","Audit",IF($H$2:$H2094 = "Ali Raza ","Receiving",IF($H$2:$H2094 = "Ali Ahmad","Full-In"))))))</f>
        <v>0</v>
      </c>
      <c r="J595" s="29"/>
      <c r="K595" s="40"/>
      <c r="L595" s="40"/>
      <c r="M595" s="41"/>
      <c r="N595" s="39" t="s">
        <v>2335</v>
      </c>
      <c r="O595" s="46" t="b">
        <f aca="false">FALSE()</f>
        <v>0</v>
      </c>
      <c r="P595" s="20" t="n">
        <v>0</v>
      </c>
      <c r="Q595" s="45" t="n">
        <v>0</v>
      </c>
      <c r="R595" s="43" t="n">
        <v>0</v>
      </c>
      <c r="S595" s="20" t="n">
        <v>0</v>
      </c>
    </row>
    <row r="596" customFormat="false" ht="15.75" hidden="false" customHeight="false" outlineLevel="0" collapsed="false">
      <c r="A596" s="39" t="n">
        <v>0</v>
      </c>
      <c r="B596" s="44" t="str">
        <v/>
      </c>
      <c r="C596" s="39" t="n">
        <v>0</v>
      </c>
      <c r="D596" s="39" t="n">
        <v>0</v>
      </c>
      <c r="E596" s="39" t="str">
        <v/>
      </c>
      <c r="F596" s="45" t="n">
        <v>0</v>
      </c>
      <c r="G596" s="40" t="n">
        <v>0</v>
      </c>
      <c r="H596" s="39" t="n">
        <v>0</v>
      </c>
      <c r="I596" s="49" t="b">
        <f aca="false">IF(ISBLANK(H596),"", IF($H$2:$H2095 = "Gohar Rehan","Overnight",IF($H$2:$H2095 = "Taufeeq Akhtar ","Overnight",IF($H$2:$H2095 = "Zeeshan Ali Malik","Audit",IF($H$2:$H2095 = "Ali Raza ","Receiving",IF($H$2:$H2095 = "Ali Ahmad","Full-In"))))))</f>
        <v>0</v>
      </c>
      <c r="J596" s="29"/>
      <c r="K596" s="40"/>
      <c r="L596" s="40"/>
      <c r="M596" s="41"/>
      <c r="N596" s="39" t="s">
        <v>2335</v>
      </c>
      <c r="O596" s="46" t="b">
        <f aca="false">FALSE()</f>
        <v>0</v>
      </c>
      <c r="P596" s="20" t="n">
        <v>0</v>
      </c>
      <c r="Q596" s="45" t="n">
        <v>0</v>
      </c>
      <c r="R596" s="43" t="n">
        <v>0</v>
      </c>
      <c r="S596" s="20" t="n">
        <v>0</v>
      </c>
    </row>
    <row r="597" customFormat="false" ht="15.75" hidden="false" customHeight="false" outlineLevel="0" collapsed="false">
      <c r="A597" s="39" t="n">
        <v>0</v>
      </c>
      <c r="B597" s="44" t="str">
        <v/>
      </c>
      <c r="C597" s="39" t="n">
        <v>0</v>
      </c>
      <c r="D597" s="39" t="n">
        <v>0</v>
      </c>
      <c r="E597" s="39" t="str">
        <v/>
      </c>
      <c r="F597" s="45" t="n">
        <v>0</v>
      </c>
      <c r="G597" s="40" t="n">
        <v>0</v>
      </c>
      <c r="H597" s="39" t="n">
        <v>0</v>
      </c>
      <c r="I597" s="49" t="b">
        <f aca="false">IF(ISBLANK(H597),"", IF($H$2:$H2096 = "Gohar Rehan","Overnight",IF($H$2:$H2096 = "Taufeeq Akhtar ","Overnight",IF($H$2:$H2096 = "Zeeshan Ali Malik","Audit",IF($H$2:$H2096 = "Ali Raza ","Receiving",IF($H$2:$H2096 = "Ali Ahmad","Full-In"))))))</f>
        <v>0</v>
      </c>
      <c r="J597" s="29"/>
      <c r="K597" s="40"/>
      <c r="L597" s="40"/>
      <c r="M597" s="41"/>
      <c r="N597" s="39" t="s">
        <v>2335</v>
      </c>
      <c r="O597" s="46" t="b">
        <f aca="false">FALSE()</f>
        <v>0</v>
      </c>
      <c r="P597" s="20" t="n">
        <v>0</v>
      </c>
      <c r="Q597" s="45" t="n">
        <v>0</v>
      </c>
      <c r="R597" s="43" t="n">
        <v>0</v>
      </c>
      <c r="S597" s="20" t="n">
        <v>0</v>
      </c>
    </row>
    <row r="598" customFormat="false" ht="15.75" hidden="false" customHeight="false" outlineLevel="0" collapsed="false">
      <c r="A598" s="39" t="n">
        <v>0</v>
      </c>
      <c r="B598" s="44" t="str">
        <v/>
      </c>
      <c r="C598" s="39" t="n">
        <v>0</v>
      </c>
      <c r="D598" s="39" t="n">
        <v>0</v>
      </c>
      <c r="E598" s="39" t="str">
        <v/>
      </c>
      <c r="F598" s="45" t="n">
        <v>0</v>
      </c>
      <c r="G598" s="40" t="n">
        <v>0</v>
      </c>
      <c r="H598" s="39" t="n">
        <v>0</v>
      </c>
      <c r="I598" s="49" t="b">
        <f aca="false">IF(ISBLANK(H598),"", IF($H$2:$H2097 = "Gohar Rehan","Overnight",IF($H$2:$H2097 = "Taufeeq Akhtar ","Overnight",IF($H$2:$H2097 = "Zeeshan Ali Malik","Audit",IF($H$2:$H2097 = "Ali Raza ","Receiving",IF($H$2:$H2097 = "Ali Ahmad","Full-In"))))))</f>
        <v>0</v>
      </c>
      <c r="J598" s="29"/>
      <c r="K598" s="40"/>
      <c r="L598" s="40"/>
      <c r="M598" s="41"/>
      <c r="N598" s="39" t="s">
        <v>2335</v>
      </c>
      <c r="O598" s="46" t="b">
        <f aca="false">FALSE()</f>
        <v>0</v>
      </c>
      <c r="P598" s="20" t="n">
        <v>0</v>
      </c>
      <c r="Q598" s="45" t="n">
        <v>0</v>
      </c>
      <c r="R598" s="43" t="n">
        <v>0</v>
      </c>
      <c r="S598" s="20" t="n">
        <v>0</v>
      </c>
    </row>
    <row r="599" customFormat="false" ht="15.75" hidden="false" customHeight="false" outlineLevel="0" collapsed="false">
      <c r="A599" s="39" t="n">
        <v>0</v>
      </c>
      <c r="B599" s="44" t="str">
        <v/>
      </c>
      <c r="C599" s="39" t="n">
        <v>0</v>
      </c>
      <c r="D599" s="39" t="n">
        <v>0</v>
      </c>
      <c r="E599" s="39" t="str">
        <v/>
      </c>
      <c r="F599" s="45" t="n">
        <v>0</v>
      </c>
      <c r="G599" s="40" t="n">
        <v>0</v>
      </c>
      <c r="H599" s="39" t="n">
        <v>0</v>
      </c>
      <c r="I599" s="49" t="b">
        <f aca="false">IF(ISBLANK(H599),"", IF($H$2:$H2098 = "Gohar Rehan","Overnight",IF($H$2:$H2098 = "Taufeeq Akhtar ","Overnight",IF($H$2:$H2098 = "Zeeshan Ali Malik","Audit",IF($H$2:$H2098 = "Ali Raza ","Receiving",IF($H$2:$H2098 = "Ali Ahmad","Full-In"))))))</f>
        <v>0</v>
      </c>
      <c r="J599" s="29"/>
      <c r="K599" s="40"/>
      <c r="L599" s="40"/>
      <c r="M599" s="41"/>
      <c r="N599" s="39" t="s">
        <v>2335</v>
      </c>
      <c r="O599" s="46" t="b">
        <f aca="false">FALSE()</f>
        <v>0</v>
      </c>
      <c r="P599" s="20" t="n">
        <v>0</v>
      </c>
      <c r="Q599" s="45" t="n">
        <v>0</v>
      </c>
      <c r="R599" s="43" t="n">
        <v>0</v>
      </c>
      <c r="S599" s="20" t="n">
        <v>0</v>
      </c>
    </row>
    <row r="600" customFormat="false" ht="15.75" hidden="false" customHeight="false" outlineLevel="0" collapsed="false">
      <c r="A600" s="39" t="n">
        <v>0</v>
      </c>
      <c r="B600" s="44" t="str">
        <v/>
      </c>
      <c r="C600" s="39" t="n">
        <v>0</v>
      </c>
      <c r="D600" s="39" t="n">
        <v>0</v>
      </c>
      <c r="E600" s="39" t="str">
        <v/>
      </c>
      <c r="F600" s="45" t="n">
        <v>0</v>
      </c>
      <c r="G600" s="40" t="n">
        <v>0</v>
      </c>
      <c r="H600" s="39" t="n">
        <v>0</v>
      </c>
      <c r="I600" s="49" t="b">
        <f aca="false">IF(ISBLANK(H600),"", IF($H$2:$H2099 = "Gohar Rehan","Overnight",IF($H$2:$H2099 = "Taufeeq Akhtar ","Overnight",IF($H$2:$H2099 = "Zeeshan Ali Malik","Audit",IF($H$2:$H2099 = "Ali Raza ","Receiving",IF($H$2:$H2099 = "Ali Ahmad","Full-In"))))))</f>
        <v>0</v>
      </c>
      <c r="J600" s="29"/>
      <c r="K600" s="40"/>
      <c r="L600" s="40"/>
      <c r="M600" s="41"/>
      <c r="N600" s="39" t="s">
        <v>2335</v>
      </c>
      <c r="O600" s="46" t="b">
        <f aca="false">FALSE()</f>
        <v>0</v>
      </c>
      <c r="P600" s="20" t="n">
        <v>0</v>
      </c>
      <c r="Q600" s="45" t="n">
        <v>0</v>
      </c>
      <c r="R600" s="43" t="n">
        <v>0</v>
      </c>
      <c r="S600" s="20" t="n">
        <v>0</v>
      </c>
    </row>
    <row r="601" customFormat="false" ht="15.75" hidden="false" customHeight="false" outlineLevel="0" collapsed="false">
      <c r="A601" s="39" t="n">
        <v>0</v>
      </c>
      <c r="B601" s="44" t="str">
        <v/>
      </c>
      <c r="C601" s="39" t="n">
        <v>0</v>
      </c>
      <c r="D601" s="39" t="n">
        <v>0</v>
      </c>
      <c r="E601" s="39" t="str">
        <v/>
      </c>
      <c r="F601" s="45" t="n">
        <v>0</v>
      </c>
      <c r="G601" s="40" t="n">
        <v>0</v>
      </c>
      <c r="H601" s="39" t="n">
        <v>0</v>
      </c>
      <c r="I601" s="49" t="b">
        <f aca="false">IF(ISBLANK(H601),"", IF($H$2:$H2100 = "Gohar Rehan","Overnight",IF($H$2:$H2100 = "Taufeeq Akhtar ","Overnight",IF($H$2:$H2100 = "Zeeshan Ali Malik","Audit",IF($H$2:$H2100 = "Ali Raza ","Receiving",IF($H$2:$H2100 = "Ali Ahmad","Full-In"))))))</f>
        <v>0</v>
      </c>
      <c r="J601" s="29"/>
      <c r="K601" s="40"/>
      <c r="L601" s="40"/>
      <c r="M601" s="41"/>
      <c r="N601" s="39" t="s">
        <v>2335</v>
      </c>
      <c r="O601" s="46" t="b">
        <f aca="false">FALSE()</f>
        <v>0</v>
      </c>
      <c r="P601" s="20" t="n">
        <v>0</v>
      </c>
      <c r="Q601" s="45" t="n">
        <v>0</v>
      </c>
      <c r="R601" s="43" t="n">
        <v>0</v>
      </c>
      <c r="S601" s="20" t="n">
        <v>0</v>
      </c>
    </row>
    <row r="602" customFormat="false" ht="15.75" hidden="false" customHeight="false" outlineLevel="0" collapsed="false">
      <c r="A602" s="39" t="n">
        <v>0</v>
      </c>
      <c r="B602" s="44" t="str">
        <v/>
      </c>
      <c r="C602" s="39" t="n">
        <v>0</v>
      </c>
      <c r="D602" s="39" t="n">
        <v>0</v>
      </c>
      <c r="E602" s="39" t="str">
        <v/>
      </c>
      <c r="F602" s="45" t="n">
        <v>0</v>
      </c>
      <c r="G602" s="40" t="n">
        <v>0</v>
      </c>
      <c r="H602" s="39" t="n">
        <v>0</v>
      </c>
      <c r="I602" s="49" t="b">
        <f aca="false">IF(ISBLANK(H602),"", IF($H$2:$H2101 = "Gohar Rehan","Overnight",IF($H$2:$H2101 = "Taufeeq Akhtar ","Overnight",IF($H$2:$H2101 = "Zeeshan Ali Malik","Audit",IF($H$2:$H2101 = "Ali Raza ","Receiving",IF($H$2:$H2101 = "Ali Ahmad","Full-In"))))))</f>
        <v>0</v>
      </c>
      <c r="J602" s="29"/>
      <c r="K602" s="40"/>
      <c r="L602" s="40"/>
      <c r="M602" s="41"/>
      <c r="N602" s="39" t="s">
        <v>2335</v>
      </c>
      <c r="O602" s="46" t="b">
        <f aca="false">FALSE()</f>
        <v>0</v>
      </c>
      <c r="P602" s="20" t="n">
        <v>0</v>
      </c>
      <c r="Q602" s="45" t="n">
        <v>0</v>
      </c>
      <c r="R602" s="43" t="n">
        <v>0</v>
      </c>
      <c r="S602" s="20" t="n">
        <v>0</v>
      </c>
    </row>
    <row r="603" customFormat="false" ht="15.75" hidden="false" customHeight="false" outlineLevel="0" collapsed="false">
      <c r="A603" s="39" t="n">
        <v>0</v>
      </c>
      <c r="B603" s="44" t="str">
        <v/>
      </c>
      <c r="C603" s="39" t="n">
        <v>0</v>
      </c>
      <c r="D603" s="39" t="n">
        <v>0</v>
      </c>
      <c r="E603" s="39" t="str">
        <v/>
      </c>
      <c r="F603" s="45" t="n">
        <v>0</v>
      </c>
      <c r="G603" s="40" t="n">
        <v>0</v>
      </c>
      <c r="H603" s="39" t="n">
        <v>0</v>
      </c>
      <c r="I603" s="49" t="b">
        <f aca="false">IF(ISBLANK(H603),"", IF($H$2:$H2102 = "Gohar Rehan","Overnight",IF($H$2:$H2102 = "Taufeeq Akhtar ","Overnight",IF($H$2:$H2102 = "Zeeshan Ali Malik","Audit",IF($H$2:$H2102 = "Ali Raza ","Receiving",IF($H$2:$H2102 = "Ali Ahmad","Full-In"))))))</f>
        <v>0</v>
      </c>
      <c r="J603" s="29"/>
      <c r="K603" s="40"/>
      <c r="L603" s="40"/>
      <c r="M603" s="41"/>
      <c r="N603" s="39" t="s">
        <v>2335</v>
      </c>
      <c r="O603" s="46" t="b">
        <f aca="false">FALSE()</f>
        <v>0</v>
      </c>
      <c r="P603" s="20" t="n">
        <v>0</v>
      </c>
      <c r="Q603" s="45" t="n">
        <v>0</v>
      </c>
      <c r="R603" s="43" t="n">
        <v>0</v>
      </c>
      <c r="S603" s="20" t="n">
        <v>0</v>
      </c>
    </row>
    <row r="604" customFormat="false" ht="15.75" hidden="false" customHeight="false" outlineLevel="0" collapsed="false">
      <c r="A604" s="39" t="n">
        <v>0</v>
      </c>
      <c r="B604" s="44" t="str">
        <v/>
      </c>
      <c r="C604" s="39" t="n">
        <v>0</v>
      </c>
      <c r="D604" s="39" t="n">
        <v>0</v>
      </c>
      <c r="E604" s="39" t="str">
        <v/>
      </c>
      <c r="F604" s="45" t="n">
        <v>0</v>
      </c>
      <c r="G604" s="40" t="n">
        <v>0</v>
      </c>
      <c r="H604" s="39" t="n">
        <v>0</v>
      </c>
      <c r="I604" s="49" t="b">
        <f aca="false">IF(ISBLANK(H604),"", IF($H$2:$H2103 = "Gohar Rehan","Overnight",IF($H$2:$H2103 = "Taufeeq Akhtar ","Overnight",IF($H$2:$H2103 = "Zeeshan Ali Malik","Audit",IF($H$2:$H2103 = "Ali Raza ","Receiving",IF($H$2:$H2103 = "Ali Ahmad","Full-In"))))))</f>
        <v>0</v>
      </c>
      <c r="J604" s="29"/>
      <c r="K604" s="40"/>
      <c r="L604" s="40"/>
      <c r="M604" s="41"/>
      <c r="N604" s="39" t="s">
        <v>2335</v>
      </c>
      <c r="O604" s="46" t="b">
        <f aca="false">FALSE()</f>
        <v>0</v>
      </c>
      <c r="P604" s="20" t="n">
        <v>0</v>
      </c>
      <c r="Q604" s="45" t="n">
        <v>0</v>
      </c>
      <c r="R604" s="43" t="n">
        <v>0</v>
      </c>
      <c r="S604" s="20" t="n">
        <v>0</v>
      </c>
    </row>
    <row r="605" customFormat="false" ht="15.75" hidden="false" customHeight="false" outlineLevel="0" collapsed="false">
      <c r="A605" s="39" t="n">
        <v>0</v>
      </c>
      <c r="B605" s="44" t="str">
        <v/>
      </c>
      <c r="C605" s="39" t="n">
        <v>0</v>
      </c>
      <c r="D605" s="39" t="n">
        <v>0</v>
      </c>
      <c r="E605" s="39" t="str">
        <v/>
      </c>
      <c r="F605" s="45" t="n">
        <v>0</v>
      </c>
      <c r="G605" s="40" t="n">
        <v>0</v>
      </c>
      <c r="H605" s="39" t="n">
        <v>0</v>
      </c>
      <c r="I605" s="49" t="b">
        <f aca="false">IF(ISBLANK(H605),"", IF($H$2:$H2104 = "Gohar Rehan","Overnight",IF($H$2:$H2104 = "Taufeeq Akhtar ","Overnight",IF($H$2:$H2104 = "Zeeshan Ali Malik","Audit",IF($H$2:$H2104 = "Ali Raza ","Receiving",IF($H$2:$H2104 = "Ali Ahmad","Full-In"))))))</f>
        <v>0</v>
      </c>
      <c r="J605" s="29"/>
      <c r="K605" s="40"/>
      <c r="L605" s="40"/>
      <c r="M605" s="41"/>
      <c r="N605" s="39" t="s">
        <v>2335</v>
      </c>
      <c r="O605" s="46" t="b">
        <f aca="false">FALSE()</f>
        <v>0</v>
      </c>
      <c r="P605" s="20" t="n">
        <v>0</v>
      </c>
      <c r="Q605" s="45" t="n">
        <v>0</v>
      </c>
      <c r="R605" s="43" t="n">
        <v>0</v>
      </c>
      <c r="S605" s="20" t="n">
        <v>0</v>
      </c>
    </row>
    <row r="606" customFormat="false" ht="15.75" hidden="false" customHeight="false" outlineLevel="0" collapsed="false">
      <c r="A606" s="39" t="n">
        <v>0</v>
      </c>
      <c r="B606" s="44" t="str">
        <v/>
      </c>
      <c r="C606" s="39" t="n">
        <v>0</v>
      </c>
      <c r="D606" s="39" t="n">
        <v>0</v>
      </c>
      <c r="E606" s="39" t="str">
        <v/>
      </c>
      <c r="F606" s="45" t="n">
        <v>0</v>
      </c>
      <c r="G606" s="40" t="n">
        <v>0</v>
      </c>
      <c r="H606" s="39" t="n">
        <v>0</v>
      </c>
      <c r="I606" s="49" t="b">
        <f aca="false">IF(ISBLANK(H606),"", IF($H$2:$H2105 = "Gohar Rehan","Overnight",IF($H$2:$H2105 = "Taufeeq Akhtar ","Overnight",IF($H$2:$H2105 = "Zeeshan Ali Malik","Audit",IF($H$2:$H2105 = "Ali Raza ","Receiving",IF($H$2:$H2105 = "Ali Ahmad","Full-In"))))))</f>
        <v>0</v>
      </c>
      <c r="J606" s="29"/>
      <c r="K606" s="40"/>
      <c r="L606" s="40"/>
      <c r="M606" s="41"/>
      <c r="N606" s="39" t="s">
        <v>2335</v>
      </c>
      <c r="O606" s="46" t="b">
        <f aca="false">FALSE()</f>
        <v>0</v>
      </c>
      <c r="P606" s="20" t="n">
        <v>0</v>
      </c>
      <c r="Q606" s="45" t="n">
        <v>0</v>
      </c>
      <c r="R606" s="43" t="n">
        <v>0</v>
      </c>
      <c r="S606" s="20" t="n">
        <v>0</v>
      </c>
    </row>
    <row r="607" customFormat="false" ht="15.75" hidden="false" customHeight="false" outlineLevel="0" collapsed="false">
      <c r="A607" s="39" t="n">
        <v>0</v>
      </c>
      <c r="B607" s="44" t="str">
        <v/>
      </c>
      <c r="C607" s="39" t="n">
        <v>0</v>
      </c>
      <c r="D607" s="39" t="n">
        <v>0</v>
      </c>
      <c r="E607" s="39" t="str">
        <v/>
      </c>
      <c r="F607" s="45" t="n">
        <v>0</v>
      </c>
      <c r="G607" s="40" t="n">
        <v>0</v>
      </c>
      <c r="H607" s="39" t="n">
        <v>0</v>
      </c>
      <c r="I607" s="49" t="b">
        <f aca="false">IF(ISBLANK(H607),"", IF($H$2:$H2106 = "Gohar Rehan","Overnight",IF($H$2:$H2106 = "Taufeeq Akhtar ","Overnight",IF($H$2:$H2106 = "Zeeshan Ali Malik","Audit",IF($H$2:$H2106 = "Ali Raza ","Receiving",IF($H$2:$H2106 = "Ali Ahmad","Full-In"))))))</f>
        <v>0</v>
      </c>
      <c r="J607" s="29"/>
      <c r="K607" s="40"/>
      <c r="L607" s="40"/>
      <c r="M607" s="41"/>
      <c r="N607" s="39" t="s">
        <v>2335</v>
      </c>
      <c r="O607" s="46" t="b">
        <f aca="false">FALSE()</f>
        <v>0</v>
      </c>
      <c r="P607" s="20" t="n">
        <v>0</v>
      </c>
      <c r="Q607" s="45" t="n">
        <v>0</v>
      </c>
      <c r="R607" s="43" t="n">
        <v>0</v>
      </c>
      <c r="S607" s="20" t="n">
        <v>0</v>
      </c>
    </row>
    <row r="608" customFormat="false" ht="15.75" hidden="false" customHeight="false" outlineLevel="0" collapsed="false">
      <c r="A608" s="39" t="n">
        <v>0</v>
      </c>
      <c r="B608" s="44" t="str">
        <v/>
      </c>
      <c r="C608" s="39" t="n">
        <v>0</v>
      </c>
      <c r="D608" s="39" t="n">
        <v>0</v>
      </c>
      <c r="E608" s="39" t="str">
        <v/>
      </c>
      <c r="F608" s="45" t="n">
        <v>0</v>
      </c>
      <c r="G608" s="40" t="n">
        <v>0</v>
      </c>
      <c r="H608" s="39" t="n">
        <v>0</v>
      </c>
      <c r="I608" s="49" t="b">
        <f aca="false">IF(ISBLANK(H608),"", IF($H$2:$H2107 = "Gohar Rehan","Overnight",IF($H$2:$H2107 = "Taufeeq Akhtar ","Overnight",IF($H$2:$H2107 = "Zeeshan Ali Malik","Audit",IF($H$2:$H2107 = "Ali Raza ","Receiving",IF($H$2:$H2107 = "Ali Ahmad","Full-In"))))))</f>
        <v>0</v>
      </c>
      <c r="J608" s="29"/>
      <c r="K608" s="40"/>
      <c r="L608" s="40"/>
      <c r="M608" s="41"/>
      <c r="N608" s="39" t="s">
        <v>2335</v>
      </c>
      <c r="O608" s="46" t="b">
        <f aca="false">FALSE()</f>
        <v>0</v>
      </c>
      <c r="P608" s="20" t="n">
        <v>0</v>
      </c>
      <c r="Q608" s="45" t="n">
        <v>0</v>
      </c>
      <c r="R608" s="43" t="n">
        <v>0</v>
      </c>
      <c r="S608" s="20" t="n">
        <v>0</v>
      </c>
    </row>
    <row r="609" customFormat="false" ht="15.75" hidden="false" customHeight="false" outlineLevel="0" collapsed="false">
      <c r="A609" s="39" t="n">
        <v>0</v>
      </c>
      <c r="B609" s="44" t="str">
        <v/>
      </c>
      <c r="C609" s="39" t="n">
        <v>0</v>
      </c>
      <c r="D609" s="39" t="n">
        <v>0</v>
      </c>
      <c r="E609" s="39" t="str">
        <v/>
      </c>
      <c r="F609" s="45" t="n">
        <v>0</v>
      </c>
      <c r="G609" s="40" t="n">
        <v>0</v>
      </c>
      <c r="H609" s="39" t="n">
        <v>0</v>
      </c>
      <c r="I609" s="49" t="b">
        <f aca="false">IF(ISBLANK(H609),"", IF($H$2:$H2108 = "Gohar Rehan","Overnight",IF($H$2:$H2108 = "Taufeeq Akhtar ","Overnight",IF($H$2:$H2108 = "Zeeshan Ali Malik","Audit",IF($H$2:$H2108 = "Ali Raza ","Receiving",IF($H$2:$H2108 = "Ali Ahmad","Full-In"))))))</f>
        <v>0</v>
      </c>
      <c r="J609" s="29"/>
      <c r="K609" s="40"/>
      <c r="L609" s="40"/>
      <c r="M609" s="41"/>
      <c r="N609" s="39" t="s">
        <v>2335</v>
      </c>
      <c r="O609" s="46" t="b">
        <f aca="false">FALSE()</f>
        <v>0</v>
      </c>
      <c r="P609" s="20" t="n">
        <v>0</v>
      </c>
      <c r="Q609" s="45" t="n">
        <v>0</v>
      </c>
      <c r="R609" s="43" t="n">
        <v>0</v>
      </c>
      <c r="S609" s="20" t="n">
        <v>0</v>
      </c>
    </row>
    <row r="610" customFormat="false" ht="15.75" hidden="false" customHeight="false" outlineLevel="0" collapsed="false">
      <c r="A610" s="39" t="n">
        <v>0</v>
      </c>
      <c r="B610" s="44" t="str">
        <v/>
      </c>
      <c r="C610" s="39" t="n">
        <v>0</v>
      </c>
      <c r="D610" s="39" t="n">
        <v>0</v>
      </c>
      <c r="E610" s="39" t="str">
        <v/>
      </c>
      <c r="F610" s="45" t="n">
        <v>0</v>
      </c>
      <c r="G610" s="40" t="n">
        <v>0</v>
      </c>
      <c r="H610" s="39" t="n">
        <v>0</v>
      </c>
      <c r="I610" s="49" t="b">
        <f aca="false">IF(ISBLANK(H610),"", IF($H$2:$H2109 = "Gohar Rehan","Overnight",IF($H$2:$H2109 = "Taufeeq Akhtar ","Overnight",IF($H$2:$H2109 = "Zeeshan Ali Malik","Audit",IF($H$2:$H2109 = "Ali Raza ","Receiving",IF($H$2:$H2109 = "Ali Ahmad","Full-In"))))))</f>
        <v>0</v>
      </c>
      <c r="J610" s="29"/>
      <c r="K610" s="40"/>
      <c r="L610" s="40"/>
      <c r="M610" s="41"/>
      <c r="N610" s="39" t="s">
        <v>2335</v>
      </c>
      <c r="O610" s="46" t="b">
        <f aca="false">FALSE()</f>
        <v>0</v>
      </c>
      <c r="P610" s="20" t="n">
        <v>0</v>
      </c>
      <c r="Q610" s="45" t="n">
        <v>0</v>
      </c>
      <c r="R610" s="43" t="n">
        <v>0</v>
      </c>
      <c r="S610" s="20" t="n">
        <v>0</v>
      </c>
    </row>
    <row r="611" customFormat="false" ht="15.75" hidden="false" customHeight="false" outlineLevel="0" collapsed="false">
      <c r="A611" s="39" t="n">
        <v>0</v>
      </c>
      <c r="B611" s="44" t="str">
        <v/>
      </c>
      <c r="C611" s="39" t="n">
        <v>0</v>
      </c>
      <c r="D611" s="39" t="n">
        <v>0</v>
      </c>
      <c r="E611" s="39" t="str">
        <v/>
      </c>
      <c r="F611" s="45" t="n">
        <v>0</v>
      </c>
      <c r="G611" s="40" t="n">
        <v>0</v>
      </c>
      <c r="H611" s="39" t="n">
        <v>0</v>
      </c>
      <c r="I611" s="49" t="b">
        <f aca="false">IF(ISBLANK(H611),"", IF($H$2:$H2110 = "Gohar Rehan","Overnight",IF($H$2:$H2110 = "Taufeeq Akhtar ","Overnight",IF($H$2:$H2110 = "Zeeshan Ali Malik","Audit",IF($H$2:$H2110 = "Ali Raza ","Receiving",IF($H$2:$H2110 = "Ali Ahmad","Full-In"))))))</f>
        <v>0</v>
      </c>
      <c r="J611" s="29"/>
      <c r="K611" s="40"/>
      <c r="L611" s="40"/>
      <c r="M611" s="41"/>
      <c r="N611" s="39" t="s">
        <v>2335</v>
      </c>
      <c r="O611" s="46" t="b">
        <f aca="false">FALSE()</f>
        <v>0</v>
      </c>
      <c r="P611" s="20" t="n">
        <v>0</v>
      </c>
      <c r="Q611" s="45" t="n">
        <v>0</v>
      </c>
      <c r="R611" s="43" t="n">
        <v>0</v>
      </c>
      <c r="S611" s="20" t="n">
        <v>0</v>
      </c>
    </row>
    <row r="612" customFormat="false" ht="15.75" hidden="false" customHeight="false" outlineLevel="0" collapsed="false">
      <c r="A612" s="39" t="n">
        <v>0</v>
      </c>
      <c r="B612" s="44" t="str">
        <v/>
      </c>
      <c r="C612" s="39" t="n">
        <v>0</v>
      </c>
      <c r="D612" s="39" t="n">
        <v>0</v>
      </c>
      <c r="E612" s="39" t="str">
        <v/>
      </c>
      <c r="F612" s="45" t="n">
        <v>0</v>
      </c>
      <c r="G612" s="40" t="n">
        <v>0</v>
      </c>
      <c r="H612" s="39" t="n">
        <v>0</v>
      </c>
      <c r="I612" s="49" t="b">
        <f aca="false">IF(ISBLANK(H612),"", IF($H$2:$H2111 = "Gohar Rehan","Overnight",IF($H$2:$H2111 = "Taufeeq Akhtar ","Overnight",IF($H$2:$H2111 = "Zeeshan Ali Malik","Audit",IF($H$2:$H2111 = "Ali Raza ","Receiving",IF($H$2:$H2111 = "Ali Ahmad","Full-In"))))))</f>
        <v>0</v>
      </c>
      <c r="J612" s="29"/>
      <c r="K612" s="40"/>
      <c r="L612" s="40"/>
      <c r="M612" s="41"/>
      <c r="N612" s="39" t="s">
        <v>2335</v>
      </c>
      <c r="O612" s="46" t="b">
        <f aca="false">FALSE()</f>
        <v>0</v>
      </c>
      <c r="P612" s="20" t="n">
        <v>0</v>
      </c>
      <c r="Q612" s="45" t="n">
        <v>0</v>
      </c>
      <c r="R612" s="43" t="n">
        <v>0</v>
      </c>
      <c r="S612" s="20" t="n">
        <v>0</v>
      </c>
    </row>
    <row r="613" customFormat="false" ht="15.75" hidden="false" customHeight="false" outlineLevel="0" collapsed="false">
      <c r="A613" s="39" t="n">
        <v>0</v>
      </c>
      <c r="B613" s="44" t="str">
        <v/>
      </c>
      <c r="C613" s="39" t="n">
        <v>0</v>
      </c>
      <c r="D613" s="39" t="n">
        <v>0</v>
      </c>
      <c r="E613" s="39" t="str">
        <v/>
      </c>
      <c r="F613" s="45" t="n">
        <v>0</v>
      </c>
      <c r="G613" s="40" t="n">
        <v>0</v>
      </c>
      <c r="H613" s="39" t="n">
        <v>0</v>
      </c>
      <c r="I613" s="49" t="b">
        <f aca="false">IF(ISBLANK(H613),"", IF($H$2:$H2112 = "Gohar Rehan","Overnight",IF($H$2:$H2112 = "Taufeeq Akhtar ","Overnight",IF($H$2:$H2112 = "Zeeshan Ali Malik","Audit",IF($H$2:$H2112 = "Ali Raza ","Receiving",IF($H$2:$H2112 = "Ali Ahmad","Full-In"))))))</f>
        <v>0</v>
      </c>
      <c r="J613" s="29"/>
      <c r="K613" s="40"/>
      <c r="L613" s="40"/>
      <c r="M613" s="41"/>
      <c r="N613" s="39" t="s">
        <v>2335</v>
      </c>
      <c r="O613" s="46" t="b">
        <f aca="false">FALSE()</f>
        <v>0</v>
      </c>
      <c r="P613" s="20" t="n">
        <v>0</v>
      </c>
      <c r="Q613" s="45" t="n">
        <v>0</v>
      </c>
      <c r="R613" s="43" t="n">
        <v>0</v>
      </c>
      <c r="S613" s="20" t="n">
        <v>0</v>
      </c>
    </row>
    <row r="614" customFormat="false" ht="15.75" hidden="false" customHeight="false" outlineLevel="0" collapsed="false">
      <c r="A614" s="39" t="n">
        <v>0</v>
      </c>
      <c r="B614" s="44" t="str">
        <v/>
      </c>
      <c r="C614" s="39" t="n">
        <v>0</v>
      </c>
      <c r="D614" s="39" t="n">
        <v>0</v>
      </c>
      <c r="E614" s="39" t="str">
        <v/>
      </c>
      <c r="F614" s="45" t="n">
        <v>0</v>
      </c>
      <c r="G614" s="40" t="n">
        <v>0</v>
      </c>
      <c r="H614" s="39" t="n">
        <v>0</v>
      </c>
      <c r="I614" s="49" t="b">
        <f aca="false">IF(ISBLANK(H614),"", IF($H$2:$H2113 = "Gohar Rehan","Overnight",IF($H$2:$H2113 = "Taufeeq Akhtar ","Overnight",IF($H$2:$H2113 = "Zeeshan Ali Malik","Audit",IF($H$2:$H2113 = "Ali Raza ","Receiving",IF($H$2:$H2113 = "Ali Ahmad","Full-In"))))))</f>
        <v>0</v>
      </c>
      <c r="J614" s="29"/>
      <c r="K614" s="40"/>
      <c r="L614" s="40"/>
      <c r="M614" s="41"/>
      <c r="N614" s="39" t="s">
        <v>2335</v>
      </c>
      <c r="O614" s="46" t="b">
        <f aca="false">FALSE()</f>
        <v>0</v>
      </c>
      <c r="P614" s="20" t="n">
        <v>0</v>
      </c>
      <c r="Q614" s="45" t="n">
        <v>0</v>
      </c>
      <c r="R614" s="43" t="n">
        <v>0</v>
      </c>
      <c r="S614" s="20" t="n">
        <v>0</v>
      </c>
    </row>
    <row r="615" customFormat="false" ht="15.75" hidden="false" customHeight="false" outlineLevel="0" collapsed="false">
      <c r="A615" s="39" t="n">
        <v>0</v>
      </c>
      <c r="B615" s="44" t="str">
        <v/>
      </c>
      <c r="C615" s="39" t="n">
        <v>0</v>
      </c>
      <c r="D615" s="39" t="n">
        <v>0</v>
      </c>
      <c r="E615" s="39" t="str">
        <v/>
      </c>
      <c r="F615" s="45" t="n">
        <v>0</v>
      </c>
      <c r="G615" s="40" t="n">
        <v>0</v>
      </c>
      <c r="H615" s="39" t="n">
        <v>0</v>
      </c>
      <c r="I615" s="49" t="b">
        <f aca="false">IF(ISBLANK(H615),"", IF($H$2:$H2114 = "Gohar Rehan","Overnight",IF($H$2:$H2114 = "Taufeeq Akhtar ","Overnight",IF($H$2:$H2114 = "Zeeshan Ali Malik","Audit",IF($H$2:$H2114 = "Ali Raza ","Receiving",IF($H$2:$H2114 = "Ali Ahmad","Full-In"))))))</f>
        <v>0</v>
      </c>
      <c r="J615" s="29"/>
      <c r="K615" s="40"/>
      <c r="L615" s="40"/>
      <c r="M615" s="41"/>
      <c r="N615" s="39" t="s">
        <v>2335</v>
      </c>
      <c r="O615" s="46" t="b">
        <f aca="false">FALSE()</f>
        <v>0</v>
      </c>
      <c r="P615" s="20" t="n">
        <v>0</v>
      </c>
      <c r="Q615" s="45" t="n">
        <v>0</v>
      </c>
      <c r="R615" s="43" t="n">
        <v>0</v>
      </c>
      <c r="S615" s="20" t="n">
        <v>0</v>
      </c>
    </row>
    <row r="616" customFormat="false" ht="15.75" hidden="false" customHeight="false" outlineLevel="0" collapsed="false">
      <c r="A616" s="39" t="n">
        <v>0</v>
      </c>
      <c r="B616" s="44" t="str">
        <v/>
      </c>
      <c r="C616" s="39" t="n">
        <v>0</v>
      </c>
      <c r="D616" s="39" t="n">
        <v>0</v>
      </c>
      <c r="E616" s="39" t="str">
        <v/>
      </c>
      <c r="F616" s="45" t="n">
        <v>0</v>
      </c>
      <c r="G616" s="40" t="n">
        <v>0</v>
      </c>
      <c r="H616" s="39" t="n">
        <v>0</v>
      </c>
      <c r="I616" s="49" t="b">
        <f aca="false">IF(ISBLANK(H616),"", IF($H$2:$H2115 = "Gohar Rehan","Overnight",IF($H$2:$H2115 = "Taufeeq Akhtar ","Overnight",IF($H$2:$H2115 = "Zeeshan Ali Malik","Audit",IF($H$2:$H2115 = "Ali Raza ","Receiving",IF($H$2:$H2115 = "Ali Ahmad","Full-In"))))))</f>
        <v>0</v>
      </c>
      <c r="J616" s="29"/>
      <c r="K616" s="40"/>
      <c r="L616" s="40"/>
      <c r="M616" s="41"/>
      <c r="N616" s="39" t="s">
        <v>2335</v>
      </c>
      <c r="O616" s="46" t="b">
        <f aca="false">FALSE()</f>
        <v>0</v>
      </c>
      <c r="P616" s="20" t="n">
        <v>0</v>
      </c>
      <c r="Q616" s="45" t="n">
        <v>0</v>
      </c>
      <c r="R616" s="43" t="n">
        <v>0</v>
      </c>
      <c r="S616" s="20" t="n">
        <v>0</v>
      </c>
    </row>
    <row r="617" customFormat="false" ht="15.75" hidden="false" customHeight="false" outlineLevel="0" collapsed="false">
      <c r="A617" s="39" t="n">
        <v>0</v>
      </c>
      <c r="B617" s="44" t="str">
        <v/>
      </c>
      <c r="C617" s="39" t="n">
        <v>0</v>
      </c>
      <c r="D617" s="39" t="n">
        <v>0</v>
      </c>
      <c r="E617" s="39" t="str">
        <v/>
      </c>
      <c r="F617" s="45" t="n">
        <v>0</v>
      </c>
      <c r="G617" s="40" t="n">
        <v>0</v>
      </c>
      <c r="H617" s="39" t="n">
        <v>0</v>
      </c>
      <c r="I617" s="49" t="b">
        <f aca="false">IF(ISBLANK(H617),"", IF($H$2:$H2116 = "Gohar Rehan","Overnight",IF($H$2:$H2116 = "Taufeeq Akhtar ","Overnight",IF($H$2:$H2116 = "Zeeshan Ali Malik","Audit",IF($H$2:$H2116 = "Ali Raza ","Receiving",IF($H$2:$H2116 = "Ali Ahmad","Full-In"))))))</f>
        <v>0</v>
      </c>
      <c r="J617" s="29"/>
      <c r="K617" s="40"/>
      <c r="L617" s="40"/>
      <c r="M617" s="41"/>
      <c r="N617" s="39" t="s">
        <v>2335</v>
      </c>
      <c r="O617" s="46" t="b">
        <f aca="false">FALSE()</f>
        <v>0</v>
      </c>
      <c r="P617" s="20" t="n">
        <v>0</v>
      </c>
      <c r="Q617" s="45" t="n">
        <v>0</v>
      </c>
      <c r="R617" s="43" t="n">
        <v>0</v>
      </c>
      <c r="S617" s="20" t="n">
        <v>0</v>
      </c>
    </row>
    <row r="618" customFormat="false" ht="15.75" hidden="false" customHeight="false" outlineLevel="0" collapsed="false">
      <c r="A618" s="39" t="n">
        <v>0</v>
      </c>
      <c r="B618" s="44" t="str">
        <v/>
      </c>
      <c r="C618" s="39" t="n">
        <v>0</v>
      </c>
      <c r="D618" s="39" t="n">
        <v>0</v>
      </c>
      <c r="E618" s="39" t="str">
        <v/>
      </c>
      <c r="F618" s="45" t="n">
        <v>0</v>
      </c>
      <c r="G618" s="40" t="n">
        <v>0</v>
      </c>
      <c r="H618" s="39" t="n">
        <v>0</v>
      </c>
      <c r="I618" s="49" t="b">
        <f aca="false">IF(ISBLANK(H618),"", IF($H$2:$H2117 = "Gohar Rehan","Overnight",IF($H$2:$H2117 = "Taufeeq Akhtar ","Overnight",IF($H$2:$H2117 = "Zeeshan Ali Malik","Audit",IF($H$2:$H2117 = "Ali Raza ","Receiving",IF($H$2:$H2117 = "Ali Ahmad","Full-In"))))))</f>
        <v>0</v>
      </c>
      <c r="J618" s="29"/>
      <c r="K618" s="40"/>
      <c r="L618" s="40"/>
      <c r="M618" s="41"/>
      <c r="N618" s="39" t="s">
        <v>2335</v>
      </c>
      <c r="O618" s="46" t="b">
        <f aca="false">FALSE()</f>
        <v>0</v>
      </c>
      <c r="P618" s="20" t="n">
        <v>0</v>
      </c>
      <c r="Q618" s="45" t="n">
        <v>0</v>
      </c>
      <c r="R618" s="43" t="n">
        <v>0</v>
      </c>
      <c r="S618" s="20" t="n">
        <v>0</v>
      </c>
    </row>
    <row r="619" customFormat="false" ht="15.75" hidden="false" customHeight="false" outlineLevel="0" collapsed="false">
      <c r="A619" s="39" t="n">
        <v>0</v>
      </c>
      <c r="B619" s="44" t="str">
        <v/>
      </c>
      <c r="C619" s="39" t="n">
        <v>0</v>
      </c>
      <c r="D619" s="39" t="n">
        <v>0</v>
      </c>
      <c r="E619" s="39" t="str">
        <v/>
      </c>
      <c r="F619" s="45" t="n">
        <v>0</v>
      </c>
      <c r="G619" s="40" t="n">
        <v>0</v>
      </c>
      <c r="H619" s="39" t="n">
        <v>0</v>
      </c>
      <c r="I619" s="49" t="b">
        <f aca="false">IF(ISBLANK(H619),"", IF($H$2:$H2118 = "Gohar Rehan","Overnight",IF($H$2:$H2118 = "Taufeeq Akhtar ","Overnight",IF($H$2:$H2118 = "Zeeshan Ali Malik","Audit",IF($H$2:$H2118 = "Ali Raza ","Receiving",IF($H$2:$H2118 = "Ali Ahmad","Full-In"))))))</f>
        <v>0</v>
      </c>
      <c r="J619" s="29"/>
      <c r="K619" s="40"/>
      <c r="L619" s="40"/>
      <c r="M619" s="41"/>
      <c r="N619" s="39" t="s">
        <v>2335</v>
      </c>
      <c r="O619" s="46" t="b">
        <f aca="false">FALSE()</f>
        <v>0</v>
      </c>
      <c r="P619" s="20" t="n">
        <v>0</v>
      </c>
      <c r="Q619" s="45" t="n">
        <v>0</v>
      </c>
      <c r="R619" s="43" t="n">
        <v>0</v>
      </c>
      <c r="S619" s="20" t="n">
        <v>0</v>
      </c>
    </row>
    <row r="620" customFormat="false" ht="15.75" hidden="false" customHeight="false" outlineLevel="0" collapsed="false">
      <c r="A620" s="39" t="n">
        <v>0</v>
      </c>
      <c r="B620" s="44" t="str">
        <v/>
      </c>
      <c r="C620" s="39" t="n">
        <v>0</v>
      </c>
      <c r="D620" s="39" t="n">
        <v>0</v>
      </c>
      <c r="E620" s="39" t="str">
        <v/>
      </c>
      <c r="F620" s="45" t="n">
        <v>0</v>
      </c>
      <c r="G620" s="40" t="n">
        <v>0</v>
      </c>
      <c r="H620" s="39" t="n">
        <v>0</v>
      </c>
      <c r="I620" s="49" t="b">
        <f aca="false">IF(ISBLANK(H620),"", IF($H$2:$H2119 = "Gohar Rehan","Overnight",IF($H$2:$H2119 = "Taufeeq Akhtar ","Overnight",IF($H$2:$H2119 = "Zeeshan Ali Malik","Audit",IF($H$2:$H2119 = "Ali Raza ","Receiving",IF($H$2:$H2119 = "Ali Ahmad","Full-In"))))))</f>
        <v>0</v>
      </c>
      <c r="J620" s="29"/>
      <c r="K620" s="40"/>
      <c r="L620" s="40"/>
      <c r="M620" s="41"/>
      <c r="N620" s="39" t="s">
        <v>2335</v>
      </c>
      <c r="O620" s="46" t="b">
        <f aca="false">FALSE()</f>
        <v>0</v>
      </c>
      <c r="P620" s="20" t="n">
        <v>0</v>
      </c>
      <c r="Q620" s="45" t="n">
        <v>0</v>
      </c>
      <c r="R620" s="43" t="n">
        <v>0</v>
      </c>
      <c r="S620" s="20" t="n">
        <v>0</v>
      </c>
    </row>
    <row r="621" customFormat="false" ht="15.75" hidden="false" customHeight="false" outlineLevel="0" collapsed="false">
      <c r="A621" s="39" t="n">
        <v>0</v>
      </c>
      <c r="B621" s="44" t="str">
        <v/>
      </c>
      <c r="C621" s="39" t="n">
        <v>0</v>
      </c>
      <c r="D621" s="39" t="n">
        <v>0</v>
      </c>
      <c r="E621" s="39" t="str">
        <v/>
      </c>
      <c r="F621" s="45" t="n">
        <v>0</v>
      </c>
      <c r="G621" s="40" t="n">
        <v>0</v>
      </c>
      <c r="H621" s="39" t="n">
        <v>0</v>
      </c>
      <c r="I621" s="49" t="b">
        <f aca="false">IF(ISBLANK(H621),"", IF($H$2:$H2120 = "Gohar Rehan","Overnight",IF($H$2:$H2120 = "Taufeeq Akhtar ","Overnight",IF($H$2:$H2120 = "Zeeshan Ali Malik","Audit",IF($H$2:$H2120 = "Ali Raza ","Receiving",IF($H$2:$H2120 = "Ali Ahmad","Full-In"))))))</f>
        <v>0</v>
      </c>
      <c r="J621" s="29"/>
      <c r="K621" s="40"/>
      <c r="L621" s="40"/>
      <c r="M621" s="41"/>
      <c r="N621" s="39" t="s">
        <v>2335</v>
      </c>
      <c r="O621" s="46" t="b">
        <f aca="false">FALSE()</f>
        <v>0</v>
      </c>
      <c r="P621" s="20" t="n">
        <v>0</v>
      </c>
      <c r="Q621" s="45" t="n">
        <v>0</v>
      </c>
      <c r="R621" s="43" t="n">
        <v>0</v>
      </c>
      <c r="S621" s="20" t="n">
        <v>0</v>
      </c>
    </row>
    <row r="622" customFormat="false" ht="15.75" hidden="false" customHeight="false" outlineLevel="0" collapsed="false">
      <c r="A622" s="39" t="n">
        <v>0</v>
      </c>
      <c r="B622" s="44" t="str">
        <v/>
      </c>
      <c r="C622" s="39" t="n">
        <v>0</v>
      </c>
      <c r="D622" s="39" t="n">
        <v>0</v>
      </c>
      <c r="E622" s="39" t="str">
        <v/>
      </c>
      <c r="F622" s="45" t="n">
        <v>0</v>
      </c>
      <c r="G622" s="40" t="n">
        <v>0</v>
      </c>
      <c r="H622" s="39" t="n">
        <v>0</v>
      </c>
      <c r="I622" s="49" t="b">
        <f aca="false">IF(ISBLANK(H622),"", IF($H$2:$H2121 = "Gohar Rehan","Overnight",IF($H$2:$H2121 = "Taufeeq Akhtar ","Overnight",IF($H$2:$H2121 = "Zeeshan Ali Malik","Audit",IF($H$2:$H2121 = "Ali Raza ","Receiving",IF($H$2:$H2121 = "Ali Ahmad","Full-In"))))))</f>
        <v>0</v>
      </c>
      <c r="J622" s="29"/>
      <c r="K622" s="40"/>
      <c r="L622" s="40"/>
      <c r="M622" s="41"/>
      <c r="N622" s="39" t="s">
        <v>2335</v>
      </c>
      <c r="O622" s="46" t="b">
        <f aca="false">FALSE()</f>
        <v>0</v>
      </c>
      <c r="P622" s="20" t="n">
        <v>0</v>
      </c>
      <c r="Q622" s="45" t="n">
        <v>0</v>
      </c>
      <c r="R622" s="43" t="n">
        <v>0</v>
      </c>
      <c r="S622" s="20" t="n">
        <v>0</v>
      </c>
    </row>
    <row r="623" customFormat="false" ht="15.75" hidden="false" customHeight="false" outlineLevel="0" collapsed="false">
      <c r="A623" s="39" t="n">
        <v>0</v>
      </c>
      <c r="B623" s="44" t="str">
        <v/>
      </c>
      <c r="C623" s="39" t="n">
        <v>0</v>
      </c>
      <c r="D623" s="39" t="n">
        <v>0</v>
      </c>
      <c r="E623" s="39" t="str">
        <v/>
      </c>
      <c r="F623" s="45" t="n">
        <v>0</v>
      </c>
      <c r="G623" s="40" t="n">
        <v>0</v>
      </c>
      <c r="H623" s="39" t="n">
        <v>0</v>
      </c>
      <c r="I623" s="49" t="b">
        <f aca="false">IF(ISBLANK(H623),"", IF($H$2:$H2122 = "Gohar Rehan","Overnight",IF($H$2:$H2122 = "Taufeeq Akhtar ","Overnight",IF($H$2:$H2122 = "Zeeshan Ali Malik","Audit",IF($H$2:$H2122 = "Ali Raza ","Receiving",IF($H$2:$H2122 = "Ali Ahmad","Full-In"))))))</f>
        <v>0</v>
      </c>
      <c r="J623" s="29"/>
      <c r="K623" s="40"/>
      <c r="L623" s="40"/>
      <c r="M623" s="41"/>
      <c r="N623" s="39" t="s">
        <v>2335</v>
      </c>
      <c r="O623" s="46" t="b">
        <f aca="false">FALSE()</f>
        <v>0</v>
      </c>
      <c r="P623" s="20" t="n">
        <v>0</v>
      </c>
      <c r="Q623" s="45" t="n">
        <v>0</v>
      </c>
      <c r="R623" s="43" t="n">
        <v>0</v>
      </c>
      <c r="S623" s="20" t="n">
        <v>0</v>
      </c>
    </row>
    <row r="624" customFormat="false" ht="15.75" hidden="false" customHeight="false" outlineLevel="0" collapsed="false">
      <c r="A624" s="39" t="n">
        <v>0</v>
      </c>
      <c r="B624" s="44" t="str">
        <v/>
      </c>
      <c r="C624" s="39" t="n">
        <v>0</v>
      </c>
      <c r="D624" s="39" t="n">
        <v>0</v>
      </c>
      <c r="E624" s="39" t="str">
        <v/>
      </c>
      <c r="F624" s="45" t="n">
        <v>0</v>
      </c>
      <c r="G624" s="40" t="n">
        <v>0</v>
      </c>
      <c r="H624" s="39" t="n">
        <v>0</v>
      </c>
      <c r="I624" s="49" t="b">
        <f aca="false">IF(ISBLANK(H624),"", IF($H$2:$H2123 = "Gohar Rehan","Overnight",IF($H$2:$H2123 = "Taufeeq Akhtar ","Overnight",IF($H$2:$H2123 = "Zeeshan Ali Malik","Audit",IF($H$2:$H2123 = "Ali Raza ","Receiving",IF($H$2:$H2123 = "Ali Ahmad","Full-In"))))))</f>
        <v>0</v>
      </c>
      <c r="J624" s="29"/>
      <c r="K624" s="40"/>
      <c r="L624" s="40"/>
      <c r="M624" s="41"/>
      <c r="N624" s="39" t="s">
        <v>2335</v>
      </c>
      <c r="O624" s="46" t="b">
        <f aca="false">FALSE()</f>
        <v>0</v>
      </c>
      <c r="P624" s="20" t="n">
        <v>0</v>
      </c>
      <c r="Q624" s="45" t="n">
        <v>0</v>
      </c>
      <c r="R624" s="43" t="n">
        <v>0</v>
      </c>
      <c r="S624" s="20" t="n">
        <v>0</v>
      </c>
    </row>
    <row r="625" customFormat="false" ht="15.75" hidden="false" customHeight="false" outlineLevel="0" collapsed="false">
      <c r="A625" s="39" t="n">
        <v>0</v>
      </c>
      <c r="B625" s="44" t="str">
        <v/>
      </c>
      <c r="C625" s="39" t="n">
        <v>0</v>
      </c>
      <c r="D625" s="39" t="n">
        <v>0</v>
      </c>
      <c r="E625" s="39" t="str">
        <v/>
      </c>
      <c r="F625" s="45" t="n">
        <v>0</v>
      </c>
      <c r="G625" s="40" t="n">
        <v>0</v>
      </c>
      <c r="H625" s="39" t="n">
        <v>0</v>
      </c>
      <c r="I625" s="49" t="b">
        <f aca="false">IF(ISBLANK(H625),"", IF($H$2:$H2124 = "Gohar Rehan","Overnight",IF($H$2:$H2124 = "Taufeeq Akhtar ","Overnight",IF($H$2:$H2124 = "Zeeshan Ali Malik","Audit",IF($H$2:$H2124 = "Ali Raza ","Receiving",IF($H$2:$H2124 = "Ali Ahmad","Full-In"))))))</f>
        <v>0</v>
      </c>
      <c r="J625" s="29"/>
      <c r="K625" s="40"/>
      <c r="L625" s="40"/>
      <c r="M625" s="41"/>
      <c r="N625" s="39" t="s">
        <v>2335</v>
      </c>
      <c r="O625" s="46" t="b">
        <f aca="false">FALSE()</f>
        <v>0</v>
      </c>
      <c r="P625" s="20" t="n">
        <v>0</v>
      </c>
      <c r="Q625" s="45" t="n">
        <v>0</v>
      </c>
      <c r="R625" s="43" t="n">
        <v>0</v>
      </c>
      <c r="S625" s="20" t="n">
        <v>0</v>
      </c>
    </row>
    <row r="626" customFormat="false" ht="15.75" hidden="false" customHeight="false" outlineLevel="0" collapsed="false">
      <c r="A626" s="39" t="n">
        <v>0</v>
      </c>
      <c r="B626" s="44" t="str">
        <v/>
      </c>
      <c r="C626" s="39" t="n">
        <v>0</v>
      </c>
      <c r="D626" s="39" t="n">
        <v>0</v>
      </c>
      <c r="E626" s="39" t="str">
        <v/>
      </c>
      <c r="F626" s="45" t="n">
        <v>0</v>
      </c>
      <c r="G626" s="40" t="n">
        <v>0</v>
      </c>
      <c r="H626" s="39" t="n">
        <v>0</v>
      </c>
      <c r="I626" s="49" t="b">
        <f aca="false">IF(ISBLANK(H626),"", IF($H$2:$H2125 = "Gohar Rehan","Overnight",IF($H$2:$H2125 = "Taufeeq Akhtar ","Overnight",IF($H$2:$H2125 = "Zeeshan Ali Malik","Audit",IF($H$2:$H2125 = "Ali Raza ","Receiving",IF($H$2:$H2125 = "Ali Ahmad","Full-In"))))))</f>
        <v>0</v>
      </c>
      <c r="J626" s="29"/>
      <c r="K626" s="40"/>
      <c r="L626" s="40"/>
      <c r="M626" s="41"/>
      <c r="N626" s="39" t="s">
        <v>2335</v>
      </c>
      <c r="O626" s="46" t="b">
        <f aca="false">FALSE()</f>
        <v>0</v>
      </c>
      <c r="P626" s="20" t="n">
        <v>0</v>
      </c>
      <c r="Q626" s="45" t="n">
        <v>0</v>
      </c>
      <c r="R626" s="43" t="n">
        <v>0</v>
      </c>
      <c r="S626" s="20" t="n">
        <v>0</v>
      </c>
    </row>
    <row r="627" customFormat="false" ht="15.75" hidden="false" customHeight="false" outlineLevel="0" collapsed="false">
      <c r="A627" s="39" t="n">
        <v>0</v>
      </c>
      <c r="B627" s="44" t="str">
        <v/>
      </c>
      <c r="C627" s="39" t="n">
        <v>0</v>
      </c>
      <c r="D627" s="39" t="n">
        <v>0</v>
      </c>
      <c r="E627" s="39" t="str">
        <v/>
      </c>
      <c r="F627" s="45" t="n">
        <v>0</v>
      </c>
      <c r="G627" s="40" t="n">
        <v>0</v>
      </c>
      <c r="H627" s="39" t="n">
        <v>0</v>
      </c>
      <c r="I627" s="49" t="b">
        <f aca="false">IF(ISBLANK(H627),"", IF($H$2:$H2126 = "Gohar Rehan","Overnight",IF($H$2:$H2126 = "Taufeeq Akhtar ","Overnight",IF($H$2:$H2126 = "Zeeshan Ali Malik","Audit",IF($H$2:$H2126 = "Ali Raza ","Receiving",IF($H$2:$H2126 = "Ali Ahmad","Full-In"))))))</f>
        <v>0</v>
      </c>
      <c r="J627" s="29"/>
      <c r="K627" s="40"/>
      <c r="L627" s="40"/>
      <c r="M627" s="41"/>
      <c r="N627" s="39" t="s">
        <v>2335</v>
      </c>
      <c r="O627" s="46" t="b">
        <f aca="false">FALSE()</f>
        <v>0</v>
      </c>
      <c r="P627" s="20" t="n">
        <v>0</v>
      </c>
      <c r="Q627" s="45" t="n">
        <v>0</v>
      </c>
      <c r="R627" s="43" t="n">
        <v>0</v>
      </c>
      <c r="S627" s="20" t="n">
        <v>0</v>
      </c>
    </row>
    <row r="628" customFormat="false" ht="15.75" hidden="false" customHeight="false" outlineLevel="0" collapsed="false">
      <c r="A628" s="39" t="n">
        <v>0</v>
      </c>
      <c r="B628" s="44" t="str">
        <v/>
      </c>
      <c r="C628" s="39" t="n">
        <v>0</v>
      </c>
      <c r="D628" s="39" t="n">
        <v>0</v>
      </c>
      <c r="E628" s="39" t="str">
        <v/>
      </c>
      <c r="F628" s="45" t="n">
        <v>0</v>
      </c>
      <c r="G628" s="40" t="n">
        <v>0</v>
      </c>
      <c r="H628" s="39" t="n">
        <v>0</v>
      </c>
      <c r="I628" s="49" t="b">
        <f aca="false">IF(ISBLANK(H628),"", IF($H$2:$H2127 = "Gohar Rehan","Overnight",IF($H$2:$H2127 = "Taufeeq Akhtar ","Overnight",IF($H$2:$H2127 = "Zeeshan Ali Malik","Audit",IF($H$2:$H2127 = "Ali Raza ","Receiving",IF($H$2:$H2127 = "Ali Ahmad","Full-In"))))))</f>
        <v>0</v>
      </c>
      <c r="J628" s="29"/>
      <c r="K628" s="40"/>
      <c r="L628" s="40"/>
      <c r="M628" s="41"/>
      <c r="N628" s="39" t="s">
        <v>2335</v>
      </c>
      <c r="O628" s="46" t="b">
        <f aca="false">FALSE()</f>
        <v>0</v>
      </c>
      <c r="P628" s="20" t="n">
        <v>0</v>
      </c>
      <c r="Q628" s="45" t="n">
        <v>0</v>
      </c>
      <c r="R628" s="43" t="n">
        <v>0</v>
      </c>
      <c r="S628" s="20" t="n">
        <v>0</v>
      </c>
    </row>
    <row r="629" customFormat="false" ht="15.75" hidden="false" customHeight="false" outlineLevel="0" collapsed="false">
      <c r="A629" s="39" t="n">
        <v>0</v>
      </c>
      <c r="B629" s="44" t="str">
        <v/>
      </c>
      <c r="C629" s="39" t="n">
        <v>0</v>
      </c>
      <c r="D629" s="39" t="n">
        <v>0</v>
      </c>
      <c r="E629" s="39" t="str">
        <v/>
      </c>
      <c r="F629" s="45" t="n">
        <v>0</v>
      </c>
      <c r="G629" s="40" t="n">
        <v>0</v>
      </c>
      <c r="H629" s="39" t="n">
        <v>0</v>
      </c>
      <c r="I629" s="49" t="b">
        <f aca="false">IF(ISBLANK(H629),"", IF($H$2:$H2128 = "Gohar Rehan","Overnight",IF($H$2:$H2128 = "Taufeeq Akhtar ","Overnight",IF($H$2:$H2128 = "Zeeshan Ali Malik","Audit",IF($H$2:$H2128 = "Ali Raza ","Receiving",IF($H$2:$H2128 = "Ali Ahmad","Full-In"))))))</f>
        <v>0</v>
      </c>
      <c r="J629" s="29"/>
      <c r="K629" s="40"/>
      <c r="L629" s="40"/>
      <c r="M629" s="41"/>
      <c r="N629" s="39" t="s">
        <v>2335</v>
      </c>
      <c r="O629" s="46" t="b">
        <f aca="false">FALSE()</f>
        <v>0</v>
      </c>
      <c r="P629" s="20" t="n">
        <v>0</v>
      </c>
      <c r="Q629" s="45" t="n">
        <v>0</v>
      </c>
      <c r="R629" s="43" t="n">
        <v>0</v>
      </c>
      <c r="S629" s="20" t="n">
        <v>0</v>
      </c>
    </row>
    <row r="630" customFormat="false" ht="15.75" hidden="false" customHeight="false" outlineLevel="0" collapsed="false">
      <c r="A630" s="39" t="n">
        <v>0</v>
      </c>
      <c r="B630" s="44" t="str">
        <v/>
      </c>
      <c r="C630" s="39" t="n">
        <v>0</v>
      </c>
      <c r="D630" s="39" t="n">
        <v>0</v>
      </c>
      <c r="E630" s="39" t="str">
        <v/>
      </c>
      <c r="F630" s="45" t="n">
        <v>0</v>
      </c>
      <c r="G630" s="40" t="n">
        <v>0</v>
      </c>
      <c r="H630" s="39" t="n">
        <v>0</v>
      </c>
      <c r="I630" s="49" t="b">
        <f aca="false">IF(ISBLANK(H630),"", IF($H$2:$H2129 = "Gohar Rehan","Overnight",IF($H$2:$H2129 = "Taufeeq Akhtar ","Overnight",IF($H$2:$H2129 = "Zeeshan Ali Malik","Audit",IF($H$2:$H2129 = "Ali Raza ","Receiving",IF($H$2:$H2129 = "Ali Ahmad","Full-In"))))))</f>
        <v>0</v>
      </c>
      <c r="J630" s="29"/>
      <c r="K630" s="40"/>
      <c r="L630" s="40"/>
      <c r="M630" s="41"/>
      <c r="N630" s="39" t="s">
        <v>2335</v>
      </c>
      <c r="O630" s="46" t="b">
        <f aca="false">FALSE()</f>
        <v>0</v>
      </c>
      <c r="P630" s="20" t="n">
        <v>0</v>
      </c>
      <c r="Q630" s="45" t="n">
        <v>0</v>
      </c>
      <c r="R630" s="43" t="n">
        <v>0</v>
      </c>
      <c r="S630" s="20" t="n">
        <v>0</v>
      </c>
    </row>
    <row r="631" customFormat="false" ht="15.75" hidden="false" customHeight="false" outlineLevel="0" collapsed="false">
      <c r="A631" s="39" t="n">
        <v>0</v>
      </c>
      <c r="B631" s="44" t="str">
        <v/>
      </c>
      <c r="C631" s="39" t="n">
        <v>0</v>
      </c>
      <c r="D631" s="39" t="n">
        <v>0</v>
      </c>
      <c r="E631" s="39" t="str">
        <v/>
      </c>
      <c r="F631" s="45" t="n">
        <v>0</v>
      </c>
      <c r="G631" s="40" t="n">
        <v>0</v>
      </c>
      <c r="H631" s="39" t="n">
        <v>0</v>
      </c>
      <c r="I631" s="49" t="b">
        <f aca="false">IF(ISBLANK(H631),"", IF($H$2:$H2130 = "Gohar Rehan","Overnight",IF($H$2:$H2130 = "Taufeeq Akhtar ","Overnight",IF($H$2:$H2130 = "Zeeshan Ali Malik","Audit",IF($H$2:$H2130 = "Ali Raza ","Receiving",IF($H$2:$H2130 = "Ali Ahmad","Full-In"))))))</f>
        <v>0</v>
      </c>
      <c r="J631" s="29"/>
      <c r="K631" s="40"/>
      <c r="L631" s="40"/>
      <c r="M631" s="41"/>
      <c r="N631" s="39" t="s">
        <v>2335</v>
      </c>
      <c r="O631" s="46" t="b">
        <f aca="false">FALSE()</f>
        <v>0</v>
      </c>
      <c r="P631" s="20" t="n">
        <v>0</v>
      </c>
      <c r="Q631" s="45" t="n">
        <v>0</v>
      </c>
      <c r="R631" s="43" t="n">
        <v>0</v>
      </c>
      <c r="S631" s="20" t="n">
        <v>0</v>
      </c>
    </row>
    <row r="632" customFormat="false" ht="15.75" hidden="false" customHeight="false" outlineLevel="0" collapsed="false">
      <c r="A632" s="39" t="n">
        <v>0</v>
      </c>
      <c r="B632" s="44" t="str">
        <v/>
      </c>
      <c r="C632" s="39" t="n">
        <v>0</v>
      </c>
      <c r="D632" s="39" t="n">
        <v>0</v>
      </c>
      <c r="E632" s="39" t="str">
        <v/>
      </c>
      <c r="F632" s="45" t="n">
        <v>0</v>
      </c>
      <c r="G632" s="40" t="n">
        <v>0</v>
      </c>
      <c r="H632" s="39" t="n">
        <v>0</v>
      </c>
      <c r="I632" s="49" t="b">
        <f aca="false">IF(ISBLANK(H632),"", IF($H$2:$H2131 = "Gohar Rehan","Overnight",IF($H$2:$H2131 = "Taufeeq Akhtar ","Overnight",IF($H$2:$H2131 = "Zeeshan Ali Malik","Audit",IF($H$2:$H2131 = "Ali Raza ","Receiving",IF($H$2:$H2131 = "Ali Ahmad","Full-In"))))))</f>
        <v>0</v>
      </c>
      <c r="J632" s="29"/>
      <c r="K632" s="40"/>
      <c r="L632" s="40"/>
      <c r="M632" s="41"/>
      <c r="N632" s="39" t="s">
        <v>2335</v>
      </c>
      <c r="O632" s="46" t="b">
        <f aca="false">FALSE()</f>
        <v>0</v>
      </c>
      <c r="P632" s="20" t="n">
        <v>0</v>
      </c>
      <c r="Q632" s="45" t="n">
        <v>0</v>
      </c>
      <c r="R632" s="43" t="n">
        <v>0</v>
      </c>
      <c r="S632" s="20" t="n">
        <v>0</v>
      </c>
    </row>
    <row r="633" customFormat="false" ht="15.75" hidden="false" customHeight="false" outlineLevel="0" collapsed="false">
      <c r="A633" s="39" t="n">
        <v>0</v>
      </c>
      <c r="B633" s="44" t="str">
        <v/>
      </c>
      <c r="C633" s="39" t="n">
        <v>0</v>
      </c>
      <c r="D633" s="39" t="n">
        <v>0</v>
      </c>
      <c r="E633" s="39" t="str">
        <v/>
      </c>
      <c r="F633" s="45" t="n">
        <v>0</v>
      </c>
      <c r="G633" s="40" t="n">
        <v>0</v>
      </c>
      <c r="H633" s="39" t="n">
        <v>0</v>
      </c>
      <c r="I633" s="49" t="b">
        <f aca="false">IF(ISBLANK(H633),"", IF($H$2:$H2132 = "Gohar Rehan","Overnight",IF($H$2:$H2132 = "Taufeeq Akhtar ","Overnight",IF($H$2:$H2132 = "Zeeshan Ali Malik","Audit",IF($H$2:$H2132 = "Ali Raza ","Receiving",IF($H$2:$H2132 = "Ali Ahmad","Full-In"))))))</f>
        <v>0</v>
      </c>
      <c r="J633" s="29"/>
      <c r="K633" s="40"/>
      <c r="L633" s="40"/>
      <c r="M633" s="41"/>
      <c r="N633" s="39" t="s">
        <v>2335</v>
      </c>
      <c r="O633" s="46" t="b">
        <f aca="false">FALSE()</f>
        <v>0</v>
      </c>
      <c r="P633" s="20" t="n">
        <v>0</v>
      </c>
      <c r="Q633" s="45" t="n">
        <v>0</v>
      </c>
      <c r="R633" s="43" t="n">
        <v>0</v>
      </c>
      <c r="S633" s="20" t="n">
        <v>0</v>
      </c>
    </row>
    <row r="634" customFormat="false" ht="15.75" hidden="false" customHeight="false" outlineLevel="0" collapsed="false">
      <c r="A634" s="39" t="n">
        <v>0</v>
      </c>
      <c r="B634" s="44" t="str">
        <v/>
      </c>
      <c r="C634" s="39" t="n">
        <v>0</v>
      </c>
      <c r="D634" s="39" t="n">
        <v>0</v>
      </c>
      <c r="E634" s="39" t="str">
        <v/>
      </c>
      <c r="F634" s="45" t="n">
        <v>0</v>
      </c>
      <c r="G634" s="40" t="n">
        <v>0</v>
      </c>
      <c r="H634" s="39" t="n">
        <v>0</v>
      </c>
      <c r="I634" s="49" t="b">
        <f aca="false">IF(ISBLANK(H634),"", IF($H$2:$H2133 = "Gohar Rehan","Overnight",IF($H$2:$H2133 = "Taufeeq Akhtar ","Overnight",IF($H$2:$H2133 = "Zeeshan Ali Malik","Audit",IF($H$2:$H2133 = "Ali Raza ","Receiving",IF($H$2:$H2133 = "Ali Ahmad","Full-In"))))))</f>
        <v>0</v>
      </c>
      <c r="J634" s="29"/>
      <c r="K634" s="40"/>
      <c r="L634" s="40"/>
      <c r="M634" s="41"/>
      <c r="N634" s="39" t="s">
        <v>2335</v>
      </c>
      <c r="O634" s="46" t="b">
        <f aca="false">FALSE()</f>
        <v>0</v>
      </c>
      <c r="P634" s="20" t="n">
        <v>0</v>
      </c>
      <c r="Q634" s="45" t="n">
        <v>0</v>
      </c>
      <c r="R634" s="43" t="n">
        <v>0</v>
      </c>
      <c r="S634" s="20" t="n">
        <v>0</v>
      </c>
    </row>
    <row r="635" customFormat="false" ht="15.75" hidden="false" customHeight="false" outlineLevel="0" collapsed="false">
      <c r="A635" s="39" t="n">
        <v>0</v>
      </c>
      <c r="B635" s="44" t="str">
        <v/>
      </c>
      <c r="C635" s="39" t="n">
        <v>0</v>
      </c>
      <c r="D635" s="39" t="n">
        <v>0</v>
      </c>
      <c r="E635" s="39" t="str">
        <v/>
      </c>
      <c r="F635" s="45" t="n">
        <v>0</v>
      </c>
      <c r="G635" s="40" t="n">
        <v>0</v>
      </c>
      <c r="H635" s="39" t="n">
        <v>0</v>
      </c>
      <c r="I635" s="49" t="b">
        <f aca="false">IF(ISBLANK(H635),"", IF($H$2:$H2134 = "Gohar Rehan","Overnight",IF($H$2:$H2134 = "Taufeeq Akhtar ","Overnight",IF($H$2:$H2134 = "Zeeshan Ali Malik","Audit",IF($H$2:$H2134 = "Ali Raza ","Receiving",IF($H$2:$H2134 = "Ali Ahmad","Full-In"))))))</f>
        <v>0</v>
      </c>
      <c r="J635" s="29"/>
      <c r="K635" s="40"/>
      <c r="L635" s="40"/>
      <c r="M635" s="41"/>
      <c r="N635" s="39" t="s">
        <v>2335</v>
      </c>
      <c r="O635" s="46" t="b">
        <f aca="false">FALSE()</f>
        <v>0</v>
      </c>
      <c r="P635" s="20" t="n">
        <v>0</v>
      </c>
      <c r="Q635" s="45" t="n">
        <v>0</v>
      </c>
      <c r="R635" s="43" t="n">
        <v>0</v>
      </c>
      <c r="S635" s="20" t="n">
        <v>0</v>
      </c>
    </row>
    <row r="636" customFormat="false" ht="15.75" hidden="false" customHeight="false" outlineLevel="0" collapsed="false">
      <c r="A636" s="39" t="n">
        <v>0</v>
      </c>
      <c r="B636" s="44" t="str">
        <v/>
      </c>
      <c r="C636" s="39" t="n">
        <v>0</v>
      </c>
      <c r="D636" s="39" t="n">
        <v>0</v>
      </c>
      <c r="E636" s="39" t="str">
        <v/>
      </c>
      <c r="F636" s="45" t="n">
        <v>0</v>
      </c>
      <c r="G636" s="40" t="n">
        <v>0</v>
      </c>
      <c r="H636" s="39" t="n">
        <v>0</v>
      </c>
      <c r="I636" s="49" t="b">
        <f aca="false">IF(ISBLANK(H636),"", IF($H$2:$H2135 = "Gohar Rehan","Overnight",IF($H$2:$H2135 = "Taufeeq Akhtar ","Overnight",IF($H$2:$H2135 = "Zeeshan Ali Malik","Audit",IF($H$2:$H2135 = "Ali Raza ","Receiving",IF($H$2:$H2135 = "Ali Ahmad","Full-In"))))))</f>
        <v>0</v>
      </c>
      <c r="J636" s="29"/>
      <c r="K636" s="40"/>
      <c r="L636" s="40"/>
      <c r="M636" s="41"/>
      <c r="N636" s="39" t="s">
        <v>2335</v>
      </c>
      <c r="O636" s="46" t="b">
        <f aca="false">FALSE()</f>
        <v>0</v>
      </c>
      <c r="P636" s="20" t="n">
        <v>0</v>
      </c>
      <c r="Q636" s="45" t="n">
        <v>0</v>
      </c>
      <c r="R636" s="43" t="n">
        <v>0</v>
      </c>
      <c r="S636" s="20" t="n">
        <v>0</v>
      </c>
    </row>
    <row r="637" customFormat="false" ht="15.75" hidden="false" customHeight="false" outlineLevel="0" collapsed="false">
      <c r="A637" s="39" t="n">
        <v>0</v>
      </c>
      <c r="B637" s="44" t="str">
        <v/>
      </c>
      <c r="C637" s="39" t="n">
        <v>0</v>
      </c>
      <c r="D637" s="39" t="n">
        <v>0</v>
      </c>
      <c r="E637" s="39" t="str">
        <v/>
      </c>
      <c r="F637" s="45" t="n">
        <v>0</v>
      </c>
      <c r="G637" s="40" t="n">
        <v>0</v>
      </c>
      <c r="H637" s="39" t="n">
        <v>0</v>
      </c>
      <c r="I637" s="49" t="b">
        <f aca="false">IF(ISBLANK(H637),"", IF($H$2:$H2136 = "Gohar Rehan","Overnight",IF($H$2:$H2136 = "Taufeeq Akhtar ","Overnight",IF($H$2:$H2136 = "Zeeshan Ali Malik","Audit",IF($H$2:$H2136 = "Ali Raza ","Receiving",IF($H$2:$H2136 = "Ali Ahmad","Full-In"))))))</f>
        <v>0</v>
      </c>
      <c r="J637" s="29"/>
      <c r="K637" s="40"/>
      <c r="L637" s="40"/>
      <c r="M637" s="41"/>
      <c r="N637" s="39" t="s">
        <v>2335</v>
      </c>
      <c r="O637" s="46" t="b">
        <f aca="false">FALSE()</f>
        <v>0</v>
      </c>
      <c r="P637" s="20" t="n">
        <v>0</v>
      </c>
      <c r="Q637" s="45" t="n">
        <v>0</v>
      </c>
      <c r="R637" s="43" t="n">
        <v>0</v>
      </c>
      <c r="S637" s="20" t="n">
        <v>0</v>
      </c>
    </row>
    <row r="638" customFormat="false" ht="15.75" hidden="false" customHeight="false" outlineLevel="0" collapsed="false">
      <c r="A638" s="39" t="n">
        <v>0</v>
      </c>
      <c r="B638" s="44" t="str">
        <v/>
      </c>
      <c r="C638" s="39" t="n">
        <v>0</v>
      </c>
      <c r="D638" s="39" t="n">
        <v>0</v>
      </c>
      <c r="E638" s="39" t="str">
        <v/>
      </c>
      <c r="F638" s="45" t="n">
        <v>0</v>
      </c>
      <c r="G638" s="40" t="n">
        <v>0</v>
      </c>
      <c r="H638" s="39" t="n">
        <v>0</v>
      </c>
      <c r="I638" s="49" t="b">
        <f aca="false">IF(ISBLANK(H638),"", IF($H$2:$H2137 = "Gohar Rehan","Overnight",IF($H$2:$H2137 = "Taufeeq Akhtar ","Overnight",IF($H$2:$H2137 = "Zeeshan Ali Malik","Audit",IF($H$2:$H2137 = "Ali Raza ","Receiving",IF($H$2:$H2137 = "Ali Ahmad","Full-In"))))))</f>
        <v>0</v>
      </c>
      <c r="J638" s="29"/>
      <c r="K638" s="40"/>
      <c r="L638" s="40"/>
      <c r="M638" s="41"/>
      <c r="N638" s="39" t="s">
        <v>2335</v>
      </c>
      <c r="O638" s="46" t="b">
        <f aca="false">FALSE()</f>
        <v>0</v>
      </c>
      <c r="P638" s="20" t="n">
        <v>0</v>
      </c>
      <c r="Q638" s="45" t="n">
        <v>0</v>
      </c>
      <c r="R638" s="43" t="n">
        <v>0</v>
      </c>
      <c r="S638" s="20" t="n">
        <v>0</v>
      </c>
    </row>
    <row r="639" customFormat="false" ht="15.75" hidden="false" customHeight="false" outlineLevel="0" collapsed="false">
      <c r="A639" s="39" t="n">
        <v>0</v>
      </c>
      <c r="B639" s="44" t="str">
        <v/>
      </c>
      <c r="C639" s="39" t="n">
        <v>0</v>
      </c>
      <c r="D639" s="39" t="n">
        <v>0</v>
      </c>
      <c r="E639" s="39" t="str">
        <v/>
      </c>
      <c r="F639" s="45" t="n">
        <v>0</v>
      </c>
      <c r="G639" s="40" t="n">
        <v>0</v>
      </c>
      <c r="H639" s="39" t="n">
        <v>0</v>
      </c>
      <c r="I639" s="49" t="b">
        <f aca="false">IF(ISBLANK(H639),"", IF($H$2:$H2138 = "Gohar Rehan","Overnight",IF($H$2:$H2138 = "Taufeeq Akhtar ","Overnight",IF($H$2:$H2138 = "Zeeshan Ali Malik","Audit",IF($H$2:$H2138 = "Ali Raza ","Receiving",IF($H$2:$H2138 = "Ali Ahmad","Full-In"))))))</f>
        <v>0</v>
      </c>
      <c r="J639" s="29"/>
      <c r="K639" s="40"/>
      <c r="L639" s="40"/>
      <c r="M639" s="41"/>
      <c r="N639" s="39" t="s">
        <v>2335</v>
      </c>
      <c r="O639" s="46" t="b">
        <f aca="false">FALSE()</f>
        <v>0</v>
      </c>
      <c r="P639" s="20" t="n">
        <v>0</v>
      </c>
      <c r="Q639" s="45" t="n">
        <v>0</v>
      </c>
      <c r="R639" s="43" t="n">
        <v>0</v>
      </c>
      <c r="S639" s="20" t="n">
        <v>0</v>
      </c>
    </row>
    <row r="640" customFormat="false" ht="15.75" hidden="false" customHeight="false" outlineLevel="0" collapsed="false">
      <c r="A640" s="39" t="n">
        <v>0</v>
      </c>
      <c r="B640" s="44" t="str">
        <v/>
      </c>
      <c r="C640" s="39" t="n">
        <v>0</v>
      </c>
      <c r="D640" s="39" t="n">
        <v>0</v>
      </c>
      <c r="E640" s="39" t="str">
        <v/>
      </c>
      <c r="F640" s="45" t="n">
        <v>0</v>
      </c>
      <c r="G640" s="40" t="n">
        <v>0</v>
      </c>
      <c r="H640" s="39" t="n">
        <v>0</v>
      </c>
      <c r="I640" s="49" t="b">
        <f aca="false">IF(ISBLANK(H640),"", IF($H$2:$H2139 = "Gohar Rehan","Overnight",IF($H$2:$H2139 = "Taufeeq Akhtar ","Overnight",IF($H$2:$H2139 = "Zeeshan Ali Malik","Audit",IF($H$2:$H2139 = "Ali Raza ","Receiving",IF($H$2:$H2139 = "Ali Ahmad","Full-In"))))))</f>
        <v>0</v>
      </c>
      <c r="J640" s="29"/>
      <c r="K640" s="40"/>
      <c r="L640" s="40"/>
      <c r="M640" s="41"/>
      <c r="N640" s="39" t="s">
        <v>2335</v>
      </c>
      <c r="O640" s="46" t="b">
        <f aca="false">FALSE()</f>
        <v>0</v>
      </c>
      <c r="P640" s="20" t="n">
        <v>0</v>
      </c>
      <c r="Q640" s="45" t="n">
        <v>0</v>
      </c>
      <c r="R640" s="43" t="n">
        <v>0</v>
      </c>
      <c r="S640" s="20" t="n">
        <v>0</v>
      </c>
    </row>
    <row r="641" customFormat="false" ht="15.75" hidden="false" customHeight="false" outlineLevel="0" collapsed="false">
      <c r="A641" s="39" t="n">
        <v>0</v>
      </c>
      <c r="B641" s="44" t="str">
        <v/>
      </c>
      <c r="C641" s="39" t="n">
        <v>0</v>
      </c>
      <c r="D641" s="39" t="n">
        <v>0</v>
      </c>
      <c r="E641" s="39" t="str">
        <v/>
      </c>
      <c r="F641" s="45" t="n">
        <v>0</v>
      </c>
      <c r="G641" s="40" t="n">
        <v>0</v>
      </c>
      <c r="H641" s="39" t="n">
        <v>0</v>
      </c>
      <c r="I641" s="49" t="b">
        <f aca="false">IF(ISBLANK(H641),"", IF($H$2:$H2140 = "Gohar Rehan","Overnight",IF($H$2:$H2140 = "Taufeeq Akhtar ","Overnight",IF($H$2:$H2140 = "Zeeshan Ali Malik","Audit",IF($H$2:$H2140 = "Ali Raza ","Receiving",IF($H$2:$H2140 = "Ali Ahmad","Full-In"))))))</f>
        <v>0</v>
      </c>
      <c r="J641" s="29"/>
      <c r="K641" s="40"/>
      <c r="L641" s="40"/>
      <c r="M641" s="41"/>
      <c r="N641" s="39" t="s">
        <v>2335</v>
      </c>
      <c r="O641" s="46" t="b">
        <f aca="false">FALSE()</f>
        <v>0</v>
      </c>
      <c r="P641" s="20" t="n">
        <v>0</v>
      </c>
      <c r="Q641" s="45" t="n">
        <v>0</v>
      </c>
      <c r="R641" s="43" t="n">
        <v>0</v>
      </c>
      <c r="S641" s="20" t="n">
        <v>0</v>
      </c>
    </row>
    <row r="642" customFormat="false" ht="15.75" hidden="false" customHeight="false" outlineLevel="0" collapsed="false">
      <c r="A642" s="39" t="n">
        <v>0</v>
      </c>
      <c r="B642" s="44" t="str">
        <v/>
      </c>
      <c r="C642" s="39" t="n">
        <v>0</v>
      </c>
      <c r="D642" s="39" t="n">
        <v>0</v>
      </c>
      <c r="E642" s="39" t="str">
        <v/>
      </c>
      <c r="F642" s="45" t="n">
        <v>0</v>
      </c>
      <c r="G642" s="40" t="n">
        <v>0</v>
      </c>
      <c r="H642" s="39" t="n">
        <v>0</v>
      </c>
      <c r="I642" s="49" t="b">
        <f aca="false">IF(ISBLANK(H642),"", IF($H$2:$H2141 = "Gohar Rehan","Overnight",IF($H$2:$H2141 = "Taufeeq Akhtar ","Overnight",IF($H$2:$H2141 = "Zeeshan Ali Malik","Audit",IF($H$2:$H2141 = "Ali Raza ","Receiving",IF($H$2:$H2141 = "Ali Ahmad","Full-In"))))))</f>
        <v>0</v>
      </c>
      <c r="J642" s="29"/>
      <c r="K642" s="40"/>
      <c r="L642" s="40"/>
      <c r="M642" s="41"/>
      <c r="N642" s="39" t="s">
        <v>2335</v>
      </c>
      <c r="O642" s="46" t="b">
        <f aca="false">FALSE()</f>
        <v>0</v>
      </c>
      <c r="P642" s="20" t="n">
        <v>0</v>
      </c>
      <c r="Q642" s="45" t="n">
        <v>0</v>
      </c>
      <c r="R642" s="43" t="n">
        <v>0</v>
      </c>
      <c r="S642" s="20" t="n">
        <v>0</v>
      </c>
    </row>
    <row r="643" customFormat="false" ht="15.75" hidden="false" customHeight="false" outlineLevel="0" collapsed="false">
      <c r="A643" s="39" t="n">
        <v>0</v>
      </c>
      <c r="B643" s="44" t="str">
        <v/>
      </c>
      <c r="C643" s="39" t="n">
        <v>0</v>
      </c>
      <c r="D643" s="39" t="n">
        <v>0</v>
      </c>
      <c r="E643" s="39" t="str">
        <v/>
      </c>
      <c r="F643" s="45" t="n">
        <v>0</v>
      </c>
      <c r="G643" s="40" t="n">
        <v>0</v>
      </c>
      <c r="H643" s="39" t="n">
        <v>0</v>
      </c>
      <c r="I643" s="49" t="b">
        <f aca="false">IF(ISBLANK(H643),"", IF($H$2:$H2142 = "Gohar Rehan","Overnight",IF($H$2:$H2142 = "Taufeeq Akhtar ","Overnight",IF($H$2:$H2142 = "Zeeshan Ali Malik","Audit",IF($H$2:$H2142 = "Ali Raza ","Receiving",IF($H$2:$H2142 = "Ali Ahmad","Full-In"))))))</f>
        <v>0</v>
      </c>
      <c r="J643" s="29"/>
      <c r="K643" s="40"/>
      <c r="L643" s="40"/>
      <c r="M643" s="41"/>
      <c r="N643" s="39" t="s">
        <v>2335</v>
      </c>
      <c r="O643" s="46" t="b">
        <f aca="false">FALSE()</f>
        <v>0</v>
      </c>
      <c r="P643" s="20" t="n">
        <v>0</v>
      </c>
      <c r="Q643" s="45" t="n">
        <v>0</v>
      </c>
      <c r="R643" s="43" t="n">
        <v>0</v>
      </c>
      <c r="S643" s="20" t="n">
        <v>0</v>
      </c>
    </row>
    <row r="644" customFormat="false" ht="15.75" hidden="false" customHeight="false" outlineLevel="0" collapsed="false">
      <c r="A644" s="39" t="n">
        <v>0</v>
      </c>
      <c r="B644" s="44" t="str">
        <v/>
      </c>
      <c r="C644" s="39" t="n">
        <v>0</v>
      </c>
      <c r="D644" s="39" t="n">
        <v>0</v>
      </c>
      <c r="E644" s="39" t="str">
        <v/>
      </c>
      <c r="F644" s="45" t="n">
        <v>0</v>
      </c>
      <c r="G644" s="40" t="n">
        <v>0</v>
      </c>
      <c r="H644" s="39" t="n">
        <v>0</v>
      </c>
      <c r="I644" s="49" t="b">
        <f aca="false">IF(ISBLANK(H644),"", IF($H$2:$H2143 = "Gohar Rehan","Overnight",IF($H$2:$H2143 = "Taufeeq Akhtar ","Overnight",IF($H$2:$H2143 = "Zeeshan Ali Malik","Audit",IF($H$2:$H2143 = "Ali Raza ","Receiving",IF($H$2:$H2143 = "Ali Ahmad","Full-In"))))))</f>
        <v>0</v>
      </c>
      <c r="J644" s="29"/>
      <c r="K644" s="40"/>
      <c r="L644" s="40"/>
      <c r="M644" s="41"/>
      <c r="N644" s="39" t="s">
        <v>2335</v>
      </c>
      <c r="O644" s="46" t="b">
        <f aca="false">FALSE()</f>
        <v>0</v>
      </c>
      <c r="P644" s="20" t="n">
        <v>0</v>
      </c>
      <c r="Q644" s="45" t="n">
        <v>0</v>
      </c>
      <c r="R644" s="43" t="n">
        <v>0</v>
      </c>
      <c r="S644" s="20" t="n">
        <v>0</v>
      </c>
    </row>
    <row r="645" customFormat="false" ht="15.75" hidden="false" customHeight="false" outlineLevel="0" collapsed="false">
      <c r="A645" s="39" t="n">
        <v>0</v>
      </c>
      <c r="B645" s="44" t="str">
        <v/>
      </c>
      <c r="C645" s="39" t="n">
        <v>0</v>
      </c>
      <c r="D645" s="39" t="n">
        <v>0</v>
      </c>
      <c r="E645" s="39" t="str">
        <v/>
      </c>
      <c r="F645" s="45" t="n">
        <v>0</v>
      </c>
      <c r="G645" s="40" t="n">
        <v>0</v>
      </c>
      <c r="H645" s="39" t="n">
        <v>0</v>
      </c>
      <c r="I645" s="49" t="b">
        <f aca="false">IF(ISBLANK(H645),"", IF($H$2:$H2144 = "Gohar Rehan","Overnight",IF($H$2:$H2144 = "Taufeeq Akhtar ","Overnight",IF($H$2:$H2144 = "Zeeshan Ali Malik","Audit",IF($H$2:$H2144 = "Ali Raza ","Receiving",IF($H$2:$H2144 = "Ali Ahmad","Full-In"))))))</f>
        <v>0</v>
      </c>
      <c r="J645" s="29"/>
      <c r="K645" s="40"/>
      <c r="L645" s="40"/>
      <c r="M645" s="41"/>
      <c r="N645" s="39" t="s">
        <v>2335</v>
      </c>
      <c r="O645" s="46" t="b">
        <f aca="false">FALSE()</f>
        <v>0</v>
      </c>
      <c r="P645" s="20" t="n">
        <v>0</v>
      </c>
      <c r="Q645" s="45" t="n">
        <v>0</v>
      </c>
      <c r="R645" s="43" t="n">
        <v>0</v>
      </c>
      <c r="S645" s="20" t="n">
        <v>0</v>
      </c>
    </row>
    <row r="646" customFormat="false" ht="15.75" hidden="false" customHeight="false" outlineLevel="0" collapsed="false">
      <c r="A646" s="39" t="n">
        <v>0</v>
      </c>
      <c r="B646" s="44" t="str">
        <v/>
      </c>
      <c r="C646" s="39" t="n">
        <v>0</v>
      </c>
      <c r="D646" s="39" t="n">
        <v>0</v>
      </c>
      <c r="E646" s="39" t="str">
        <v/>
      </c>
      <c r="F646" s="45" t="n">
        <v>0</v>
      </c>
      <c r="G646" s="40" t="n">
        <v>0</v>
      </c>
      <c r="H646" s="39" t="n">
        <v>0</v>
      </c>
      <c r="I646" s="49" t="b">
        <f aca="false">IF(ISBLANK(H646),"", IF($H$2:$H2145 = "Gohar Rehan","Overnight",IF($H$2:$H2145 = "Taufeeq Akhtar ","Overnight",IF($H$2:$H2145 = "Zeeshan Ali Malik","Audit",IF($H$2:$H2145 = "Ali Raza ","Receiving",IF($H$2:$H2145 = "Ali Ahmad","Full-In"))))))</f>
        <v>0</v>
      </c>
      <c r="J646" s="29"/>
      <c r="K646" s="40"/>
      <c r="L646" s="40"/>
      <c r="M646" s="41"/>
      <c r="N646" s="39" t="s">
        <v>2335</v>
      </c>
      <c r="O646" s="46" t="b">
        <f aca="false">FALSE()</f>
        <v>0</v>
      </c>
      <c r="P646" s="20" t="n">
        <v>0</v>
      </c>
      <c r="Q646" s="45" t="n">
        <v>0</v>
      </c>
      <c r="R646" s="43" t="n">
        <v>0</v>
      </c>
      <c r="S646" s="20" t="n">
        <v>0</v>
      </c>
    </row>
    <row r="647" customFormat="false" ht="15.75" hidden="false" customHeight="false" outlineLevel="0" collapsed="false">
      <c r="A647" s="39" t="n">
        <v>0</v>
      </c>
      <c r="B647" s="44" t="str">
        <v/>
      </c>
      <c r="C647" s="39" t="n">
        <v>0</v>
      </c>
      <c r="D647" s="39" t="n">
        <v>0</v>
      </c>
      <c r="E647" s="39" t="str">
        <v/>
      </c>
      <c r="F647" s="45" t="n">
        <v>0</v>
      </c>
      <c r="G647" s="40" t="n">
        <v>0</v>
      </c>
      <c r="H647" s="39" t="n">
        <v>0</v>
      </c>
      <c r="I647" s="49" t="b">
        <f aca="false">IF(ISBLANK(H647),"", IF($H$2:$H2146 = "Gohar Rehan","Overnight",IF($H$2:$H2146 = "Taufeeq Akhtar ","Overnight",IF($H$2:$H2146 = "Zeeshan Ali Malik","Audit",IF($H$2:$H2146 = "Ali Raza ","Receiving",IF($H$2:$H2146 = "Ali Ahmad","Full-In"))))))</f>
        <v>0</v>
      </c>
      <c r="J647" s="29"/>
      <c r="K647" s="40"/>
      <c r="L647" s="40"/>
      <c r="M647" s="41"/>
      <c r="N647" s="39" t="s">
        <v>2335</v>
      </c>
      <c r="O647" s="46" t="b">
        <f aca="false">FALSE()</f>
        <v>0</v>
      </c>
      <c r="P647" s="20" t="n">
        <v>0</v>
      </c>
      <c r="Q647" s="45" t="n">
        <v>0</v>
      </c>
      <c r="R647" s="43" t="n">
        <v>0</v>
      </c>
      <c r="S647" s="20" t="n">
        <v>0</v>
      </c>
    </row>
    <row r="648" customFormat="false" ht="15.75" hidden="false" customHeight="false" outlineLevel="0" collapsed="false">
      <c r="A648" s="39" t="n">
        <v>0</v>
      </c>
      <c r="B648" s="44" t="str">
        <v/>
      </c>
      <c r="C648" s="39" t="n">
        <v>0</v>
      </c>
      <c r="D648" s="39" t="n">
        <v>0</v>
      </c>
      <c r="E648" s="39" t="str">
        <v/>
      </c>
      <c r="F648" s="45" t="n">
        <v>0</v>
      </c>
      <c r="G648" s="40" t="n">
        <v>0</v>
      </c>
      <c r="H648" s="39" t="n">
        <v>0</v>
      </c>
      <c r="I648" s="49" t="b">
        <f aca="false">IF(ISBLANK(H648),"", IF($H$2:$H2147 = "Gohar Rehan","Overnight",IF($H$2:$H2147 = "Taufeeq Akhtar ","Overnight",IF($H$2:$H2147 = "Zeeshan Ali Malik","Audit",IF($H$2:$H2147 = "Ali Raza ","Receiving",IF($H$2:$H2147 = "Ali Ahmad","Full-In"))))))</f>
        <v>0</v>
      </c>
      <c r="J648" s="29"/>
      <c r="K648" s="40"/>
      <c r="L648" s="40"/>
      <c r="M648" s="41"/>
      <c r="N648" s="39" t="s">
        <v>2335</v>
      </c>
      <c r="O648" s="46" t="b">
        <f aca="false">FALSE()</f>
        <v>0</v>
      </c>
      <c r="P648" s="20" t="n">
        <v>0</v>
      </c>
      <c r="Q648" s="45" t="n">
        <v>0</v>
      </c>
      <c r="R648" s="43" t="n">
        <v>0</v>
      </c>
      <c r="S648" s="20" t="n">
        <v>0</v>
      </c>
    </row>
    <row r="649" customFormat="false" ht="15.75" hidden="false" customHeight="false" outlineLevel="0" collapsed="false">
      <c r="A649" s="39" t="n">
        <v>0</v>
      </c>
      <c r="B649" s="44" t="str">
        <v/>
      </c>
      <c r="C649" s="39" t="n">
        <v>0</v>
      </c>
      <c r="D649" s="39" t="n">
        <v>0</v>
      </c>
      <c r="E649" s="39" t="str">
        <v/>
      </c>
      <c r="F649" s="45" t="n">
        <v>0</v>
      </c>
      <c r="G649" s="40" t="n">
        <v>0</v>
      </c>
      <c r="H649" s="39" t="n">
        <v>0</v>
      </c>
      <c r="I649" s="49" t="b">
        <f aca="false">IF(ISBLANK(H649),"", IF($H$2:$H2148 = "Gohar Rehan","Overnight",IF($H$2:$H2148 = "Taufeeq Akhtar ","Overnight",IF($H$2:$H2148 = "Zeeshan Ali Malik","Audit",IF($H$2:$H2148 = "Ali Raza ","Receiving",IF($H$2:$H2148 = "Ali Ahmad","Full-In"))))))</f>
        <v>0</v>
      </c>
      <c r="J649" s="29"/>
      <c r="K649" s="40"/>
      <c r="L649" s="40"/>
      <c r="M649" s="41"/>
      <c r="N649" s="39" t="s">
        <v>2335</v>
      </c>
      <c r="O649" s="46" t="b">
        <f aca="false">FALSE()</f>
        <v>0</v>
      </c>
      <c r="P649" s="20" t="n">
        <v>0</v>
      </c>
      <c r="Q649" s="45" t="n">
        <v>0</v>
      </c>
      <c r="R649" s="43" t="n">
        <v>0</v>
      </c>
      <c r="S649" s="20" t="n">
        <v>0</v>
      </c>
    </row>
    <row r="650" customFormat="false" ht="15.75" hidden="false" customHeight="false" outlineLevel="0" collapsed="false">
      <c r="A650" s="39" t="n">
        <v>0</v>
      </c>
      <c r="B650" s="44" t="str">
        <v/>
      </c>
      <c r="C650" s="39" t="n">
        <v>0</v>
      </c>
      <c r="D650" s="39" t="n">
        <v>0</v>
      </c>
      <c r="E650" s="39" t="str">
        <v/>
      </c>
      <c r="F650" s="45" t="n">
        <v>0</v>
      </c>
      <c r="G650" s="40" t="n">
        <v>0</v>
      </c>
      <c r="H650" s="39" t="n">
        <v>0</v>
      </c>
      <c r="I650" s="49" t="b">
        <f aca="false">IF(ISBLANK(H650),"", IF($H$2:$H2149 = "Gohar Rehan","Overnight",IF($H$2:$H2149 = "Taufeeq Akhtar ","Overnight",IF($H$2:$H2149 = "Zeeshan Ali Malik","Audit",IF($H$2:$H2149 = "Ali Raza ","Receiving",IF($H$2:$H2149 = "Ali Ahmad","Full-In"))))))</f>
        <v>0</v>
      </c>
      <c r="J650" s="29"/>
      <c r="K650" s="40"/>
      <c r="L650" s="40"/>
      <c r="M650" s="41"/>
      <c r="N650" s="39" t="s">
        <v>2335</v>
      </c>
      <c r="O650" s="46" t="b">
        <f aca="false">FALSE()</f>
        <v>0</v>
      </c>
      <c r="P650" s="20" t="n">
        <v>0</v>
      </c>
      <c r="Q650" s="45" t="n">
        <v>0</v>
      </c>
      <c r="R650" s="43" t="n">
        <v>0</v>
      </c>
      <c r="S650" s="20" t="n">
        <v>0</v>
      </c>
    </row>
    <row r="651" customFormat="false" ht="15.75" hidden="false" customHeight="false" outlineLevel="0" collapsed="false">
      <c r="A651" s="39" t="n">
        <v>0</v>
      </c>
      <c r="B651" s="44" t="str">
        <v/>
      </c>
      <c r="C651" s="39" t="n">
        <v>0</v>
      </c>
      <c r="D651" s="39" t="n">
        <v>0</v>
      </c>
      <c r="E651" s="39" t="str">
        <v/>
      </c>
      <c r="F651" s="45" t="n">
        <v>0</v>
      </c>
      <c r="G651" s="40" t="n">
        <v>0</v>
      </c>
      <c r="H651" s="39" t="n">
        <v>0</v>
      </c>
      <c r="I651" s="49" t="b">
        <f aca="false">IF(ISBLANK(H651),"", IF($H$2:$H2150 = "Gohar Rehan","Overnight",IF($H$2:$H2150 = "Taufeeq Akhtar ","Overnight",IF($H$2:$H2150 = "Zeeshan Ali Malik","Audit",IF($H$2:$H2150 = "Ali Raza ","Receiving",IF($H$2:$H2150 = "Ali Ahmad","Full-In"))))))</f>
        <v>0</v>
      </c>
      <c r="J651" s="29"/>
      <c r="K651" s="40"/>
      <c r="L651" s="40"/>
      <c r="M651" s="41"/>
      <c r="N651" s="39" t="s">
        <v>2335</v>
      </c>
      <c r="O651" s="46" t="b">
        <f aca="false">FALSE()</f>
        <v>0</v>
      </c>
      <c r="P651" s="20" t="n">
        <v>0</v>
      </c>
      <c r="Q651" s="45" t="n">
        <v>0</v>
      </c>
      <c r="R651" s="43" t="n">
        <v>0</v>
      </c>
      <c r="S651" s="20" t="n">
        <v>0</v>
      </c>
    </row>
    <row r="652" customFormat="false" ht="15.75" hidden="false" customHeight="false" outlineLevel="0" collapsed="false">
      <c r="A652" s="39" t="n">
        <v>0</v>
      </c>
      <c r="B652" s="44" t="str">
        <v/>
      </c>
      <c r="C652" s="39" t="n">
        <v>0</v>
      </c>
      <c r="D652" s="39" t="n">
        <v>0</v>
      </c>
      <c r="E652" s="39" t="str">
        <v/>
      </c>
      <c r="F652" s="45" t="n">
        <v>0</v>
      </c>
      <c r="G652" s="40" t="n">
        <v>0</v>
      </c>
      <c r="H652" s="39" t="n">
        <v>0</v>
      </c>
      <c r="I652" s="49" t="b">
        <f aca="false">IF(ISBLANK(H652),"", IF($H$2:$H2151 = "Gohar Rehan","Overnight",IF($H$2:$H2151 = "Taufeeq Akhtar ","Overnight",IF($H$2:$H2151 = "Zeeshan Ali Malik","Audit",IF($H$2:$H2151 = "Ali Raza ","Receiving",IF($H$2:$H2151 = "Ali Ahmad","Full-In"))))))</f>
        <v>0</v>
      </c>
      <c r="J652" s="29"/>
      <c r="K652" s="40"/>
      <c r="L652" s="40"/>
      <c r="M652" s="41"/>
      <c r="N652" s="39" t="s">
        <v>2335</v>
      </c>
      <c r="O652" s="46" t="b">
        <f aca="false">FALSE()</f>
        <v>0</v>
      </c>
      <c r="P652" s="20" t="n">
        <v>0</v>
      </c>
      <c r="Q652" s="45" t="n">
        <v>0</v>
      </c>
      <c r="R652" s="43" t="n">
        <v>0</v>
      </c>
      <c r="S652" s="20" t="n">
        <v>0</v>
      </c>
    </row>
    <row r="653" customFormat="false" ht="15.75" hidden="false" customHeight="false" outlineLevel="0" collapsed="false">
      <c r="A653" s="39" t="n">
        <v>0</v>
      </c>
      <c r="B653" s="44" t="str">
        <v/>
      </c>
      <c r="C653" s="39" t="n">
        <v>0</v>
      </c>
      <c r="D653" s="39" t="n">
        <v>0</v>
      </c>
      <c r="E653" s="39" t="str">
        <v/>
      </c>
      <c r="F653" s="45" t="n">
        <v>0</v>
      </c>
      <c r="G653" s="40" t="n">
        <v>0</v>
      </c>
      <c r="H653" s="39" t="n">
        <v>0</v>
      </c>
      <c r="I653" s="49" t="b">
        <f aca="false">IF(ISBLANK(H653),"", IF($H$2:$H2152 = "Gohar Rehan","Overnight",IF($H$2:$H2152 = "Taufeeq Akhtar ","Overnight",IF($H$2:$H2152 = "Zeeshan Ali Malik","Audit",IF($H$2:$H2152 = "Ali Raza ","Receiving",IF($H$2:$H2152 = "Ali Ahmad","Full-In"))))))</f>
        <v>0</v>
      </c>
      <c r="J653" s="29"/>
      <c r="K653" s="40"/>
      <c r="L653" s="40"/>
      <c r="M653" s="41"/>
      <c r="N653" s="39" t="s">
        <v>2335</v>
      </c>
      <c r="O653" s="46" t="b">
        <f aca="false">FALSE()</f>
        <v>0</v>
      </c>
      <c r="P653" s="20" t="n">
        <v>0</v>
      </c>
      <c r="Q653" s="45" t="n">
        <v>0</v>
      </c>
      <c r="R653" s="43" t="n">
        <v>0</v>
      </c>
      <c r="S653" s="20" t="n">
        <v>0</v>
      </c>
    </row>
    <row r="654" customFormat="false" ht="15.75" hidden="false" customHeight="false" outlineLevel="0" collapsed="false">
      <c r="A654" s="39" t="n">
        <v>0</v>
      </c>
      <c r="B654" s="44" t="str">
        <v/>
      </c>
      <c r="C654" s="39" t="n">
        <v>0</v>
      </c>
      <c r="D654" s="39" t="n">
        <v>0</v>
      </c>
      <c r="E654" s="39" t="str">
        <v/>
      </c>
      <c r="F654" s="45" t="n">
        <v>0</v>
      </c>
      <c r="G654" s="40" t="n">
        <v>0</v>
      </c>
      <c r="H654" s="39" t="n">
        <v>0</v>
      </c>
      <c r="I654" s="49" t="b">
        <f aca="false">IF(ISBLANK(H654),"", IF($H$2:$H2153 = "Gohar Rehan","Overnight",IF($H$2:$H2153 = "Taufeeq Akhtar ","Overnight",IF($H$2:$H2153 = "Zeeshan Ali Malik","Audit",IF($H$2:$H2153 = "Ali Raza ","Receiving",IF($H$2:$H2153 = "Ali Ahmad","Full-In"))))))</f>
        <v>0</v>
      </c>
      <c r="J654" s="29"/>
      <c r="K654" s="40"/>
      <c r="L654" s="40"/>
      <c r="M654" s="41"/>
      <c r="N654" s="39" t="s">
        <v>2335</v>
      </c>
      <c r="O654" s="46" t="b">
        <f aca="false">FALSE()</f>
        <v>0</v>
      </c>
      <c r="P654" s="20" t="n">
        <v>0</v>
      </c>
      <c r="Q654" s="45" t="n">
        <v>0</v>
      </c>
      <c r="R654" s="43" t="n">
        <v>0</v>
      </c>
      <c r="S654" s="20" t="n">
        <v>0</v>
      </c>
    </row>
    <row r="655" customFormat="false" ht="15.75" hidden="false" customHeight="false" outlineLevel="0" collapsed="false">
      <c r="A655" s="39" t="n">
        <v>0</v>
      </c>
      <c r="B655" s="44" t="str">
        <v/>
      </c>
      <c r="C655" s="39" t="n">
        <v>0</v>
      </c>
      <c r="D655" s="39" t="n">
        <v>0</v>
      </c>
      <c r="E655" s="39" t="str">
        <v/>
      </c>
      <c r="F655" s="45" t="n">
        <v>0</v>
      </c>
      <c r="G655" s="40" t="n">
        <v>0</v>
      </c>
      <c r="H655" s="39" t="n">
        <v>0</v>
      </c>
      <c r="I655" s="49" t="b">
        <f aca="false">IF(ISBLANK(H655),"", IF($H$2:$H2154 = "Gohar Rehan","Overnight",IF($H$2:$H2154 = "Taufeeq Akhtar ","Overnight",IF($H$2:$H2154 = "Zeeshan Ali Malik","Audit",IF($H$2:$H2154 = "Ali Raza ","Receiving",IF($H$2:$H2154 = "Ali Ahmad","Full-In"))))))</f>
        <v>0</v>
      </c>
      <c r="J655" s="29"/>
      <c r="K655" s="40"/>
      <c r="L655" s="40"/>
      <c r="M655" s="41"/>
      <c r="N655" s="39" t="s">
        <v>2335</v>
      </c>
      <c r="O655" s="46" t="b">
        <f aca="false">FALSE()</f>
        <v>0</v>
      </c>
      <c r="P655" s="20" t="n">
        <v>0</v>
      </c>
      <c r="Q655" s="45" t="n">
        <v>0</v>
      </c>
      <c r="R655" s="43" t="n">
        <v>0</v>
      </c>
      <c r="S655" s="20" t="n">
        <v>0</v>
      </c>
    </row>
    <row r="656" customFormat="false" ht="15.75" hidden="false" customHeight="false" outlineLevel="0" collapsed="false">
      <c r="A656" s="39" t="n">
        <v>0</v>
      </c>
      <c r="B656" s="44" t="str">
        <v/>
      </c>
      <c r="C656" s="39" t="n">
        <v>0</v>
      </c>
      <c r="D656" s="39" t="n">
        <v>0</v>
      </c>
      <c r="E656" s="39" t="str">
        <v/>
      </c>
      <c r="F656" s="45" t="n">
        <v>0</v>
      </c>
      <c r="G656" s="40" t="n">
        <v>0</v>
      </c>
      <c r="H656" s="39" t="n">
        <v>0</v>
      </c>
      <c r="I656" s="49" t="b">
        <f aca="false">IF(ISBLANK(H656),"", IF($H$2:$H2155 = "Gohar Rehan","Overnight",IF($H$2:$H2155 = "Taufeeq Akhtar ","Overnight",IF($H$2:$H2155 = "Zeeshan Ali Malik","Audit",IF($H$2:$H2155 = "Ali Raza ","Receiving",IF($H$2:$H2155 = "Ali Ahmad","Full-In"))))))</f>
        <v>0</v>
      </c>
      <c r="J656" s="29"/>
      <c r="K656" s="40"/>
      <c r="L656" s="40"/>
      <c r="M656" s="41"/>
      <c r="N656" s="39" t="s">
        <v>2335</v>
      </c>
      <c r="O656" s="46" t="b">
        <f aca="false">FALSE()</f>
        <v>0</v>
      </c>
      <c r="P656" s="20" t="n">
        <v>0</v>
      </c>
      <c r="Q656" s="45" t="n">
        <v>0</v>
      </c>
      <c r="R656" s="43" t="n">
        <v>0</v>
      </c>
      <c r="S656" s="20" t="n">
        <v>0</v>
      </c>
    </row>
    <row r="657" customFormat="false" ht="15.75" hidden="false" customHeight="false" outlineLevel="0" collapsed="false">
      <c r="A657" s="39" t="n">
        <v>0</v>
      </c>
      <c r="B657" s="44" t="str">
        <v/>
      </c>
      <c r="C657" s="39" t="n">
        <v>0</v>
      </c>
      <c r="D657" s="39" t="n">
        <v>0</v>
      </c>
      <c r="E657" s="39" t="str">
        <v/>
      </c>
      <c r="F657" s="45" t="n">
        <v>0</v>
      </c>
      <c r="G657" s="40" t="n">
        <v>0</v>
      </c>
      <c r="H657" s="39" t="n">
        <v>0</v>
      </c>
      <c r="I657" s="49" t="b">
        <f aca="false">IF(ISBLANK(H657),"", IF($H$2:$H2156 = "Gohar Rehan","Overnight",IF($H$2:$H2156 = "Taufeeq Akhtar ","Overnight",IF($H$2:$H2156 = "Zeeshan Ali Malik","Audit",IF($H$2:$H2156 = "Ali Raza ","Receiving",IF($H$2:$H2156 = "Ali Ahmad","Full-In"))))))</f>
        <v>0</v>
      </c>
      <c r="J657" s="29"/>
      <c r="K657" s="40"/>
      <c r="L657" s="40"/>
      <c r="M657" s="41"/>
      <c r="N657" s="39" t="s">
        <v>2335</v>
      </c>
      <c r="O657" s="46" t="b">
        <f aca="false">FALSE()</f>
        <v>0</v>
      </c>
      <c r="P657" s="20" t="n">
        <v>0</v>
      </c>
      <c r="Q657" s="45" t="n">
        <v>0</v>
      </c>
      <c r="R657" s="43" t="n">
        <v>0</v>
      </c>
      <c r="S657" s="20" t="n">
        <v>0</v>
      </c>
    </row>
    <row r="658" customFormat="false" ht="15.75" hidden="false" customHeight="false" outlineLevel="0" collapsed="false">
      <c r="A658" s="39" t="n">
        <v>0</v>
      </c>
      <c r="B658" s="44" t="str">
        <v/>
      </c>
      <c r="C658" s="39" t="n">
        <v>0</v>
      </c>
      <c r="D658" s="39" t="n">
        <v>0</v>
      </c>
      <c r="E658" s="39" t="str">
        <v/>
      </c>
      <c r="F658" s="45" t="n">
        <v>0</v>
      </c>
      <c r="G658" s="40" t="n">
        <v>0</v>
      </c>
      <c r="H658" s="39" t="n">
        <v>0</v>
      </c>
      <c r="I658" s="49" t="b">
        <f aca="false">IF(ISBLANK(H658),"", IF($H$2:$H2157 = "Gohar Rehan","Overnight",IF($H$2:$H2157 = "Taufeeq Akhtar ","Overnight",IF($H$2:$H2157 = "Zeeshan Ali Malik","Audit",IF($H$2:$H2157 = "Ali Raza ","Receiving",IF($H$2:$H2157 = "Ali Ahmad","Full-In"))))))</f>
        <v>0</v>
      </c>
      <c r="J658" s="29"/>
      <c r="K658" s="40"/>
      <c r="L658" s="40"/>
      <c r="M658" s="41"/>
      <c r="N658" s="39" t="s">
        <v>2335</v>
      </c>
      <c r="O658" s="46" t="b">
        <f aca="false">FALSE()</f>
        <v>0</v>
      </c>
      <c r="P658" s="20" t="n">
        <v>0</v>
      </c>
      <c r="Q658" s="45" t="n">
        <v>0</v>
      </c>
      <c r="R658" s="43" t="n">
        <v>0</v>
      </c>
      <c r="S658" s="20" t="n">
        <v>0</v>
      </c>
    </row>
    <row r="659" customFormat="false" ht="15.75" hidden="false" customHeight="false" outlineLevel="0" collapsed="false">
      <c r="A659" s="39" t="n">
        <v>0</v>
      </c>
      <c r="B659" s="44" t="str">
        <v/>
      </c>
      <c r="C659" s="39" t="n">
        <v>0</v>
      </c>
      <c r="D659" s="39" t="n">
        <v>0</v>
      </c>
      <c r="E659" s="39" t="str">
        <v/>
      </c>
      <c r="F659" s="45" t="n">
        <v>0</v>
      </c>
      <c r="G659" s="40" t="n">
        <v>0</v>
      </c>
      <c r="H659" s="39" t="n">
        <v>0</v>
      </c>
      <c r="I659" s="49" t="b">
        <f aca="false">IF(ISBLANK(H659),"", IF($H$2:$H2158 = "Gohar Rehan","Overnight",IF($H$2:$H2158 = "Taufeeq Akhtar ","Overnight",IF($H$2:$H2158 = "Zeeshan Ali Malik","Audit",IF($H$2:$H2158 = "Ali Raza ","Receiving",IF($H$2:$H2158 = "Ali Ahmad","Full-In"))))))</f>
        <v>0</v>
      </c>
      <c r="J659" s="29"/>
      <c r="K659" s="40"/>
      <c r="L659" s="40"/>
      <c r="M659" s="41"/>
      <c r="N659" s="39" t="s">
        <v>2335</v>
      </c>
      <c r="O659" s="46" t="b">
        <f aca="false">FALSE()</f>
        <v>0</v>
      </c>
      <c r="P659" s="20" t="n">
        <v>0</v>
      </c>
      <c r="Q659" s="45" t="n">
        <v>0</v>
      </c>
      <c r="R659" s="43" t="n">
        <v>0</v>
      </c>
      <c r="S659" s="20" t="n">
        <v>0</v>
      </c>
    </row>
    <row r="660" customFormat="false" ht="15.75" hidden="false" customHeight="false" outlineLevel="0" collapsed="false">
      <c r="A660" s="39" t="n">
        <v>0</v>
      </c>
      <c r="B660" s="44" t="str">
        <v/>
      </c>
      <c r="C660" s="39" t="n">
        <v>0</v>
      </c>
      <c r="D660" s="39" t="n">
        <v>0</v>
      </c>
      <c r="E660" s="39" t="str">
        <v/>
      </c>
      <c r="F660" s="45" t="n">
        <v>0</v>
      </c>
      <c r="G660" s="40" t="n">
        <v>0</v>
      </c>
      <c r="H660" s="39" t="n">
        <v>0</v>
      </c>
      <c r="I660" s="49" t="b">
        <f aca="false">IF(ISBLANK(H660),"", IF($H$2:$H2159 = "Gohar Rehan","Overnight",IF($H$2:$H2159 = "Taufeeq Akhtar ","Overnight",IF($H$2:$H2159 = "Zeeshan Ali Malik","Audit",IF($H$2:$H2159 = "Ali Raza ","Receiving",IF($H$2:$H2159 = "Ali Ahmad","Full-In"))))))</f>
        <v>0</v>
      </c>
      <c r="J660" s="29"/>
      <c r="K660" s="40"/>
      <c r="L660" s="40"/>
      <c r="M660" s="41"/>
      <c r="N660" s="39" t="s">
        <v>2335</v>
      </c>
      <c r="O660" s="46" t="b">
        <f aca="false">FALSE()</f>
        <v>0</v>
      </c>
      <c r="P660" s="20" t="n">
        <v>0</v>
      </c>
      <c r="Q660" s="45" t="n">
        <v>0</v>
      </c>
      <c r="R660" s="43" t="n">
        <v>0</v>
      </c>
      <c r="S660" s="20" t="n">
        <v>0</v>
      </c>
    </row>
    <row r="661" customFormat="false" ht="15.75" hidden="false" customHeight="false" outlineLevel="0" collapsed="false">
      <c r="A661" s="39" t="n">
        <v>0</v>
      </c>
      <c r="B661" s="44" t="str">
        <v/>
      </c>
      <c r="C661" s="39" t="n">
        <v>0</v>
      </c>
      <c r="D661" s="39" t="n">
        <v>0</v>
      </c>
      <c r="E661" s="39" t="str">
        <v/>
      </c>
      <c r="F661" s="45" t="n">
        <v>0</v>
      </c>
      <c r="G661" s="40" t="n">
        <v>0</v>
      </c>
      <c r="H661" s="39" t="n">
        <v>0</v>
      </c>
      <c r="I661" s="49" t="b">
        <f aca="false">IF(ISBLANK(H661),"", IF($H$2:$H2160 = "Gohar Rehan","Overnight",IF($H$2:$H2160 = "Taufeeq Akhtar ","Overnight",IF($H$2:$H2160 = "Zeeshan Ali Malik","Audit",IF($H$2:$H2160 = "Ali Raza ","Receiving",IF($H$2:$H2160 = "Ali Ahmad","Full-In"))))))</f>
        <v>0</v>
      </c>
      <c r="J661" s="29"/>
      <c r="K661" s="40"/>
      <c r="L661" s="40"/>
      <c r="M661" s="41"/>
      <c r="N661" s="39" t="s">
        <v>2335</v>
      </c>
      <c r="O661" s="46" t="b">
        <f aca="false">FALSE()</f>
        <v>0</v>
      </c>
      <c r="P661" s="20" t="n">
        <v>0</v>
      </c>
      <c r="Q661" s="45" t="n">
        <v>0</v>
      </c>
      <c r="R661" s="43" t="n">
        <v>0</v>
      </c>
      <c r="S661" s="20" t="n">
        <v>0</v>
      </c>
    </row>
    <row r="662" customFormat="false" ht="15.75" hidden="false" customHeight="false" outlineLevel="0" collapsed="false">
      <c r="A662" s="39" t="n">
        <v>0</v>
      </c>
      <c r="B662" s="44" t="str">
        <v/>
      </c>
      <c r="C662" s="39" t="n">
        <v>0</v>
      </c>
      <c r="D662" s="39" t="n">
        <v>0</v>
      </c>
      <c r="E662" s="39" t="str">
        <v/>
      </c>
      <c r="F662" s="45" t="n">
        <v>0</v>
      </c>
      <c r="G662" s="40" t="n">
        <v>0</v>
      </c>
      <c r="H662" s="39" t="n">
        <v>0</v>
      </c>
      <c r="I662" s="49" t="b">
        <f aca="false">IF(ISBLANK(H662),"", IF($H$2:$H2161 = "Gohar Rehan","Overnight",IF($H$2:$H2161 = "Taufeeq Akhtar ","Overnight",IF($H$2:$H2161 = "Zeeshan Ali Malik","Audit",IF($H$2:$H2161 = "Ali Raza ","Receiving",IF($H$2:$H2161 = "Ali Ahmad","Full-In"))))))</f>
        <v>0</v>
      </c>
      <c r="J662" s="29"/>
      <c r="K662" s="40"/>
      <c r="L662" s="40"/>
      <c r="M662" s="41"/>
      <c r="N662" s="39" t="s">
        <v>2335</v>
      </c>
      <c r="O662" s="46" t="b">
        <f aca="false">FALSE()</f>
        <v>0</v>
      </c>
      <c r="P662" s="20" t="n">
        <v>0</v>
      </c>
      <c r="Q662" s="45" t="n">
        <v>0</v>
      </c>
      <c r="R662" s="43" t="n">
        <v>0</v>
      </c>
      <c r="S662" s="20" t="n">
        <v>0</v>
      </c>
    </row>
    <row r="663" customFormat="false" ht="15.75" hidden="false" customHeight="false" outlineLevel="0" collapsed="false">
      <c r="A663" s="39" t="n">
        <v>0</v>
      </c>
      <c r="B663" s="44" t="str">
        <v/>
      </c>
      <c r="C663" s="39" t="n">
        <v>0</v>
      </c>
      <c r="D663" s="39" t="n">
        <v>0</v>
      </c>
      <c r="E663" s="39" t="str">
        <v/>
      </c>
      <c r="F663" s="45" t="n">
        <v>0</v>
      </c>
      <c r="G663" s="40" t="n">
        <v>0</v>
      </c>
      <c r="H663" s="39" t="n">
        <v>0</v>
      </c>
      <c r="I663" s="49" t="b">
        <f aca="false">IF(ISBLANK(H663),"", IF($H$2:$H2162 = "Gohar Rehan","Overnight",IF($H$2:$H2162 = "Taufeeq Akhtar ","Overnight",IF($H$2:$H2162 = "Zeeshan Ali Malik","Audit",IF($H$2:$H2162 = "Ali Raza ","Receiving",IF($H$2:$H2162 = "Ali Ahmad","Full-In"))))))</f>
        <v>0</v>
      </c>
      <c r="J663" s="29"/>
      <c r="K663" s="40"/>
      <c r="L663" s="40"/>
      <c r="M663" s="41"/>
      <c r="N663" s="39" t="s">
        <v>2335</v>
      </c>
      <c r="O663" s="46" t="b">
        <f aca="false">FALSE()</f>
        <v>0</v>
      </c>
      <c r="P663" s="20" t="n">
        <v>0</v>
      </c>
      <c r="Q663" s="45" t="n">
        <v>0</v>
      </c>
      <c r="R663" s="43" t="n">
        <v>0</v>
      </c>
      <c r="S663" s="20" t="n">
        <v>0</v>
      </c>
    </row>
    <row r="664" customFormat="false" ht="15.75" hidden="false" customHeight="false" outlineLevel="0" collapsed="false">
      <c r="A664" s="39" t="n">
        <v>0</v>
      </c>
      <c r="B664" s="44" t="str">
        <v/>
      </c>
      <c r="C664" s="39" t="n">
        <v>0</v>
      </c>
      <c r="D664" s="39" t="n">
        <v>0</v>
      </c>
      <c r="E664" s="39" t="str">
        <v/>
      </c>
      <c r="F664" s="45" t="n">
        <v>0</v>
      </c>
      <c r="G664" s="40" t="n">
        <v>0</v>
      </c>
      <c r="H664" s="39" t="n">
        <v>0</v>
      </c>
      <c r="I664" s="49" t="b">
        <f aca="false">IF(ISBLANK(H664),"", IF($H$2:$H2163 = "Gohar Rehan","Overnight",IF($H$2:$H2163 = "Taufeeq Akhtar ","Overnight",IF($H$2:$H2163 = "Zeeshan Ali Malik","Audit",IF($H$2:$H2163 = "Ali Raza ","Receiving",IF($H$2:$H2163 = "Ali Ahmad","Full-In"))))))</f>
        <v>0</v>
      </c>
      <c r="J664" s="29"/>
      <c r="K664" s="40"/>
      <c r="L664" s="40"/>
      <c r="M664" s="41"/>
      <c r="N664" s="39" t="s">
        <v>2335</v>
      </c>
      <c r="O664" s="46" t="b">
        <f aca="false">FALSE()</f>
        <v>0</v>
      </c>
      <c r="P664" s="20" t="n">
        <v>0</v>
      </c>
      <c r="Q664" s="45" t="n">
        <v>0</v>
      </c>
      <c r="R664" s="43" t="n">
        <v>0</v>
      </c>
      <c r="S664" s="20" t="n">
        <v>0</v>
      </c>
    </row>
    <row r="665" customFormat="false" ht="15.75" hidden="false" customHeight="false" outlineLevel="0" collapsed="false">
      <c r="A665" s="39" t="n">
        <v>0</v>
      </c>
      <c r="B665" s="44" t="str">
        <v/>
      </c>
      <c r="C665" s="39" t="n">
        <v>0</v>
      </c>
      <c r="D665" s="39" t="n">
        <v>0</v>
      </c>
      <c r="E665" s="39" t="str">
        <v/>
      </c>
      <c r="F665" s="45" t="n">
        <v>0</v>
      </c>
      <c r="G665" s="40" t="n">
        <v>0</v>
      </c>
      <c r="H665" s="39" t="n">
        <v>0</v>
      </c>
      <c r="I665" s="49" t="b">
        <f aca="false">IF(ISBLANK(H665),"", IF($H$2:$H2164 = "Gohar Rehan","Overnight",IF($H$2:$H2164 = "Taufeeq Akhtar ","Overnight",IF($H$2:$H2164 = "Zeeshan Ali Malik","Audit",IF($H$2:$H2164 = "Ali Raza ","Receiving",IF($H$2:$H2164 = "Ali Ahmad","Full-In"))))))</f>
        <v>0</v>
      </c>
      <c r="J665" s="29"/>
      <c r="K665" s="40"/>
      <c r="L665" s="40"/>
      <c r="M665" s="41"/>
      <c r="N665" s="39" t="s">
        <v>2335</v>
      </c>
      <c r="O665" s="46" t="b">
        <f aca="false">FALSE()</f>
        <v>0</v>
      </c>
      <c r="P665" s="20" t="n">
        <v>0</v>
      </c>
      <c r="Q665" s="45" t="n">
        <v>0</v>
      </c>
      <c r="R665" s="43" t="n">
        <v>0</v>
      </c>
      <c r="S665" s="20" t="n">
        <v>0</v>
      </c>
    </row>
    <row r="666" customFormat="false" ht="15.75" hidden="false" customHeight="false" outlineLevel="0" collapsed="false">
      <c r="A666" s="39" t="n">
        <v>0</v>
      </c>
      <c r="B666" s="44" t="str">
        <v/>
      </c>
      <c r="C666" s="39" t="n">
        <v>0</v>
      </c>
      <c r="D666" s="39" t="n">
        <v>0</v>
      </c>
      <c r="E666" s="39" t="str">
        <v/>
      </c>
      <c r="F666" s="45" t="n">
        <v>0</v>
      </c>
      <c r="G666" s="40" t="n">
        <v>0</v>
      </c>
      <c r="H666" s="39" t="n">
        <v>0</v>
      </c>
      <c r="I666" s="49" t="b">
        <f aca="false">IF(ISBLANK(H666),"", IF($H$2:$H2165 = "Gohar Rehan","Overnight",IF($H$2:$H2165 = "Taufeeq Akhtar ","Overnight",IF($H$2:$H2165 = "Zeeshan Ali Malik","Audit",IF($H$2:$H2165 = "Ali Raza ","Receiving",IF($H$2:$H2165 = "Ali Ahmad","Full-In"))))))</f>
        <v>0</v>
      </c>
      <c r="J666" s="29"/>
      <c r="K666" s="40"/>
      <c r="L666" s="40"/>
      <c r="M666" s="41"/>
      <c r="N666" s="39" t="s">
        <v>2335</v>
      </c>
      <c r="O666" s="46" t="b">
        <f aca="false">FALSE()</f>
        <v>0</v>
      </c>
      <c r="P666" s="20" t="n">
        <v>0</v>
      </c>
      <c r="Q666" s="45" t="n">
        <v>0</v>
      </c>
      <c r="R666" s="43" t="n">
        <v>0</v>
      </c>
      <c r="S666" s="20" t="n">
        <v>0</v>
      </c>
    </row>
    <row r="667" customFormat="false" ht="15.75" hidden="false" customHeight="false" outlineLevel="0" collapsed="false">
      <c r="A667" s="39" t="n">
        <v>0</v>
      </c>
      <c r="B667" s="44" t="str">
        <v/>
      </c>
      <c r="C667" s="39" t="n">
        <v>0</v>
      </c>
      <c r="D667" s="39" t="n">
        <v>0</v>
      </c>
      <c r="E667" s="39" t="str">
        <v/>
      </c>
      <c r="F667" s="45" t="n">
        <v>0</v>
      </c>
      <c r="G667" s="40" t="n">
        <v>0</v>
      </c>
      <c r="H667" s="39" t="n">
        <v>0</v>
      </c>
      <c r="I667" s="49" t="b">
        <f aca="false">IF(ISBLANK(H667),"", IF($H$2:$H2166 = "Gohar Rehan","Overnight",IF($H$2:$H2166 = "Taufeeq Akhtar ","Overnight",IF($H$2:$H2166 = "Zeeshan Ali Malik","Audit",IF($H$2:$H2166 = "Ali Raza ","Receiving",IF($H$2:$H2166 = "Ali Ahmad","Full-In"))))))</f>
        <v>0</v>
      </c>
      <c r="J667" s="29"/>
      <c r="K667" s="40"/>
      <c r="L667" s="40"/>
      <c r="M667" s="41"/>
      <c r="N667" s="39" t="s">
        <v>2335</v>
      </c>
      <c r="O667" s="46" t="b">
        <f aca="false">FALSE()</f>
        <v>0</v>
      </c>
      <c r="P667" s="20" t="n">
        <v>0</v>
      </c>
      <c r="Q667" s="45" t="n">
        <v>0</v>
      </c>
      <c r="R667" s="43" t="n">
        <v>0</v>
      </c>
      <c r="S667" s="20" t="n">
        <v>0</v>
      </c>
    </row>
    <row r="668" customFormat="false" ht="15.75" hidden="false" customHeight="false" outlineLevel="0" collapsed="false">
      <c r="A668" s="39" t="n">
        <v>0</v>
      </c>
      <c r="B668" s="44" t="str">
        <v/>
      </c>
      <c r="C668" s="39" t="n">
        <v>0</v>
      </c>
      <c r="D668" s="39" t="n">
        <v>0</v>
      </c>
      <c r="E668" s="39" t="str">
        <v/>
      </c>
      <c r="F668" s="45" t="n">
        <v>0</v>
      </c>
      <c r="G668" s="40" t="n">
        <v>0</v>
      </c>
      <c r="H668" s="39" t="n">
        <v>0</v>
      </c>
      <c r="I668" s="49" t="b">
        <f aca="false">IF(ISBLANK(H668),"", IF($H$2:$H2167 = "Gohar Rehan","Overnight",IF($H$2:$H2167 = "Taufeeq Akhtar ","Overnight",IF($H$2:$H2167 = "Zeeshan Ali Malik","Audit",IF($H$2:$H2167 = "Ali Raza ","Receiving",IF($H$2:$H2167 = "Ali Ahmad","Full-In"))))))</f>
        <v>0</v>
      </c>
      <c r="J668" s="29"/>
      <c r="K668" s="40"/>
      <c r="L668" s="40"/>
      <c r="M668" s="41"/>
      <c r="N668" s="39" t="s">
        <v>2335</v>
      </c>
      <c r="O668" s="46" t="b">
        <f aca="false">FALSE()</f>
        <v>0</v>
      </c>
      <c r="P668" s="20" t="n">
        <v>0</v>
      </c>
      <c r="Q668" s="45" t="n">
        <v>0</v>
      </c>
      <c r="R668" s="43" t="n">
        <v>0</v>
      </c>
      <c r="S668" s="20" t="n">
        <v>0</v>
      </c>
    </row>
    <row r="669" customFormat="false" ht="15.75" hidden="false" customHeight="false" outlineLevel="0" collapsed="false">
      <c r="A669" s="39" t="n">
        <v>0</v>
      </c>
      <c r="B669" s="44" t="str">
        <v/>
      </c>
      <c r="C669" s="39" t="n">
        <v>0</v>
      </c>
      <c r="D669" s="39" t="n">
        <v>0</v>
      </c>
      <c r="E669" s="39" t="str">
        <v/>
      </c>
      <c r="F669" s="45" t="n">
        <v>0</v>
      </c>
      <c r="G669" s="40" t="n">
        <v>0</v>
      </c>
      <c r="H669" s="39" t="n">
        <v>0</v>
      </c>
      <c r="I669" s="49" t="b">
        <f aca="false">IF(ISBLANK(H669),"", IF($H$2:$H2168 = "Gohar Rehan","Overnight",IF($H$2:$H2168 = "Taufeeq Akhtar ","Overnight",IF($H$2:$H2168 = "Zeeshan Ali Malik","Audit",IF($H$2:$H2168 = "Ali Raza ","Receiving",IF($H$2:$H2168 = "Ali Ahmad","Full-In"))))))</f>
        <v>0</v>
      </c>
      <c r="J669" s="29"/>
      <c r="K669" s="40"/>
      <c r="L669" s="40"/>
      <c r="M669" s="41"/>
      <c r="N669" s="39" t="s">
        <v>2335</v>
      </c>
      <c r="O669" s="46" t="b">
        <f aca="false">FALSE()</f>
        <v>0</v>
      </c>
      <c r="P669" s="20" t="n">
        <v>0</v>
      </c>
      <c r="Q669" s="45" t="n">
        <v>0</v>
      </c>
      <c r="R669" s="43" t="n">
        <v>0</v>
      </c>
      <c r="S669" s="20" t="n">
        <v>0</v>
      </c>
    </row>
    <row r="670" customFormat="false" ht="15.75" hidden="false" customHeight="false" outlineLevel="0" collapsed="false">
      <c r="A670" s="39" t="n">
        <v>0</v>
      </c>
      <c r="B670" s="44" t="str">
        <v/>
      </c>
      <c r="C670" s="39" t="n">
        <v>0</v>
      </c>
      <c r="D670" s="39" t="n">
        <v>0</v>
      </c>
      <c r="E670" s="39" t="str">
        <v/>
      </c>
      <c r="F670" s="45" t="n">
        <v>0</v>
      </c>
      <c r="G670" s="40" t="n">
        <v>0</v>
      </c>
      <c r="H670" s="39" t="n">
        <v>0</v>
      </c>
      <c r="I670" s="49" t="b">
        <f aca="false">IF(ISBLANK(H670),"", IF($H$2:$H2169 = "Gohar Rehan","Overnight",IF($H$2:$H2169 = "Taufeeq Akhtar ","Overnight",IF($H$2:$H2169 = "Zeeshan Ali Malik","Audit",IF($H$2:$H2169 = "Ali Raza ","Receiving",IF($H$2:$H2169 = "Ali Ahmad","Full-In"))))))</f>
        <v>0</v>
      </c>
      <c r="J670" s="29"/>
      <c r="K670" s="40"/>
      <c r="L670" s="40"/>
      <c r="M670" s="41"/>
      <c r="N670" s="39" t="s">
        <v>2335</v>
      </c>
      <c r="O670" s="46" t="b">
        <f aca="false">FALSE()</f>
        <v>0</v>
      </c>
      <c r="P670" s="20" t="n">
        <v>0</v>
      </c>
      <c r="Q670" s="45" t="n">
        <v>0</v>
      </c>
      <c r="R670" s="43" t="n">
        <v>0</v>
      </c>
      <c r="S670" s="20" t="n">
        <v>0</v>
      </c>
    </row>
    <row r="671" customFormat="false" ht="15.75" hidden="false" customHeight="false" outlineLevel="0" collapsed="false">
      <c r="A671" s="39" t="n">
        <v>0</v>
      </c>
      <c r="B671" s="44" t="str">
        <v/>
      </c>
      <c r="C671" s="39" t="n">
        <v>0</v>
      </c>
      <c r="D671" s="39" t="n">
        <v>0</v>
      </c>
      <c r="E671" s="39" t="str">
        <v/>
      </c>
      <c r="F671" s="45" t="n">
        <v>0</v>
      </c>
      <c r="G671" s="40" t="n">
        <v>0</v>
      </c>
      <c r="H671" s="39" t="n">
        <v>0</v>
      </c>
      <c r="I671" s="49" t="b">
        <f aca="false">IF(ISBLANK(H671),"", IF($H$2:$H2170 = "Gohar Rehan","Overnight",IF($H$2:$H2170 = "Taufeeq Akhtar ","Overnight",IF($H$2:$H2170 = "Zeeshan Ali Malik","Audit",IF($H$2:$H2170 = "Ali Raza ","Receiving",IF($H$2:$H2170 = "Ali Ahmad","Full-In"))))))</f>
        <v>0</v>
      </c>
      <c r="J671" s="29"/>
      <c r="K671" s="40"/>
      <c r="L671" s="40"/>
      <c r="M671" s="41"/>
      <c r="N671" s="39" t="s">
        <v>2335</v>
      </c>
      <c r="O671" s="46" t="b">
        <f aca="false">FALSE()</f>
        <v>0</v>
      </c>
      <c r="P671" s="20" t="n">
        <v>0</v>
      </c>
      <c r="Q671" s="45" t="n">
        <v>0</v>
      </c>
      <c r="R671" s="43" t="n">
        <v>0</v>
      </c>
      <c r="S671" s="20" t="n">
        <v>0</v>
      </c>
    </row>
    <row r="672" customFormat="false" ht="15.75" hidden="false" customHeight="false" outlineLevel="0" collapsed="false">
      <c r="A672" s="39" t="n">
        <v>0</v>
      </c>
      <c r="B672" s="44" t="str">
        <v/>
      </c>
      <c r="C672" s="39" t="n">
        <v>0</v>
      </c>
      <c r="D672" s="39" t="n">
        <v>0</v>
      </c>
      <c r="E672" s="39" t="str">
        <v/>
      </c>
      <c r="F672" s="45" t="n">
        <v>0</v>
      </c>
      <c r="G672" s="40" t="n">
        <v>0</v>
      </c>
      <c r="H672" s="39" t="n">
        <v>0</v>
      </c>
      <c r="I672" s="49" t="b">
        <f aca="false">IF(ISBLANK(H672),"", IF($H$2:$H2171 = "Gohar Rehan","Overnight",IF($H$2:$H2171 = "Taufeeq Akhtar ","Overnight",IF($H$2:$H2171 = "Zeeshan Ali Malik","Audit",IF($H$2:$H2171 = "Ali Raza ","Receiving",IF($H$2:$H2171 = "Ali Ahmad","Full-In"))))))</f>
        <v>0</v>
      </c>
      <c r="J672" s="29"/>
      <c r="K672" s="40"/>
      <c r="L672" s="40"/>
      <c r="M672" s="41"/>
      <c r="N672" s="39" t="s">
        <v>2335</v>
      </c>
      <c r="O672" s="46" t="b">
        <f aca="false">FALSE()</f>
        <v>0</v>
      </c>
      <c r="P672" s="20" t="n">
        <v>0</v>
      </c>
      <c r="Q672" s="45" t="n">
        <v>0</v>
      </c>
      <c r="R672" s="43" t="n">
        <v>0</v>
      </c>
      <c r="S672" s="20" t="n">
        <v>0</v>
      </c>
    </row>
    <row r="673" customFormat="false" ht="15.75" hidden="false" customHeight="false" outlineLevel="0" collapsed="false">
      <c r="A673" s="39" t="n">
        <v>0</v>
      </c>
      <c r="B673" s="44" t="str">
        <v/>
      </c>
      <c r="C673" s="39" t="n">
        <v>0</v>
      </c>
      <c r="D673" s="39" t="n">
        <v>0</v>
      </c>
      <c r="E673" s="39" t="str">
        <v/>
      </c>
      <c r="F673" s="45" t="n">
        <v>0</v>
      </c>
      <c r="G673" s="40" t="n">
        <v>0</v>
      </c>
      <c r="H673" s="39" t="n">
        <v>0</v>
      </c>
      <c r="I673" s="49" t="b">
        <f aca="false">IF(ISBLANK(H673),"", IF($H$2:$H2172 = "Gohar Rehan","Overnight",IF($H$2:$H2172 = "Taufeeq Akhtar ","Overnight",IF($H$2:$H2172 = "Zeeshan Ali Malik","Audit",IF($H$2:$H2172 = "Ali Raza ","Receiving",IF($H$2:$H2172 = "Ali Ahmad","Full-In"))))))</f>
        <v>0</v>
      </c>
      <c r="J673" s="29"/>
      <c r="K673" s="40"/>
      <c r="L673" s="40"/>
      <c r="M673" s="41"/>
      <c r="N673" s="39" t="s">
        <v>2335</v>
      </c>
      <c r="O673" s="46" t="b">
        <f aca="false">FALSE()</f>
        <v>0</v>
      </c>
      <c r="P673" s="20" t="n">
        <v>0</v>
      </c>
      <c r="Q673" s="45" t="n">
        <v>0</v>
      </c>
      <c r="R673" s="43" t="n">
        <v>0</v>
      </c>
      <c r="S673" s="20" t="n">
        <v>0</v>
      </c>
    </row>
    <row r="674" customFormat="false" ht="15.75" hidden="false" customHeight="false" outlineLevel="0" collapsed="false">
      <c r="A674" s="39" t="n">
        <v>0</v>
      </c>
      <c r="B674" s="44" t="str">
        <v/>
      </c>
      <c r="C674" s="39" t="n">
        <v>0</v>
      </c>
      <c r="D674" s="39" t="n">
        <v>0</v>
      </c>
      <c r="E674" s="39" t="str">
        <v/>
      </c>
      <c r="F674" s="45" t="n">
        <v>0</v>
      </c>
      <c r="G674" s="40" t="n">
        <v>0</v>
      </c>
      <c r="H674" s="39" t="n">
        <v>0</v>
      </c>
      <c r="I674" s="49" t="b">
        <f aca="false">IF(ISBLANK(H674),"", IF($H$2:$H2173 = "Gohar Rehan","Overnight",IF($H$2:$H2173 = "Taufeeq Akhtar ","Overnight",IF($H$2:$H2173 = "Zeeshan Ali Malik","Audit",IF($H$2:$H2173 = "Ali Raza ","Receiving",IF($H$2:$H2173 = "Ali Ahmad","Full-In"))))))</f>
        <v>0</v>
      </c>
      <c r="J674" s="29"/>
      <c r="K674" s="40"/>
      <c r="L674" s="40"/>
      <c r="M674" s="41"/>
      <c r="N674" s="39" t="s">
        <v>2335</v>
      </c>
      <c r="O674" s="46" t="b">
        <f aca="false">FALSE()</f>
        <v>0</v>
      </c>
      <c r="P674" s="20" t="n">
        <v>0</v>
      </c>
      <c r="Q674" s="45" t="n">
        <v>0</v>
      </c>
      <c r="R674" s="43" t="n">
        <v>0</v>
      </c>
      <c r="S674" s="20" t="n">
        <v>0</v>
      </c>
    </row>
    <row r="675" customFormat="false" ht="15.75" hidden="false" customHeight="false" outlineLevel="0" collapsed="false">
      <c r="A675" s="39" t="n">
        <v>0</v>
      </c>
      <c r="B675" s="44" t="str">
        <v/>
      </c>
      <c r="C675" s="39" t="n">
        <v>0</v>
      </c>
      <c r="D675" s="39" t="n">
        <v>0</v>
      </c>
      <c r="E675" s="39" t="str">
        <v/>
      </c>
      <c r="F675" s="45" t="n">
        <v>0</v>
      </c>
      <c r="G675" s="40" t="n">
        <v>0</v>
      </c>
      <c r="H675" s="39" t="n">
        <v>0</v>
      </c>
      <c r="I675" s="49" t="b">
        <f aca="false">IF(ISBLANK(H675),"", IF($H$2:$H2174 = "Gohar Rehan","Overnight",IF($H$2:$H2174 = "Taufeeq Akhtar ","Overnight",IF($H$2:$H2174 = "Zeeshan Ali Malik","Audit",IF($H$2:$H2174 = "Ali Raza ","Receiving",IF($H$2:$H2174 = "Ali Ahmad","Full-In"))))))</f>
        <v>0</v>
      </c>
      <c r="J675" s="29"/>
      <c r="K675" s="40"/>
      <c r="L675" s="40"/>
      <c r="M675" s="41"/>
      <c r="N675" s="39" t="s">
        <v>2335</v>
      </c>
      <c r="O675" s="46" t="b">
        <f aca="false">FALSE()</f>
        <v>0</v>
      </c>
      <c r="P675" s="20" t="n">
        <v>0</v>
      </c>
      <c r="Q675" s="45" t="n">
        <v>0</v>
      </c>
      <c r="R675" s="43" t="n">
        <v>0</v>
      </c>
      <c r="S675" s="20" t="n">
        <v>0</v>
      </c>
    </row>
    <row r="676" customFormat="false" ht="15.75" hidden="false" customHeight="false" outlineLevel="0" collapsed="false">
      <c r="A676" s="39" t="n">
        <v>0</v>
      </c>
      <c r="B676" s="44" t="str">
        <v/>
      </c>
      <c r="C676" s="39" t="n">
        <v>0</v>
      </c>
      <c r="D676" s="39" t="n">
        <v>0</v>
      </c>
      <c r="E676" s="39" t="str">
        <v/>
      </c>
      <c r="F676" s="45" t="n">
        <v>0</v>
      </c>
      <c r="G676" s="40" t="n">
        <v>0</v>
      </c>
      <c r="H676" s="39" t="n">
        <v>0</v>
      </c>
      <c r="I676" s="49" t="b">
        <f aca="false">IF(ISBLANK(H676),"", IF($H$2:$H2175 = "Gohar Rehan","Overnight",IF($H$2:$H2175 = "Taufeeq Akhtar ","Overnight",IF($H$2:$H2175 = "Zeeshan Ali Malik","Audit",IF($H$2:$H2175 = "Ali Raza ","Receiving",IF($H$2:$H2175 = "Ali Ahmad","Full-In"))))))</f>
        <v>0</v>
      </c>
      <c r="J676" s="29"/>
      <c r="K676" s="40"/>
      <c r="L676" s="40"/>
      <c r="M676" s="41"/>
      <c r="N676" s="39" t="s">
        <v>2335</v>
      </c>
      <c r="O676" s="46" t="b">
        <f aca="false">FALSE()</f>
        <v>0</v>
      </c>
      <c r="P676" s="20" t="n">
        <v>0</v>
      </c>
      <c r="Q676" s="45" t="n">
        <v>0</v>
      </c>
      <c r="R676" s="43" t="n">
        <v>0</v>
      </c>
      <c r="S676" s="20" t="n">
        <v>0</v>
      </c>
    </row>
    <row r="677" customFormat="false" ht="15.75" hidden="false" customHeight="false" outlineLevel="0" collapsed="false">
      <c r="A677" s="39" t="n">
        <v>0</v>
      </c>
      <c r="B677" s="44" t="str">
        <v/>
      </c>
      <c r="C677" s="39" t="n">
        <v>0</v>
      </c>
      <c r="D677" s="39" t="n">
        <v>0</v>
      </c>
      <c r="E677" s="39" t="str">
        <v/>
      </c>
      <c r="F677" s="45" t="n">
        <v>0</v>
      </c>
      <c r="G677" s="40" t="n">
        <v>0</v>
      </c>
      <c r="H677" s="39" t="n">
        <v>0</v>
      </c>
      <c r="I677" s="49" t="b">
        <f aca="false">IF(ISBLANK(H677),"", IF($H$2:$H2176 = "Gohar Rehan","Overnight",IF($H$2:$H2176 = "Taufeeq Akhtar ","Overnight",IF($H$2:$H2176 = "Zeeshan Ali Malik","Audit",IF($H$2:$H2176 = "Ali Raza ","Receiving",IF($H$2:$H2176 = "Ali Ahmad","Full-In"))))))</f>
        <v>0</v>
      </c>
      <c r="J677" s="29"/>
      <c r="K677" s="40"/>
      <c r="L677" s="40"/>
      <c r="M677" s="41"/>
      <c r="N677" s="39" t="s">
        <v>2335</v>
      </c>
      <c r="O677" s="46" t="b">
        <f aca="false">FALSE()</f>
        <v>0</v>
      </c>
      <c r="P677" s="20" t="n">
        <v>0</v>
      </c>
      <c r="Q677" s="45" t="n">
        <v>0</v>
      </c>
      <c r="R677" s="43" t="n">
        <v>0</v>
      </c>
      <c r="S677" s="20" t="n">
        <v>0</v>
      </c>
    </row>
    <row r="678" customFormat="false" ht="15.75" hidden="false" customHeight="false" outlineLevel="0" collapsed="false">
      <c r="A678" s="39" t="n">
        <v>0</v>
      </c>
      <c r="B678" s="44" t="str">
        <v/>
      </c>
      <c r="C678" s="39" t="n">
        <v>0</v>
      </c>
      <c r="D678" s="39" t="n">
        <v>0</v>
      </c>
      <c r="E678" s="39" t="str">
        <v/>
      </c>
      <c r="F678" s="45" t="n">
        <v>0</v>
      </c>
      <c r="G678" s="40" t="n">
        <v>0</v>
      </c>
      <c r="H678" s="39" t="n">
        <v>0</v>
      </c>
      <c r="I678" s="49" t="b">
        <f aca="false">IF(ISBLANK(H678),"", IF($H$2:$H2177 = "Gohar Rehan","Overnight",IF($H$2:$H2177 = "Taufeeq Akhtar ","Overnight",IF($H$2:$H2177 = "Zeeshan Ali Malik","Audit",IF($H$2:$H2177 = "Ali Raza ","Receiving",IF($H$2:$H2177 = "Ali Ahmad","Full-In"))))))</f>
        <v>0</v>
      </c>
      <c r="J678" s="29"/>
      <c r="K678" s="40"/>
      <c r="L678" s="40"/>
      <c r="M678" s="41"/>
      <c r="N678" s="39" t="s">
        <v>2335</v>
      </c>
      <c r="O678" s="46" t="b">
        <f aca="false">FALSE()</f>
        <v>0</v>
      </c>
      <c r="P678" s="20" t="n">
        <v>0</v>
      </c>
      <c r="Q678" s="45" t="n">
        <v>0</v>
      </c>
      <c r="R678" s="43" t="n">
        <v>0</v>
      </c>
      <c r="S678" s="20" t="n">
        <v>0</v>
      </c>
    </row>
    <row r="679" customFormat="false" ht="15.75" hidden="false" customHeight="false" outlineLevel="0" collapsed="false">
      <c r="A679" s="39" t="n">
        <v>0</v>
      </c>
      <c r="B679" s="44" t="str">
        <v/>
      </c>
      <c r="C679" s="39" t="n">
        <v>0</v>
      </c>
      <c r="D679" s="39" t="n">
        <v>0</v>
      </c>
      <c r="E679" s="39" t="str">
        <v/>
      </c>
      <c r="F679" s="45" t="n">
        <v>0</v>
      </c>
      <c r="G679" s="40" t="n">
        <v>0</v>
      </c>
      <c r="H679" s="39" t="n">
        <v>0</v>
      </c>
      <c r="I679" s="49" t="b">
        <f aca="false">IF(ISBLANK(H679),"", IF($H$2:$H2178 = "Gohar Rehan","Overnight",IF($H$2:$H2178 = "Taufeeq Akhtar ","Overnight",IF($H$2:$H2178 = "Zeeshan Ali Malik","Audit",IF($H$2:$H2178 = "Ali Raza ","Receiving",IF($H$2:$H2178 = "Ali Ahmad","Full-In"))))))</f>
        <v>0</v>
      </c>
      <c r="J679" s="29"/>
      <c r="K679" s="40"/>
      <c r="L679" s="40"/>
      <c r="M679" s="41"/>
      <c r="N679" s="39" t="s">
        <v>2335</v>
      </c>
      <c r="O679" s="46" t="b">
        <f aca="false">FALSE()</f>
        <v>0</v>
      </c>
      <c r="P679" s="20" t="n">
        <v>0</v>
      </c>
      <c r="Q679" s="45" t="n">
        <v>0</v>
      </c>
      <c r="R679" s="43" t="n">
        <v>0</v>
      </c>
      <c r="S679" s="20" t="n">
        <v>0</v>
      </c>
    </row>
    <row r="680" customFormat="false" ht="15.75" hidden="false" customHeight="false" outlineLevel="0" collapsed="false">
      <c r="A680" s="39" t="n">
        <v>0</v>
      </c>
      <c r="B680" s="44" t="str">
        <v/>
      </c>
      <c r="C680" s="39" t="n">
        <v>0</v>
      </c>
      <c r="D680" s="39" t="n">
        <v>0</v>
      </c>
      <c r="E680" s="39" t="str">
        <v/>
      </c>
      <c r="F680" s="45" t="n">
        <v>0</v>
      </c>
      <c r="G680" s="40" t="n">
        <v>0</v>
      </c>
      <c r="H680" s="39" t="n">
        <v>0</v>
      </c>
      <c r="I680" s="49" t="b">
        <f aca="false">IF(ISBLANK(H680),"", IF($H$2:$H2179 = "Gohar Rehan","Overnight",IF($H$2:$H2179 = "Taufeeq Akhtar ","Overnight",IF($H$2:$H2179 = "Zeeshan Ali Malik","Audit",IF($H$2:$H2179 = "Ali Raza ","Receiving",IF($H$2:$H2179 = "Ali Ahmad","Full-In"))))))</f>
        <v>0</v>
      </c>
      <c r="J680" s="29"/>
      <c r="K680" s="40"/>
      <c r="L680" s="40"/>
      <c r="M680" s="41"/>
      <c r="N680" s="39" t="s">
        <v>2335</v>
      </c>
      <c r="O680" s="46" t="b">
        <f aca="false">FALSE()</f>
        <v>0</v>
      </c>
      <c r="P680" s="20" t="n">
        <v>0</v>
      </c>
      <c r="Q680" s="45" t="n">
        <v>0</v>
      </c>
      <c r="R680" s="43" t="n">
        <v>0</v>
      </c>
      <c r="S680" s="20" t="n">
        <v>0</v>
      </c>
    </row>
    <row r="681" customFormat="false" ht="15.75" hidden="false" customHeight="false" outlineLevel="0" collapsed="false">
      <c r="A681" s="39" t="n">
        <v>0</v>
      </c>
      <c r="B681" s="44" t="str">
        <v/>
      </c>
      <c r="C681" s="39" t="n">
        <v>0</v>
      </c>
      <c r="D681" s="39" t="n">
        <v>0</v>
      </c>
      <c r="E681" s="39" t="str">
        <v/>
      </c>
      <c r="F681" s="45" t="n">
        <v>0</v>
      </c>
      <c r="G681" s="40" t="n">
        <v>0</v>
      </c>
      <c r="H681" s="39" t="n">
        <v>0</v>
      </c>
      <c r="I681" s="49" t="b">
        <f aca="false">IF(ISBLANK(H681),"", IF($H$2:$H2180 = "Gohar Rehan","Overnight",IF($H$2:$H2180 = "Taufeeq Akhtar ","Overnight",IF($H$2:$H2180 = "Zeeshan Ali Malik","Audit",IF($H$2:$H2180 = "Ali Raza ","Receiving",IF($H$2:$H2180 = "Ali Ahmad","Full-In"))))))</f>
        <v>0</v>
      </c>
      <c r="J681" s="29"/>
      <c r="K681" s="40"/>
      <c r="L681" s="40"/>
      <c r="M681" s="41"/>
      <c r="N681" s="39" t="s">
        <v>2335</v>
      </c>
      <c r="O681" s="46" t="b">
        <f aca="false">FALSE()</f>
        <v>0</v>
      </c>
      <c r="P681" s="20" t="n">
        <v>0</v>
      </c>
      <c r="Q681" s="45" t="n">
        <v>0</v>
      </c>
      <c r="R681" s="43" t="n">
        <v>0</v>
      </c>
      <c r="S681" s="20" t="n">
        <v>0</v>
      </c>
    </row>
    <row r="682" customFormat="false" ht="15.75" hidden="false" customHeight="false" outlineLevel="0" collapsed="false">
      <c r="A682" s="39" t="n">
        <v>0</v>
      </c>
      <c r="B682" s="44" t="str">
        <v/>
      </c>
      <c r="C682" s="39" t="n">
        <v>0</v>
      </c>
      <c r="D682" s="39" t="n">
        <v>0</v>
      </c>
      <c r="E682" s="39" t="str">
        <v/>
      </c>
      <c r="F682" s="45" t="n">
        <v>0</v>
      </c>
      <c r="G682" s="40" t="n">
        <v>0</v>
      </c>
      <c r="H682" s="39" t="n">
        <v>0</v>
      </c>
      <c r="I682" s="49" t="b">
        <f aca="false">IF(ISBLANK(H682),"", IF($H$2:$H2181 = "Gohar Rehan","Overnight",IF($H$2:$H2181 = "Taufeeq Akhtar ","Overnight",IF($H$2:$H2181 = "Zeeshan Ali Malik","Audit",IF($H$2:$H2181 = "Ali Raza ","Receiving",IF($H$2:$H2181 = "Ali Ahmad","Full-In"))))))</f>
        <v>0</v>
      </c>
      <c r="J682" s="29"/>
      <c r="K682" s="40"/>
      <c r="L682" s="40"/>
      <c r="M682" s="41"/>
      <c r="N682" s="39" t="s">
        <v>2335</v>
      </c>
      <c r="O682" s="46" t="b">
        <f aca="false">FALSE()</f>
        <v>0</v>
      </c>
      <c r="P682" s="20" t="n">
        <v>0</v>
      </c>
      <c r="Q682" s="45" t="n">
        <v>0</v>
      </c>
      <c r="R682" s="43" t="n">
        <v>0</v>
      </c>
      <c r="S682" s="20" t="n">
        <v>0</v>
      </c>
    </row>
    <row r="683" customFormat="false" ht="15.75" hidden="false" customHeight="false" outlineLevel="0" collapsed="false">
      <c r="A683" s="39" t="n">
        <v>0</v>
      </c>
      <c r="B683" s="44" t="str">
        <v/>
      </c>
      <c r="C683" s="39" t="n">
        <v>0</v>
      </c>
      <c r="D683" s="39" t="n">
        <v>0</v>
      </c>
      <c r="E683" s="39" t="str">
        <v/>
      </c>
      <c r="F683" s="45" t="n">
        <v>0</v>
      </c>
      <c r="G683" s="40" t="n">
        <v>0</v>
      </c>
      <c r="H683" s="39" t="n">
        <v>0</v>
      </c>
      <c r="I683" s="49" t="b">
        <f aca="false">IF(ISBLANK(H683),"", IF($H$2:$H2182 = "Gohar Rehan","Overnight",IF($H$2:$H2182 = "Taufeeq Akhtar ","Overnight",IF($H$2:$H2182 = "Zeeshan Ali Malik","Audit",IF($H$2:$H2182 = "Ali Raza ","Receiving",IF($H$2:$H2182 = "Ali Ahmad","Full-In"))))))</f>
        <v>0</v>
      </c>
      <c r="J683" s="29"/>
      <c r="K683" s="40"/>
      <c r="L683" s="40"/>
      <c r="M683" s="41"/>
      <c r="N683" s="39" t="s">
        <v>2335</v>
      </c>
      <c r="O683" s="46" t="b">
        <f aca="false">FALSE()</f>
        <v>0</v>
      </c>
      <c r="P683" s="20" t="n">
        <v>0</v>
      </c>
      <c r="Q683" s="45" t="n">
        <v>0</v>
      </c>
      <c r="R683" s="43" t="n">
        <v>0</v>
      </c>
      <c r="S683" s="20" t="n">
        <v>0</v>
      </c>
    </row>
    <row r="684" customFormat="false" ht="15.75" hidden="false" customHeight="false" outlineLevel="0" collapsed="false">
      <c r="A684" s="39" t="n">
        <v>0</v>
      </c>
      <c r="B684" s="44" t="str">
        <v/>
      </c>
      <c r="C684" s="39" t="n">
        <v>0</v>
      </c>
      <c r="D684" s="39" t="n">
        <v>0</v>
      </c>
      <c r="E684" s="39" t="str">
        <v/>
      </c>
      <c r="F684" s="45" t="n">
        <v>0</v>
      </c>
      <c r="G684" s="40" t="n">
        <v>0</v>
      </c>
      <c r="H684" s="39" t="n">
        <v>0</v>
      </c>
      <c r="I684" s="49" t="b">
        <f aca="false">IF(ISBLANK(H684),"", IF($H$2:$H2183 = "Gohar Rehan","Overnight",IF($H$2:$H2183 = "Taufeeq Akhtar ","Overnight",IF($H$2:$H2183 = "Zeeshan Ali Malik","Audit",IF($H$2:$H2183 = "Ali Raza ","Receiving",IF($H$2:$H2183 = "Ali Ahmad","Full-In"))))))</f>
        <v>0</v>
      </c>
      <c r="J684" s="29"/>
      <c r="K684" s="40"/>
      <c r="L684" s="40"/>
      <c r="M684" s="41"/>
      <c r="N684" s="39" t="s">
        <v>2335</v>
      </c>
      <c r="O684" s="46" t="b">
        <f aca="false">FALSE()</f>
        <v>0</v>
      </c>
      <c r="P684" s="20" t="n">
        <v>0</v>
      </c>
      <c r="Q684" s="45" t="n">
        <v>0</v>
      </c>
      <c r="R684" s="43" t="n">
        <v>0</v>
      </c>
      <c r="S684" s="20" t="n">
        <v>0</v>
      </c>
    </row>
    <row r="685" customFormat="false" ht="15.75" hidden="false" customHeight="false" outlineLevel="0" collapsed="false">
      <c r="A685" s="39" t="n">
        <v>0</v>
      </c>
      <c r="B685" s="44" t="str">
        <v/>
      </c>
      <c r="C685" s="39" t="n">
        <v>0</v>
      </c>
      <c r="D685" s="39" t="n">
        <v>0</v>
      </c>
      <c r="E685" s="39" t="str">
        <v/>
      </c>
      <c r="F685" s="45" t="n">
        <v>0</v>
      </c>
      <c r="G685" s="40" t="n">
        <v>0</v>
      </c>
      <c r="H685" s="39" t="n">
        <v>0</v>
      </c>
      <c r="I685" s="49" t="b">
        <f aca="false">IF(ISBLANK(H685),"", IF($H$2:$H2184 = "Gohar Rehan","Overnight",IF($H$2:$H2184 = "Taufeeq Akhtar ","Overnight",IF($H$2:$H2184 = "Zeeshan Ali Malik","Audit",IF($H$2:$H2184 = "Ali Raza ","Receiving",IF($H$2:$H2184 = "Ali Ahmad","Full-In"))))))</f>
        <v>0</v>
      </c>
      <c r="J685" s="29"/>
      <c r="K685" s="40"/>
      <c r="L685" s="40"/>
      <c r="M685" s="41"/>
      <c r="N685" s="39" t="s">
        <v>2335</v>
      </c>
      <c r="O685" s="46" t="b">
        <f aca="false">FALSE()</f>
        <v>0</v>
      </c>
      <c r="P685" s="20" t="n">
        <v>0</v>
      </c>
      <c r="Q685" s="45" t="n">
        <v>0</v>
      </c>
      <c r="R685" s="43" t="n">
        <v>0</v>
      </c>
      <c r="S685" s="20" t="n">
        <v>0</v>
      </c>
    </row>
    <row r="686" customFormat="false" ht="15.75" hidden="false" customHeight="false" outlineLevel="0" collapsed="false">
      <c r="A686" s="39" t="n">
        <v>0</v>
      </c>
      <c r="B686" s="44" t="str">
        <v/>
      </c>
      <c r="C686" s="39" t="n">
        <v>0</v>
      </c>
      <c r="D686" s="39" t="n">
        <v>0</v>
      </c>
      <c r="E686" s="39" t="str">
        <v/>
      </c>
      <c r="F686" s="45" t="n">
        <v>0</v>
      </c>
      <c r="G686" s="40" t="n">
        <v>0</v>
      </c>
      <c r="H686" s="39" t="n">
        <v>0</v>
      </c>
      <c r="I686" s="49" t="b">
        <f aca="false">IF(ISBLANK(H686),"", IF($H$2:$H2185 = "Gohar Rehan","Overnight",IF($H$2:$H2185 = "Taufeeq Akhtar ","Overnight",IF($H$2:$H2185 = "Zeeshan Ali Malik","Audit",IF($H$2:$H2185 = "Ali Raza ","Receiving",IF($H$2:$H2185 = "Ali Ahmad","Full-In"))))))</f>
        <v>0</v>
      </c>
      <c r="J686" s="29"/>
      <c r="K686" s="40"/>
      <c r="L686" s="40"/>
      <c r="M686" s="41"/>
      <c r="N686" s="39" t="s">
        <v>2335</v>
      </c>
      <c r="O686" s="46" t="b">
        <f aca="false">FALSE()</f>
        <v>0</v>
      </c>
      <c r="P686" s="20" t="n">
        <v>0</v>
      </c>
      <c r="Q686" s="45" t="n">
        <v>0</v>
      </c>
      <c r="R686" s="43" t="n">
        <v>0</v>
      </c>
      <c r="S686" s="20" t="n">
        <v>0</v>
      </c>
    </row>
    <row r="687" customFormat="false" ht="15.75" hidden="false" customHeight="false" outlineLevel="0" collapsed="false">
      <c r="A687" s="39" t="n">
        <v>0</v>
      </c>
      <c r="B687" s="44" t="str">
        <v/>
      </c>
      <c r="C687" s="39" t="n">
        <v>0</v>
      </c>
      <c r="D687" s="39" t="n">
        <v>0</v>
      </c>
      <c r="E687" s="39" t="str">
        <v/>
      </c>
      <c r="F687" s="45" t="n">
        <v>0</v>
      </c>
      <c r="G687" s="40" t="n">
        <v>0</v>
      </c>
      <c r="H687" s="39" t="n">
        <v>0</v>
      </c>
      <c r="I687" s="49" t="b">
        <f aca="false">IF(ISBLANK(H687),"", IF($H$2:$H2186 = "Gohar Rehan","Overnight",IF($H$2:$H2186 = "Taufeeq Akhtar ","Overnight",IF($H$2:$H2186 = "Zeeshan Ali Malik","Audit",IF($H$2:$H2186 = "Ali Raza ","Receiving",IF($H$2:$H2186 = "Ali Ahmad","Full-In"))))))</f>
        <v>0</v>
      </c>
      <c r="J687" s="29"/>
      <c r="K687" s="40"/>
      <c r="L687" s="40"/>
      <c r="M687" s="41"/>
      <c r="N687" s="39" t="s">
        <v>2335</v>
      </c>
      <c r="O687" s="46" t="b">
        <f aca="false">FALSE()</f>
        <v>0</v>
      </c>
      <c r="P687" s="20" t="n">
        <v>0</v>
      </c>
      <c r="Q687" s="45" t="n">
        <v>0</v>
      </c>
      <c r="R687" s="43" t="n">
        <v>0</v>
      </c>
      <c r="S687" s="20" t="n">
        <v>0</v>
      </c>
    </row>
    <row r="688" customFormat="false" ht="15.75" hidden="false" customHeight="false" outlineLevel="0" collapsed="false">
      <c r="A688" s="39" t="n">
        <v>0</v>
      </c>
      <c r="B688" s="44" t="str">
        <v/>
      </c>
      <c r="C688" s="39" t="n">
        <v>0</v>
      </c>
      <c r="D688" s="39" t="n">
        <v>0</v>
      </c>
      <c r="E688" s="39" t="str">
        <v/>
      </c>
      <c r="F688" s="45" t="n">
        <v>0</v>
      </c>
      <c r="G688" s="40" t="n">
        <v>0</v>
      </c>
      <c r="H688" s="39" t="n">
        <v>0</v>
      </c>
      <c r="I688" s="49" t="b">
        <f aca="false">IF(ISBLANK(H688),"", IF($H$2:$H2187 = "Gohar Rehan","Overnight",IF($H$2:$H2187 = "Taufeeq Akhtar ","Overnight",IF($H$2:$H2187 = "Zeeshan Ali Malik","Audit",IF($H$2:$H2187 = "Ali Raza ","Receiving",IF($H$2:$H2187 = "Ali Ahmad","Full-In"))))))</f>
        <v>0</v>
      </c>
      <c r="J688" s="29"/>
      <c r="K688" s="40"/>
      <c r="L688" s="40"/>
      <c r="M688" s="41"/>
      <c r="N688" s="39" t="s">
        <v>2335</v>
      </c>
      <c r="O688" s="46" t="b">
        <f aca="false">FALSE()</f>
        <v>0</v>
      </c>
      <c r="P688" s="20" t="n">
        <v>0</v>
      </c>
      <c r="Q688" s="45" t="n">
        <v>0</v>
      </c>
      <c r="R688" s="43" t="n">
        <v>0</v>
      </c>
      <c r="S688" s="20" t="n">
        <v>0</v>
      </c>
    </row>
    <row r="689" customFormat="false" ht="15.75" hidden="false" customHeight="false" outlineLevel="0" collapsed="false">
      <c r="A689" s="39" t="n">
        <v>0</v>
      </c>
      <c r="B689" s="44" t="str">
        <v/>
      </c>
      <c r="C689" s="39" t="n">
        <v>0</v>
      </c>
      <c r="D689" s="39" t="n">
        <v>0</v>
      </c>
      <c r="E689" s="39" t="str">
        <v/>
      </c>
      <c r="F689" s="45" t="n">
        <v>0</v>
      </c>
      <c r="G689" s="40" t="n">
        <v>0</v>
      </c>
      <c r="H689" s="39" t="n">
        <v>0</v>
      </c>
      <c r="I689" s="49" t="b">
        <f aca="false">IF(ISBLANK(H689),"", IF($H$2:$H2188 = "Gohar Rehan","Overnight",IF($H$2:$H2188 = "Taufeeq Akhtar ","Overnight",IF($H$2:$H2188 = "Zeeshan Ali Malik","Audit",IF($H$2:$H2188 = "Ali Raza ","Receiving",IF($H$2:$H2188 = "Ali Ahmad","Full-In"))))))</f>
        <v>0</v>
      </c>
      <c r="J689" s="29"/>
      <c r="K689" s="40"/>
      <c r="L689" s="40"/>
      <c r="M689" s="41"/>
      <c r="N689" s="39" t="s">
        <v>2335</v>
      </c>
      <c r="O689" s="46" t="b">
        <f aca="false">FALSE()</f>
        <v>0</v>
      </c>
      <c r="P689" s="20" t="n">
        <v>0</v>
      </c>
      <c r="Q689" s="45" t="n">
        <v>0</v>
      </c>
      <c r="R689" s="43" t="n">
        <v>0</v>
      </c>
      <c r="S689" s="20" t="n">
        <v>0</v>
      </c>
    </row>
    <row r="690" customFormat="false" ht="15.75" hidden="false" customHeight="false" outlineLevel="0" collapsed="false">
      <c r="A690" s="39" t="n">
        <v>0</v>
      </c>
      <c r="B690" s="44" t="str">
        <v/>
      </c>
      <c r="C690" s="39" t="n">
        <v>0</v>
      </c>
      <c r="D690" s="39" t="n">
        <v>0</v>
      </c>
      <c r="E690" s="39" t="str">
        <v/>
      </c>
      <c r="F690" s="45" t="n">
        <v>0</v>
      </c>
      <c r="G690" s="40" t="n">
        <v>0</v>
      </c>
      <c r="H690" s="39" t="n">
        <v>0</v>
      </c>
      <c r="I690" s="49" t="b">
        <f aca="false">IF(ISBLANK(H690),"", IF($H$2:$H2189 = "Gohar Rehan","Overnight",IF($H$2:$H2189 = "Taufeeq Akhtar ","Overnight",IF($H$2:$H2189 = "Zeeshan Ali Malik","Audit",IF($H$2:$H2189 = "Ali Raza ","Receiving",IF($H$2:$H2189 = "Ali Ahmad","Full-In"))))))</f>
        <v>0</v>
      </c>
      <c r="J690" s="29"/>
      <c r="K690" s="40"/>
      <c r="L690" s="40"/>
      <c r="M690" s="41"/>
      <c r="N690" s="39" t="s">
        <v>2335</v>
      </c>
      <c r="O690" s="46" t="b">
        <f aca="false">FALSE()</f>
        <v>0</v>
      </c>
      <c r="P690" s="20" t="n">
        <v>0</v>
      </c>
      <c r="Q690" s="45" t="n">
        <v>0</v>
      </c>
      <c r="R690" s="43" t="n">
        <v>0</v>
      </c>
      <c r="S690" s="20" t="n">
        <v>0</v>
      </c>
    </row>
    <row r="691" customFormat="false" ht="15.75" hidden="false" customHeight="false" outlineLevel="0" collapsed="false">
      <c r="A691" s="39" t="n">
        <v>0</v>
      </c>
      <c r="B691" s="44" t="str">
        <v/>
      </c>
      <c r="C691" s="39" t="n">
        <v>0</v>
      </c>
      <c r="D691" s="39" t="n">
        <v>0</v>
      </c>
      <c r="E691" s="39" t="str">
        <v/>
      </c>
      <c r="F691" s="45" t="n">
        <v>0</v>
      </c>
      <c r="G691" s="40" t="n">
        <v>0</v>
      </c>
      <c r="H691" s="39" t="n">
        <v>0</v>
      </c>
      <c r="I691" s="49" t="b">
        <f aca="false">IF(ISBLANK(H691),"", IF($H$2:$H2190 = "Gohar Rehan","Overnight",IF($H$2:$H2190 = "Taufeeq Akhtar ","Overnight",IF($H$2:$H2190 = "Zeeshan Ali Malik","Audit",IF($H$2:$H2190 = "Ali Raza ","Receiving",IF($H$2:$H2190 = "Ali Ahmad","Full-In"))))))</f>
        <v>0</v>
      </c>
      <c r="J691" s="29"/>
      <c r="K691" s="40"/>
      <c r="L691" s="40"/>
      <c r="M691" s="41"/>
      <c r="N691" s="39" t="s">
        <v>2335</v>
      </c>
      <c r="O691" s="46" t="b">
        <f aca="false">FALSE()</f>
        <v>0</v>
      </c>
      <c r="P691" s="20" t="n">
        <v>0</v>
      </c>
      <c r="Q691" s="45" t="n">
        <v>0</v>
      </c>
      <c r="R691" s="43" t="n">
        <v>0</v>
      </c>
      <c r="S691" s="20" t="n">
        <v>0</v>
      </c>
    </row>
    <row r="692" customFormat="false" ht="15.75" hidden="false" customHeight="false" outlineLevel="0" collapsed="false">
      <c r="A692" s="39" t="n">
        <v>0</v>
      </c>
      <c r="B692" s="44" t="str">
        <v/>
      </c>
      <c r="C692" s="39" t="n">
        <v>0</v>
      </c>
      <c r="D692" s="39" t="n">
        <v>0</v>
      </c>
      <c r="E692" s="39" t="str">
        <v/>
      </c>
      <c r="F692" s="45" t="n">
        <v>0</v>
      </c>
      <c r="G692" s="40" t="n">
        <v>0</v>
      </c>
      <c r="H692" s="39" t="n">
        <v>0</v>
      </c>
      <c r="I692" s="49" t="b">
        <f aca="false">IF(ISBLANK(H692),"", IF($H$2:$H2191 = "Gohar Rehan","Overnight",IF($H$2:$H2191 = "Taufeeq Akhtar ","Overnight",IF($H$2:$H2191 = "Zeeshan Ali Malik","Audit",IF($H$2:$H2191 = "Ali Raza ","Receiving",IF($H$2:$H2191 = "Ali Ahmad","Full-In"))))))</f>
        <v>0</v>
      </c>
      <c r="J692" s="29"/>
      <c r="K692" s="40"/>
      <c r="L692" s="40"/>
      <c r="M692" s="41"/>
      <c r="N692" s="39" t="s">
        <v>2335</v>
      </c>
      <c r="O692" s="46" t="b">
        <f aca="false">FALSE()</f>
        <v>0</v>
      </c>
      <c r="P692" s="20" t="n">
        <v>0</v>
      </c>
      <c r="Q692" s="45" t="n">
        <v>0</v>
      </c>
      <c r="R692" s="43" t="n">
        <v>0</v>
      </c>
      <c r="S692" s="20" t="n">
        <v>0</v>
      </c>
    </row>
    <row r="693" customFormat="false" ht="15.75" hidden="false" customHeight="false" outlineLevel="0" collapsed="false">
      <c r="A693" s="39" t="n">
        <v>0</v>
      </c>
      <c r="B693" s="44" t="str">
        <v/>
      </c>
      <c r="C693" s="39" t="n">
        <v>0</v>
      </c>
      <c r="D693" s="39" t="n">
        <v>0</v>
      </c>
      <c r="E693" s="39" t="str">
        <v/>
      </c>
      <c r="F693" s="45" t="n">
        <v>0</v>
      </c>
      <c r="G693" s="40" t="n">
        <v>0</v>
      </c>
      <c r="H693" s="39" t="n">
        <v>0</v>
      </c>
      <c r="I693" s="49" t="b">
        <f aca="false">IF(ISBLANK(H693),"", IF($H$2:$H2192 = "Gohar Rehan","Overnight",IF($H$2:$H2192 = "Taufeeq Akhtar ","Overnight",IF($H$2:$H2192 = "Zeeshan Ali Malik","Audit",IF($H$2:$H2192 = "Ali Raza ","Receiving",IF($H$2:$H2192 = "Ali Ahmad","Full-In"))))))</f>
        <v>0</v>
      </c>
      <c r="J693" s="29"/>
      <c r="K693" s="40"/>
      <c r="L693" s="40"/>
      <c r="M693" s="41"/>
      <c r="N693" s="39" t="s">
        <v>2335</v>
      </c>
      <c r="O693" s="46" t="b">
        <f aca="false">FALSE()</f>
        <v>0</v>
      </c>
      <c r="P693" s="20" t="n">
        <v>0</v>
      </c>
      <c r="Q693" s="45" t="n">
        <v>0</v>
      </c>
      <c r="R693" s="43" t="n">
        <v>0</v>
      </c>
      <c r="S693" s="20" t="n">
        <v>0</v>
      </c>
    </row>
    <row r="694" customFormat="false" ht="15.75" hidden="false" customHeight="false" outlineLevel="0" collapsed="false">
      <c r="A694" s="39" t="n">
        <v>0</v>
      </c>
      <c r="B694" s="44" t="str">
        <v/>
      </c>
      <c r="C694" s="39" t="n">
        <v>0</v>
      </c>
      <c r="D694" s="39" t="n">
        <v>0</v>
      </c>
      <c r="E694" s="39" t="str">
        <v/>
      </c>
      <c r="F694" s="45" t="n">
        <v>0</v>
      </c>
      <c r="G694" s="40" t="n">
        <v>0</v>
      </c>
      <c r="H694" s="39" t="n">
        <v>0</v>
      </c>
      <c r="I694" s="49" t="b">
        <f aca="false">IF(ISBLANK(H694),"", IF($H$2:$H2193 = "Gohar Rehan","Overnight",IF($H$2:$H2193 = "Taufeeq Akhtar ","Overnight",IF($H$2:$H2193 = "Zeeshan Ali Malik","Audit",IF($H$2:$H2193 = "Ali Raza ","Receiving",IF($H$2:$H2193 = "Ali Ahmad","Full-In"))))))</f>
        <v>0</v>
      </c>
      <c r="J694" s="29"/>
      <c r="K694" s="40"/>
      <c r="L694" s="40"/>
      <c r="M694" s="41"/>
      <c r="N694" s="39" t="s">
        <v>2335</v>
      </c>
      <c r="O694" s="46" t="b">
        <f aca="false">FALSE()</f>
        <v>0</v>
      </c>
      <c r="P694" s="20" t="n">
        <v>0</v>
      </c>
      <c r="Q694" s="45" t="n">
        <v>0</v>
      </c>
      <c r="R694" s="43" t="n">
        <v>0</v>
      </c>
      <c r="S694" s="20" t="n">
        <v>0</v>
      </c>
    </row>
    <row r="695" customFormat="false" ht="15.75" hidden="false" customHeight="false" outlineLevel="0" collapsed="false">
      <c r="A695" s="39" t="n">
        <v>0</v>
      </c>
      <c r="B695" s="44" t="str">
        <v/>
      </c>
      <c r="C695" s="39" t="n">
        <v>0</v>
      </c>
      <c r="D695" s="39" t="n">
        <v>0</v>
      </c>
      <c r="E695" s="39" t="str">
        <v/>
      </c>
      <c r="F695" s="45" t="n">
        <v>0</v>
      </c>
      <c r="G695" s="40" t="n">
        <v>0</v>
      </c>
      <c r="H695" s="39" t="n">
        <v>0</v>
      </c>
      <c r="I695" s="49" t="b">
        <f aca="false">IF(ISBLANK(H695),"", IF($H$2:$H2194 = "Gohar Rehan","Overnight",IF($H$2:$H2194 = "Taufeeq Akhtar ","Overnight",IF($H$2:$H2194 = "Zeeshan Ali Malik","Audit",IF($H$2:$H2194 = "Ali Raza ","Receiving",IF($H$2:$H2194 = "Ali Ahmad","Full-In"))))))</f>
        <v>0</v>
      </c>
      <c r="J695" s="29"/>
      <c r="K695" s="40"/>
      <c r="L695" s="40"/>
      <c r="M695" s="41"/>
      <c r="N695" s="39" t="s">
        <v>2335</v>
      </c>
      <c r="O695" s="46" t="b">
        <f aca="false">FALSE()</f>
        <v>0</v>
      </c>
      <c r="P695" s="20" t="n">
        <v>0</v>
      </c>
      <c r="Q695" s="45" t="n">
        <v>0</v>
      </c>
      <c r="R695" s="43" t="n">
        <v>0</v>
      </c>
      <c r="S695" s="20" t="n">
        <v>0</v>
      </c>
    </row>
    <row r="696" customFormat="false" ht="15.75" hidden="false" customHeight="false" outlineLevel="0" collapsed="false">
      <c r="A696" s="39" t="n">
        <v>0</v>
      </c>
      <c r="B696" s="44" t="str">
        <v/>
      </c>
      <c r="C696" s="39" t="n">
        <v>0</v>
      </c>
      <c r="D696" s="39" t="n">
        <v>0</v>
      </c>
      <c r="E696" s="39" t="str">
        <v/>
      </c>
      <c r="F696" s="45" t="n">
        <v>0</v>
      </c>
      <c r="G696" s="40" t="n">
        <v>0</v>
      </c>
      <c r="H696" s="39" t="n">
        <v>0</v>
      </c>
      <c r="I696" s="49" t="b">
        <f aca="false">IF(ISBLANK(H696),"", IF($H$2:$H2195 = "Gohar Rehan","Overnight",IF($H$2:$H2195 = "Taufeeq Akhtar ","Overnight",IF($H$2:$H2195 = "Zeeshan Ali Malik","Audit",IF($H$2:$H2195 = "Ali Raza ","Receiving",IF($H$2:$H2195 = "Ali Ahmad","Full-In"))))))</f>
        <v>0</v>
      </c>
      <c r="J696" s="29"/>
      <c r="K696" s="40"/>
      <c r="L696" s="40"/>
      <c r="M696" s="41"/>
      <c r="N696" s="39" t="s">
        <v>2335</v>
      </c>
      <c r="O696" s="46" t="b">
        <f aca="false">FALSE()</f>
        <v>0</v>
      </c>
      <c r="P696" s="20" t="n">
        <v>0</v>
      </c>
      <c r="Q696" s="45" t="n">
        <v>0</v>
      </c>
      <c r="R696" s="43" t="n">
        <v>0</v>
      </c>
      <c r="S696" s="20" t="n">
        <v>0</v>
      </c>
    </row>
    <row r="697" customFormat="false" ht="15.75" hidden="false" customHeight="false" outlineLevel="0" collapsed="false">
      <c r="A697" s="39" t="n">
        <v>0</v>
      </c>
      <c r="B697" s="44" t="str">
        <v/>
      </c>
      <c r="C697" s="39" t="n">
        <v>0</v>
      </c>
      <c r="D697" s="39" t="n">
        <v>0</v>
      </c>
      <c r="E697" s="39" t="str">
        <v/>
      </c>
      <c r="F697" s="45" t="n">
        <v>0</v>
      </c>
      <c r="G697" s="40" t="n">
        <v>0</v>
      </c>
      <c r="H697" s="39" t="n">
        <v>0</v>
      </c>
      <c r="I697" s="49" t="b">
        <f aca="false">IF(ISBLANK(H697),"", IF($H$2:$H2196 = "Gohar Rehan","Overnight",IF($H$2:$H2196 = "Taufeeq Akhtar ","Overnight",IF($H$2:$H2196 = "Zeeshan Ali Malik","Audit",IF($H$2:$H2196 = "Ali Raza ","Receiving",IF($H$2:$H2196 = "Ali Ahmad","Full-In"))))))</f>
        <v>0</v>
      </c>
      <c r="J697" s="29"/>
      <c r="K697" s="40"/>
      <c r="L697" s="40"/>
      <c r="M697" s="41"/>
      <c r="N697" s="39" t="s">
        <v>2335</v>
      </c>
      <c r="O697" s="46" t="b">
        <f aca="false">FALSE()</f>
        <v>0</v>
      </c>
      <c r="P697" s="20" t="n">
        <v>0</v>
      </c>
      <c r="Q697" s="45" t="n">
        <v>0</v>
      </c>
      <c r="R697" s="43" t="n">
        <v>0</v>
      </c>
      <c r="S697" s="20" t="n">
        <v>0</v>
      </c>
    </row>
    <row r="698" customFormat="false" ht="15.75" hidden="false" customHeight="false" outlineLevel="0" collapsed="false">
      <c r="A698" s="39" t="n">
        <v>0</v>
      </c>
      <c r="B698" s="44" t="str">
        <v/>
      </c>
      <c r="C698" s="39" t="n">
        <v>0</v>
      </c>
      <c r="D698" s="39" t="n">
        <v>0</v>
      </c>
      <c r="E698" s="39" t="str">
        <v/>
      </c>
      <c r="F698" s="45" t="n">
        <v>0</v>
      </c>
      <c r="G698" s="40" t="n">
        <v>0</v>
      </c>
      <c r="H698" s="39" t="n">
        <v>0</v>
      </c>
      <c r="I698" s="49" t="b">
        <f aca="false">IF(ISBLANK(H698),"", IF($H$2:$H2197 = "Gohar Rehan","Overnight",IF($H$2:$H2197 = "Taufeeq Akhtar ","Overnight",IF($H$2:$H2197 = "Zeeshan Ali Malik","Audit",IF($H$2:$H2197 = "Ali Raza ","Receiving",IF($H$2:$H2197 = "Ali Ahmad","Full-In"))))))</f>
        <v>0</v>
      </c>
      <c r="J698" s="29"/>
      <c r="K698" s="40"/>
      <c r="L698" s="40"/>
      <c r="M698" s="41"/>
      <c r="N698" s="39" t="s">
        <v>2335</v>
      </c>
      <c r="O698" s="46" t="b">
        <f aca="false">FALSE()</f>
        <v>0</v>
      </c>
      <c r="P698" s="20" t="n">
        <v>0</v>
      </c>
      <c r="Q698" s="45" t="n">
        <v>0</v>
      </c>
      <c r="R698" s="43" t="n">
        <v>0</v>
      </c>
      <c r="S698" s="20" t="n">
        <v>0</v>
      </c>
    </row>
    <row r="699" customFormat="false" ht="15.75" hidden="false" customHeight="false" outlineLevel="0" collapsed="false">
      <c r="A699" s="39" t="n">
        <v>0</v>
      </c>
      <c r="B699" s="44" t="str">
        <v/>
      </c>
      <c r="C699" s="39" t="n">
        <v>0</v>
      </c>
      <c r="D699" s="39" t="n">
        <v>0</v>
      </c>
      <c r="E699" s="39" t="str">
        <v/>
      </c>
      <c r="F699" s="45" t="n">
        <v>0</v>
      </c>
      <c r="G699" s="40" t="n">
        <v>0</v>
      </c>
      <c r="H699" s="39" t="n">
        <v>0</v>
      </c>
      <c r="I699" s="49" t="b">
        <f aca="false">IF(ISBLANK(H699),"", IF($H$2:$H2198 = "Gohar Rehan","Overnight",IF($H$2:$H2198 = "Taufeeq Akhtar ","Overnight",IF($H$2:$H2198 = "Zeeshan Ali Malik","Audit",IF($H$2:$H2198 = "Ali Raza ","Receiving",IF($H$2:$H2198 = "Ali Ahmad","Full-In"))))))</f>
        <v>0</v>
      </c>
      <c r="J699" s="29"/>
      <c r="K699" s="40"/>
      <c r="L699" s="40"/>
      <c r="M699" s="41"/>
      <c r="N699" s="39" t="s">
        <v>2335</v>
      </c>
      <c r="O699" s="46" t="b">
        <f aca="false">FALSE()</f>
        <v>0</v>
      </c>
      <c r="P699" s="20" t="n">
        <v>0</v>
      </c>
      <c r="Q699" s="45" t="n">
        <v>0</v>
      </c>
      <c r="R699" s="43" t="n">
        <v>0</v>
      </c>
      <c r="S699" s="20" t="n">
        <v>0</v>
      </c>
    </row>
    <row r="700" customFormat="false" ht="15.75" hidden="false" customHeight="false" outlineLevel="0" collapsed="false">
      <c r="A700" s="39" t="n">
        <v>0</v>
      </c>
      <c r="B700" s="44" t="str">
        <v/>
      </c>
      <c r="C700" s="39" t="n">
        <v>0</v>
      </c>
      <c r="D700" s="39" t="n">
        <v>0</v>
      </c>
      <c r="E700" s="39" t="str">
        <v/>
      </c>
      <c r="F700" s="45" t="n">
        <v>0</v>
      </c>
      <c r="G700" s="40" t="n">
        <v>0</v>
      </c>
      <c r="H700" s="39" t="n">
        <v>0</v>
      </c>
      <c r="I700" s="49" t="b">
        <f aca="false">IF(ISBLANK(H700),"", IF($H$2:$H2199 = "Gohar Rehan","Overnight",IF($H$2:$H2199 = "Taufeeq Akhtar ","Overnight",IF($H$2:$H2199 = "Zeeshan Ali Malik","Audit",IF($H$2:$H2199 = "Ali Raza ","Receiving",IF($H$2:$H2199 = "Ali Ahmad","Full-In"))))))</f>
        <v>0</v>
      </c>
      <c r="J700" s="29"/>
      <c r="K700" s="40"/>
      <c r="L700" s="40"/>
      <c r="M700" s="41"/>
      <c r="N700" s="39" t="s">
        <v>2335</v>
      </c>
      <c r="O700" s="46" t="b">
        <f aca="false">FALSE()</f>
        <v>0</v>
      </c>
      <c r="P700" s="20" t="n">
        <v>0</v>
      </c>
      <c r="Q700" s="45" t="n">
        <v>0</v>
      </c>
      <c r="R700" s="43" t="n">
        <v>0</v>
      </c>
      <c r="S700" s="20" t="n">
        <v>0</v>
      </c>
    </row>
    <row r="701" customFormat="false" ht="15.75" hidden="false" customHeight="false" outlineLevel="0" collapsed="false">
      <c r="A701" s="39" t="n">
        <v>0</v>
      </c>
      <c r="B701" s="44" t="str">
        <v/>
      </c>
      <c r="C701" s="39" t="n">
        <v>0</v>
      </c>
      <c r="D701" s="39" t="n">
        <v>0</v>
      </c>
      <c r="E701" s="39" t="str">
        <v/>
      </c>
      <c r="F701" s="45" t="n">
        <v>0</v>
      </c>
      <c r="G701" s="40" t="n">
        <v>0</v>
      </c>
      <c r="H701" s="39" t="n">
        <v>0</v>
      </c>
      <c r="I701" s="49" t="b">
        <f aca="false">IF(ISBLANK(H701),"", IF($H$2:$H2200 = "Gohar Rehan","Overnight",IF($H$2:$H2200 = "Taufeeq Akhtar ","Overnight",IF($H$2:$H2200 = "Zeeshan Ali Malik","Audit",IF($H$2:$H2200 = "Ali Raza ","Receiving",IF($H$2:$H2200 = "Ali Ahmad","Full-In"))))))</f>
        <v>0</v>
      </c>
      <c r="J701" s="29"/>
      <c r="K701" s="40"/>
      <c r="L701" s="40"/>
      <c r="M701" s="41"/>
      <c r="N701" s="39" t="s">
        <v>2335</v>
      </c>
      <c r="O701" s="46" t="b">
        <f aca="false">FALSE()</f>
        <v>0</v>
      </c>
      <c r="P701" s="20" t="n">
        <v>0</v>
      </c>
      <c r="Q701" s="45" t="n">
        <v>0</v>
      </c>
      <c r="R701" s="43" t="n">
        <v>0</v>
      </c>
      <c r="S701" s="20" t="n">
        <v>0</v>
      </c>
    </row>
    <row r="702" customFormat="false" ht="15.75" hidden="false" customHeight="false" outlineLevel="0" collapsed="false">
      <c r="A702" s="39" t="n">
        <v>0</v>
      </c>
      <c r="B702" s="44" t="str">
        <v/>
      </c>
      <c r="C702" s="39" t="n">
        <v>0</v>
      </c>
      <c r="D702" s="39" t="n">
        <v>0</v>
      </c>
      <c r="E702" s="39" t="str">
        <v/>
      </c>
      <c r="F702" s="45" t="n">
        <v>0</v>
      </c>
      <c r="G702" s="40" t="n">
        <v>0</v>
      </c>
      <c r="H702" s="39" t="n">
        <v>0</v>
      </c>
      <c r="I702" s="49" t="b">
        <f aca="false">IF(ISBLANK(H702),"", IF($H$2:$H2201 = "Gohar Rehan","Overnight",IF($H$2:$H2201 = "Taufeeq Akhtar ","Overnight",IF($H$2:$H2201 = "Zeeshan Ali Malik","Audit",IF($H$2:$H2201 = "Ali Raza ","Receiving",IF($H$2:$H2201 = "Ali Ahmad","Full-In"))))))</f>
        <v>0</v>
      </c>
      <c r="J702" s="29"/>
      <c r="K702" s="40"/>
      <c r="L702" s="40"/>
      <c r="M702" s="41"/>
      <c r="N702" s="39" t="s">
        <v>2335</v>
      </c>
      <c r="O702" s="46" t="b">
        <f aca="false">FALSE()</f>
        <v>0</v>
      </c>
      <c r="P702" s="20" t="n">
        <v>0</v>
      </c>
      <c r="Q702" s="45" t="n">
        <v>0</v>
      </c>
      <c r="R702" s="43" t="n">
        <v>0</v>
      </c>
      <c r="S702" s="20" t="n">
        <v>0</v>
      </c>
    </row>
    <row r="703" customFormat="false" ht="15.75" hidden="false" customHeight="false" outlineLevel="0" collapsed="false">
      <c r="A703" s="39" t="n">
        <v>0</v>
      </c>
      <c r="B703" s="44" t="str">
        <v/>
      </c>
      <c r="C703" s="39" t="n">
        <v>0</v>
      </c>
      <c r="D703" s="39" t="n">
        <v>0</v>
      </c>
      <c r="E703" s="39" t="str">
        <v/>
      </c>
      <c r="F703" s="45" t="n">
        <v>0</v>
      </c>
      <c r="G703" s="40" t="n">
        <v>0</v>
      </c>
      <c r="H703" s="39" t="n">
        <v>0</v>
      </c>
      <c r="I703" s="49" t="b">
        <f aca="false">IF(ISBLANK(H703),"", IF($H$2:$H2202 = "Gohar Rehan","Overnight",IF($H$2:$H2202 = "Taufeeq Akhtar ","Overnight",IF($H$2:$H2202 = "Zeeshan Ali Malik","Audit",IF($H$2:$H2202 = "Ali Raza ","Receiving",IF($H$2:$H2202 = "Ali Ahmad","Full-In"))))))</f>
        <v>0</v>
      </c>
      <c r="J703" s="29"/>
      <c r="K703" s="40"/>
      <c r="L703" s="40"/>
      <c r="M703" s="41"/>
      <c r="N703" s="39" t="s">
        <v>2335</v>
      </c>
      <c r="O703" s="46" t="b">
        <f aca="false">FALSE()</f>
        <v>0</v>
      </c>
      <c r="P703" s="20" t="n">
        <v>0</v>
      </c>
      <c r="Q703" s="45" t="n">
        <v>0</v>
      </c>
      <c r="R703" s="43" t="n">
        <v>0</v>
      </c>
      <c r="S703" s="20" t="n">
        <v>0</v>
      </c>
    </row>
    <row r="704" customFormat="false" ht="15.75" hidden="false" customHeight="false" outlineLevel="0" collapsed="false">
      <c r="A704" s="39" t="n">
        <v>0</v>
      </c>
      <c r="B704" s="44" t="str">
        <v/>
      </c>
      <c r="C704" s="39" t="n">
        <v>0</v>
      </c>
      <c r="D704" s="39" t="n">
        <v>0</v>
      </c>
      <c r="E704" s="39" t="str">
        <v/>
      </c>
      <c r="F704" s="45" t="n">
        <v>0</v>
      </c>
      <c r="G704" s="40" t="n">
        <v>0</v>
      </c>
      <c r="H704" s="39" t="n">
        <v>0</v>
      </c>
      <c r="I704" s="49" t="b">
        <f aca="false">IF(ISBLANK(H704),"", IF($H$2:$H2203 = "Gohar Rehan","Overnight",IF($H$2:$H2203 = "Taufeeq Akhtar ","Overnight",IF($H$2:$H2203 = "Zeeshan Ali Malik","Audit",IF($H$2:$H2203 = "Ali Raza ","Receiving",IF($H$2:$H2203 = "Ali Ahmad","Full-In"))))))</f>
        <v>0</v>
      </c>
      <c r="J704" s="29"/>
      <c r="K704" s="40"/>
      <c r="L704" s="40"/>
      <c r="M704" s="41"/>
      <c r="N704" s="39" t="s">
        <v>2335</v>
      </c>
      <c r="O704" s="46" t="b">
        <f aca="false">FALSE()</f>
        <v>0</v>
      </c>
      <c r="P704" s="20" t="n">
        <v>0</v>
      </c>
      <c r="Q704" s="45" t="n">
        <v>0</v>
      </c>
      <c r="R704" s="43" t="n">
        <v>0</v>
      </c>
      <c r="S704" s="20" t="n">
        <v>0</v>
      </c>
    </row>
    <row r="705" customFormat="false" ht="15.75" hidden="false" customHeight="false" outlineLevel="0" collapsed="false">
      <c r="A705" s="39" t="n">
        <v>0</v>
      </c>
      <c r="B705" s="44" t="str">
        <v/>
      </c>
      <c r="C705" s="39" t="n">
        <v>0</v>
      </c>
      <c r="D705" s="39" t="n">
        <v>0</v>
      </c>
      <c r="E705" s="39" t="str">
        <v/>
      </c>
      <c r="F705" s="45" t="n">
        <v>0</v>
      </c>
      <c r="G705" s="40" t="n">
        <v>0</v>
      </c>
      <c r="H705" s="39" t="n">
        <v>0</v>
      </c>
      <c r="I705" s="49" t="b">
        <f aca="false">IF(ISBLANK(H705),"", IF($H$2:$H2204 = "Gohar Rehan","Overnight",IF($H$2:$H2204 = "Taufeeq Akhtar ","Overnight",IF($H$2:$H2204 = "Zeeshan Ali Malik","Audit",IF($H$2:$H2204 = "Ali Raza ","Receiving",IF($H$2:$H2204 = "Ali Ahmad","Full-In"))))))</f>
        <v>0</v>
      </c>
      <c r="J705" s="29"/>
      <c r="K705" s="40"/>
      <c r="L705" s="40"/>
      <c r="M705" s="41"/>
      <c r="N705" s="39" t="s">
        <v>2335</v>
      </c>
      <c r="O705" s="46" t="b">
        <f aca="false">FALSE()</f>
        <v>0</v>
      </c>
      <c r="P705" s="20" t="n">
        <v>0</v>
      </c>
      <c r="Q705" s="45" t="n">
        <v>0</v>
      </c>
      <c r="R705" s="43" t="n">
        <v>0</v>
      </c>
      <c r="S705" s="20" t="n">
        <v>0</v>
      </c>
    </row>
    <row r="706" customFormat="false" ht="15.75" hidden="false" customHeight="false" outlineLevel="0" collapsed="false">
      <c r="A706" s="39" t="n">
        <v>0</v>
      </c>
      <c r="B706" s="44" t="str">
        <v/>
      </c>
      <c r="C706" s="39" t="n">
        <v>0</v>
      </c>
      <c r="D706" s="39" t="n">
        <v>0</v>
      </c>
      <c r="E706" s="39" t="str">
        <v/>
      </c>
      <c r="F706" s="45" t="n">
        <v>0</v>
      </c>
      <c r="G706" s="40" t="n">
        <v>0</v>
      </c>
      <c r="H706" s="39" t="n">
        <v>0</v>
      </c>
      <c r="I706" s="49" t="b">
        <f aca="false">IF(ISBLANK(H706),"", IF($H$2:$H2205 = "Gohar Rehan","Overnight",IF($H$2:$H2205 = "Taufeeq Akhtar ","Overnight",IF($H$2:$H2205 = "Zeeshan Ali Malik","Audit",IF($H$2:$H2205 = "Ali Raza ","Receiving",IF($H$2:$H2205 = "Ali Ahmad","Full-In"))))))</f>
        <v>0</v>
      </c>
      <c r="J706" s="29"/>
      <c r="K706" s="40"/>
      <c r="L706" s="40"/>
      <c r="M706" s="41"/>
      <c r="N706" s="39" t="s">
        <v>2335</v>
      </c>
      <c r="O706" s="46" t="b">
        <f aca="false">FALSE()</f>
        <v>0</v>
      </c>
      <c r="P706" s="20" t="n">
        <v>0</v>
      </c>
      <c r="Q706" s="45" t="n">
        <v>0</v>
      </c>
      <c r="R706" s="43" t="n">
        <v>0</v>
      </c>
      <c r="S706" s="20" t="n">
        <v>0</v>
      </c>
    </row>
    <row r="707" customFormat="false" ht="15.75" hidden="false" customHeight="false" outlineLevel="0" collapsed="false">
      <c r="A707" s="39" t="n">
        <v>0</v>
      </c>
      <c r="B707" s="44" t="str">
        <v/>
      </c>
      <c r="C707" s="39" t="n">
        <v>0</v>
      </c>
      <c r="D707" s="39" t="n">
        <v>0</v>
      </c>
      <c r="E707" s="39" t="str">
        <v/>
      </c>
      <c r="F707" s="45" t="n">
        <v>0</v>
      </c>
      <c r="G707" s="40" t="n">
        <v>0</v>
      </c>
      <c r="H707" s="39" t="n">
        <v>0</v>
      </c>
      <c r="I707" s="49" t="b">
        <f aca="false">IF(ISBLANK(H707),"", IF($H$2:$H2206 = "Gohar Rehan","Overnight",IF($H$2:$H2206 = "Taufeeq Akhtar ","Overnight",IF($H$2:$H2206 = "Zeeshan Ali Malik","Audit",IF($H$2:$H2206 = "Ali Raza ","Receiving",IF($H$2:$H2206 = "Ali Ahmad","Full-In"))))))</f>
        <v>0</v>
      </c>
      <c r="J707" s="29"/>
      <c r="K707" s="40"/>
      <c r="L707" s="40"/>
      <c r="M707" s="41"/>
      <c r="N707" s="39" t="s">
        <v>2335</v>
      </c>
      <c r="O707" s="46" t="b">
        <f aca="false">FALSE()</f>
        <v>0</v>
      </c>
      <c r="P707" s="20" t="n">
        <v>0</v>
      </c>
      <c r="Q707" s="45" t="n">
        <v>0</v>
      </c>
      <c r="R707" s="43" t="n">
        <v>0</v>
      </c>
      <c r="S707" s="20" t="n">
        <v>0</v>
      </c>
    </row>
    <row r="708" customFormat="false" ht="15.75" hidden="false" customHeight="false" outlineLevel="0" collapsed="false">
      <c r="A708" s="39" t="n">
        <v>0</v>
      </c>
      <c r="B708" s="44" t="str">
        <v/>
      </c>
      <c r="C708" s="39" t="n">
        <v>0</v>
      </c>
      <c r="D708" s="39" t="n">
        <v>0</v>
      </c>
      <c r="E708" s="39" t="str">
        <v/>
      </c>
      <c r="F708" s="45" t="n">
        <v>0</v>
      </c>
      <c r="G708" s="40" t="n">
        <v>0</v>
      </c>
      <c r="H708" s="39" t="n">
        <v>0</v>
      </c>
      <c r="I708" s="49" t="b">
        <f aca="false">IF(ISBLANK(H708),"", IF($H$2:$H2207 = "Gohar Rehan","Overnight",IF($H$2:$H2207 = "Taufeeq Akhtar ","Overnight",IF($H$2:$H2207 = "Zeeshan Ali Malik","Audit",IF($H$2:$H2207 = "Ali Raza ","Receiving",IF($H$2:$H2207 = "Ali Ahmad","Full-In"))))))</f>
        <v>0</v>
      </c>
      <c r="J708" s="29"/>
      <c r="K708" s="40"/>
      <c r="L708" s="40"/>
      <c r="M708" s="41"/>
      <c r="N708" s="39" t="s">
        <v>2335</v>
      </c>
      <c r="O708" s="46" t="b">
        <f aca="false">FALSE()</f>
        <v>0</v>
      </c>
      <c r="P708" s="20" t="n">
        <v>0</v>
      </c>
      <c r="Q708" s="45" t="n">
        <v>0</v>
      </c>
      <c r="R708" s="43" t="n">
        <v>0</v>
      </c>
      <c r="S708" s="20" t="n">
        <v>0</v>
      </c>
    </row>
    <row r="709" customFormat="false" ht="15.75" hidden="false" customHeight="false" outlineLevel="0" collapsed="false">
      <c r="A709" s="39" t="n">
        <v>0</v>
      </c>
      <c r="B709" s="44" t="str">
        <v/>
      </c>
      <c r="C709" s="39" t="n">
        <v>0</v>
      </c>
      <c r="D709" s="39" t="n">
        <v>0</v>
      </c>
      <c r="E709" s="39" t="str">
        <v/>
      </c>
      <c r="F709" s="45" t="n">
        <v>0</v>
      </c>
      <c r="G709" s="40" t="n">
        <v>0</v>
      </c>
      <c r="H709" s="39" t="n">
        <v>0</v>
      </c>
      <c r="I709" s="49" t="b">
        <f aca="false">IF(ISBLANK(H709),"", IF($H$2:$H2208 = "Gohar Rehan","Overnight",IF($H$2:$H2208 = "Taufeeq Akhtar ","Overnight",IF($H$2:$H2208 = "Zeeshan Ali Malik","Audit",IF($H$2:$H2208 = "Ali Raza ","Receiving",IF($H$2:$H2208 = "Ali Ahmad","Full-In"))))))</f>
        <v>0</v>
      </c>
      <c r="J709" s="29"/>
      <c r="K709" s="40"/>
      <c r="L709" s="40"/>
      <c r="M709" s="41"/>
      <c r="N709" s="39" t="s">
        <v>2335</v>
      </c>
      <c r="O709" s="46" t="b">
        <f aca="false">FALSE()</f>
        <v>0</v>
      </c>
      <c r="P709" s="20" t="n">
        <v>0</v>
      </c>
      <c r="Q709" s="45" t="n">
        <v>0</v>
      </c>
      <c r="R709" s="43" t="n">
        <v>0</v>
      </c>
      <c r="S709" s="20" t="n">
        <v>0</v>
      </c>
    </row>
    <row r="710" customFormat="false" ht="15.75" hidden="false" customHeight="false" outlineLevel="0" collapsed="false">
      <c r="A710" s="39" t="n">
        <v>0</v>
      </c>
      <c r="B710" s="44" t="str">
        <v/>
      </c>
      <c r="C710" s="39" t="n">
        <v>0</v>
      </c>
      <c r="D710" s="39" t="n">
        <v>0</v>
      </c>
      <c r="E710" s="39" t="str">
        <v/>
      </c>
      <c r="F710" s="45" t="n">
        <v>0</v>
      </c>
      <c r="G710" s="40" t="n">
        <v>0</v>
      </c>
      <c r="H710" s="39" t="n">
        <v>0</v>
      </c>
      <c r="I710" s="49" t="b">
        <f aca="false">IF(ISBLANK(H710),"", IF($H$2:$H2209 = "Gohar Rehan","Overnight",IF($H$2:$H2209 = "Taufeeq Akhtar ","Overnight",IF($H$2:$H2209 = "Zeeshan Ali Malik","Audit",IF($H$2:$H2209 = "Ali Raza ","Receiving",IF($H$2:$H2209 = "Ali Ahmad","Full-In"))))))</f>
        <v>0</v>
      </c>
      <c r="J710" s="29"/>
      <c r="K710" s="40"/>
      <c r="L710" s="40"/>
      <c r="M710" s="41"/>
      <c r="N710" s="39" t="s">
        <v>2335</v>
      </c>
      <c r="O710" s="46" t="b">
        <f aca="false">FALSE()</f>
        <v>0</v>
      </c>
      <c r="P710" s="20" t="n">
        <v>0</v>
      </c>
      <c r="Q710" s="45" t="n">
        <v>0</v>
      </c>
      <c r="R710" s="43" t="n">
        <v>0</v>
      </c>
      <c r="S710" s="20" t="n">
        <v>0</v>
      </c>
    </row>
    <row r="711" customFormat="false" ht="15.75" hidden="false" customHeight="false" outlineLevel="0" collapsed="false">
      <c r="A711" s="39" t="n">
        <v>0</v>
      </c>
      <c r="B711" s="44" t="str">
        <v/>
      </c>
      <c r="C711" s="39" t="n">
        <v>0</v>
      </c>
      <c r="D711" s="39" t="n">
        <v>0</v>
      </c>
      <c r="E711" s="39" t="str">
        <v/>
      </c>
      <c r="F711" s="45" t="n">
        <v>0</v>
      </c>
      <c r="G711" s="40" t="n">
        <v>0</v>
      </c>
      <c r="H711" s="39" t="n">
        <v>0</v>
      </c>
      <c r="I711" s="49" t="b">
        <f aca="false">IF(ISBLANK(H711),"", IF($H$2:$H2210 = "Gohar Rehan","Overnight",IF($H$2:$H2210 = "Taufeeq Akhtar ","Overnight",IF($H$2:$H2210 = "Zeeshan Ali Malik","Audit",IF($H$2:$H2210 = "Ali Raza ","Receiving",IF($H$2:$H2210 = "Ali Ahmad","Full-In"))))))</f>
        <v>0</v>
      </c>
      <c r="J711" s="29"/>
      <c r="K711" s="40"/>
      <c r="L711" s="40"/>
      <c r="M711" s="41"/>
      <c r="N711" s="39" t="s">
        <v>2335</v>
      </c>
      <c r="O711" s="46" t="b">
        <f aca="false">FALSE()</f>
        <v>0</v>
      </c>
      <c r="P711" s="20" t="n">
        <v>0</v>
      </c>
      <c r="Q711" s="45" t="n">
        <v>0</v>
      </c>
      <c r="R711" s="43" t="n">
        <v>0</v>
      </c>
      <c r="S711" s="20" t="n">
        <v>0</v>
      </c>
    </row>
    <row r="712" customFormat="false" ht="15.75" hidden="false" customHeight="false" outlineLevel="0" collapsed="false">
      <c r="A712" s="39" t="n">
        <v>0</v>
      </c>
      <c r="B712" s="44" t="str">
        <v/>
      </c>
      <c r="C712" s="39" t="n">
        <v>0</v>
      </c>
      <c r="D712" s="39" t="n">
        <v>0</v>
      </c>
      <c r="E712" s="39" t="str">
        <v/>
      </c>
      <c r="F712" s="45" t="n">
        <v>0</v>
      </c>
      <c r="G712" s="40" t="n">
        <v>0</v>
      </c>
      <c r="H712" s="39" t="n">
        <v>0</v>
      </c>
      <c r="I712" s="49" t="b">
        <f aca="false">IF(ISBLANK(H712),"", IF($H$2:$H2211 = "Gohar Rehan","Overnight",IF($H$2:$H2211 = "Taufeeq Akhtar ","Overnight",IF($H$2:$H2211 = "Zeeshan Ali Malik","Audit",IF($H$2:$H2211 = "Ali Raza ","Receiving",IF($H$2:$H2211 = "Ali Ahmad","Full-In"))))))</f>
        <v>0</v>
      </c>
      <c r="J712" s="29"/>
      <c r="K712" s="40"/>
      <c r="L712" s="40"/>
      <c r="M712" s="41"/>
      <c r="N712" s="39" t="s">
        <v>2335</v>
      </c>
      <c r="O712" s="46" t="b">
        <f aca="false">FALSE()</f>
        <v>0</v>
      </c>
      <c r="P712" s="20" t="n">
        <v>0</v>
      </c>
      <c r="Q712" s="45" t="n">
        <v>0</v>
      </c>
      <c r="R712" s="43" t="n">
        <v>0</v>
      </c>
      <c r="S712" s="20" t="n">
        <v>0</v>
      </c>
    </row>
    <row r="713" customFormat="false" ht="15.75" hidden="false" customHeight="false" outlineLevel="0" collapsed="false">
      <c r="A713" s="39" t="n">
        <v>0</v>
      </c>
      <c r="B713" s="44" t="str">
        <v/>
      </c>
      <c r="C713" s="39" t="n">
        <v>0</v>
      </c>
      <c r="D713" s="39" t="n">
        <v>0</v>
      </c>
      <c r="E713" s="39" t="str">
        <v/>
      </c>
      <c r="F713" s="45" t="n">
        <v>0</v>
      </c>
      <c r="G713" s="40" t="n">
        <v>0</v>
      </c>
      <c r="H713" s="39" t="n">
        <v>0</v>
      </c>
      <c r="I713" s="49" t="b">
        <f aca="false">IF(ISBLANK(H713),"", IF($H$2:$H2212 = "Gohar Rehan","Overnight",IF($H$2:$H2212 = "Taufeeq Akhtar ","Overnight",IF($H$2:$H2212 = "Zeeshan Ali Malik","Audit",IF($H$2:$H2212 = "Ali Raza ","Receiving",IF($H$2:$H2212 = "Ali Ahmad","Full-In"))))))</f>
        <v>0</v>
      </c>
      <c r="J713" s="29"/>
      <c r="K713" s="40"/>
      <c r="L713" s="40"/>
      <c r="M713" s="41"/>
      <c r="N713" s="39" t="s">
        <v>2335</v>
      </c>
      <c r="O713" s="46" t="b">
        <f aca="false">FALSE()</f>
        <v>0</v>
      </c>
      <c r="P713" s="20" t="n">
        <v>0</v>
      </c>
      <c r="Q713" s="45" t="n">
        <v>0</v>
      </c>
      <c r="R713" s="43" t="n">
        <v>0</v>
      </c>
      <c r="S713" s="20" t="n">
        <v>0</v>
      </c>
    </row>
    <row r="714" customFormat="false" ht="15.75" hidden="false" customHeight="false" outlineLevel="0" collapsed="false">
      <c r="A714" s="39" t="n">
        <v>0</v>
      </c>
      <c r="B714" s="44" t="str">
        <v/>
      </c>
      <c r="C714" s="39" t="n">
        <v>0</v>
      </c>
      <c r="D714" s="39" t="n">
        <v>0</v>
      </c>
      <c r="E714" s="39" t="str">
        <v/>
      </c>
      <c r="F714" s="45" t="n">
        <v>0</v>
      </c>
      <c r="G714" s="40" t="n">
        <v>0</v>
      </c>
      <c r="H714" s="39" t="n">
        <v>0</v>
      </c>
      <c r="I714" s="49" t="b">
        <f aca="false">IF(ISBLANK(H714),"", IF($H$2:$H2213 = "Gohar Rehan","Overnight",IF($H$2:$H2213 = "Taufeeq Akhtar ","Overnight",IF($H$2:$H2213 = "Zeeshan Ali Malik","Audit",IF($H$2:$H2213 = "Ali Raza ","Receiving",IF($H$2:$H2213 = "Ali Ahmad","Full-In"))))))</f>
        <v>0</v>
      </c>
      <c r="J714" s="29"/>
      <c r="K714" s="40"/>
      <c r="L714" s="40"/>
      <c r="M714" s="41"/>
      <c r="N714" s="39" t="s">
        <v>2335</v>
      </c>
      <c r="O714" s="46" t="b">
        <f aca="false">FALSE()</f>
        <v>0</v>
      </c>
      <c r="P714" s="20" t="n">
        <v>0</v>
      </c>
      <c r="Q714" s="45" t="n">
        <v>0</v>
      </c>
      <c r="R714" s="43" t="n">
        <v>0</v>
      </c>
      <c r="S714" s="20" t="n">
        <v>0</v>
      </c>
    </row>
    <row r="715" customFormat="false" ht="15.75" hidden="false" customHeight="false" outlineLevel="0" collapsed="false">
      <c r="A715" s="39" t="n">
        <v>0</v>
      </c>
      <c r="B715" s="44" t="str">
        <v/>
      </c>
      <c r="C715" s="39" t="n">
        <v>0</v>
      </c>
      <c r="D715" s="39" t="n">
        <v>0</v>
      </c>
      <c r="E715" s="39" t="str">
        <v/>
      </c>
      <c r="F715" s="45" t="n">
        <v>0</v>
      </c>
      <c r="G715" s="40" t="n">
        <v>0</v>
      </c>
      <c r="H715" s="39" t="n">
        <v>0</v>
      </c>
      <c r="I715" s="49" t="b">
        <f aca="false">IF(ISBLANK(H715),"", IF($H$2:$H2214 = "Gohar Rehan","Overnight",IF($H$2:$H2214 = "Taufeeq Akhtar ","Overnight",IF($H$2:$H2214 = "Zeeshan Ali Malik","Audit",IF($H$2:$H2214 = "Ali Raza ","Receiving",IF($H$2:$H2214 = "Ali Ahmad","Full-In"))))))</f>
        <v>0</v>
      </c>
      <c r="J715" s="29"/>
      <c r="K715" s="40"/>
      <c r="L715" s="40"/>
      <c r="M715" s="41"/>
      <c r="N715" s="39" t="s">
        <v>2335</v>
      </c>
      <c r="O715" s="46" t="b">
        <f aca="false">FALSE()</f>
        <v>0</v>
      </c>
      <c r="P715" s="20" t="n">
        <v>0</v>
      </c>
      <c r="Q715" s="45" t="n">
        <v>0</v>
      </c>
      <c r="R715" s="43" t="n">
        <v>0</v>
      </c>
      <c r="S715" s="20" t="n">
        <v>0</v>
      </c>
    </row>
    <row r="716" customFormat="false" ht="15.75" hidden="false" customHeight="false" outlineLevel="0" collapsed="false">
      <c r="A716" s="39" t="n">
        <v>0</v>
      </c>
      <c r="B716" s="44" t="str">
        <v/>
      </c>
      <c r="C716" s="39" t="n">
        <v>0</v>
      </c>
      <c r="D716" s="39" t="n">
        <v>0</v>
      </c>
      <c r="E716" s="39" t="str">
        <v/>
      </c>
      <c r="F716" s="45" t="n">
        <v>0</v>
      </c>
      <c r="G716" s="40" t="n">
        <v>0</v>
      </c>
      <c r="H716" s="39" t="n">
        <v>0</v>
      </c>
      <c r="I716" s="49" t="b">
        <f aca="false">IF(ISBLANK(H716),"", IF($H$2:$H2215 = "Gohar Rehan","Overnight",IF($H$2:$H2215 = "Taufeeq Akhtar ","Overnight",IF($H$2:$H2215 = "Zeeshan Ali Malik","Audit",IF($H$2:$H2215 = "Ali Raza ","Receiving",IF($H$2:$H2215 = "Ali Ahmad","Full-In"))))))</f>
        <v>0</v>
      </c>
      <c r="J716" s="29"/>
      <c r="K716" s="40"/>
      <c r="L716" s="40"/>
      <c r="M716" s="41"/>
      <c r="N716" s="39" t="s">
        <v>2335</v>
      </c>
      <c r="O716" s="46" t="b">
        <f aca="false">FALSE()</f>
        <v>0</v>
      </c>
      <c r="P716" s="20" t="n">
        <v>0</v>
      </c>
      <c r="Q716" s="45" t="n">
        <v>0</v>
      </c>
      <c r="R716" s="43" t="n">
        <v>0</v>
      </c>
      <c r="S716" s="20" t="n">
        <v>0</v>
      </c>
    </row>
    <row r="717" customFormat="false" ht="15.75" hidden="false" customHeight="false" outlineLevel="0" collapsed="false">
      <c r="A717" s="39" t="n">
        <v>0</v>
      </c>
      <c r="B717" s="44" t="str">
        <v/>
      </c>
      <c r="C717" s="39" t="n">
        <v>0</v>
      </c>
      <c r="D717" s="39" t="n">
        <v>0</v>
      </c>
      <c r="E717" s="39" t="str">
        <v/>
      </c>
      <c r="F717" s="45" t="n">
        <v>0</v>
      </c>
      <c r="G717" s="40" t="n">
        <v>0</v>
      </c>
      <c r="H717" s="39" t="n">
        <v>0</v>
      </c>
      <c r="I717" s="49" t="b">
        <f aca="false">IF(ISBLANK(H717),"", IF($H$2:$H2216 = "Gohar Rehan","Overnight",IF($H$2:$H2216 = "Taufeeq Akhtar ","Overnight",IF($H$2:$H2216 = "Zeeshan Ali Malik","Audit",IF($H$2:$H2216 = "Ali Raza ","Receiving",IF($H$2:$H2216 = "Ali Ahmad","Full-In"))))))</f>
        <v>0</v>
      </c>
      <c r="J717" s="29"/>
      <c r="K717" s="40"/>
      <c r="L717" s="40"/>
      <c r="M717" s="41"/>
      <c r="N717" s="39" t="s">
        <v>2335</v>
      </c>
      <c r="O717" s="46" t="b">
        <f aca="false">FALSE()</f>
        <v>0</v>
      </c>
      <c r="P717" s="20" t="n">
        <v>0</v>
      </c>
      <c r="Q717" s="45" t="n">
        <v>0</v>
      </c>
      <c r="R717" s="43" t="n">
        <v>0</v>
      </c>
      <c r="S717" s="20" t="n">
        <v>0</v>
      </c>
    </row>
    <row r="718" customFormat="false" ht="15.75" hidden="false" customHeight="false" outlineLevel="0" collapsed="false">
      <c r="A718" s="39" t="n">
        <v>0</v>
      </c>
      <c r="B718" s="44" t="str">
        <v/>
      </c>
      <c r="C718" s="39" t="n">
        <v>0</v>
      </c>
      <c r="D718" s="39" t="n">
        <v>0</v>
      </c>
      <c r="E718" s="39" t="str">
        <v/>
      </c>
      <c r="F718" s="45" t="n">
        <v>0</v>
      </c>
      <c r="G718" s="40" t="n">
        <v>0</v>
      </c>
      <c r="H718" s="39" t="n">
        <v>0</v>
      </c>
      <c r="I718" s="49" t="b">
        <f aca="false">IF(ISBLANK(H718),"", IF($H$2:$H2217 = "Gohar Rehan","Overnight",IF($H$2:$H2217 = "Taufeeq Akhtar ","Overnight",IF($H$2:$H2217 = "Zeeshan Ali Malik","Audit",IF($H$2:$H2217 = "Ali Raza ","Receiving",IF($H$2:$H2217 = "Ali Ahmad","Full-In"))))))</f>
        <v>0</v>
      </c>
      <c r="J718" s="29"/>
      <c r="K718" s="40"/>
      <c r="L718" s="40"/>
      <c r="M718" s="41"/>
      <c r="N718" s="39" t="s">
        <v>2335</v>
      </c>
      <c r="O718" s="46" t="b">
        <f aca="false">FALSE()</f>
        <v>0</v>
      </c>
      <c r="P718" s="20" t="n">
        <v>0</v>
      </c>
      <c r="Q718" s="45" t="n">
        <v>0</v>
      </c>
      <c r="R718" s="43" t="n">
        <v>0</v>
      </c>
      <c r="S718" s="20" t="n">
        <v>0</v>
      </c>
    </row>
    <row r="719" customFormat="false" ht="15.75" hidden="false" customHeight="false" outlineLevel="0" collapsed="false">
      <c r="A719" s="39" t="n">
        <v>0</v>
      </c>
      <c r="B719" s="44" t="str">
        <v/>
      </c>
      <c r="C719" s="39" t="n">
        <v>0</v>
      </c>
      <c r="D719" s="39" t="n">
        <v>0</v>
      </c>
      <c r="E719" s="39" t="str">
        <v/>
      </c>
      <c r="F719" s="45" t="n">
        <v>0</v>
      </c>
      <c r="G719" s="40" t="n">
        <v>0</v>
      </c>
      <c r="H719" s="39" t="n">
        <v>0</v>
      </c>
      <c r="I719" s="49" t="b">
        <f aca="false">IF(ISBLANK(H719),"", IF($H$2:$H2218 = "Gohar Rehan","Overnight",IF($H$2:$H2218 = "Taufeeq Akhtar ","Overnight",IF($H$2:$H2218 = "Zeeshan Ali Malik","Audit",IF($H$2:$H2218 = "Ali Raza ","Receiving",IF($H$2:$H2218 = "Ali Ahmad","Full-In"))))))</f>
        <v>0</v>
      </c>
      <c r="J719" s="29"/>
      <c r="K719" s="40"/>
      <c r="L719" s="40"/>
      <c r="M719" s="41"/>
      <c r="N719" s="39" t="s">
        <v>2335</v>
      </c>
      <c r="O719" s="46" t="b">
        <f aca="false">FALSE()</f>
        <v>0</v>
      </c>
      <c r="P719" s="20" t="n">
        <v>0</v>
      </c>
      <c r="Q719" s="45" t="n">
        <v>0</v>
      </c>
      <c r="R719" s="43" t="n">
        <v>0</v>
      </c>
      <c r="S719" s="20" t="n">
        <v>0</v>
      </c>
    </row>
    <row r="720" customFormat="false" ht="15.75" hidden="false" customHeight="false" outlineLevel="0" collapsed="false">
      <c r="A720" s="39" t="n">
        <v>0</v>
      </c>
      <c r="B720" s="44" t="str">
        <v/>
      </c>
      <c r="C720" s="39" t="n">
        <v>0</v>
      </c>
      <c r="D720" s="39" t="n">
        <v>0</v>
      </c>
      <c r="E720" s="39" t="str">
        <v/>
      </c>
      <c r="F720" s="45" t="n">
        <v>0</v>
      </c>
      <c r="G720" s="40" t="n">
        <v>0</v>
      </c>
      <c r="H720" s="39" t="n">
        <v>0</v>
      </c>
      <c r="I720" s="49" t="b">
        <f aca="false">IF(ISBLANK(H720),"", IF($H$2:$H2219 = "Gohar Rehan","Overnight",IF($H$2:$H2219 = "Taufeeq Akhtar ","Overnight",IF($H$2:$H2219 = "Zeeshan Ali Malik","Audit",IF($H$2:$H2219 = "Ali Raza ","Receiving",IF($H$2:$H2219 = "Ali Ahmad","Full-In"))))))</f>
        <v>0</v>
      </c>
      <c r="J720" s="29"/>
      <c r="K720" s="40"/>
      <c r="L720" s="40"/>
      <c r="M720" s="41"/>
      <c r="N720" s="39" t="s">
        <v>2335</v>
      </c>
      <c r="O720" s="46" t="b">
        <f aca="false">FALSE()</f>
        <v>0</v>
      </c>
      <c r="P720" s="20" t="n">
        <v>0</v>
      </c>
      <c r="Q720" s="45" t="n">
        <v>0</v>
      </c>
      <c r="R720" s="43" t="n">
        <v>0</v>
      </c>
      <c r="S720" s="20" t="n">
        <v>0</v>
      </c>
    </row>
    <row r="721" customFormat="false" ht="15.75" hidden="false" customHeight="false" outlineLevel="0" collapsed="false">
      <c r="A721" s="39" t="n">
        <v>0</v>
      </c>
      <c r="B721" s="44" t="str">
        <v/>
      </c>
      <c r="C721" s="39" t="n">
        <v>0</v>
      </c>
      <c r="D721" s="39" t="n">
        <v>0</v>
      </c>
      <c r="E721" s="39" t="str">
        <v/>
      </c>
      <c r="F721" s="45" t="n">
        <v>0</v>
      </c>
      <c r="G721" s="40" t="n">
        <v>0</v>
      </c>
      <c r="H721" s="39" t="n">
        <v>0</v>
      </c>
      <c r="I721" s="49" t="b">
        <f aca="false">IF(ISBLANK(H721),"", IF($H$2:$H2220 = "Gohar Rehan","Overnight",IF($H$2:$H2220 = "Taufeeq Akhtar ","Overnight",IF($H$2:$H2220 = "Zeeshan Ali Malik","Audit",IF($H$2:$H2220 = "Ali Raza ","Receiving",IF($H$2:$H2220 = "Ali Ahmad","Full-In"))))))</f>
        <v>0</v>
      </c>
      <c r="J721" s="29"/>
      <c r="K721" s="40"/>
      <c r="L721" s="40"/>
      <c r="M721" s="41"/>
      <c r="N721" s="39" t="s">
        <v>2335</v>
      </c>
      <c r="O721" s="46" t="b">
        <f aca="false">FALSE()</f>
        <v>0</v>
      </c>
      <c r="P721" s="20" t="n">
        <v>0</v>
      </c>
      <c r="Q721" s="45" t="n">
        <v>0</v>
      </c>
      <c r="R721" s="43" t="n">
        <v>0</v>
      </c>
      <c r="S721" s="20" t="n">
        <v>0</v>
      </c>
    </row>
    <row r="722" customFormat="false" ht="15.75" hidden="false" customHeight="false" outlineLevel="0" collapsed="false">
      <c r="A722" s="39" t="n">
        <v>0</v>
      </c>
      <c r="B722" s="44" t="str">
        <v/>
      </c>
      <c r="C722" s="39" t="n">
        <v>0</v>
      </c>
      <c r="D722" s="39" t="n">
        <v>0</v>
      </c>
      <c r="E722" s="39" t="str">
        <v/>
      </c>
      <c r="F722" s="45" t="n">
        <v>0</v>
      </c>
      <c r="G722" s="40" t="n">
        <v>0</v>
      </c>
      <c r="H722" s="39" t="n">
        <v>0</v>
      </c>
      <c r="I722" s="49" t="b">
        <f aca="false">IF(ISBLANK(H722),"", IF($H$2:$H2221 = "Gohar Rehan","Overnight",IF($H$2:$H2221 = "Taufeeq Akhtar ","Overnight",IF($H$2:$H2221 = "Zeeshan Ali Malik","Audit",IF($H$2:$H2221 = "Ali Raza ","Receiving",IF($H$2:$H2221 = "Ali Ahmad","Full-In"))))))</f>
        <v>0</v>
      </c>
      <c r="J722" s="29"/>
      <c r="K722" s="40"/>
      <c r="L722" s="40"/>
      <c r="M722" s="41"/>
      <c r="N722" s="39" t="s">
        <v>2335</v>
      </c>
      <c r="O722" s="46" t="b">
        <f aca="false">FALSE()</f>
        <v>0</v>
      </c>
      <c r="P722" s="20" t="n">
        <v>0</v>
      </c>
      <c r="Q722" s="45" t="n">
        <v>0</v>
      </c>
      <c r="R722" s="43" t="n">
        <v>0</v>
      </c>
      <c r="S722" s="20" t="n">
        <v>0</v>
      </c>
    </row>
    <row r="723" customFormat="false" ht="15.75" hidden="false" customHeight="false" outlineLevel="0" collapsed="false">
      <c r="A723" s="39" t="n">
        <v>0</v>
      </c>
      <c r="B723" s="44" t="str">
        <v/>
      </c>
      <c r="C723" s="39" t="n">
        <v>0</v>
      </c>
      <c r="D723" s="39" t="n">
        <v>0</v>
      </c>
      <c r="E723" s="39" t="str">
        <v/>
      </c>
      <c r="F723" s="45" t="n">
        <v>0</v>
      </c>
      <c r="G723" s="40" t="n">
        <v>0</v>
      </c>
      <c r="H723" s="39" t="n">
        <v>0</v>
      </c>
      <c r="I723" s="49" t="b">
        <f aca="false">IF(ISBLANK(H723),"", IF($H$2:$H2222 = "Gohar Rehan","Overnight",IF($H$2:$H2222 = "Taufeeq Akhtar ","Overnight",IF($H$2:$H2222 = "Zeeshan Ali Malik","Audit",IF($H$2:$H2222 = "Ali Raza ","Receiving",IF($H$2:$H2222 = "Ali Ahmad","Full-In"))))))</f>
        <v>0</v>
      </c>
      <c r="J723" s="29"/>
      <c r="K723" s="40"/>
      <c r="L723" s="40"/>
      <c r="M723" s="41"/>
      <c r="N723" s="39" t="s">
        <v>2335</v>
      </c>
      <c r="O723" s="46" t="b">
        <f aca="false">FALSE()</f>
        <v>0</v>
      </c>
      <c r="P723" s="20" t="n">
        <v>0</v>
      </c>
      <c r="Q723" s="45" t="n">
        <v>0</v>
      </c>
      <c r="R723" s="43" t="n">
        <v>0</v>
      </c>
      <c r="S723" s="20" t="n">
        <v>0</v>
      </c>
    </row>
    <row r="724" customFormat="false" ht="15.75" hidden="false" customHeight="false" outlineLevel="0" collapsed="false">
      <c r="A724" s="39" t="n">
        <v>0</v>
      </c>
      <c r="B724" s="44" t="str">
        <v/>
      </c>
      <c r="C724" s="39" t="n">
        <v>0</v>
      </c>
      <c r="D724" s="39" t="n">
        <v>0</v>
      </c>
      <c r="E724" s="39" t="str">
        <v/>
      </c>
      <c r="F724" s="45" t="n">
        <v>0</v>
      </c>
      <c r="G724" s="40" t="n">
        <v>0</v>
      </c>
      <c r="H724" s="39" t="n">
        <v>0</v>
      </c>
      <c r="I724" s="49" t="b">
        <f aca="false">IF(ISBLANK(H724),"", IF($H$2:$H2223 = "Gohar Rehan","Overnight",IF($H$2:$H2223 = "Taufeeq Akhtar ","Overnight",IF($H$2:$H2223 = "Zeeshan Ali Malik","Audit",IF($H$2:$H2223 = "Ali Raza ","Receiving",IF($H$2:$H2223 = "Ali Ahmad","Full-In"))))))</f>
        <v>0</v>
      </c>
      <c r="J724" s="29"/>
      <c r="K724" s="40"/>
      <c r="L724" s="40"/>
      <c r="M724" s="41"/>
      <c r="N724" s="39" t="s">
        <v>2335</v>
      </c>
      <c r="O724" s="46" t="b">
        <f aca="false">FALSE()</f>
        <v>0</v>
      </c>
      <c r="P724" s="20" t="n">
        <v>0</v>
      </c>
      <c r="Q724" s="45" t="n">
        <v>0</v>
      </c>
      <c r="R724" s="43" t="n">
        <v>0</v>
      </c>
      <c r="S724" s="20" t="n">
        <v>0</v>
      </c>
    </row>
    <row r="725" customFormat="false" ht="15.75" hidden="false" customHeight="false" outlineLevel="0" collapsed="false">
      <c r="A725" s="39" t="n">
        <v>0</v>
      </c>
      <c r="B725" s="44" t="str">
        <v/>
      </c>
      <c r="C725" s="39" t="n">
        <v>0</v>
      </c>
      <c r="D725" s="39" t="n">
        <v>0</v>
      </c>
      <c r="E725" s="39" t="str">
        <v/>
      </c>
      <c r="F725" s="45" t="n">
        <v>0</v>
      </c>
      <c r="G725" s="40" t="n">
        <v>0</v>
      </c>
      <c r="H725" s="39" t="n">
        <v>0</v>
      </c>
      <c r="I725" s="49" t="b">
        <f aca="false">IF(ISBLANK(H725),"", IF($H$2:$H2224 = "Gohar Rehan","Overnight",IF($H$2:$H2224 = "Taufeeq Akhtar ","Overnight",IF($H$2:$H2224 = "Zeeshan Ali Malik","Audit",IF($H$2:$H2224 = "Ali Raza ","Receiving",IF($H$2:$H2224 = "Ali Ahmad","Full-In"))))))</f>
        <v>0</v>
      </c>
      <c r="J725" s="29"/>
      <c r="K725" s="40"/>
      <c r="L725" s="40"/>
      <c r="M725" s="41"/>
      <c r="N725" s="39" t="s">
        <v>2335</v>
      </c>
      <c r="O725" s="46" t="b">
        <f aca="false">FALSE()</f>
        <v>0</v>
      </c>
      <c r="P725" s="20" t="n">
        <v>0</v>
      </c>
      <c r="Q725" s="45" t="n">
        <v>0</v>
      </c>
      <c r="R725" s="43" t="n">
        <v>0</v>
      </c>
      <c r="S725" s="20" t="n">
        <v>0</v>
      </c>
    </row>
    <row r="726" customFormat="false" ht="15.75" hidden="false" customHeight="false" outlineLevel="0" collapsed="false">
      <c r="A726" s="39" t="n">
        <v>0</v>
      </c>
      <c r="B726" s="44" t="str">
        <v/>
      </c>
      <c r="C726" s="39" t="n">
        <v>0</v>
      </c>
      <c r="D726" s="39" t="n">
        <v>0</v>
      </c>
      <c r="E726" s="39" t="str">
        <v/>
      </c>
      <c r="F726" s="45" t="n">
        <v>0</v>
      </c>
      <c r="G726" s="40" t="n">
        <v>0</v>
      </c>
      <c r="H726" s="39" t="n">
        <v>0</v>
      </c>
      <c r="I726" s="49" t="b">
        <f aca="false">IF(ISBLANK(H726),"", IF($H$2:$H2225 = "Gohar Rehan","Overnight",IF($H$2:$H2225 = "Taufeeq Akhtar ","Overnight",IF($H$2:$H2225 = "Zeeshan Ali Malik","Audit",IF($H$2:$H2225 = "Ali Raza ","Receiving",IF($H$2:$H2225 = "Ali Ahmad","Full-In"))))))</f>
        <v>0</v>
      </c>
      <c r="J726" s="29"/>
      <c r="K726" s="40"/>
      <c r="L726" s="40"/>
      <c r="M726" s="41"/>
      <c r="N726" s="39" t="s">
        <v>2335</v>
      </c>
      <c r="O726" s="46" t="b">
        <f aca="false">FALSE()</f>
        <v>0</v>
      </c>
      <c r="P726" s="20" t="n">
        <v>0</v>
      </c>
      <c r="Q726" s="45" t="n">
        <v>0</v>
      </c>
      <c r="R726" s="43" t="n">
        <v>0</v>
      </c>
      <c r="S726" s="20" t="n">
        <v>0</v>
      </c>
    </row>
    <row r="727" customFormat="false" ht="15.75" hidden="false" customHeight="false" outlineLevel="0" collapsed="false">
      <c r="A727" s="39" t="n">
        <v>0</v>
      </c>
      <c r="B727" s="44" t="str">
        <v/>
      </c>
      <c r="C727" s="39" t="n">
        <v>0</v>
      </c>
      <c r="D727" s="39" t="n">
        <v>0</v>
      </c>
      <c r="E727" s="39" t="str">
        <v/>
      </c>
      <c r="F727" s="45" t="n">
        <v>0</v>
      </c>
      <c r="G727" s="40" t="n">
        <v>0</v>
      </c>
      <c r="H727" s="39" t="n">
        <v>0</v>
      </c>
      <c r="I727" s="49" t="b">
        <f aca="false">IF(ISBLANK(H727),"", IF($H$2:$H2226 = "Gohar Rehan","Overnight",IF($H$2:$H2226 = "Taufeeq Akhtar ","Overnight",IF($H$2:$H2226 = "Zeeshan Ali Malik","Audit",IF($H$2:$H2226 = "Ali Raza ","Receiving",IF($H$2:$H2226 = "Ali Ahmad","Full-In"))))))</f>
        <v>0</v>
      </c>
      <c r="J727" s="29"/>
      <c r="K727" s="40"/>
      <c r="L727" s="40"/>
      <c r="M727" s="41"/>
      <c r="N727" s="39" t="s">
        <v>2335</v>
      </c>
      <c r="O727" s="46" t="b">
        <f aca="false">FALSE()</f>
        <v>0</v>
      </c>
      <c r="P727" s="20" t="n">
        <v>0</v>
      </c>
      <c r="Q727" s="45" t="n">
        <v>0</v>
      </c>
      <c r="R727" s="43" t="n">
        <v>0</v>
      </c>
      <c r="S727" s="20" t="n">
        <v>0</v>
      </c>
    </row>
    <row r="728" customFormat="false" ht="15.75" hidden="false" customHeight="false" outlineLevel="0" collapsed="false">
      <c r="A728" s="39" t="n">
        <v>0</v>
      </c>
      <c r="B728" s="44" t="str">
        <v/>
      </c>
      <c r="C728" s="39" t="n">
        <v>0</v>
      </c>
      <c r="D728" s="39" t="n">
        <v>0</v>
      </c>
      <c r="E728" s="39" t="str">
        <v/>
      </c>
      <c r="F728" s="45" t="n">
        <v>0</v>
      </c>
      <c r="G728" s="40" t="n">
        <v>0</v>
      </c>
      <c r="H728" s="39" t="n">
        <v>0</v>
      </c>
      <c r="I728" s="49" t="b">
        <f aca="false">IF(ISBLANK(H728),"", IF($H$2:$H2227 = "Gohar Rehan","Overnight",IF($H$2:$H2227 = "Taufeeq Akhtar ","Overnight",IF($H$2:$H2227 = "Zeeshan Ali Malik","Audit",IF($H$2:$H2227 = "Ali Raza ","Receiving",IF($H$2:$H2227 = "Ali Ahmad","Full-In"))))))</f>
        <v>0</v>
      </c>
      <c r="J728" s="29"/>
      <c r="K728" s="40"/>
      <c r="L728" s="40"/>
      <c r="M728" s="41"/>
      <c r="N728" s="39" t="s">
        <v>2335</v>
      </c>
      <c r="O728" s="46" t="b">
        <f aca="false">FALSE()</f>
        <v>0</v>
      </c>
      <c r="P728" s="20" t="n">
        <v>0</v>
      </c>
      <c r="Q728" s="45" t="n">
        <v>0</v>
      </c>
      <c r="R728" s="43" t="n">
        <v>0</v>
      </c>
      <c r="S728" s="20" t="n">
        <v>0</v>
      </c>
    </row>
    <row r="729" customFormat="false" ht="15.75" hidden="false" customHeight="false" outlineLevel="0" collapsed="false">
      <c r="A729" s="39" t="n">
        <v>0</v>
      </c>
      <c r="B729" s="44" t="str">
        <v/>
      </c>
      <c r="C729" s="39" t="n">
        <v>0</v>
      </c>
      <c r="D729" s="39" t="n">
        <v>0</v>
      </c>
      <c r="E729" s="39" t="str">
        <v/>
      </c>
      <c r="F729" s="45" t="n">
        <v>0</v>
      </c>
      <c r="G729" s="40" t="n">
        <v>0</v>
      </c>
      <c r="H729" s="39" t="n">
        <v>0</v>
      </c>
      <c r="I729" s="49" t="b">
        <f aca="false">IF(ISBLANK(H729),"", IF($H$2:$H2228 = "Gohar Rehan","Overnight",IF($H$2:$H2228 = "Taufeeq Akhtar ","Overnight",IF($H$2:$H2228 = "Zeeshan Ali Malik","Audit",IF($H$2:$H2228 = "Ali Raza ","Receiving",IF($H$2:$H2228 = "Ali Ahmad","Full-In"))))))</f>
        <v>0</v>
      </c>
      <c r="J729" s="29"/>
      <c r="K729" s="40"/>
      <c r="L729" s="40"/>
      <c r="M729" s="41"/>
      <c r="N729" s="39" t="s">
        <v>2335</v>
      </c>
      <c r="O729" s="46" t="b">
        <f aca="false">FALSE()</f>
        <v>0</v>
      </c>
      <c r="P729" s="20" t="n">
        <v>0</v>
      </c>
      <c r="Q729" s="45" t="n">
        <v>0</v>
      </c>
      <c r="R729" s="43" t="n">
        <v>0</v>
      </c>
      <c r="S729" s="20" t="n">
        <v>0</v>
      </c>
    </row>
    <row r="730" customFormat="false" ht="15.75" hidden="false" customHeight="false" outlineLevel="0" collapsed="false">
      <c r="A730" s="39" t="n">
        <v>0</v>
      </c>
      <c r="B730" s="44" t="str">
        <v/>
      </c>
      <c r="C730" s="39" t="n">
        <v>0</v>
      </c>
      <c r="D730" s="39" t="n">
        <v>0</v>
      </c>
      <c r="E730" s="39" t="str">
        <v/>
      </c>
      <c r="F730" s="45" t="n">
        <v>0</v>
      </c>
      <c r="G730" s="40" t="n">
        <v>0</v>
      </c>
      <c r="H730" s="39" t="n">
        <v>0</v>
      </c>
      <c r="I730" s="49" t="b">
        <f aca="false">IF(ISBLANK(H730),"", IF($H$2:$H2229 = "Gohar Rehan","Overnight",IF($H$2:$H2229 = "Taufeeq Akhtar ","Overnight",IF($H$2:$H2229 = "Zeeshan Ali Malik","Audit",IF($H$2:$H2229 = "Ali Raza ","Receiving",IF($H$2:$H2229 = "Ali Ahmad","Full-In"))))))</f>
        <v>0</v>
      </c>
      <c r="J730" s="29"/>
      <c r="K730" s="40"/>
      <c r="L730" s="40"/>
      <c r="M730" s="41"/>
      <c r="N730" s="39" t="s">
        <v>2335</v>
      </c>
      <c r="O730" s="46" t="b">
        <f aca="false">FALSE()</f>
        <v>0</v>
      </c>
      <c r="P730" s="20" t="n">
        <v>0</v>
      </c>
      <c r="Q730" s="45" t="n">
        <v>0</v>
      </c>
      <c r="R730" s="43" t="n">
        <v>0</v>
      </c>
      <c r="S730" s="20" t="n">
        <v>0</v>
      </c>
    </row>
    <row r="731" customFormat="false" ht="15.75" hidden="false" customHeight="false" outlineLevel="0" collapsed="false">
      <c r="A731" s="39" t="n">
        <v>0</v>
      </c>
      <c r="B731" s="44" t="str">
        <v/>
      </c>
      <c r="C731" s="39" t="n">
        <v>0</v>
      </c>
      <c r="D731" s="39" t="n">
        <v>0</v>
      </c>
      <c r="E731" s="39" t="str">
        <v/>
      </c>
      <c r="F731" s="45" t="n">
        <v>0</v>
      </c>
      <c r="G731" s="40" t="n">
        <v>0</v>
      </c>
      <c r="H731" s="39" t="n">
        <v>0</v>
      </c>
      <c r="I731" s="49" t="b">
        <f aca="false">IF(ISBLANK(H731),"", IF($H$2:$H2230 = "Gohar Rehan","Overnight",IF($H$2:$H2230 = "Taufeeq Akhtar ","Overnight",IF($H$2:$H2230 = "Zeeshan Ali Malik","Audit",IF($H$2:$H2230 = "Ali Raza ","Receiving",IF($H$2:$H2230 = "Ali Ahmad","Full-In"))))))</f>
        <v>0</v>
      </c>
      <c r="J731" s="29"/>
      <c r="K731" s="40"/>
      <c r="L731" s="40"/>
      <c r="M731" s="41"/>
      <c r="N731" s="39" t="s">
        <v>2335</v>
      </c>
      <c r="O731" s="46" t="b">
        <f aca="false">FALSE()</f>
        <v>0</v>
      </c>
      <c r="P731" s="20" t="n">
        <v>0</v>
      </c>
      <c r="Q731" s="45" t="n">
        <v>0</v>
      </c>
      <c r="R731" s="43" t="n">
        <v>0</v>
      </c>
      <c r="S731" s="20" t="n">
        <v>0</v>
      </c>
    </row>
    <row r="732" customFormat="false" ht="15.75" hidden="false" customHeight="false" outlineLevel="0" collapsed="false">
      <c r="A732" s="39" t="n">
        <v>0</v>
      </c>
      <c r="B732" s="44" t="str">
        <v/>
      </c>
      <c r="C732" s="39" t="n">
        <v>0</v>
      </c>
      <c r="D732" s="39" t="n">
        <v>0</v>
      </c>
      <c r="E732" s="39" t="str">
        <v/>
      </c>
      <c r="F732" s="45" t="n">
        <v>0</v>
      </c>
      <c r="G732" s="40" t="n">
        <v>0</v>
      </c>
      <c r="H732" s="39" t="n">
        <v>0</v>
      </c>
      <c r="I732" s="49" t="b">
        <f aca="false">IF(ISBLANK(H732),"", IF($H$2:$H2231 = "Gohar Rehan","Overnight",IF($H$2:$H2231 = "Taufeeq Akhtar ","Overnight",IF($H$2:$H2231 = "Zeeshan Ali Malik","Audit",IF($H$2:$H2231 = "Ali Raza ","Receiving",IF($H$2:$H2231 = "Ali Ahmad","Full-In"))))))</f>
        <v>0</v>
      </c>
      <c r="J732" s="29"/>
      <c r="K732" s="40"/>
      <c r="L732" s="40"/>
      <c r="M732" s="41"/>
      <c r="N732" s="39" t="s">
        <v>2335</v>
      </c>
      <c r="O732" s="46" t="b">
        <f aca="false">FALSE()</f>
        <v>0</v>
      </c>
      <c r="P732" s="20" t="n">
        <v>0</v>
      </c>
      <c r="Q732" s="45" t="n">
        <v>0</v>
      </c>
      <c r="R732" s="43" t="n">
        <v>0</v>
      </c>
      <c r="S732" s="20" t="n">
        <v>0</v>
      </c>
    </row>
    <row r="733" customFormat="false" ht="15.75" hidden="false" customHeight="false" outlineLevel="0" collapsed="false">
      <c r="A733" s="39" t="n">
        <v>0</v>
      </c>
      <c r="B733" s="44" t="str">
        <v/>
      </c>
      <c r="C733" s="39" t="n">
        <v>0</v>
      </c>
      <c r="D733" s="39" t="n">
        <v>0</v>
      </c>
      <c r="E733" s="39" t="str">
        <v/>
      </c>
      <c r="F733" s="45" t="n">
        <v>0</v>
      </c>
      <c r="G733" s="40" t="n">
        <v>0</v>
      </c>
      <c r="H733" s="39" t="n">
        <v>0</v>
      </c>
      <c r="I733" s="49" t="b">
        <f aca="false">IF(ISBLANK(H733),"", IF($H$2:$H2232 = "Gohar Rehan","Overnight",IF($H$2:$H2232 = "Taufeeq Akhtar ","Overnight",IF($H$2:$H2232 = "Zeeshan Ali Malik","Audit",IF($H$2:$H2232 = "Ali Raza ","Receiving",IF($H$2:$H2232 = "Ali Ahmad","Full-In"))))))</f>
        <v>0</v>
      </c>
      <c r="J733" s="29"/>
      <c r="K733" s="40"/>
      <c r="L733" s="40"/>
      <c r="M733" s="41"/>
      <c r="N733" s="39" t="s">
        <v>2335</v>
      </c>
      <c r="O733" s="46" t="b">
        <f aca="false">FALSE()</f>
        <v>0</v>
      </c>
      <c r="P733" s="20" t="n">
        <v>0</v>
      </c>
      <c r="Q733" s="45" t="n">
        <v>0</v>
      </c>
      <c r="R733" s="43" t="n">
        <v>0</v>
      </c>
      <c r="S733" s="20" t="n">
        <v>0</v>
      </c>
    </row>
    <row r="734" customFormat="false" ht="15.75" hidden="false" customHeight="false" outlineLevel="0" collapsed="false">
      <c r="A734" s="39" t="n">
        <v>0</v>
      </c>
      <c r="B734" s="44" t="str">
        <v/>
      </c>
      <c r="C734" s="39" t="n">
        <v>0</v>
      </c>
      <c r="D734" s="39" t="n">
        <v>0</v>
      </c>
      <c r="E734" s="39" t="str">
        <v/>
      </c>
      <c r="F734" s="45" t="n">
        <v>0</v>
      </c>
      <c r="G734" s="40" t="n">
        <v>0</v>
      </c>
      <c r="H734" s="39" t="n">
        <v>0</v>
      </c>
      <c r="I734" s="49" t="b">
        <f aca="false">IF(ISBLANK(H734),"", IF($H$2:$H2233 = "Gohar Rehan","Overnight",IF($H$2:$H2233 = "Taufeeq Akhtar ","Overnight",IF($H$2:$H2233 = "Zeeshan Ali Malik","Audit",IF($H$2:$H2233 = "Ali Raza ","Receiving",IF($H$2:$H2233 = "Ali Ahmad","Full-In"))))))</f>
        <v>0</v>
      </c>
      <c r="J734" s="29"/>
      <c r="K734" s="40"/>
      <c r="L734" s="40"/>
      <c r="M734" s="41"/>
      <c r="N734" s="39" t="s">
        <v>2335</v>
      </c>
      <c r="O734" s="46" t="b">
        <f aca="false">FALSE()</f>
        <v>0</v>
      </c>
      <c r="P734" s="20" t="n">
        <v>0</v>
      </c>
      <c r="Q734" s="45" t="n">
        <v>0</v>
      </c>
      <c r="R734" s="43" t="n">
        <v>0</v>
      </c>
      <c r="S734" s="20" t="n">
        <v>0</v>
      </c>
    </row>
    <row r="735" customFormat="false" ht="15.75" hidden="false" customHeight="false" outlineLevel="0" collapsed="false">
      <c r="A735" s="39" t="n">
        <v>0</v>
      </c>
      <c r="B735" s="44" t="str">
        <v/>
      </c>
      <c r="C735" s="39" t="n">
        <v>0</v>
      </c>
      <c r="D735" s="39" t="n">
        <v>0</v>
      </c>
      <c r="E735" s="39" t="str">
        <v/>
      </c>
      <c r="F735" s="45" t="n">
        <v>0</v>
      </c>
      <c r="G735" s="40" t="n">
        <v>0</v>
      </c>
      <c r="H735" s="39" t="n">
        <v>0</v>
      </c>
      <c r="I735" s="49" t="b">
        <f aca="false">IF(ISBLANK(H735),"", IF($H$2:$H2234 = "Gohar Rehan","Overnight",IF($H$2:$H2234 = "Taufeeq Akhtar ","Overnight",IF($H$2:$H2234 = "Zeeshan Ali Malik","Audit",IF($H$2:$H2234 = "Ali Raza ","Receiving",IF($H$2:$H2234 = "Ali Ahmad","Full-In"))))))</f>
        <v>0</v>
      </c>
      <c r="J735" s="29"/>
      <c r="K735" s="40"/>
      <c r="L735" s="40"/>
      <c r="M735" s="41"/>
      <c r="N735" s="39" t="s">
        <v>2335</v>
      </c>
      <c r="O735" s="46" t="b">
        <f aca="false">FALSE()</f>
        <v>0</v>
      </c>
      <c r="P735" s="20" t="n">
        <v>0</v>
      </c>
      <c r="Q735" s="45" t="n">
        <v>0</v>
      </c>
      <c r="R735" s="43" t="n">
        <v>0</v>
      </c>
      <c r="S735" s="20" t="n">
        <v>0</v>
      </c>
    </row>
    <row r="736" customFormat="false" ht="15.75" hidden="false" customHeight="false" outlineLevel="0" collapsed="false">
      <c r="A736" s="39" t="n">
        <v>0</v>
      </c>
      <c r="B736" s="44" t="str">
        <v/>
      </c>
      <c r="C736" s="39" t="n">
        <v>0</v>
      </c>
      <c r="D736" s="39" t="n">
        <v>0</v>
      </c>
      <c r="E736" s="39" t="str">
        <v/>
      </c>
      <c r="F736" s="45" t="n">
        <v>0</v>
      </c>
      <c r="G736" s="40" t="n">
        <v>0</v>
      </c>
      <c r="H736" s="39" t="n">
        <v>0</v>
      </c>
      <c r="I736" s="49" t="b">
        <f aca="false">IF(ISBLANK(H736),"", IF($H$2:$H2235 = "Gohar Rehan","Overnight",IF($H$2:$H2235 = "Taufeeq Akhtar ","Overnight",IF($H$2:$H2235 = "Zeeshan Ali Malik","Audit",IF($H$2:$H2235 = "Ali Raza ","Receiving",IF($H$2:$H2235 = "Ali Ahmad","Full-In"))))))</f>
        <v>0</v>
      </c>
      <c r="J736" s="29"/>
      <c r="K736" s="40"/>
      <c r="L736" s="40"/>
      <c r="M736" s="41"/>
      <c r="N736" s="39" t="s">
        <v>2335</v>
      </c>
      <c r="O736" s="46" t="b">
        <f aca="false">FALSE()</f>
        <v>0</v>
      </c>
      <c r="P736" s="20" t="n">
        <v>0</v>
      </c>
      <c r="Q736" s="45" t="n">
        <v>0</v>
      </c>
      <c r="R736" s="43" t="n">
        <v>0</v>
      </c>
      <c r="S736" s="20" t="n">
        <v>0</v>
      </c>
    </row>
    <row r="737" customFormat="false" ht="15.75" hidden="false" customHeight="false" outlineLevel="0" collapsed="false">
      <c r="A737" s="39" t="n">
        <v>0</v>
      </c>
      <c r="B737" s="44" t="str">
        <v/>
      </c>
      <c r="C737" s="39" t="n">
        <v>0</v>
      </c>
      <c r="D737" s="39" t="n">
        <v>0</v>
      </c>
      <c r="E737" s="39" t="str">
        <v/>
      </c>
      <c r="F737" s="45" t="n">
        <v>0</v>
      </c>
      <c r="G737" s="40" t="n">
        <v>0</v>
      </c>
      <c r="H737" s="39" t="n">
        <v>0</v>
      </c>
      <c r="I737" s="49" t="b">
        <f aca="false">IF(ISBLANK(H737),"", IF($H$2:$H2236 = "Gohar Rehan","Overnight",IF($H$2:$H2236 = "Taufeeq Akhtar ","Overnight",IF($H$2:$H2236 = "Zeeshan Ali Malik","Audit",IF($H$2:$H2236 = "Ali Raza ","Receiving",IF($H$2:$H2236 = "Ali Ahmad","Full-In"))))))</f>
        <v>0</v>
      </c>
      <c r="J737" s="29"/>
      <c r="K737" s="40"/>
      <c r="L737" s="40"/>
      <c r="M737" s="41"/>
      <c r="N737" s="39" t="s">
        <v>2335</v>
      </c>
      <c r="O737" s="46" t="b">
        <f aca="false">FALSE()</f>
        <v>0</v>
      </c>
      <c r="P737" s="20" t="n">
        <v>0</v>
      </c>
      <c r="Q737" s="45" t="n">
        <v>0</v>
      </c>
      <c r="R737" s="43" t="n">
        <v>0</v>
      </c>
      <c r="S737" s="20" t="n">
        <v>0</v>
      </c>
    </row>
    <row r="738" customFormat="false" ht="15.75" hidden="false" customHeight="false" outlineLevel="0" collapsed="false">
      <c r="A738" s="39" t="n">
        <v>0</v>
      </c>
      <c r="B738" s="44" t="str">
        <v/>
      </c>
      <c r="C738" s="39" t="n">
        <v>0</v>
      </c>
      <c r="D738" s="39" t="n">
        <v>0</v>
      </c>
      <c r="E738" s="39" t="str">
        <v/>
      </c>
      <c r="F738" s="45" t="n">
        <v>0</v>
      </c>
      <c r="G738" s="40" t="n">
        <v>0</v>
      </c>
      <c r="H738" s="39" t="n">
        <v>0</v>
      </c>
      <c r="I738" s="49" t="b">
        <f aca="false">IF(ISBLANK(H738),"", IF($H$2:$H2237 = "Gohar Rehan","Overnight",IF($H$2:$H2237 = "Taufeeq Akhtar ","Overnight",IF($H$2:$H2237 = "Zeeshan Ali Malik","Audit",IF($H$2:$H2237 = "Ali Raza ","Receiving",IF($H$2:$H2237 = "Ali Ahmad","Full-In"))))))</f>
        <v>0</v>
      </c>
      <c r="J738" s="29"/>
      <c r="K738" s="40"/>
      <c r="L738" s="40"/>
      <c r="M738" s="41"/>
      <c r="N738" s="39" t="s">
        <v>2335</v>
      </c>
      <c r="O738" s="46" t="b">
        <f aca="false">FALSE()</f>
        <v>0</v>
      </c>
      <c r="P738" s="20" t="n">
        <v>0</v>
      </c>
      <c r="Q738" s="45" t="n">
        <v>0</v>
      </c>
      <c r="R738" s="43" t="n">
        <v>0</v>
      </c>
      <c r="S738" s="20" t="n">
        <v>0</v>
      </c>
    </row>
    <row r="739" customFormat="false" ht="15.75" hidden="false" customHeight="false" outlineLevel="0" collapsed="false">
      <c r="A739" s="39" t="n">
        <v>0</v>
      </c>
      <c r="B739" s="44" t="str">
        <v/>
      </c>
      <c r="C739" s="39" t="n">
        <v>0</v>
      </c>
      <c r="D739" s="39" t="n">
        <v>0</v>
      </c>
      <c r="E739" s="39" t="str">
        <v/>
      </c>
      <c r="F739" s="45" t="n">
        <v>0</v>
      </c>
      <c r="G739" s="40" t="n">
        <v>0</v>
      </c>
      <c r="H739" s="39" t="n">
        <v>0</v>
      </c>
      <c r="I739" s="49" t="b">
        <f aca="false">IF(ISBLANK(H739),"", IF($H$2:$H2238 = "Gohar Rehan","Overnight",IF($H$2:$H2238 = "Taufeeq Akhtar ","Overnight",IF($H$2:$H2238 = "Zeeshan Ali Malik","Audit",IF($H$2:$H2238 = "Ali Raza ","Receiving",IF($H$2:$H2238 = "Ali Ahmad","Full-In"))))))</f>
        <v>0</v>
      </c>
      <c r="J739" s="29"/>
      <c r="K739" s="40"/>
      <c r="L739" s="40"/>
      <c r="M739" s="41"/>
      <c r="N739" s="39" t="s">
        <v>2335</v>
      </c>
      <c r="O739" s="46" t="b">
        <f aca="false">FALSE()</f>
        <v>0</v>
      </c>
      <c r="P739" s="20" t="n">
        <v>0</v>
      </c>
      <c r="Q739" s="45" t="n">
        <v>0</v>
      </c>
      <c r="R739" s="43" t="n">
        <v>0</v>
      </c>
      <c r="S739" s="20" t="n">
        <v>0</v>
      </c>
    </row>
    <row r="740" customFormat="false" ht="15.75" hidden="false" customHeight="false" outlineLevel="0" collapsed="false">
      <c r="A740" s="39" t="n">
        <v>0</v>
      </c>
      <c r="B740" s="44" t="str">
        <v/>
      </c>
      <c r="C740" s="39" t="n">
        <v>0</v>
      </c>
      <c r="D740" s="39" t="n">
        <v>0</v>
      </c>
      <c r="E740" s="39" t="str">
        <v/>
      </c>
      <c r="F740" s="45" t="n">
        <v>0</v>
      </c>
      <c r="G740" s="40" t="n">
        <v>0</v>
      </c>
      <c r="H740" s="39" t="n">
        <v>0</v>
      </c>
      <c r="I740" s="49" t="b">
        <f aca="false">IF(ISBLANK(H740),"", IF($H$2:$H2239 = "Gohar Rehan","Overnight",IF($H$2:$H2239 = "Taufeeq Akhtar ","Overnight",IF($H$2:$H2239 = "Zeeshan Ali Malik","Audit",IF($H$2:$H2239 = "Ali Raza ","Receiving",IF($H$2:$H2239 = "Ali Ahmad","Full-In"))))))</f>
        <v>0</v>
      </c>
      <c r="J740" s="29"/>
      <c r="K740" s="40"/>
      <c r="L740" s="40"/>
      <c r="M740" s="41"/>
      <c r="N740" s="39" t="s">
        <v>2335</v>
      </c>
      <c r="O740" s="46" t="b">
        <f aca="false">FALSE()</f>
        <v>0</v>
      </c>
      <c r="P740" s="20" t="n">
        <v>0</v>
      </c>
      <c r="Q740" s="45" t="n">
        <v>0</v>
      </c>
      <c r="R740" s="43" t="n">
        <v>0</v>
      </c>
      <c r="S740" s="20" t="n">
        <v>0</v>
      </c>
    </row>
    <row r="741" customFormat="false" ht="15.75" hidden="false" customHeight="false" outlineLevel="0" collapsed="false">
      <c r="A741" s="39" t="n">
        <v>0</v>
      </c>
      <c r="B741" s="44" t="str">
        <v/>
      </c>
      <c r="C741" s="39" t="n">
        <v>0</v>
      </c>
      <c r="D741" s="39" t="n">
        <v>0</v>
      </c>
      <c r="E741" s="39" t="str">
        <v/>
      </c>
      <c r="F741" s="45" t="n">
        <v>0</v>
      </c>
      <c r="G741" s="40" t="n">
        <v>0</v>
      </c>
      <c r="H741" s="39" t="n">
        <v>0</v>
      </c>
      <c r="I741" s="49" t="b">
        <f aca="false">IF(ISBLANK(H741),"", IF($H$2:$H2240 = "Gohar Rehan","Overnight",IF($H$2:$H2240 = "Taufeeq Akhtar ","Overnight",IF($H$2:$H2240 = "Zeeshan Ali Malik","Audit",IF($H$2:$H2240 = "Ali Raza ","Receiving",IF($H$2:$H2240 = "Ali Ahmad","Full-In"))))))</f>
        <v>0</v>
      </c>
      <c r="J741" s="29"/>
      <c r="K741" s="40"/>
      <c r="L741" s="40"/>
      <c r="M741" s="41"/>
      <c r="N741" s="39" t="s">
        <v>2335</v>
      </c>
      <c r="O741" s="46" t="b">
        <f aca="false">FALSE()</f>
        <v>0</v>
      </c>
      <c r="P741" s="20" t="n">
        <v>0</v>
      </c>
      <c r="Q741" s="45" t="n">
        <v>0</v>
      </c>
      <c r="R741" s="43" t="n">
        <v>0</v>
      </c>
      <c r="S741" s="20" t="n">
        <v>0</v>
      </c>
    </row>
    <row r="742" customFormat="false" ht="15.75" hidden="false" customHeight="false" outlineLevel="0" collapsed="false">
      <c r="A742" s="39" t="n">
        <v>0</v>
      </c>
      <c r="B742" s="44" t="str">
        <v/>
      </c>
      <c r="C742" s="39" t="n">
        <v>0</v>
      </c>
      <c r="D742" s="39" t="n">
        <v>0</v>
      </c>
      <c r="E742" s="39" t="str">
        <v/>
      </c>
      <c r="F742" s="45" t="n">
        <v>0</v>
      </c>
      <c r="G742" s="40" t="n">
        <v>0</v>
      </c>
      <c r="H742" s="39" t="n">
        <v>0</v>
      </c>
      <c r="I742" s="49" t="b">
        <f aca="false">IF(ISBLANK(H742),"", IF($H$2:$H2241 = "Gohar Rehan","Overnight",IF($H$2:$H2241 = "Taufeeq Akhtar ","Overnight",IF($H$2:$H2241 = "Zeeshan Ali Malik","Audit",IF($H$2:$H2241 = "Ali Raza ","Receiving",IF($H$2:$H2241 = "Ali Ahmad","Full-In"))))))</f>
        <v>0</v>
      </c>
      <c r="J742" s="29"/>
      <c r="K742" s="40"/>
      <c r="L742" s="40"/>
      <c r="M742" s="41"/>
      <c r="N742" s="39" t="s">
        <v>2335</v>
      </c>
      <c r="O742" s="46" t="b">
        <f aca="false">FALSE()</f>
        <v>0</v>
      </c>
      <c r="P742" s="20" t="n">
        <v>0</v>
      </c>
      <c r="Q742" s="45" t="n">
        <v>0</v>
      </c>
      <c r="R742" s="43" t="n">
        <v>0</v>
      </c>
      <c r="S742" s="20" t="n">
        <v>0</v>
      </c>
    </row>
    <row r="743" customFormat="false" ht="15.75" hidden="false" customHeight="false" outlineLevel="0" collapsed="false">
      <c r="A743" s="39" t="n">
        <v>0</v>
      </c>
      <c r="B743" s="44" t="str">
        <v/>
      </c>
      <c r="C743" s="39" t="n">
        <v>0</v>
      </c>
      <c r="D743" s="39" t="n">
        <v>0</v>
      </c>
      <c r="E743" s="39" t="str">
        <v/>
      </c>
      <c r="F743" s="45" t="n">
        <v>0</v>
      </c>
      <c r="G743" s="40" t="n">
        <v>0</v>
      </c>
      <c r="H743" s="39" t="n">
        <v>0</v>
      </c>
      <c r="I743" s="49" t="b">
        <f aca="false">IF(ISBLANK(H743),"", IF($H$2:$H2242 = "Gohar Rehan","Overnight",IF($H$2:$H2242 = "Taufeeq Akhtar ","Overnight",IF($H$2:$H2242 = "Zeeshan Ali Malik","Audit",IF($H$2:$H2242 = "Ali Raza ","Receiving",IF($H$2:$H2242 = "Ali Ahmad","Full-In"))))))</f>
        <v>0</v>
      </c>
      <c r="J743" s="29"/>
      <c r="K743" s="40"/>
      <c r="L743" s="40"/>
      <c r="M743" s="41"/>
      <c r="N743" s="39" t="s">
        <v>2335</v>
      </c>
      <c r="O743" s="46" t="b">
        <f aca="false">FALSE()</f>
        <v>0</v>
      </c>
      <c r="P743" s="20" t="n">
        <v>0</v>
      </c>
      <c r="Q743" s="45" t="n">
        <v>0</v>
      </c>
      <c r="R743" s="43" t="n">
        <v>0</v>
      </c>
      <c r="S743" s="20" t="n">
        <v>0</v>
      </c>
    </row>
    <row r="744" customFormat="false" ht="15.75" hidden="false" customHeight="false" outlineLevel="0" collapsed="false">
      <c r="A744" s="39" t="n">
        <v>0</v>
      </c>
      <c r="B744" s="44" t="str">
        <v/>
      </c>
      <c r="C744" s="39" t="n">
        <v>0</v>
      </c>
      <c r="D744" s="39" t="n">
        <v>0</v>
      </c>
      <c r="E744" s="39" t="str">
        <v/>
      </c>
      <c r="F744" s="45" t="n">
        <v>0</v>
      </c>
      <c r="G744" s="40" t="n">
        <v>0</v>
      </c>
      <c r="H744" s="39" t="n">
        <v>0</v>
      </c>
      <c r="I744" s="49" t="b">
        <f aca="false">IF(ISBLANK(H744),"", IF($H$2:$H2243 = "Gohar Rehan","Overnight",IF($H$2:$H2243 = "Taufeeq Akhtar ","Overnight",IF($H$2:$H2243 = "Zeeshan Ali Malik","Audit",IF($H$2:$H2243 = "Ali Raza ","Receiving",IF($H$2:$H2243 = "Ali Ahmad","Full-In"))))))</f>
        <v>0</v>
      </c>
      <c r="J744" s="29"/>
      <c r="K744" s="40"/>
      <c r="L744" s="40"/>
      <c r="M744" s="41"/>
      <c r="N744" s="39" t="s">
        <v>2335</v>
      </c>
      <c r="O744" s="46" t="b">
        <f aca="false">FALSE()</f>
        <v>0</v>
      </c>
      <c r="P744" s="20" t="n">
        <v>0</v>
      </c>
      <c r="Q744" s="45" t="n">
        <v>0</v>
      </c>
      <c r="R744" s="43" t="n">
        <v>0</v>
      </c>
      <c r="S744" s="20" t="n">
        <v>0</v>
      </c>
    </row>
    <row r="745" customFormat="false" ht="15.75" hidden="false" customHeight="false" outlineLevel="0" collapsed="false">
      <c r="A745" s="39" t="n">
        <v>0</v>
      </c>
      <c r="B745" s="44" t="str">
        <v/>
      </c>
      <c r="C745" s="39" t="n">
        <v>0</v>
      </c>
      <c r="D745" s="39" t="n">
        <v>0</v>
      </c>
      <c r="E745" s="39" t="str">
        <v/>
      </c>
      <c r="F745" s="45" t="n">
        <v>0</v>
      </c>
      <c r="G745" s="40" t="n">
        <v>0</v>
      </c>
      <c r="H745" s="39" t="n">
        <v>0</v>
      </c>
      <c r="I745" s="49" t="b">
        <f aca="false">IF(ISBLANK(H745),"", IF($H$2:$H2244 = "Gohar Rehan","Overnight",IF($H$2:$H2244 = "Taufeeq Akhtar ","Overnight",IF($H$2:$H2244 = "Zeeshan Ali Malik","Audit",IF($H$2:$H2244 = "Ali Raza ","Receiving",IF($H$2:$H2244 = "Ali Ahmad","Full-In"))))))</f>
        <v>0</v>
      </c>
      <c r="J745" s="29"/>
      <c r="K745" s="40"/>
      <c r="L745" s="40"/>
      <c r="M745" s="41"/>
      <c r="N745" s="39" t="s">
        <v>2335</v>
      </c>
      <c r="O745" s="46" t="b">
        <f aca="false">FALSE()</f>
        <v>0</v>
      </c>
      <c r="P745" s="20" t="n">
        <v>0</v>
      </c>
      <c r="Q745" s="45" t="n">
        <v>0</v>
      </c>
      <c r="R745" s="43" t="n">
        <v>0</v>
      </c>
      <c r="S745" s="20" t="n">
        <v>0</v>
      </c>
    </row>
    <row r="746" customFormat="false" ht="15.75" hidden="false" customHeight="false" outlineLevel="0" collapsed="false">
      <c r="A746" s="39" t="n">
        <v>0</v>
      </c>
      <c r="B746" s="44" t="str">
        <v/>
      </c>
      <c r="C746" s="39" t="n">
        <v>0</v>
      </c>
      <c r="D746" s="39" t="n">
        <v>0</v>
      </c>
      <c r="E746" s="39" t="str">
        <v/>
      </c>
      <c r="F746" s="45" t="n">
        <v>0</v>
      </c>
      <c r="G746" s="40" t="n">
        <v>0</v>
      </c>
      <c r="H746" s="39" t="n">
        <v>0</v>
      </c>
      <c r="I746" s="49" t="b">
        <f aca="false">IF(ISBLANK(H746),"", IF($H$2:$H2245 = "Gohar Rehan","Overnight",IF($H$2:$H2245 = "Taufeeq Akhtar ","Overnight",IF($H$2:$H2245 = "Zeeshan Ali Malik","Audit",IF($H$2:$H2245 = "Ali Raza ","Receiving",IF($H$2:$H2245 = "Ali Ahmad","Full-In"))))))</f>
        <v>0</v>
      </c>
      <c r="J746" s="29"/>
      <c r="K746" s="40"/>
      <c r="L746" s="40"/>
      <c r="M746" s="41"/>
      <c r="N746" s="39" t="s">
        <v>2335</v>
      </c>
      <c r="O746" s="46" t="b">
        <f aca="false">FALSE()</f>
        <v>0</v>
      </c>
      <c r="P746" s="20" t="n">
        <v>0</v>
      </c>
      <c r="Q746" s="45" t="n">
        <v>0</v>
      </c>
      <c r="R746" s="43" t="n">
        <v>0</v>
      </c>
      <c r="S746" s="20" t="n">
        <v>0</v>
      </c>
    </row>
    <row r="747" customFormat="false" ht="15.75" hidden="false" customHeight="false" outlineLevel="0" collapsed="false">
      <c r="A747" s="39" t="n">
        <v>0</v>
      </c>
      <c r="B747" s="44" t="str">
        <v/>
      </c>
      <c r="C747" s="39" t="n">
        <v>0</v>
      </c>
      <c r="D747" s="39" t="n">
        <v>0</v>
      </c>
      <c r="E747" s="39" t="str">
        <v/>
      </c>
      <c r="F747" s="45" t="n">
        <v>0</v>
      </c>
      <c r="G747" s="40" t="n">
        <v>0</v>
      </c>
      <c r="H747" s="39" t="n">
        <v>0</v>
      </c>
      <c r="I747" s="49" t="b">
        <f aca="false">IF(ISBLANK(H747),"", IF($H$2:$H2246 = "Gohar Rehan","Overnight",IF($H$2:$H2246 = "Taufeeq Akhtar ","Overnight",IF($H$2:$H2246 = "Zeeshan Ali Malik","Audit",IF($H$2:$H2246 = "Ali Raza ","Receiving",IF($H$2:$H2246 = "Ali Ahmad","Full-In"))))))</f>
        <v>0</v>
      </c>
      <c r="J747" s="29"/>
      <c r="K747" s="40"/>
      <c r="L747" s="40"/>
      <c r="M747" s="41"/>
      <c r="N747" s="39" t="s">
        <v>2335</v>
      </c>
      <c r="O747" s="46" t="b">
        <f aca="false">FALSE()</f>
        <v>0</v>
      </c>
      <c r="P747" s="20" t="n">
        <v>0</v>
      </c>
      <c r="Q747" s="45" t="n">
        <v>0</v>
      </c>
      <c r="R747" s="43" t="n">
        <v>0</v>
      </c>
      <c r="S747" s="20" t="n">
        <v>0</v>
      </c>
    </row>
    <row r="748" customFormat="false" ht="15.75" hidden="false" customHeight="false" outlineLevel="0" collapsed="false">
      <c r="A748" s="39" t="n">
        <v>0</v>
      </c>
      <c r="B748" s="44" t="str">
        <v/>
      </c>
      <c r="C748" s="39" t="n">
        <v>0</v>
      </c>
      <c r="D748" s="39" t="n">
        <v>0</v>
      </c>
      <c r="E748" s="39" t="str">
        <v/>
      </c>
      <c r="F748" s="45" t="n">
        <v>0</v>
      </c>
      <c r="G748" s="40" t="n">
        <v>0</v>
      </c>
      <c r="H748" s="39" t="n">
        <v>0</v>
      </c>
      <c r="I748" s="49" t="b">
        <f aca="false">IF(ISBLANK(H748),"", IF($H$2:$H2247 = "Gohar Rehan","Overnight",IF($H$2:$H2247 = "Taufeeq Akhtar ","Overnight",IF($H$2:$H2247 = "Zeeshan Ali Malik","Audit",IF($H$2:$H2247 = "Ali Raza ","Receiving",IF($H$2:$H2247 = "Ali Ahmad","Full-In"))))))</f>
        <v>0</v>
      </c>
      <c r="J748" s="29"/>
      <c r="K748" s="40"/>
      <c r="L748" s="40"/>
      <c r="M748" s="41"/>
      <c r="N748" s="39" t="s">
        <v>2335</v>
      </c>
      <c r="O748" s="46" t="b">
        <f aca="false">FALSE()</f>
        <v>0</v>
      </c>
      <c r="P748" s="20" t="n">
        <v>0</v>
      </c>
      <c r="Q748" s="45" t="n">
        <v>0</v>
      </c>
      <c r="R748" s="43" t="n">
        <v>0</v>
      </c>
      <c r="S748" s="20" t="n">
        <v>0</v>
      </c>
    </row>
    <row r="749" customFormat="false" ht="15.75" hidden="false" customHeight="false" outlineLevel="0" collapsed="false">
      <c r="A749" s="39" t="n">
        <v>0</v>
      </c>
      <c r="B749" s="44" t="str">
        <v/>
      </c>
      <c r="C749" s="39" t="n">
        <v>0</v>
      </c>
      <c r="D749" s="39" t="n">
        <v>0</v>
      </c>
      <c r="E749" s="39" t="str">
        <v/>
      </c>
      <c r="F749" s="45" t="n">
        <v>0</v>
      </c>
      <c r="G749" s="40" t="n">
        <v>0</v>
      </c>
      <c r="H749" s="39" t="n">
        <v>0</v>
      </c>
      <c r="I749" s="49" t="b">
        <f aca="false">IF(ISBLANK(H749),"", IF($H$2:$H2248 = "Gohar Rehan","Overnight",IF($H$2:$H2248 = "Taufeeq Akhtar ","Overnight",IF($H$2:$H2248 = "Zeeshan Ali Malik","Audit",IF($H$2:$H2248 = "Ali Raza ","Receiving",IF($H$2:$H2248 = "Ali Ahmad","Full-In"))))))</f>
        <v>0</v>
      </c>
      <c r="J749" s="29"/>
      <c r="K749" s="40"/>
      <c r="L749" s="40"/>
      <c r="M749" s="41"/>
      <c r="N749" s="39" t="s">
        <v>2335</v>
      </c>
      <c r="O749" s="46" t="b">
        <f aca="false">FALSE()</f>
        <v>0</v>
      </c>
      <c r="P749" s="20" t="n">
        <v>0</v>
      </c>
      <c r="Q749" s="45" t="n">
        <v>0</v>
      </c>
      <c r="R749" s="43" t="n">
        <v>0</v>
      </c>
      <c r="S749" s="20" t="n">
        <v>0</v>
      </c>
    </row>
    <row r="750" customFormat="false" ht="15.75" hidden="false" customHeight="false" outlineLevel="0" collapsed="false">
      <c r="A750" s="39" t="n">
        <v>0</v>
      </c>
      <c r="B750" s="44" t="str">
        <v/>
      </c>
      <c r="C750" s="39" t="n">
        <v>0</v>
      </c>
      <c r="D750" s="39" t="n">
        <v>0</v>
      </c>
      <c r="E750" s="39" t="str">
        <v/>
      </c>
      <c r="F750" s="45" t="n">
        <v>0</v>
      </c>
      <c r="G750" s="40" t="n">
        <v>0</v>
      </c>
      <c r="H750" s="39" t="n">
        <v>0</v>
      </c>
      <c r="I750" s="49" t="b">
        <f aca="false">IF(ISBLANK(H750),"", IF($H$2:$H2249 = "Gohar Rehan","Overnight",IF($H$2:$H2249 = "Taufeeq Akhtar ","Overnight",IF($H$2:$H2249 = "Zeeshan Ali Malik","Audit",IF($H$2:$H2249 = "Ali Raza ","Receiving",IF($H$2:$H2249 = "Ali Ahmad","Full-In"))))))</f>
        <v>0</v>
      </c>
      <c r="J750" s="29"/>
      <c r="K750" s="40"/>
      <c r="L750" s="40"/>
      <c r="M750" s="41"/>
      <c r="N750" s="39" t="s">
        <v>2335</v>
      </c>
      <c r="O750" s="46" t="b">
        <f aca="false">FALSE()</f>
        <v>0</v>
      </c>
      <c r="P750" s="20" t="n">
        <v>0</v>
      </c>
      <c r="Q750" s="45" t="n">
        <v>0</v>
      </c>
      <c r="R750" s="43" t="n">
        <v>0</v>
      </c>
      <c r="S750" s="20" t="n">
        <v>0</v>
      </c>
    </row>
    <row r="751" customFormat="false" ht="15.75" hidden="false" customHeight="false" outlineLevel="0" collapsed="false">
      <c r="A751" s="39" t="n">
        <v>0</v>
      </c>
      <c r="B751" s="44" t="str">
        <v/>
      </c>
      <c r="C751" s="39" t="n">
        <v>0</v>
      </c>
      <c r="D751" s="39" t="n">
        <v>0</v>
      </c>
      <c r="E751" s="39" t="str">
        <v/>
      </c>
      <c r="F751" s="45" t="n">
        <v>0</v>
      </c>
      <c r="G751" s="40" t="n">
        <v>0</v>
      </c>
      <c r="H751" s="39" t="n">
        <v>0</v>
      </c>
      <c r="I751" s="49" t="b">
        <f aca="false">IF(ISBLANK(H751),"", IF($H$2:$H2250 = "Gohar Rehan","Overnight",IF($H$2:$H2250 = "Taufeeq Akhtar ","Overnight",IF($H$2:$H2250 = "Zeeshan Ali Malik","Audit",IF($H$2:$H2250 = "Ali Raza ","Receiving",IF($H$2:$H2250 = "Ali Ahmad","Full-In"))))))</f>
        <v>0</v>
      </c>
      <c r="J751" s="29"/>
      <c r="K751" s="40"/>
      <c r="L751" s="40"/>
      <c r="M751" s="41"/>
      <c r="N751" s="39" t="s">
        <v>2335</v>
      </c>
      <c r="O751" s="46" t="b">
        <f aca="false">FALSE()</f>
        <v>0</v>
      </c>
      <c r="P751" s="20" t="n">
        <v>0</v>
      </c>
      <c r="Q751" s="45" t="n">
        <v>0</v>
      </c>
      <c r="R751" s="43" t="n">
        <v>0</v>
      </c>
      <c r="S751" s="20" t="n">
        <v>0</v>
      </c>
    </row>
    <row r="752" customFormat="false" ht="15.75" hidden="false" customHeight="false" outlineLevel="0" collapsed="false">
      <c r="A752" s="39" t="n">
        <v>0</v>
      </c>
      <c r="B752" s="44" t="str">
        <v/>
      </c>
      <c r="C752" s="39" t="n">
        <v>0</v>
      </c>
      <c r="D752" s="39" t="n">
        <v>0</v>
      </c>
      <c r="E752" s="39" t="str">
        <v/>
      </c>
      <c r="F752" s="45" t="n">
        <v>0</v>
      </c>
      <c r="G752" s="40" t="n">
        <v>0</v>
      </c>
      <c r="H752" s="39" t="n">
        <v>0</v>
      </c>
      <c r="I752" s="49" t="b">
        <f aca="false">IF(ISBLANK(H752),"", IF($H$2:$H2251 = "Gohar Rehan","Overnight",IF($H$2:$H2251 = "Taufeeq Akhtar ","Overnight",IF($H$2:$H2251 = "Zeeshan Ali Malik","Audit",IF($H$2:$H2251 = "Ali Raza ","Receiving",IF($H$2:$H2251 = "Ali Ahmad","Full-In"))))))</f>
        <v>0</v>
      </c>
      <c r="J752" s="29"/>
      <c r="K752" s="40"/>
      <c r="L752" s="40"/>
      <c r="M752" s="41"/>
      <c r="N752" s="39" t="s">
        <v>2335</v>
      </c>
      <c r="O752" s="46" t="b">
        <f aca="false">FALSE()</f>
        <v>0</v>
      </c>
      <c r="P752" s="20" t="n">
        <v>0</v>
      </c>
      <c r="Q752" s="45" t="n">
        <v>0</v>
      </c>
      <c r="R752" s="43" t="n">
        <v>0</v>
      </c>
      <c r="S752" s="20" t="n">
        <v>0</v>
      </c>
    </row>
    <row r="753" customFormat="false" ht="15.75" hidden="false" customHeight="false" outlineLevel="0" collapsed="false">
      <c r="A753" s="39" t="n">
        <v>0</v>
      </c>
      <c r="B753" s="44" t="str">
        <v/>
      </c>
      <c r="C753" s="39" t="n">
        <v>0</v>
      </c>
      <c r="D753" s="39" t="n">
        <v>0</v>
      </c>
      <c r="E753" s="39" t="str">
        <v/>
      </c>
      <c r="F753" s="45" t="n">
        <v>0</v>
      </c>
      <c r="G753" s="40" t="n">
        <v>0</v>
      </c>
      <c r="H753" s="39" t="n">
        <v>0</v>
      </c>
      <c r="I753" s="49" t="b">
        <f aca="false">IF(ISBLANK(H753),"", IF($H$2:$H2252 = "Gohar Rehan","Overnight",IF($H$2:$H2252 = "Taufeeq Akhtar ","Overnight",IF($H$2:$H2252 = "Zeeshan Ali Malik","Audit",IF($H$2:$H2252 = "Ali Raza ","Receiving",IF($H$2:$H2252 = "Ali Ahmad","Full-In"))))))</f>
        <v>0</v>
      </c>
      <c r="J753" s="29"/>
      <c r="K753" s="40"/>
      <c r="L753" s="40"/>
      <c r="M753" s="41"/>
      <c r="N753" s="39" t="s">
        <v>2335</v>
      </c>
      <c r="O753" s="46" t="b">
        <f aca="false">FALSE()</f>
        <v>0</v>
      </c>
      <c r="P753" s="20" t="n">
        <v>0</v>
      </c>
      <c r="Q753" s="45" t="n">
        <v>0</v>
      </c>
      <c r="R753" s="43" t="n">
        <v>0</v>
      </c>
      <c r="S753" s="20" t="n">
        <v>0</v>
      </c>
    </row>
    <row r="754" customFormat="false" ht="15.75" hidden="false" customHeight="false" outlineLevel="0" collapsed="false">
      <c r="A754" s="39" t="n">
        <v>0</v>
      </c>
      <c r="B754" s="44" t="str">
        <v/>
      </c>
      <c r="C754" s="39" t="n">
        <v>0</v>
      </c>
      <c r="D754" s="39" t="n">
        <v>0</v>
      </c>
      <c r="E754" s="39" t="str">
        <v/>
      </c>
      <c r="F754" s="45" t="n">
        <v>0</v>
      </c>
      <c r="G754" s="40" t="n">
        <v>0</v>
      </c>
      <c r="H754" s="39" t="n">
        <v>0</v>
      </c>
      <c r="I754" s="49" t="b">
        <f aca="false">IF(ISBLANK(H754),"", IF($H$2:$H2253 = "Gohar Rehan","Overnight",IF($H$2:$H2253 = "Taufeeq Akhtar ","Overnight",IF($H$2:$H2253 = "Zeeshan Ali Malik","Audit",IF($H$2:$H2253 = "Ali Raza ","Receiving",IF($H$2:$H2253 = "Ali Ahmad","Full-In"))))))</f>
        <v>0</v>
      </c>
      <c r="J754" s="29"/>
      <c r="K754" s="40"/>
      <c r="L754" s="40"/>
      <c r="M754" s="41"/>
      <c r="N754" s="39" t="s">
        <v>2335</v>
      </c>
      <c r="O754" s="46" t="b">
        <f aca="false">FALSE()</f>
        <v>0</v>
      </c>
      <c r="P754" s="20" t="n">
        <v>0</v>
      </c>
      <c r="Q754" s="45" t="n">
        <v>0</v>
      </c>
      <c r="R754" s="43" t="n">
        <v>0</v>
      </c>
      <c r="S754" s="20" t="n">
        <v>0</v>
      </c>
    </row>
    <row r="755" customFormat="false" ht="15.75" hidden="false" customHeight="false" outlineLevel="0" collapsed="false">
      <c r="A755" s="39" t="n">
        <v>0</v>
      </c>
      <c r="B755" s="44" t="str">
        <v/>
      </c>
      <c r="C755" s="39" t="n">
        <v>0</v>
      </c>
      <c r="D755" s="39" t="n">
        <v>0</v>
      </c>
      <c r="E755" s="39" t="str">
        <v/>
      </c>
      <c r="F755" s="45" t="n">
        <v>0</v>
      </c>
      <c r="G755" s="40" t="n">
        <v>0</v>
      </c>
      <c r="H755" s="39" t="n">
        <v>0</v>
      </c>
      <c r="I755" s="49" t="b">
        <f aca="false">IF(ISBLANK(H755),"", IF($H$2:$H2254 = "Gohar Rehan","Overnight",IF($H$2:$H2254 = "Taufeeq Akhtar ","Overnight",IF($H$2:$H2254 = "Zeeshan Ali Malik","Audit",IF($H$2:$H2254 = "Ali Raza ","Receiving",IF($H$2:$H2254 = "Ali Ahmad","Full-In"))))))</f>
        <v>0</v>
      </c>
      <c r="J755" s="29"/>
      <c r="K755" s="40"/>
      <c r="L755" s="40"/>
      <c r="M755" s="41"/>
      <c r="N755" s="39" t="s">
        <v>2335</v>
      </c>
      <c r="O755" s="46" t="b">
        <f aca="false">FALSE()</f>
        <v>0</v>
      </c>
      <c r="P755" s="20" t="n">
        <v>0</v>
      </c>
      <c r="Q755" s="45" t="n">
        <v>0</v>
      </c>
      <c r="R755" s="43" t="n">
        <v>0</v>
      </c>
      <c r="S755" s="20" t="n">
        <v>0</v>
      </c>
    </row>
    <row r="756" customFormat="false" ht="15.75" hidden="false" customHeight="false" outlineLevel="0" collapsed="false">
      <c r="A756" s="39" t="n">
        <v>0</v>
      </c>
      <c r="B756" s="44" t="str">
        <v/>
      </c>
      <c r="C756" s="39" t="n">
        <v>0</v>
      </c>
      <c r="D756" s="39" t="n">
        <v>0</v>
      </c>
      <c r="E756" s="39" t="str">
        <v/>
      </c>
      <c r="F756" s="45" t="n">
        <v>0</v>
      </c>
      <c r="G756" s="40" t="n">
        <v>0</v>
      </c>
      <c r="H756" s="39" t="n">
        <v>0</v>
      </c>
      <c r="I756" s="49" t="b">
        <f aca="false">IF(ISBLANK(H756),"", IF($H$2:$H2255 = "Gohar Rehan","Overnight",IF($H$2:$H2255 = "Taufeeq Akhtar ","Overnight",IF($H$2:$H2255 = "Zeeshan Ali Malik","Audit",IF($H$2:$H2255 = "Ali Raza ","Receiving",IF($H$2:$H2255 = "Ali Ahmad","Full-In"))))))</f>
        <v>0</v>
      </c>
      <c r="J756" s="29"/>
      <c r="K756" s="40"/>
      <c r="L756" s="40"/>
      <c r="M756" s="41"/>
      <c r="N756" s="39" t="s">
        <v>2335</v>
      </c>
      <c r="O756" s="46" t="b">
        <f aca="false">FALSE()</f>
        <v>0</v>
      </c>
      <c r="P756" s="20" t="n">
        <v>0</v>
      </c>
      <c r="Q756" s="45" t="n">
        <v>0</v>
      </c>
      <c r="R756" s="43" t="n">
        <v>0</v>
      </c>
      <c r="S756" s="20" t="n">
        <v>0</v>
      </c>
    </row>
    <row r="757" customFormat="false" ht="15.75" hidden="false" customHeight="false" outlineLevel="0" collapsed="false">
      <c r="A757" s="39" t="n">
        <v>0</v>
      </c>
      <c r="B757" s="44" t="str">
        <v/>
      </c>
      <c r="C757" s="39" t="n">
        <v>0</v>
      </c>
      <c r="D757" s="39" t="n">
        <v>0</v>
      </c>
      <c r="E757" s="39" t="str">
        <v/>
      </c>
      <c r="F757" s="45" t="n">
        <v>0</v>
      </c>
      <c r="G757" s="40" t="n">
        <v>0</v>
      </c>
      <c r="H757" s="39" t="n">
        <v>0</v>
      </c>
      <c r="I757" s="49" t="b">
        <f aca="false">IF(ISBLANK(H757),"", IF($H$2:$H2256 = "Gohar Rehan","Overnight",IF($H$2:$H2256 = "Taufeeq Akhtar ","Overnight",IF($H$2:$H2256 = "Zeeshan Ali Malik","Audit",IF($H$2:$H2256 = "Ali Raza ","Receiving",IF($H$2:$H2256 = "Ali Ahmad","Full-In"))))))</f>
        <v>0</v>
      </c>
      <c r="J757" s="29"/>
      <c r="K757" s="40"/>
      <c r="L757" s="40"/>
      <c r="M757" s="41"/>
      <c r="N757" s="39" t="s">
        <v>2335</v>
      </c>
      <c r="O757" s="46" t="b">
        <f aca="false">FALSE()</f>
        <v>0</v>
      </c>
      <c r="P757" s="20" t="n">
        <v>0</v>
      </c>
      <c r="Q757" s="45" t="n">
        <v>0</v>
      </c>
      <c r="R757" s="43" t="n">
        <v>0</v>
      </c>
      <c r="S757" s="20" t="n">
        <v>0</v>
      </c>
    </row>
    <row r="758" customFormat="false" ht="15.75" hidden="false" customHeight="false" outlineLevel="0" collapsed="false">
      <c r="A758" s="39" t="n">
        <v>0</v>
      </c>
      <c r="B758" s="44" t="str">
        <v/>
      </c>
      <c r="C758" s="39" t="n">
        <v>0</v>
      </c>
      <c r="D758" s="39" t="n">
        <v>0</v>
      </c>
      <c r="E758" s="39" t="str">
        <v/>
      </c>
      <c r="F758" s="45" t="n">
        <v>0</v>
      </c>
      <c r="G758" s="40" t="n">
        <v>0</v>
      </c>
      <c r="H758" s="39" t="n">
        <v>0</v>
      </c>
      <c r="I758" s="49" t="b">
        <f aca="false">IF(ISBLANK(H758),"", IF($H$2:$H2257 = "Gohar Rehan","Overnight",IF($H$2:$H2257 = "Taufeeq Akhtar ","Overnight",IF($H$2:$H2257 = "Zeeshan Ali Malik","Audit",IF($H$2:$H2257 = "Ali Raza ","Receiving",IF($H$2:$H2257 = "Ali Ahmad","Full-In"))))))</f>
        <v>0</v>
      </c>
      <c r="J758" s="29"/>
      <c r="K758" s="40"/>
      <c r="L758" s="40"/>
      <c r="M758" s="41"/>
      <c r="N758" s="39" t="s">
        <v>2335</v>
      </c>
      <c r="O758" s="46" t="b">
        <f aca="false">FALSE()</f>
        <v>0</v>
      </c>
      <c r="P758" s="20" t="n">
        <v>0</v>
      </c>
      <c r="Q758" s="45" t="n">
        <v>0</v>
      </c>
      <c r="R758" s="43" t="n">
        <v>0</v>
      </c>
      <c r="S758" s="20" t="n">
        <v>0</v>
      </c>
    </row>
    <row r="759" customFormat="false" ht="15.75" hidden="false" customHeight="false" outlineLevel="0" collapsed="false">
      <c r="A759" s="39" t="n">
        <v>0</v>
      </c>
      <c r="B759" s="44" t="str">
        <v/>
      </c>
      <c r="C759" s="39" t="n">
        <v>0</v>
      </c>
      <c r="D759" s="39" t="n">
        <v>0</v>
      </c>
      <c r="E759" s="39" t="str">
        <v/>
      </c>
      <c r="F759" s="45" t="n">
        <v>0</v>
      </c>
      <c r="G759" s="40" t="n">
        <v>0</v>
      </c>
      <c r="H759" s="39" t="n">
        <v>0</v>
      </c>
      <c r="I759" s="49" t="b">
        <f aca="false">IF(ISBLANK(H759),"", IF($H$2:$H2258 = "Gohar Rehan","Overnight",IF($H$2:$H2258 = "Taufeeq Akhtar ","Overnight",IF($H$2:$H2258 = "Zeeshan Ali Malik","Audit",IF($H$2:$H2258 = "Ali Raza ","Receiving",IF($H$2:$H2258 = "Ali Ahmad","Full-In"))))))</f>
        <v>0</v>
      </c>
      <c r="J759" s="29"/>
      <c r="K759" s="40"/>
      <c r="L759" s="40"/>
      <c r="M759" s="41"/>
      <c r="N759" s="39" t="s">
        <v>2335</v>
      </c>
      <c r="O759" s="46" t="b">
        <f aca="false">FALSE()</f>
        <v>0</v>
      </c>
      <c r="P759" s="20" t="n">
        <v>0</v>
      </c>
      <c r="Q759" s="45" t="n">
        <v>0</v>
      </c>
      <c r="R759" s="43" t="n">
        <v>0</v>
      </c>
      <c r="S759" s="20" t="n">
        <v>0</v>
      </c>
    </row>
    <row r="760" customFormat="false" ht="15.75" hidden="false" customHeight="false" outlineLevel="0" collapsed="false">
      <c r="A760" s="39" t="n">
        <v>0</v>
      </c>
      <c r="B760" s="44" t="str">
        <v/>
      </c>
      <c r="C760" s="39" t="n">
        <v>0</v>
      </c>
      <c r="D760" s="39" t="n">
        <v>0</v>
      </c>
      <c r="E760" s="39" t="str">
        <v/>
      </c>
      <c r="F760" s="45" t="n">
        <v>0</v>
      </c>
      <c r="G760" s="40" t="n">
        <v>0</v>
      </c>
      <c r="H760" s="39" t="n">
        <v>0</v>
      </c>
      <c r="I760" s="49" t="b">
        <f aca="false">IF(ISBLANK(H760),"", IF($H$2:$H2259 = "Gohar Rehan","Overnight",IF($H$2:$H2259 = "Taufeeq Akhtar ","Overnight",IF($H$2:$H2259 = "Zeeshan Ali Malik","Audit",IF($H$2:$H2259 = "Ali Raza ","Receiving",IF($H$2:$H2259 = "Ali Ahmad","Full-In"))))))</f>
        <v>0</v>
      </c>
      <c r="J760" s="29"/>
      <c r="K760" s="40"/>
      <c r="L760" s="40"/>
      <c r="M760" s="41"/>
      <c r="N760" s="39" t="s">
        <v>2335</v>
      </c>
      <c r="O760" s="46" t="b">
        <f aca="false">FALSE()</f>
        <v>0</v>
      </c>
      <c r="P760" s="20" t="n">
        <v>0</v>
      </c>
      <c r="Q760" s="45" t="n">
        <v>0</v>
      </c>
      <c r="R760" s="43" t="n">
        <v>0</v>
      </c>
      <c r="S760" s="20" t="n">
        <v>0</v>
      </c>
    </row>
    <row r="761" customFormat="false" ht="15.75" hidden="false" customHeight="false" outlineLevel="0" collapsed="false">
      <c r="A761" s="39" t="n">
        <v>0</v>
      </c>
      <c r="B761" s="44" t="str">
        <v/>
      </c>
      <c r="C761" s="39" t="n">
        <v>0</v>
      </c>
      <c r="D761" s="39" t="n">
        <v>0</v>
      </c>
      <c r="E761" s="39" t="str">
        <v/>
      </c>
      <c r="F761" s="45" t="n">
        <v>0</v>
      </c>
      <c r="G761" s="40" t="n">
        <v>0</v>
      </c>
      <c r="H761" s="39" t="n">
        <v>0</v>
      </c>
      <c r="I761" s="49" t="b">
        <f aca="false">IF(ISBLANK(H761),"", IF($H$2:$H2260 = "Gohar Rehan","Overnight",IF($H$2:$H2260 = "Taufeeq Akhtar ","Overnight",IF($H$2:$H2260 = "Zeeshan Ali Malik","Audit",IF($H$2:$H2260 = "Ali Raza ","Receiving",IF($H$2:$H2260 = "Ali Ahmad","Full-In"))))))</f>
        <v>0</v>
      </c>
      <c r="J761" s="29"/>
      <c r="K761" s="40"/>
      <c r="L761" s="40"/>
      <c r="M761" s="41"/>
      <c r="N761" s="39" t="s">
        <v>2335</v>
      </c>
      <c r="O761" s="46" t="b">
        <f aca="false">FALSE()</f>
        <v>0</v>
      </c>
      <c r="P761" s="20" t="n">
        <v>0</v>
      </c>
      <c r="Q761" s="45" t="n">
        <v>0</v>
      </c>
      <c r="R761" s="43" t="n">
        <v>0</v>
      </c>
      <c r="S761" s="20" t="n">
        <v>0</v>
      </c>
    </row>
    <row r="762" customFormat="false" ht="15.75" hidden="false" customHeight="false" outlineLevel="0" collapsed="false">
      <c r="A762" s="39" t="n">
        <v>0</v>
      </c>
      <c r="B762" s="44" t="str">
        <v/>
      </c>
      <c r="C762" s="39" t="n">
        <v>0</v>
      </c>
      <c r="D762" s="39" t="n">
        <v>0</v>
      </c>
      <c r="E762" s="39" t="str">
        <v/>
      </c>
      <c r="F762" s="45" t="n">
        <v>0</v>
      </c>
      <c r="G762" s="40" t="n">
        <v>0</v>
      </c>
      <c r="H762" s="39" t="n">
        <v>0</v>
      </c>
      <c r="I762" s="49" t="b">
        <f aca="false">IF(ISBLANK(H762),"", IF($H$2:$H2261 = "Gohar Rehan","Overnight",IF($H$2:$H2261 = "Taufeeq Akhtar ","Overnight",IF($H$2:$H2261 = "Zeeshan Ali Malik","Audit",IF($H$2:$H2261 = "Ali Raza ","Receiving",IF($H$2:$H2261 = "Ali Ahmad","Full-In"))))))</f>
        <v>0</v>
      </c>
      <c r="J762" s="29"/>
      <c r="K762" s="40"/>
      <c r="L762" s="40"/>
      <c r="M762" s="41"/>
      <c r="N762" s="39" t="s">
        <v>2335</v>
      </c>
      <c r="O762" s="46" t="b">
        <f aca="false">FALSE()</f>
        <v>0</v>
      </c>
      <c r="P762" s="20" t="n">
        <v>0</v>
      </c>
      <c r="Q762" s="45" t="n">
        <v>0</v>
      </c>
      <c r="R762" s="43" t="n">
        <v>0</v>
      </c>
      <c r="S762" s="20" t="n">
        <v>0</v>
      </c>
    </row>
    <row r="763" customFormat="false" ht="15.75" hidden="false" customHeight="false" outlineLevel="0" collapsed="false">
      <c r="A763" s="39" t="n">
        <v>0</v>
      </c>
      <c r="B763" s="44" t="str">
        <v/>
      </c>
      <c r="C763" s="39" t="n">
        <v>0</v>
      </c>
      <c r="D763" s="39" t="n">
        <v>0</v>
      </c>
      <c r="E763" s="39" t="str">
        <v/>
      </c>
      <c r="F763" s="45" t="n">
        <v>0</v>
      </c>
      <c r="G763" s="40" t="n">
        <v>0</v>
      </c>
      <c r="H763" s="39" t="n">
        <v>0</v>
      </c>
      <c r="I763" s="49" t="b">
        <f aca="false">IF(ISBLANK(H763),"", IF($H$2:$H2262 = "Gohar Rehan","Overnight",IF($H$2:$H2262 = "Taufeeq Akhtar ","Overnight",IF($H$2:$H2262 = "Zeeshan Ali Malik","Audit",IF($H$2:$H2262 = "Ali Raza ","Receiving",IF($H$2:$H2262 = "Ali Ahmad","Full-In"))))))</f>
        <v>0</v>
      </c>
      <c r="J763" s="29"/>
      <c r="K763" s="40"/>
      <c r="L763" s="40"/>
      <c r="M763" s="41"/>
      <c r="N763" s="39" t="s">
        <v>2335</v>
      </c>
      <c r="O763" s="46" t="b">
        <f aca="false">FALSE()</f>
        <v>0</v>
      </c>
      <c r="P763" s="20" t="n">
        <v>0</v>
      </c>
      <c r="Q763" s="45" t="n">
        <v>0</v>
      </c>
      <c r="R763" s="43" t="n">
        <v>0</v>
      </c>
      <c r="S763" s="20" t="n">
        <v>0</v>
      </c>
    </row>
    <row r="764" customFormat="false" ht="15.75" hidden="false" customHeight="false" outlineLevel="0" collapsed="false">
      <c r="A764" s="39" t="n">
        <v>0</v>
      </c>
      <c r="B764" s="44" t="str">
        <v/>
      </c>
      <c r="C764" s="39" t="n">
        <v>0</v>
      </c>
      <c r="D764" s="39" t="n">
        <v>0</v>
      </c>
      <c r="E764" s="39" t="str">
        <v/>
      </c>
      <c r="F764" s="45" t="n">
        <v>0</v>
      </c>
      <c r="G764" s="40" t="n">
        <v>0</v>
      </c>
      <c r="H764" s="39" t="n">
        <v>0</v>
      </c>
      <c r="I764" s="49" t="b">
        <f aca="false">IF(ISBLANK(H764),"", IF($H$2:$H2263 = "Gohar Rehan","Overnight",IF($H$2:$H2263 = "Taufeeq Akhtar ","Overnight",IF($H$2:$H2263 = "Zeeshan Ali Malik","Audit",IF($H$2:$H2263 = "Ali Raza ","Receiving",IF($H$2:$H2263 = "Ali Ahmad","Full-In"))))))</f>
        <v>0</v>
      </c>
      <c r="J764" s="29"/>
      <c r="K764" s="40"/>
      <c r="L764" s="40"/>
      <c r="M764" s="41"/>
      <c r="N764" s="39" t="s">
        <v>2335</v>
      </c>
      <c r="O764" s="46" t="b">
        <f aca="false">FALSE()</f>
        <v>0</v>
      </c>
      <c r="P764" s="20" t="n">
        <v>0</v>
      </c>
      <c r="Q764" s="45" t="n">
        <v>0</v>
      </c>
      <c r="R764" s="43" t="n">
        <v>0</v>
      </c>
      <c r="S764" s="20" t="n">
        <v>0</v>
      </c>
    </row>
    <row r="765" customFormat="false" ht="15.75" hidden="false" customHeight="false" outlineLevel="0" collapsed="false">
      <c r="A765" s="39" t="n">
        <v>0</v>
      </c>
      <c r="B765" s="44" t="str">
        <v/>
      </c>
      <c r="C765" s="39" t="n">
        <v>0</v>
      </c>
      <c r="D765" s="39" t="n">
        <v>0</v>
      </c>
      <c r="E765" s="39" t="str">
        <v/>
      </c>
      <c r="F765" s="45" t="n">
        <v>0</v>
      </c>
      <c r="G765" s="40" t="n">
        <v>0</v>
      </c>
      <c r="H765" s="39" t="n">
        <v>0</v>
      </c>
      <c r="I765" s="49" t="b">
        <f aca="false">IF(ISBLANK(H765),"", IF($H$2:$H2264 = "Gohar Rehan","Overnight",IF($H$2:$H2264 = "Taufeeq Akhtar ","Overnight",IF($H$2:$H2264 = "Zeeshan Ali Malik","Audit",IF($H$2:$H2264 = "Ali Raza ","Receiving",IF($H$2:$H2264 = "Ali Ahmad","Full-In"))))))</f>
        <v>0</v>
      </c>
      <c r="J765" s="29"/>
      <c r="K765" s="40"/>
      <c r="L765" s="40"/>
      <c r="M765" s="41"/>
      <c r="N765" s="39" t="s">
        <v>2335</v>
      </c>
      <c r="O765" s="46" t="b">
        <f aca="false">FALSE()</f>
        <v>0</v>
      </c>
      <c r="P765" s="20" t="n">
        <v>0</v>
      </c>
      <c r="Q765" s="45" t="n">
        <v>0</v>
      </c>
      <c r="R765" s="43" t="n">
        <v>0</v>
      </c>
      <c r="S765" s="20" t="n">
        <v>0</v>
      </c>
    </row>
    <row r="766" customFormat="false" ht="15.75" hidden="false" customHeight="false" outlineLevel="0" collapsed="false">
      <c r="A766" s="39" t="n">
        <v>0</v>
      </c>
      <c r="B766" s="44" t="str">
        <v/>
      </c>
      <c r="C766" s="39" t="n">
        <v>0</v>
      </c>
      <c r="D766" s="39" t="n">
        <v>0</v>
      </c>
      <c r="E766" s="39" t="str">
        <v/>
      </c>
      <c r="F766" s="45" t="n">
        <v>0</v>
      </c>
      <c r="G766" s="40" t="n">
        <v>0</v>
      </c>
      <c r="H766" s="39" t="n">
        <v>0</v>
      </c>
      <c r="I766" s="49" t="b">
        <f aca="false">IF(ISBLANK(H766),"", IF($H$2:$H2265 = "Gohar Rehan","Overnight",IF($H$2:$H2265 = "Taufeeq Akhtar ","Overnight",IF($H$2:$H2265 = "Zeeshan Ali Malik","Audit",IF($H$2:$H2265 = "Ali Raza ","Receiving",IF($H$2:$H2265 = "Ali Ahmad","Full-In"))))))</f>
        <v>0</v>
      </c>
      <c r="J766" s="29"/>
      <c r="K766" s="40"/>
      <c r="L766" s="40"/>
      <c r="M766" s="41"/>
      <c r="N766" s="39" t="s">
        <v>2335</v>
      </c>
      <c r="O766" s="46" t="b">
        <f aca="false">FALSE()</f>
        <v>0</v>
      </c>
      <c r="P766" s="20" t="n">
        <v>0</v>
      </c>
      <c r="Q766" s="45" t="n">
        <v>0</v>
      </c>
      <c r="R766" s="43" t="n">
        <v>0</v>
      </c>
      <c r="S766" s="20" t="n">
        <v>0</v>
      </c>
    </row>
    <row r="767" customFormat="false" ht="15.75" hidden="false" customHeight="false" outlineLevel="0" collapsed="false">
      <c r="A767" s="39" t="n">
        <v>0</v>
      </c>
      <c r="B767" s="44" t="str">
        <v/>
      </c>
      <c r="C767" s="39" t="n">
        <v>0</v>
      </c>
      <c r="D767" s="39" t="n">
        <v>0</v>
      </c>
      <c r="E767" s="39" t="str">
        <v/>
      </c>
      <c r="F767" s="45" t="n">
        <v>0</v>
      </c>
      <c r="G767" s="40" t="n">
        <v>0</v>
      </c>
      <c r="H767" s="39" t="n">
        <v>0</v>
      </c>
      <c r="I767" s="49" t="b">
        <f aca="false">IF(ISBLANK(H767),"", IF($H$2:$H2266 = "Gohar Rehan","Overnight",IF($H$2:$H2266 = "Taufeeq Akhtar ","Overnight",IF($H$2:$H2266 = "Zeeshan Ali Malik","Audit",IF($H$2:$H2266 = "Ali Raza ","Receiving",IF($H$2:$H2266 = "Ali Ahmad","Full-In"))))))</f>
        <v>0</v>
      </c>
      <c r="J767" s="29"/>
      <c r="K767" s="40"/>
      <c r="L767" s="40"/>
      <c r="M767" s="41"/>
      <c r="N767" s="39" t="s">
        <v>2335</v>
      </c>
      <c r="O767" s="46" t="b">
        <f aca="false">FALSE()</f>
        <v>0</v>
      </c>
      <c r="P767" s="20" t="n">
        <v>0</v>
      </c>
      <c r="Q767" s="45" t="n">
        <v>0</v>
      </c>
      <c r="R767" s="43" t="n">
        <v>0</v>
      </c>
      <c r="S767" s="20" t="n">
        <v>0</v>
      </c>
    </row>
    <row r="768" customFormat="false" ht="15.75" hidden="false" customHeight="false" outlineLevel="0" collapsed="false">
      <c r="A768" s="39" t="n">
        <v>0</v>
      </c>
      <c r="B768" s="44" t="str">
        <v/>
      </c>
      <c r="C768" s="39" t="n">
        <v>0</v>
      </c>
      <c r="D768" s="39" t="n">
        <v>0</v>
      </c>
      <c r="E768" s="39" t="str">
        <v/>
      </c>
      <c r="F768" s="45" t="n">
        <v>0</v>
      </c>
      <c r="G768" s="40" t="n">
        <v>0</v>
      </c>
      <c r="H768" s="39" t="n">
        <v>0</v>
      </c>
      <c r="I768" s="49" t="b">
        <f aca="false">IF(ISBLANK(H768),"", IF($H$2:$H2267 = "Gohar Rehan","Overnight",IF($H$2:$H2267 = "Taufeeq Akhtar ","Overnight",IF($H$2:$H2267 = "Zeeshan Ali Malik","Audit",IF($H$2:$H2267 = "Ali Raza ","Receiving",IF($H$2:$H2267 = "Ali Ahmad","Full-In"))))))</f>
        <v>0</v>
      </c>
      <c r="J768" s="29"/>
      <c r="K768" s="40"/>
      <c r="L768" s="40"/>
      <c r="M768" s="41"/>
      <c r="N768" s="39" t="s">
        <v>2335</v>
      </c>
      <c r="O768" s="46" t="b">
        <f aca="false">FALSE()</f>
        <v>0</v>
      </c>
      <c r="P768" s="20" t="n">
        <v>0</v>
      </c>
      <c r="Q768" s="45" t="n">
        <v>0</v>
      </c>
      <c r="R768" s="43" t="n">
        <v>0</v>
      </c>
      <c r="S768" s="20" t="n">
        <v>0</v>
      </c>
    </row>
    <row r="769" customFormat="false" ht="15.75" hidden="false" customHeight="false" outlineLevel="0" collapsed="false">
      <c r="A769" s="39" t="n">
        <v>0</v>
      </c>
      <c r="B769" s="44" t="str">
        <v/>
      </c>
      <c r="C769" s="39" t="n">
        <v>0</v>
      </c>
      <c r="D769" s="39" t="n">
        <v>0</v>
      </c>
      <c r="E769" s="39" t="str">
        <v/>
      </c>
      <c r="F769" s="45" t="n">
        <v>0</v>
      </c>
      <c r="G769" s="40" t="n">
        <v>0</v>
      </c>
      <c r="H769" s="39" t="n">
        <v>0</v>
      </c>
      <c r="I769" s="49" t="b">
        <f aca="false">IF(ISBLANK(H769),"", IF($H$2:$H2268 = "Gohar Rehan","Overnight",IF($H$2:$H2268 = "Taufeeq Akhtar ","Overnight",IF($H$2:$H2268 = "Zeeshan Ali Malik","Audit",IF($H$2:$H2268 = "Ali Raza ","Receiving",IF($H$2:$H2268 = "Ali Ahmad","Full-In"))))))</f>
        <v>0</v>
      </c>
      <c r="J769" s="29"/>
      <c r="K769" s="40"/>
      <c r="L769" s="40"/>
      <c r="M769" s="41"/>
      <c r="N769" s="39" t="s">
        <v>2335</v>
      </c>
      <c r="O769" s="46" t="b">
        <f aca="false">FALSE()</f>
        <v>0</v>
      </c>
      <c r="P769" s="20" t="n">
        <v>0</v>
      </c>
      <c r="Q769" s="45" t="n">
        <v>0</v>
      </c>
      <c r="R769" s="43" t="n">
        <v>0</v>
      </c>
      <c r="S769" s="20" t="n">
        <v>0</v>
      </c>
    </row>
    <row r="770" customFormat="false" ht="15.75" hidden="false" customHeight="false" outlineLevel="0" collapsed="false">
      <c r="A770" s="39" t="n">
        <v>0</v>
      </c>
      <c r="B770" s="44" t="str">
        <v/>
      </c>
      <c r="C770" s="39" t="n">
        <v>0</v>
      </c>
      <c r="D770" s="39" t="n">
        <v>0</v>
      </c>
      <c r="E770" s="39" t="str">
        <v/>
      </c>
      <c r="F770" s="45" t="n">
        <v>0</v>
      </c>
      <c r="G770" s="40" t="n">
        <v>0</v>
      </c>
      <c r="H770" s="39" t="n">
        <v>0</v>
      </c>
      <c r="I770" s="49" t="b">
        <f aca="false">IF(ISBLANK(H770),"", IF($H$2:$H2269 = "Gohar Rehan","Overnight",IF($H$2:$H2269 = "Taufeeq Akhtar ","Overnight",IF($H$2:$H2269 = "Zeeshan Ali Malik","Audit",IF($H$2:$H2269 = "Ali Raza ","Receiving",IF($H$2:$H2269 = "Ali Ahmad","Full-In"))))))</f>
        <v>0</v>
      </c>
      <c r="J770" s="29"/>
      <c r="K770" s="40"/>
      <c r="L770" s="40"/>
      <c r="M770" s="41"/>
      <c r="N770" s="39" t="s">
        <v>2335</v>
      </c>
      <c r="O770" s="46" t="b">
        <f aca="false">FALSE()</f>
        <v>0</v>
      </c>
      <c r="P770" s="20" t="n">
        <v>0</v>
      </c>
      <c r="Q770" s="45" t="n">
        <v>0</v>
      </c>
      <c r="R770" s="43" t="n">
        <v>0</v>
      </c>
      <c r="S770" s="20" t="n">
        <v>0</v>
      </c>
    </row>
    <row r="771" customFormat="false" ht="15.75" hidden="false" customHeight="false" outlineLevel="0" collapsed="false">
      <c r="A771" s="39" t="n">
        <v>0</v>
      </c>
      <c r="B771" s="44" t="str">
        <v/>
      </c>
      <c r="C771" s="39" t="n">
        <v>0</v>
      </c>
      <c r="D771" s="39" t="n">
        <v>0</v>
      </c>
      <c r="E771" s="39" t="str">
        <v/>
      </c>
      <c r="F771" s="45" t="n">
        <v>0</v>
      </c>
      <c r="G771" s="40" t="n">
        <v>0</v>
      </c>
      <c r="H771" s="39" t="n">
        <v>0</v>
      </c>
      <c r="I771" s="49" t="b">
        <f aca="false">IF(ISBLANK(H771),"", IF($H$2:$H2270 = "Gohar Rehan","Overnight",IF($H$2:$H2270 = "Taufeeq Akhtar ","Overnight",IF($H$2:$H2270 = "Zeeshan Ali Malik","Audit",IF($H$2:$H2270 = "Ali Raza ","Receiving",IF($H$2:$H2270 = "Ali Ahmad","Full-In"))))))</f>
        <v>0</v>
      </c>
      <c r="J771" s="29"/>
      <c r="K771" s="40"/>
      <c r="L771" s="40"/>
      <c r="M771" s="41"/>
      <c r="N771" s="39" t="s">
        <v>2335</v>
      </c>
      <c r="O771" s="46" t="b">
        <f aca="false">FALSE()</f>
        <v>0</v>
      </c>
      <c r="P771" s="20" t="n">
        <v>0</v>
      </c>
      <c r="Q771" s="45" t="n">
        <v>0</v>
      </c>
      <c r="R771" s="43" t="n">
        <v>0</v>
      </c>
      <c r="S771" s="20" t="n">
        <v>0</v>
      </c>
    </row>
    <row r="772" customFormat="false" ht="15.75" hidden="false" customHeight="false" outlineLevel="0" collapsed="false">
      <c r="A772" s="39" t="n">
        <v>0</v>
      </c>
      <c r="B772" s="44" t="str">
        <v/>
      </c>
      <c r="C772" s="39" t="n">
        <v>0</v>
      </c>
      <c r="D772" s="39" t="n">
        <v>0</v>
      </c>
      <c r="E772" s="39" t="str">
        <v/>
      </c>
      <c r="F772" s="45" t="n">
        <v>0</v>
      </c>
      <c r="G772" s="40" t="n">
        <v>0</v>
      </c>
      <c r="H772" s="39" t="n">
        <v>0</v>
      </c>
      <c r="I772" s="49" t="b">
        <f aca="false">IF(ISBLANK(H772),"", IF($H$2:$H2271 = "Gohar Rehan","Overnight",IF($H$2:$H2271 = "Taufeeq Akhtar ","Overnight",IF($H$2:$H2271 = "Zeeshan Ali Malik","Audit",IF($H$2:$H2271 = "Ali Raza ","Receiving",IF($H$2:$H2271 = "Ali Ahmad","Full-In"))))))</f>
        <v>0</v>
      </c>
      <c r="J772" s="29"/>
      <c r="K772" s="40"/>
      <c r="L772" s="40"/>
      <c r="M772" s="41"/>
      <c r="N772" s="39" t="s">
        <v>2335</v>
      </c>
      <c r="O772" s="46" t="b">
        <f aca="false">FALSE()</f>
        <v>0</v>
      </c>
      <c r="P772" s="20" t="n">
        <v>0</v>
      </c>
      <c r="Q772" s="45" t="n">
        <v>0</v>
      </c>
      <c r="R772" s="43" t="n">
        <v>0</v>
      </c>
      <c r="S772" s="20" t="n">
        <v>0</v>
      </c>
    </row>
    <row r="773" customFormat="false" ht="15.75" hidden="false" customHeight="false" outlineLevel="0" collapsed="false">
      <c r="A773" s="39" t="n">
        <v>0</v>
      </c>
      <c r="B773" s="44" t="str">
        <v/>
      </c>
      <c r="C773" s="39" t="n">
        <v>0</v>
      </c>
      <c r="D773" s="39" t="n">
        <v>0</v>
      </c>
      <c r="E773" s="39" t="str">
        <v/>
      </c>
      <c r="F773" s="45" t="n">
        <v>0</v>
      </c>
      <c r="G773" s="40" t="n">
        <v>0</v>
      </c>
      <c r="H773" s="39" t="n">
        <v>0</v>
      </c>
      <c r="I773" s="49" t="b">
        <f aca="false">IF(ISBLANK(H773),"", IF($H$2:$H2272 = "Gohar Rehan","Overnight",IF($H$2:$H2272 = "Taufeeq Akhtar ","Overnight",IF($H$2:$H2272 = "Zeeshan Ali Malik","Audit",IF($H$2:$H2272 = "Ali Raza ","Receiving",IF($H$2:$H2272 = "Ali Ahmad","Full-In"))))))</f>
        <v>0</v>
      </c>
      <c r="J773" s="29"/>
      <c r="K773" s="40"/>
      <c r="L773" s="40"/>
      <c r="M773" s="41"/>
      <c r="N773" s="39" t="s">
        <v>2335</v>
      </c>
      <c r="O773" s="46" t="b">
        <f aca="false">FALSE()</f>
        <v>0</v>
      </c>
      <c r="P773" s="20" t="n">
        <v>0</v>
      </c>
      <c r="Q773" s="45" t="n">
        <v>0</v>
      </c>
      <c r="R773" s="43" t="n">
        <v>0</v>
      </c>
      <c r="S773" s="20" t="n">
        <v>0</v>
      </c>
    </row>
    <row r="774" customFormat="false" ht="15.75" hidden="false" customHeight="false" outlineLevel="0" collapsed="false">
      <c r="A774" s="39" t="n">
        <v>0</v>
      </c>
      <c r="B774" s="44" t="str">
        <v/>
      </c>
      <c r="C774" s="39" t="n">
        <v>0</v>
      </c>
      <c r="D774" s="39" t="n">
        <v>0</v>
      </c>
      <c r="E774" s="39" t="str">
        <v/>
      </c>
      <c r="F774" s="45" t="n">
        <v>0</v>
      </c>
      <c r="G774" s="40" t="n">
        <v>0</v>
      </c>
      <c r="H774" s="39" t="n">
        <v>0</v>
      </c>
      <c r="I774" s="49" t="b">
        <f aca="false">IF(ISBLANK(H774),"", IF($H$2:$H2273 = "Gohar Rehan","Overnight",IF($H$2:$H2273 = "Taufeeq Akhtar ","Overnight",IF($H$2:$H2273 = "Zeeshan Ali Malik","Audit",IF($H$2:$H2273 = "Ali Raza ","Receiving",IF($H$2:$H2273 = "Ali Ahmad","Full-In"))))))</f>
        <v>0</v>
      </c>
      <c r="J774" s="29"/>
      <c r="K774" s="40"/>
      <c r="L774" s="40"/>
      <c r="M774" s="41"/>
      <c r="N774" s="39" t="s">
        <v>2335</v>
      </c>
      <c r="O774" s="46" t="b">
        <f aca="false">FALSE()</f>
        <v>0</v>
      </c>
      <c r="P774" s="20" t="n">
        <v>0</v>
      </c>
      <c r="Q774" s="45" t="n">
        <v>0</v>
      </c>
      <c r="R774" s="43" t="n">
        <v>0</v>
      </c>
      <c r="S774" s="20" t="n">
        <v>0</v>
      </c>
    </row>
    <row r="775" customFormat="false" ht="15.75" hidden="false" customHeight="false" outlineLevel="0" collapsed="false">
      <c r="A775" s="39" t="n">
        <v>0</v>
      </c>
      <c r="B775" s="44" t="str">
        <v/>
      </c>
      <c r="C775" s="39" t="n">
        <v>0</v>
      </c>
      <c r="D775" s="39" t="n">
        <v>0</v>
      </c>
      <c r="E775" s="39" t="str">
        <v/>
      </c>
      <c r="F775" s="45" t="n">
        <v>0</v>
      </c>
      <c r="G775" s="40" t="n">
        <v>0</v>
      </c>
      <c r="H775" s="39" t="n">
        <v>0</v>
      </c>
      <c r="I775" s="49" t="b">
        <f aca="false">IF(ISBLANK(H775),"", IF($H$2:$H2274 = "Gohar Rehan","Overnight",IF($H$2:$H2274 = "Taufeeq Akhtar ","Overnight",IF($H$2:$H2274 = "Zeeshan Ali Malik","Audit",IF($H$2:$H2274 = "Ali Raza ","Receiving",IF($H$2:$H2274 = "Ali Ahmad","Full-In"))))))</f>
        <v>0</v>
      </c>
      <c r="J775" s="29"/>
      <c r="K775" s="40"/>
      <c r="L775" s="40"/>
      <c r="M775" s="41"/>
      <c r="N775" s="39" t="s">
        <v>2335</v>
      </c>
      <c r="O775" s="46" t="b">
        <f aca="false">FALSE()</f>
        <v>0</v>
      </c>
      <c r="P775" s="20" t="n">
        <v>0</v>
      </c>
      <c r="Q775" s="45" t="n">
        <v>0</v>
      </c>
      <c r="R775" s="43" t="n">
        <v>0</v>
      </c>
      <c r="S775" s="20" t="n">
        <v>0</v>
      </c>
    </row>
    <row r="776" customFormat="false" ht="15.75" hidden="false" customHeight="false" outlineLevel="0" collapsed="false">
      <c r="A776" s="39" t="n">
        <v>0</v>
      </c>
      <c r="B776" s="44" t="str">
        <v/>
      </c>
      <c r="C776" s="39" t="n">
        <v>0</v>
      </c>
      <c r="D776" s="39" t="n">
        <v>0</v>
      </c>
      <c r="E776" s="39" t="str">
        <v/>
      </c>
      <c r="F776" s="45" t="n">
        <v>0</v>
      </c>
      <c r="G776" s="40" t="n">
        <v>0</v>
      </c>
      <c r="H776" s="39" t="n">
        <v>0</v>
      </c>
      <c r="I776" s="49" t="b">
        <f aca="false">IF(ISBLANK(H776),"", IF($H$2:$H2275 = "Gohar Rehan","Overnight",IF($H$2:$H2275 = "Taufeeq Akhtar ","Overnight",IF($H$2:$H2275 = "Zeeshan Ali Malik","Audit",IF($H$2:$H2275 = "Ali Raza ","Receiving",IF($H$2:$H2275 = "Ali Ahmad","Full-In"))))))</f>
        <v>0</v>
      </c>
      <c r="J776" s="29"/>
      <c r="K776" s="40"/>
      <c r="L776" s="40"/>
      <c r="M776" s="41"/>
      <c r="N776" s="39" t="s">
        <v>2335</v>
      </c>
      <c r="O776" s="46" t="b">
        <f aca="false">FALSE()</f>
        <v>0</v>
      </c>
      <c r="P776" s="20" t="n">
        <v>0</v>
      </c>
      <c r="Q776" s="45" t="n">
        <v>0</v>
      </c>
      <c r="R776" s="43" t="n">
        <v>0</v>
      </c>
      <c r="S776" s="20" t="n">
        <v>0</v>
      </c>
    </row>
    <row r="777" customFormat="false" ht="15.75" hidden="false" customHeight="false" outlineLevel="0" collapsed="false">
      <c r="A777" s="39" t="n">
        <v>0</v>
      </c>
      <c r="B777" s="44" t="str">
        <v/>
      </c>
      <c r="C777" s="39" t="n">
        <v>0</v>
      </c>
      <c r="D777" s="39" t="n">
        <v>0</v>
      </c>
      <c r="E777" s="39" t="str">
        <v/>
      </c>
      <c r="F777" s="45" t="n">
        <v>0</v>
      </c>
      <c r="G777" s="40" t="n">
        <v>0</v>
      </c>
      <c r="H777" s="39" t="n">
        <v>0</v>
      </c>
      <c r="I777" s="49" t="b">
        <f aca="false">IF(ISBLANK(H777),"", IF($H$2:$H2276 = "Gohar Rehan","Overnight",IF($H$2:$H2276 = "Taufeeq Akhtar ","Overnight",IF($H$2:$H2276 = "Zeeshan Ali Malik","Audit",IF($H$2:$H2276 = "Ali Raza ","Receiving",IF($H$2:$H2276 = "Ali Ahmad","Full-In"))))))</f>
        <v>0</v>
      </c>
      <c r="J777" s="29"/>
      <c r="K777" s="40"/>
      <c r="L777" s="40"/>
      <c r="M777" s="41"/>
      <c r="N777" s="39" t="s">
        <v>2335</v>
      </c>
      <c r="O777" s="46" t="b">
        <f aca="false">FALSE()</f>
        <v>0</v>
      </c>
      <c r="P777" s="20" t="n">
        <v>0</v>
      </c>
      <c r="Q777" s="45" t="n">
        <v>0</v>
      </c>
      <c r="R777" s="43" t="n">
        <v>0</v>
      </c>
      <c r="S777" s="20" t="n">
        <v>0</v>
      </c>
    </row>
    <row r="778" customFormat="false" ht="15.75" hidden="false" customHeight="false" outlineLevel="0" collapsed="false">
      <c r="A778" s="39" t="n">
        <v>0</v>
      </c>
      <c r="B778" s="44" t="str">
        <v/>
      </c>
      <c r="C778" s="39" t="n">
        <v>0</v>
      </c>
      <c r="D778" s="39" t="n">
        <v>0</v>
      </c>
      <c r="E778" s="39" t="str">
        <v/>
      </c>
      <c r="F778" s="45" t="n">
        <v>0</v>
      </c>
      <c r="G778" s="40" t="n">
        <v>0</v>
      </c>
      <c r="H778" s="39" t="n">
        <v>0</v>
      </c>
      <c r="I778" s="49" t="b">
        <f aca="false">IF(ISBLANK(H778),"", IF($H$2:$H2277 = "Gohar Rehan","Overnight",IF($H$2:$H2277 = "Taufeeq Akhtar ","Overnight",IF($H$2:$H2277 = "Zeeshan Ali Malik","Audit",IF($H$2:$H2277 = "Ali Raza ","Receiving",IF($H$2:$H2277 = "Ali Ahmad","Full-In"))))))</f>
        <v>0</v>
      </c>
      <c r="J778" s="29"/>
      <c r="K778" s="40"/>
      <c r="L778" s="40"/>
      <c r="M778" s="41"/>
      <c r="N778" s="39" t="s">
        <v>2335</v>
      </c>
      <c r="O778" s="46" t="b">
        <f aca="false">FALSE()</f>
        <v>0</v>
      </c>
      <c r="P778" s="20" t="n">
        <v>0</v>
      </c>
      <c r="Q778" s="45" t="n">
        <v>0</v>
      </c>
      <c r="R778" s="43" t="n">
        <v>0</v>
      </c>
      <c r="S778" s="20" t="n">
        <v>0</v>
      </c>
    </row>
    <row r="779" customFormat="false" ht="15.75" hidden="false" customHeight="false" outlineLevel="0" collapsed="false">
      <c r="A779" s="39" t="n">
        <v>0</v>
      </c>
      <c r="B779" s="44" t="str">
        <v/>
      </c>
      <c r="C779" s="39" t="n">
        <v>0</v>
      </c>
      <c r="D779" s="39" t="n">
        <v>0</v>
      </c>
      <c r="E779" s="39" t="str">
        <v/>
      </c>
      <c r="F779" s="45" t="n">
        <v>0</v>
      </c>
      <c r="G779" s="40" t="n">
        <v>0</v>
      </c>
      <c r="H779" s="39" t="n">
        <v>0</v>
      </c>
      <c r="I779" s="49" t="b">
        <f aca="false">IF(ISBLANK(H779),"", IF($H$2:$H2278 = "Gohar Rehan","Overnight",IF($H$2:$H2278 = "Taufeeq Akhtar ","Overnight",IF($H$2:$H2278 = "Zeeshan Ali Malik","Audit",IF($H$2:$H2278 = "Ali Raza ","Receiving",IF($H$2:$H2278 = "Ali Ahmad","Full-In"))))))</f>
        <v>0</v>
      </c>
      <c r="J779" s="29"/>
      <c r="K779" s="40"/>
      <c r="L779" s="40"/>
      <c r="M779" s="41"/>
      <c r="N779" s="39" t="s">
        <v>2335</v>
      </c>
      <c r="O779" s="46" t="b">
        <f aca="false">FALSE()</f>
        <v>0</v>
      </c>
      <c r="P779" s="20" t="n">
        <v>0</v>
      </c>
      <c r="Q779" s="45" t="n">
        <v>0</v>
      </c>
      <c r="R779" s="43" t="n">
        <v>0</v>
      </c>
      <c r="S779" s="20" t="n">
        <v>0</v>
      </c>
    </row>
    <row r="780" customFormat="false" ht="15.75" hidden="false" customHeight="false" outlineLevel="0" collapsed="false">
      <c r="A780" s="39" t="n">
        <v>0</v>
      </c>
      <c r="B780" s="44" t="str">
        <v/>
      </c>
      <c r="C780" s="39" t="n">
        <v>0</v>
      </c>
      <c r="D780" s="39" t="n">
        <v>0</v>
      </c>
      <c r="E780" s="39" t="str">
        <v/>
      </c>
      <c r="F780" s="45" t="n">
        <v>0</v>
      </c>
      <c r="G780" s="40" t="n">
        <v>0</v>
      </c>
      <c r="H780" s="39" t="n">
        <v>0</v>
      </c>
      <c r="I780" s="49" t="b">
        <f aca="false">IF(ISBLANK(H780),"", IF($H$2:$H2279 = "Gohar Rehan","Overnight",IF($H$2:$H2279 = "Taufeeq Akhtar ","Overnight",IF($H$2:$H2279 = "Zeeshan Ali Malik","Audit",IF($H$2:$H2279 = "Ali Raza ","Receiving",IF($H$2:$H2279 = "Ali Ahmad","Full-In"))))))</f>
        <v>0</v>
      </c>
      <c r="J780" s="29"/>
      <c r="K780" s="40"/>
      <c r="L780" s="40"/>
      <c r="M780" s="41"/>
      <c r="N780" s="39" t="s">
        <v>2335</v>
      </c>
      <c r="O780" s="46" t="b">
        <f aca="false">FALSE()</f>
        <v>0</v>
      </c>
      <c r="P780" s="20" t="n">
        <v>0</v>
      </c>
      <c r="Q780" s="45" t="n">
        <v>0</v>
      </c>
      <c r="R780" s="43" t="n">
        <v>0</v>
      </c>
      <c r="S780" s="20" t="n">
        <v>0</v>
      </c>
    </row>
    <row r="781" customFormat="false" ht="15.75" hidden="false" customHeight="false" outlineLevel="0" collapsed="false">
      <c r="A781" s="39" t="n">
        <v>0</v>
      </c>
      <c r="B781" s="44" t="str">
        <v/>
      </c>
      <c r="C781" s="39" t="n">
        <v>0</v>
      </c>
      <c r="D781" s="39" t="n">
        <v>0</v>
      </c>
      <c r="E781" s="39" t="str">
        <v/>
      </c>
      <c r="F781" s="45" t="n">
        <v>0</v>
      </c>
      <c r="G781" s="40" t="n">
        <v>0</v>
      </c>
      <c r="H781" s="39" t="n">
        <v>0</v>
      </c>
      <c r="I781" s="49" t="b">
        <f aca="false">IF(ISBLANK(H781),"", IF($H$2:$H2280 = "Gohar Rehan","Overnight",IF($H$2:$H2280 = "Taufeeq Akhtar ","Overnight",IF($H$2:$H2280 = "Zeeshan Ali Malik","Audit",IF($H$2:$H2280 = "Ali Raza ","Receiving",IF($H$2:$H2280 = "Ali Ahmad","Full-In"))))))</f>
        <v>0</v>
      </c>
      <c r="J781" s="29"/>
      <c r="K781" s="40"/>
      <c r="L781" s="40"/>
      <c r="M781" s="41"/>
      <c r="N781" s="39" t="s">
        <v>2335</v>
      </c>
      <c r="O781" s="46" t="b">
        <f aca="false">FALSE()</f>
        <v>0</v>
      </c>
      <c r="P781" s="20" t="n">
        <v>0</v>
      </c>
      <c r="Q781" s="45" t="n">
        <v>0</v>
      </c>
      <c r="R781" s="43" t="n">
        <v>0</v>
      </c>
      <c r="S781" s="20" t="n">
        <v>0</v>
      </c>
    </row>
    <row r="782" customFormat="false" ht="15.75" hidden="false" customHeight="false" outlineLevel="0" collapsed="false">
      <c r="A782" s="39" t="n">
        <v>0</v>
      </c>
      <c r="B782" s="44" t="str">
        <v/>
      </c>
      <c r="C782" s="39" t="n">
        <v>0</v>
      </c>
      <c r="D782" s="39" t="n">
        <v>0</v>
      </c>
      <c r="E782" s="39" t="str">
        <v/>
      </c>
      <c r="F782" s="45" t="n">
        <v>0</v>
      </c>
      <c r="G782" s="40" t="n">
        <v>0</v>
      </c>
      <c r="H782" s="39" t="n">
        <v>0</v>
      </c>
      <c r="I782" s="49" t="b">
        <f aca="false">IF(ISBLANK(H782),"", IF($H$2:$H2281 = "Gohar Rehan","Overnight",IF($H$2:$H2281 = "Taufeeq Akhtar ","Overnight",IF($H$2:$H2281 = "Zeeshan Ali Malik","Audit",IF($H$2:$H2281 = "Ali Raza ","Receiving",IF($H$2:$H2281 = "Ali Ahmad","Full-In"))))))</f>
        <v>0</v>
      </c>
      <c r="J782" s="29"/>
      <c r="K782" s="40"/>
      <c r="L782" s="40"/>
      <c r="M782" s="41"/>
      <c r="N782" s="39" t="s">
        <v>2335</v>
      </c>
      <c r="O782" s="46" t="b">
        <f aca="false">FALSE()</f>
        <v>0</v>
      </c>
      <c r="P782" s="20" t="n">
        <v>0</v>
      </c>
      <c r="Q782" s="45" t="n">
        <v>0</v>
      </c>
      <c r="R782" s="43" t="n">
        <v>0</v>
      </c>
      <c r="S782" s="20" t="n">
        <v>0</v>
      </c>
    </row>
    <row r="783" customFormat="false" ht="15.75" hidden="false" customHeight="false" outlineLevel="0" collapsed="false">
      <c r="A783" s="39" t="n">
        <v>0</v>
      </c>
      <c r="B783" s="44" t="str">
        <v/>
      </c>
      <c r="C783" s="39" t="n">
        <v>0</v>
      </c>
      <c r="D783" s="39" t="n">
        <v>0</v>
      </c>
      <c r="E783" s="39" t="str">
        <v/>
      </c>
      <c r="F783" s="45" t="n">
        <v>0</v>
      </c>
      <c r="G783" s="40" t="n">
        <v>0</v>
      </c>
      <c r="H783" s="39" t="n">
        <v>0</v>
      </c>
      <c r="I783" s="49" t="b">
        <f aca="false">IF(ISBLANK(H783),"", IF($H$2:$H2282 = "Gohar Rehan","Overnight",IF($H$2:$H2282 = "Taufeeq Akhtar ","Overnight",IF($H$2:$H2282 = "Zeeshan Ali Malik","Audit",IF($H$2:$H2282 = "Ali Raza ","Receiving",IF($H$2:$H2282 = "Ali Ahmad","Full-In"))))))</f>
        <v>0</v>
      </c>
      <c r="J783" s="29"/>
      <c r="K783" s="40"/>
      <c r="L783" s="40"/>
      <c r="M783" s="41"/>
      <c r="N783" s="39" t="s">
        <v>2335</v>
      </c>
      <c r="O783" s="46" t="b">
        <f aca="false">FALSE()</f>
        <v>0</v>
      </c>
      <c r="P783" s="20" t="n">
        <v>0</v>
      </c>
      <c r="Q783" s="45" t="n">
        <v>0</v>
      </c>
      <c r="R783" s="43" t="n">
        <v>0</v>
      </c>
      <c r="S783" s="20" t="n">
        <v>0</v>
      </c>
    </row>
    <row r="784" customFormat="false" ht="15.75" hidden="false" customHeight="false" outlineLevel="0" collapsed="false">
      <c r="A784" s="39" t="n">
        <v>0</v>
      </c>
      <c r="B784" s="44" t="str">
        <v/>
      </c>
      <c r="C784" s="39" t="n">
        <v>0</v>
      </c>
      <c r="D784" s="39" t="n">
        <v>0</v>
      </c>
      <c r="E784" s="39" t="str">
        <v/>
      </c>
      <c r="F784" s="45" t="n">
        <v>0</v>
      </c>
      <c r="G784" s="40" t="n">
        <v>0</v>
      </c>
      <c r="H784" s="39" t="n">
        <v>0</v>
      </c>
      <c r="I784" s="49" t="b">
        <f aca="false">IF(ISBLANK(H784),"", IF($H$2:$H2283 = "Gohar Rehan","Overnight",IF($H$2:$H2283 = "Taufeeq Akhtar ","Overnight",IF($H$2:$H2283 = "Zeeshan Ali Malik","Audit",IF($H$2:$H2283 = "Ali Raza ","Receiving",IF($H$2:$H2283 = "Ali Ahmad","Full-In"))))))</f>
        <v>0</v>
      </c>
      <c r="J784" s="29"/>
      <c r="K784" s="40"/>
      <c r="L784" s="40"/>
      <c r="M784" s="41"/>
      <c r="N784" s="39" t="s">
        <v>2335</v>
      </c>
      <c r="O784" s="46" t="b">
        <f aca="false">FALSE()</f>
        <v>0</v>
      </c>
      <c r="P784" s="20" t="n">
        <v>0</v>
      </c>
      <c r="Q784" s="45" t="n">
        <v>0</v>
      </c>
      <c r="R784" s="43" t="n">
        <v>0</v>
      </c>
      <c r="S784" s="20" t="n">
        <v>0</v>
      </c>
    </row>
    <row r="785" customFormat="false" ht="15.75" hidden="false" customHeight="false" outlineLevel="0" collapsed="false">
      <c r="A785" s="39" t="n">
        <v>0</v>
      </c>
      <c r="B785" s="44" t="str">
        <v/>
      </c>
      <c r="C785" s="39" t="n">
        <v>0</v>
      </c>
      <c r="D785" s="39" t="n">
        <v>0</v>
      </c>
      <c r="E785" s="39" t="str">
        <v/>
      </c>
      <c r="F785" s="45" t="n">
        <v>0</v>
      </c>
      <c r="G785" s="40" t="n">
        <v>0</v>
      </c>
      <c r="H785" s="39" t="n">
        <v>0</v>
      </c>
      <c r="I785" s="49" t="b">
        <f aca="false">IF(ISBLANK(H785),"", IF($H$2:$H2284 = "Gohar Rehan","Overnight",IF($H$2:$H2284 = "Taufeeq Akhtar ","Overnight",IF($H$2:$H2284 = "Zeeshan Ali Malik","Audit",IF($H$2:$H2284 = "Ali Raza ","Receiving",IF($H$2:$H2284 = "Ali Ahmad","Full-In"))))))</f>
        <v>0</v>
      </c>
      <c r="J785" s="29"/>
      <c r="K785" s="40"/>
      <c r="L785" s="40"/>
      <c r="M785" s="41"/>
      <c r="N785" s="39" t="s">
        <v>2335</v>
      </c>
      <c r="O785" s="46" t="b">
        <f aca="false">FALSE()</f>
        <v>0</v>
      </c>
      <c r="P785" s="20" t="n">
        <v>0</v>
      </c>
      <c r="Q785" s="45" t="n">
        <v>0</v>
      </c>
      <c r="R785" s="43" t="n">
        <v>0</v>
      </c>
      <c r="S785" s="20" t="n">
        <v>0</v>
      </c>
    </row>
    <row r="786" customFormat="false" ht="15.75" hidden="false" customHeight="false" outlineLevel="0" collapsed="false">
      <c r="A786" s="39" t="n">
        <v>0</v>
      </c>
      <c r="B786" s="44" t="str">
        <v/>
      </c>
      <c r="C786" s="39" t="n">
        <v>0</v>
      </c>
      <c r="D786" s="39" t="n">
        <v>0</v>
      </c>
      <c r="E786" s="39" t="str">
        <v/>
      </c>
      <c r="F786" s="45" t="n">
        <v>0</v>
      </c>
      <c r="G786" s="40" t="n">
        <v>0</v>
      </c>
      <c r="H786" s="39" t="n">
        <v>0</v>
      </c>
      <c r="I786" s="49" t="b">
        <f aca="false">IF(ISBLANK(H786),"", IF($H$2:$H2285 = "Gohar Rehan","Overnight",IF($H$2:$H2285 = "Taufeeq Akhtar ","Overnight",IF($H$2:$H2285 = "Zeeshan Ali Malik","Audit",IF($H$2:$H2285 = "Ali Raza ","Receiving",IF($H$2:$H2285 = "Ali Ahmad","Full-In"))))))</f>
        <v>0</v>
      </c>
      <c r="J786" s="29"/>
      <c r="K786" s="40"/>
      <c r="L786" s="40"/>
      <c r="M786" s="41"/>
      <c r="N786" s="39" t="s">
        <v>2335</v>
      </c>
      <c r="O786" s="46" t="b">
        <f aca="false">FALSE()</f>
        <v>0</v>
      </c>
      <c r="P786" s="20" t="n">
        <v>0</v>
      </c>
      <c r="Q786" s="45" t="n">
        <v>0</v>
      </c>
      <c r="R786" s="43" t="n">
        <v>0</v>
      </c>
      <c r="S786" s="20" t="n">
        <v>0</v>
      </c>
    </row>
    <row r="787" customFormat="false" ht="15.75" hidden="false" customHeight="false" outlineLevel="0" collapsed="false">
      <c r="A787" s="39" t="n">
        <v>0</v>
      </c>
      <c r="B787" s="44" t="str">
        <v/>
      </c>
      <c r="C787" s="39" t="n">
        <v>0</v>
      </c>
      <c r="D787" s="39" t="n">
        <v>0</v>
      </c>
      <c r="E787" s="39" t="str">
        <v/>
      </c>
      <c r="F787" s="45" t="n">
        <v>0</v>
      </c>
      <c r="G787" s="40" t="n">
        <v>0</v>
      </c>
      <c r="H787" s="39" t="n">
        <v>0</v>
      </c>
      <c r="I787" s="49" t="b">
        <f aca="false">IF(ISBLANK(H787),"", IF($H$2:$H2286 = "Gohar Rehan","Overnight",IF($H$2:$H2286 = "Taufeeq Akhtar ","Overnight",IF($H$2:$H2286 = "Zeeshan Ali Malik","Audit",IF($H$2:$H2286 = "Ali Raza ","Receiving",IF($H$2:$H2286 = "Ali Ahmad","Full-In"))))))</f>
        <v>0</v>
      </c>
      <c r="J787" s="29"/>
      <c r="K787" s="40"/>
      <c r="L787" s="40"/>
      <c r="M787" s="41"/>
      <c r="N787" s="39" t="s">
        <v>2335</v>
      </c>
      <c r="O787" s="46" t="b">
        <f aca="false">FALSE()</f>
        <v>0</v>
      </c>
      <c r="P787" s="20" t="n">
        <v>0</v>
      </c>
      <c r="Q787" s="45" t="n">
        <v>0</v>
      </c>
      <c r="R787" s="43" t="n">
        <v>0</v>
      </c>
      <c r="S787" s="20" t="n">
        <v>0</v>
      </c>
    </row>
    <row r="788" customFormat="false" ht="15.75" hidden="false" customHeight="false" outlineLevel="0" collapsed="false">
      <c r="A788" s="39" t="n">
        <v>0</v>
      </c>
      <c r="B788" s="44" t="str">
        <v/>
      </c>
      <c r="C788" s="39" t="n">
        <v>0</v>
      </c>
      <c r="D788" s="39" t="n">
        <v>0</v>
      </c>
      <c r="E788" s="39" t="str">
        <v/>
      </c>
      <c r="F788" s="45" t="n">
        <v>0</v>
      </c>
      <c r="G788" s="40" t="n">
        <v>0</v>
      </c>
      <c r="H788" s="39" t="n">
        <v>0</v>
      </c>
      <c r="I788" s="49" t="b">
        <f aca="false">IF(ISBLANK(H788),"", IF($H$2:$H2287 = "Gohar Rehan","Overnight",IF($H$2:$H2287 = "Taufeeq Akhtar ","Overnight",IF($H$2:$H2287 = "Zeeshan Ali Malik","Audit",IF($H$2:$H2287 = "Ali Raza ","Receiving",IF($H$2:$H2287 = "Ali Ahmad","Full-In"))))))</f>
        <v>0</v>
      </c>
      <c r="J788" s="29"/>
      <c r="K788" s="40"/>
      <c r="L788" s="40"/>
      <c r="M788" s="41"/>
      <c r="N788" s="39" t="s">
        <v>2335</v>
      </c>
      <c r="O788" s="46" t="b">
        <f aca="false">FALSE()</f>
        <v>0</v>
      </c>
      <c r="P788" s="20" t="n">
        <v>0</v>
      </c>
      <c r="Q788" s="45" t="n">
        <v>0</v>
      </c>
      <c r="R788" s="43" t="n">
        <v>0</v>
      </c>
      <c r="S788" s="20" t="n">
        <v>0</v>
      </c>
    </row>
    <row r="789" customFormat="false" ht="15.75" hidden="false" customHeight="false" outlineLevel="0" collapsed="false">
      <c r="A789" s="39" t="n">
        <v>0</v>
      </c>
      <c r="B789" s="44" t="str">
        <v/>
      </c>
      <c r="C789" s="39" t="n">
        <v>0</v>
      </c>
      <c r="D789" s="39" t="n">
        <v>0</v>
      </c>
      <c r="E789" s="39" t="str">
        <v/>
      </c>
      <c r="F789" s="45" t="n">
        <v>0</v>
      </c>
      <c r="G789" s="40" t="n">
        <v>0</v>
      </c>
      <c r="H789" s="39" t="n">
        <v>0</v>
      </c>
      <c r="I789" s="49" t="b">
        <f aca="false">IF(ISBLANK(H789),"", IF($H$2:$H2288 = "Gohar Rehan","Overnight",IF($H$2:$H2288 = "Taufeeq Akhtar ","Overnight",IF($H$2:$H2288 = "Zeeshan Ali Malik","Audit",IF($H$2:$H2288 = "Ali Raza ","Receiving",IF($H$2:$H2288 = "Ali Ahmad","Full-In"))))))</f>
        <v>0</v>
      </c>
      <c r="J789" s="29"/>
      <c r="K789" s="40"/>
      <c r="L789" s="40"/>
      <c r="M789" s="41"/>
      <c r="N789" s="39" t="s">
        <v>2335</v>
      </c>
      <c r="O789" s="46" t="b">
        <f aca="false">FALSE()</f>
        <v>0</v>
      </c>
      <c r="P789" s="20" t="n">
        <v>0</v>
      </c>
      <c r="Q789" s="45" t="n">
        <v>0</v>
      </c>
      <c r="R789" s="43" t="n">
        <v>0</v>
      </c>
      <c r="S789" s="20" t="n">
        <v>0</v>
      </c>
    </row>
    <row r="790" customFormat="false" ht="15.75" hidden="false" customHeight="false" outlineLevel="0" collapsed="false">
      <c r="A790" s="39" t="n">
        <v>0</v>
      </c>
      <c r="B790" s="44" t="str">
        <v/>
      </c>
      <c r="C790" s="39" t="n">
        <v>0</v>
      </c>
      <c r="D790" s="39" t="n">
        <v>0</v>
      </c>
      <c r="E790" s="39" t="str">
        <v/>
      </c>
      <c r="F790" s="45" t="n">
        <v>0</v>
      </c>
      <c r="G790" s="40" t="n">
        <v>0</v>
      </c>
      <c r="H790" s="39" t="n">
        <v>0</v>
      </c>
      <c r="I790" s="49" t="b">
        <f aca="false">IF(ISBLANK(H790),"", IF($H$2:$H2289 = "Gohar Rehan","Overnight",IF($H$2:$H2289 = "Taufeeq Akhtar ","Overnight",IF($H$2:$H2289 = "Zeeshan Ali Malik","Audit",IF($H$2:$H2289 = "Ali Raza ","Receiving",IF($H$2:$H2289 = "Ali Ahmad","Full-In"))))))</f>
        <v>0</v>
      </c>
      <c r="J790" s="29"/>
      <c r="K790" s="40"/>
      <c r="L790" s="40"/>
      <c r="M790" s="41"/>
      <c r="N790" s="39" t="s">
        <v>2335</v>
      </c>
      <c r="O790" s="46" t="b">
        <f aca="false">FALSE()</f>
        <v>0</v>
      </c>
      <c r="P790" s="20" t="n">
        <v>0</v>
      </c>
      <c r="Q790" s="45" t="n">
        <v>0</v>
      </c>
      <c r="R790" s="43" t="n">
        <v>0</v>
      </c>
      <c r="S790" s="20" t="n">
        <v>0</v>
      </c>
    </row>
    <row r="791" customFormat="false" ht="15.75" hidden="false" customHeight="false" outlineLevel="0" collapsed="false">
      <c r="A791" s="39" t="n">
        <v>0</v>
      </c>
      <c r="B791" s="44" t="str">
        <v/>
      </c>
      <c r="C791" s="39" t="n">
        <v>0</v>
      </c>
      <c r="D791" s="39" t="n">
        <v>0</v>
      </c>
      <c r="E791" s="39" t="str">
        <v/>
      </c>
      <c r="F791" s="45" t="n">
        <v>0</v>
      </c>
      <c r="G791" s="40" t="n">
        <v>0</v>
      </c>
      <c r="H791" s="39" t="n">
        <v>0</v>
      </c>
      <c r="I791" s="49" t="b">
        <f aca="false">IF(ISBLANK(H791),"", IF($H$2:$H2290 = "Gohar Rehan","Overnight",IF($H$2:$H2290 = "Taufeeq Akhtar ","Overnight",IF($H$2:$H2290 = "Zeeshan Ali Malik","Audit",IF($H$2:$H2290 = "Ali Raza ","Receiving",IF($H$2:$H2290 = "Ali Ahmad","Full-In"))))))</f>
        <v>0</v>
      </c>
      <c r="J791" s="29"/>
      <c r="K791" s="40"/>
      <c r="L791" s="40"/>
      <c r="M791" s="41"/>
      <c r="N791" s="39" t="s">
        <v>2335</v>
      </c>
      <c r="O791" s="46" t="b">
        <f aca="false">FALSE()</f>
        <v>0</v>
      </c>
      <c r="P791" s="20" t="n">
        <v>0</v>
      </c>
      <c r="Q791" s="45" t="n">
        <v>0</v>
      </c>
      <c r="R791" s="43" t="n">
        <v>0</v>
      </c>
      <c r="S791" s="20" t="n">
        <v>0</v>
      </c>
    </row>
    <row r="792" customFormat="false" ht="15.75" hidden="false" customHeight="false" outlineLevel="0" collapsed="false">
      <c r="A792" s="39" t="n">
        <v>0</v>
      </c>
      <c r="B792" s="44" t="str">
        <v/>
      </c>
      <c r="C792" s="39" t="n">
        <v>0</v>
      </c>
      <c r="D792" s="39" t="n">
        <v>0</v>
      </c>
      <c r="E792" s="39" t="str">
        <v/>
      </c>
      <c r="F792" s="45" t="n">
        <v>0</v>
      </c>
      <c r="G792" s="40" t="n">
        <v>0</v>
      </c>
      <c r="H792" s="39" t="n">
        <v>0</v>
      </c>
      <c r="I792" s="49" t="b">
        <f aca="false">IF(ISBLANK(H792),"", IF($H$2:$H2291 = "Gohar Rehan","Overnight",IF($H$2:$H2291 = "Taufeeq Akhtar ","Overnight",IF($H$2:$H2291 = "Zeeshan Ali Malik","Audit",IF($H$2:$H2291 = "Ali Raza ","Receiving",IF($H$2:$H2291 = "Ali Ahmad","Full-In"))))))</f>
        <v>0</v>
      </c>
      <c r="J792" s="29"/>
      <c r="K792" s="40"/>
      <c r="L792" s="40"/>
      <c r="M792" s="41"/>
      <c r="N792" s="39" t="s">
        <v>2335</v>
      </c>
      <c r="O792" s="46" t="b">
        <f aca="false">FALSE()</f>
        <v>0</v>
      </c>
      <c r="P792" s="20" t="n">
        <v>0</v>
      </c>
      <c r="Q792" s="45" t="n">
        <v>0</v>
      </c>
      <c r="R792" s="43" t="n">
        <v>0</v>
      </c>
      <c r="S792" s="20" t="n">
        <v>0</v>
      </c>
    </row>
    <row r="793" customFormat="false" ht="15.75" hidden="false" customHeight="false" outlineLevel="0" collapsed="false">
      <c r="A793" s="39" t="n">
        <v>0</v>
      </c>
      <c r="B793" s="44" t="str">
        <v/>
      </c>
      <c r="C793" s="39" t="n">
        <v>0</v>
      </c>
      <c r="D793" s="39" t="n">
        <v>0</v>
      </c>
      <c r="E793" s="39" t="str">
        <v/>
      </c>
      <c r="F793" s="45" t="n">
        <v>0</v>
      </c>
      <c r="G793" s="40" t="n">
        <v>0</v>
      </c>
      <c r="H793" s="39" t="n">
        <v>0</v>
      </c>
      <c r="I793" s="49" t="b">
        <f aca="false">IF(ISBLANK(H793),"", IF($H$2:$H2292 = "Gohar Rehan","Overnight",IF($H$2:$H2292 = "Taufeeq Akhtar ","Overnight",IF($H$2:$H2292 = "Zeeshan Ali Malik","Audit",IF($H$2:$H2292 = "Ali Raza ","Receiving",IF($H$2:$H2292 = "Ali Ahmad","Full-In"))))))</f>
        <v>0</v>
      </c>
      <c r="J793" s="29"/>
      <c r="K793" s="40"/>
      <c r="L793" s="40"/>
      <c r="M793" s="41"/>
      <c r="N793" s="39" t="s">
        <v>2335</v>
      </c>
      <c r="O793" s="46" t="b">
        <f aca="false">FALSE()</f>
        <v>0</v>
      </c>
      <c r="P793" s="20" t="n">
        <v>0</v>
      </c>
      <c r="Q793" s="45" t="n">
        <v>0</v>
      </c>
      <c r="R793" s="43" t="n">
        <v>0</v>
      </c>
      <c r="S793" s="20" t="n">
        <v>0</v>
      </c>
    </row>
    <row r="794" customFormat="false" ht="15.75" hidden="false" customHeight="false" outlineLevel="0" collapsed="false">
      <c r="A794" s="39" t="n">
        <v>0</v>
      </c>
      <c r="B794" s="44" t="str">
        <v/>
      </c>
      <c r="C794" s="39" t="n">
        <v>0</v>
      </c>
      <c r="D794" s="39" t="n">
        <v>0</v>
      </c>
      <c r="E794" s="39" t="str">
        <v/>
      </c>
      <c r="F794" s="45" t="n">
        <v>0</v>
      </c>
      <c r="G794" s="40" t="n">
        <v>0</v>
      </c>
      <c r="H794" s="39" t="n">
        <v>0</v>
      </c>
      <c r="I794" s="49" t="b">
        <f aca="false">IF(ISBLANK(H794),"", IF($H$2:$H2293 = "Gohar Rehan","Overnight",IF($H$2:$H2293 = "Taufeeq Akhtar ","Overnight",IF($H$2:$H2293 = "Zeeshan Ali Malik","Audit",IF($H$2:$H2293 = "Ali Raza ","Receiving",IF($H$2:$H2293 = "Ali Ahmad","Full-In"))))))</f>
        <v>0</v>
      </c>
      <c r="J794" s="29"/>
      <c r="K794" s="40"/>
      <c r="L794" s="40"/>
      <c r="M794" s="41"/>
      <c r="N794" s="39" t="s">
        <v>2335</v>
      </c>
      <c r="O794" s="46" t="b">
        <f aca="false">FALSE()</f>
        <v>0</v>
      </c>
      <c r="P794" s="20" t="n">
        <v>0</v>
      </c>
      <c r="Q794" s="45" t="n">
        <v>0</v>
      </c>
      <c r="R794" s="43" t="n">
        <v>0</v>
      </c>
      <c r="S794" s="20" t="n">
        <v>0</v>
      </c>
    </row>
    <row r="795" customFormat="false" ht="15.75" hidden="false" customHeight="false" outlineLevel="0" collapsed="false">
      <c r="A795" s="39" t="n">
        <v>0</v>
      </c>
      <c r="B795" s="44" t="str">
        <v/>
      </c>
      <c r="C795" s="39" t="n">
        <v>0</v>
      </c>
      <c r="D795" s="39" t="n">
        <v>0</v>
      </c>
      <c r="E795" s="39" t="str">
        <v/>
      </c>
      <c r="F795" s="45" t="n">
        <v>0</v>
      </c>
      <c r="G795" s="40" t="n">
        <v>0</v>
      </c>
      <c r="H795" s="39" t="n">
        <v>0</v>
      </c>
      <c r="I795" s="49" t="b">
        <f aca="false">IF(ISBLANK(H795),"", IF($H$2:$H2294 = "Gohar Rehan","Overnight",IF($H$2:$H2294 = "Taufeeq Akhtar ","Overnight",IF($H$2:$H2294 = "Zeeshan Ali Malik","Audit",IF($H$2:$H2294 = "Ali Raza ","Receiving",IF($H$2:$H2294 = "Ali Ahmad","Full-In"))))))</f>
        <v>0</v>
      </c>
      <c r="J795" s="29"/>
      <c r="K795" s="40"/>
      <c r="L795" s="40"/>
      <c r="M795" s="41"/>
      <c r="N795" s="39" t="s">
        <v>2335</v>
      </c>
      <c r="O795" s="46" t="b">
        <f aca="false">FALSE()</f>
        <v>0</v>
      </c>
      <c r="P795" s="20" t="n">
        <v>0</v>
      </c>
      <c r="Q795" s="45" t="n">
        <v>0</v>
      </c>
      <c r="R795" s="43" t="n">
        <v>0</v>
      </c>
      <c r="S795" s="20" t="n">
        <v>0</v>
      </c>
    </row>
    <row r="796" customFormat="false" ht="15.75" hidden="false" customHeight="false" outlineLevel="0" collapsed="false">
      <c r="A796" s="39" t="n">
        <v>0</v>
      </c>
      <c r="B796" s="44" t="str">
        <v/>
      </c>
      <c r="C796" s="39" t="n">
        <v>0</v>
      </c>
      <c r="D796" s="39" t="n">
        <v>0</v>
      </c>
      <c r="E796" s="39" t="str">
        <v/>
      </c>
      <c r="F796" s="45" t="n">
        <v>0</v>
      </c>
      <c r="G796" s="40" t="n">
        <v>0</v>
      </c>
      <c r="H796" s="39" t="n">
        <v>0</v>
      </c>
      <c r="I796" s="49" t="b">
        <f aca="false">IF(ISBLANK(H796),"", IF($H$2:$H2295 = "Gohar Rehan","Overnight",IF($H$2:$H2295 = "Taufeeq Akhtar ","Overnight",IF($H$2:$H2295 = "Zeeshan Ali Malik","Audit",IF($H$2:$H2295 = "Ali Raza ","Receiving",IF($H$2:$H2295 = "Ali Ahmad","Full-In"))))))</f>
        <v>0</v>
      </c>
      <c r="J796" s="29"/>
      <c r="K796" s="40"/>
      <c r="L796" s="40"/>
      <c r="M796" s="41"/>
      <c r="N796" s="39" t="s">
        <v>2335</v>
      </c>
      <c r="O796" s="46" t="b">
        <f aca="false">FALSE()</f>
        <v>0</v>
      </c>
      <c r="P796" s="20" t="n">
        <v>0</v>
      </c>
      <c r="Q796" s="45" t="n">
        <v>0</v>
      </c>
      <c r="R796" s="43" t="n">
        <v>0</v>
      </c>
      <c r="S796" s="20" t="n">
        <v>0</v>
      </c>
    </row>
    <row r="797" customFormat="false" ht="15.75" hidden="false" customHeight="false" outlineLevel="0" collapsed="false">
      <c r="A797" s="39" t="n">
        <v>0</v>
      </c>
      <c r="B797" s="44" t="str">
        <v/>
      </c>
      <c r="C797" s="39" t="n">
        <v>0</v>
      </c>
      <c r="D797" s="39" t="n">
        <v>0</v>
      </c>
      <c r="E797" s="39" t="str">
        <v/>
      </c>
      <c r="F797" s="45" t="n">
        <v>0</v>
      </c>
      <c r="G797" s="40" t="n">
        <v>0</v>
      </c>
      <c r="H797" s="39" t="n">
        <v>0</v>
      </c>
      <c r="I797" s="49" t="b">
        <f aca="false">IF(ISBLANK(H797),"", IF($H$2:$H2296 = "Gohar Rehan","Overnight",IF($H$2:$H2296 = "Taufeeq Akhtar ","Overnight",IF($H$2:$H2296 = "Zeeshan Ali Malik","Audit",IF($H$2:$H2296 = "Ali Raza ","Receiving",IF($H$2:$H2296 = "Ali Ahmad","Full-In"))))))</f>
        <v>0</v>
      </c>
      <c r="J797" s="29"/>
      <c r="K797" s="40"/>
      <c r="L797" s="40"/>
      <c r="M797" s="41"/>
      <c r="N797" s="39" t="s">
        <v>2335</v>
      </c>
      <c r="O797" s="46" t="b">
        <f aca="false">FALSE()</f>
        <v>0</v>
      </c>
      <c r="P797" s="20" t="n">
        <v>0</v>
      </c>
      <c r="Q797" s="45" t="n">
        <v>0</v>
      </c>
      <c r="R797" s="43" t="n">
        <v>0</v>
      </c>
      <c r="S797" s="20" t="n">
        <v>0</v>
      </c>
    </row>
    <row r="798" customFormat="false" ht="15.75" hidden="false" customHeight="false" outlineLevel="0" collapsed="false">
      <c r="A798" s="39" t="n">
        <v>0</v>
      </c>
      <c r="B798" s="44" t="str">
        <v/>
      </c>
      <c r="C798" s="39" t="n">
        <v>0</v>
      </c>
      <c r="D798" s="39" t="n">
        <v>0</v>
      </c>
      <c r="E798" s="39" t="str">
        <v/>
      </c>
      <c r="F798" s="45" t="n">
        <v>0</v>
      </c>
      <c r="G798" s="40" t="n">
        <v>0</v>
      </c>
      <c r="H798" s="39" t="n">
        <v>0</v>
      </c>
      <c r="I798" s="49" t="b">
        <f aca="false">IF(ISBLANK(H798),"", IF($H$2:$H2297 = "Gohar Rehan","Overnight",IF($H$2:$H2297 = "Taufeeq Akhtar ","Overnight",IF($H$2:$H2297 = "Zeeshan Ali Malik","Audit",IF($H$2:$H2297 = "Ali Raza ","Receiving",IF($H$2:$H2297 = "Ali Ahmad","Full-In"))))))</f>
        <v>0</v>
      </c>
      <c r="J798" s="29"/>
      <c r="K798" s="40"/>
      <c r="L798" s="40"/>
      <c r="M798" s="41"/>
      <c r="N798" s="39" t="s">
        <v>2335</v>
      </c>
      <c r="O798" s="46" t="b">
        <f aca="false">FALSE()</f>
        <v>0</v>
      </c>
      <c r="P798" s="20" t="n">
        <v>0</v>
      </c>
      <c r="Q798" s="45" t="n">
        <v>0</v>
      </c>
      <c r="R798" s="43" t="n">
        <v>0</v>
      </c>
      <c r="S798" s="20" t="n">
        <v>0</v>
      </c>
    </row>
    <row r="799" customFormat="false" ht="15.75" hidden="false" customHeight="false" outlineLevel="0" collapsed="false">
      <c r="A799" s="39" t="n">
        <v>0</v>
      </c>
      <c r="B799" s="44" t="str">
        <v/>
      </c>
      <c r="C799" s="39" t="n">
        <v>0</v>
      </c>
      <c r="D799" s="39" t="n">
        <v>0</v>
      </c>
      <c r="E799" s="39" t="str">
        <v/>
      </c>
      <c r="F799" s="45" t="n">
        <v>0</v>
      </c>
      <c r="G799" s="40" t="n">
        <v>0</v>
      </c>
      <c r="H799" s="39" t="n">
        <v>0</v>
      </c>
      <c r="I799" s="49" t="b">
        <f aca="false">IF(ISBLANK(H799),"", IF($H$2:$H2298 = "Gohar Rehan","Overnight",IF($H$2:$H2298 = "Taufeeq Akhtar ","Overnight",IF($H$2:$H2298 = "Zeeshan Ali Malik","Audit",IF($H$2:$H2298 = "Ali Raza ","Receiving",IF($H$2:$H2298 = "Ali Ahmad","Full-In"))))))</f>
        <v>0</v>
      </c>
      <c r="J799" s="29"/>
      <c r="K799" s="40"/>
      <c r="L799" s="40"/>
      <c r="M799" s="41"/>
      <c r="N799" s="39" t="s">
        <v>2335</v>
      </c>
      <c r="O799" s="46" t="b">
        <f aca="false">FALSE()</f>
        <v>0</v>
      </c>
      <c r="P799" s="20" t="n">
        <v>0</v>
      </c>
      <c r="Q799" s="45" t="n">
        <v>0</v>
      </c>
      <c r="R799" s="43" t="n">
        <v>0</v>
      </c>
      <c r="S799" s="20" t="n">
        <v>0</v>
      </c>
    </row>
    <row r="800" customFormat="false" ht="15.75" hidden="false" customHeight="false" outlineLevel="0" collapsed="false">
      <c r="A800" s="39" t="n">
        <v>0</v>
      </c>
      <c r="B800" s="44" t="str">
        <v/>
      </c>
      <c r="C800" s="39" t="n">
        <v>0</v>
      </c>
      <c r="D800" s="39" t="n">
        <v>0</v>
      </c>
      <c r="E800" s="39" t="str">
        <v/>
      </c>
      <c r="F800" s="45" t="n">
        <v>0</v>
      </c>
      <c r="G800" s="40" t="n">
        <v>0</v>
      </c>
      <c r="H800" s="39" t="n">
        <v>0</v>
      </c>
      <c r="I800" s="49" t="b">
        <f aca="false">IF(ISBLANK(H800),"", IF($H$2:$H2299 = "Gohar Rehan","Overnight",IF($H$2:$H2299 = "Taufeeq Akhtar ","Overnight",IF($H$2:$H2299 = "Zeeshan Ali Malik","Audit",IF($H$2:$H2299 = "Ali Raza ","Receiving",IF($H$2:$H2299 = "Ali Ahmad","Full-In"))))))</f>
        <v>0</v>
      </c>
      <c r="J800" s="29"/>
      <c r="K800" s="40"/>
      <c r="L800" s="40"/>
      <c r="M800" s="41"/>
      <c r="N800" s="39" t="s">
        <v>2335</v>
      </c>
      <c r="O800" s="46" t="b">
        <f aca="false">FALSE()</f>
        <v>0</v>
      </c>
      <c r="P800" s="20" t="n">
        <v>0</v>
      </c>
      <c r="Q800" s="45" t="n">
        <v>0</v>
      </c>
      <c r="R800" s="43" t="n">
        <v>0</v>
      </c>
      <c r="S800" s="20" t="n">
        <v>0</v>
      </c>
    </row>
    <row r="801" customFormat="false" ht="15.75" hidden="false" customHeight="false" outlineLevel="0" collapsed="false">
      <c r="A801" s="39" t="n">
        <v>0</v>
      </c>
      <c r="B801" s="44" t="str">
        <v/>
      </c>
      <c r="C801" s="39" t="n">
        <v>0</v>
      </c>
      <c r="D801" s="39" t="n">
        <v>0</v>
      </c>
      <c r="E801" s="39" t="str">
        <v/>
      </c>
      <c r="F801" s="45" t="n">
        <v>0</v>
      </c>
      <c r="G801" s="40" t="n">
        <v>0</v>
      </c>
      <c r="H801" s="39" t="n">
        <v>0</v>
      </c>
      <c r="I801" s="49" t="b">
        <f aca="false">IF(ISBLANK(H801),"", IF($H$2:$H2300 = "Gohar Rehan","Overnight",IF($H$2:$H2300 = "Taufeeq Akhtar ","Overnight",IF($H$2:$H2300 = "Zeeshan Ali Malik","Audit",IF($H$2:$H2300 = "Ali Raza ","Receiving",IF($H$2:$H2300 = "Ali Ahmad","Full-In"))))))</f>
        <v>0</v>
      </c>
      <c r="J801" s="29"/>
      <c r="K801" s="40"/>
      <c r="L801" s="40"/>
      <c r="M801" s="41"/>
      <c r="N801" s="39" t="s">
        <v>2335</v>
      </c>
      <c r="O801" s="46" t="b">
        <f aca="false">FALSE()</f>
        <v>0</v>
      </c>
      <c r="P801" s="20" t="n">
        <v>0</v>
      </c>
      <c r="Q801" s="45" t="n">
        <v>0</v>
      </c>
      <c r="R801" s="43" t="n">
        <v>0</v>
      </c>
      <c r="S801" s="20" t="n">
        <v>0</v>
      </c>
    </row>
    <row r="802" customFormat="false" ht="15.75" hidden="false" customHeight="false" outlineLevel="0" collapsed="false">
      <c r="A802" s="39" t="n">
        <v>0</v>
      </c>
      <c r="B802" s="44" t="str">
        <v/>
      </c>
      <c r="C802" s="39" t="n">
        <v>0</v>
      </c>
      <c r="D802" s="39" t="n">
        <v>0</v>
      </c>
      <c r="E802" s="39" t="str">
        <v/>
      </c>
      <c r="F802" s="45" t="n">
        <v>0</v>
      </c>
      <c r="G802" s="40" t="n">
        <v>0</v>
      </c>
      <c r="H802" s="39" t="n">
        <v>0</v>
      </c>
      <c r="I802" s="49" t="b">
        <f aca="false">IF(ISBLANK(H802),"", IF($H$2:$H2301 = "Gohar Rehan","Overnight",IF($H$2:$H2301 = "Taufeeq Akhtar ","Overnight",IF($H$2:$H2301 = "Zeeshan Ali Malik","Audit",IF($H$2:$H2301 = "Ali Raza ","Receiving",IF($H$2:$H2301 = "Ali Ahmad","Full-In"))))))</f>
        <v>0</v>
      </c>
      <c r="J802" s="29"/>
      <c r="K802" s="40"/>
      <c r="L802" s="40"/>
      <c r="M802" s="41"/>
      <c r="N802" s="39" t="s">
        <v>2335</v>
      </c>
      <c r="O802" s="46" t="b">
        <f aca="false">FALSE()</f>
        <v>0</v>
      </c>
      <c r="P802" s="20" t="n">
        <v>0</v>
      </c>
      <c r="Q802" s="45" t="n">
        <v>0</v>
      </c>
      <c r="R802" s="43" t="n">
        <v>0</v>
      </c>
      <c r="S802" s="20" t="n">
        <v>0</v>
      </c>
    </row>
    <row r="803" customFormat="false" ht="15.75" hidden="false" customHeight="false" outlineLevel="0" collapsed="false">
      <c r="A803" s="39" t="n">
        <v>0</v>
      </c>
      <c r="B803" s="44" t="str">
        <v/>
      </c>
      <c r="C803" s="39" t="n">
        <v>0</v>
      </c>
      <c r="D803" s="39" t="n">
        <v>0</v>
      </c>
      <c r="E803" s="39" t="str">
        <v/>
      </c>
      <c r="F803" s="45" t="n">
        <v>0</v>
      </c>
      <c r="G803" s="40" t="n">
        <v>0</v>
      </c>
      <c r="H803" s="39" t="n">
        <v>0</v>
      </c>
      <c r="I803" s="49" t="b">
        <f aca="false">IF(ISBLANK(H803),"", IF($H$2:$H2302 = "Gohar Rehan","Overnight",IF($H$2:$H2302 = "Taufeeq Akhtar ","Overnight",IF($H$2:$H2302 = "Zeeshan Ali Malik","Audit",IF($H$2:$H2302 = "Ali Raza ","Receiving",IF($H$2:$H2302 = "Ali Ahmad","Full-In"))))))</f>
        <v>0</v>
      </c>
      <c r="J803" s="29"/>
      <c r="K803" s="40"/>
      <c r="L803" s="40"/>
      <c r="M803" s="41"/>
      <c r="N803" s="39" t="s">
        <v>2335</v>
      </c>
      <c r="O803" s="46" t="b">
        <f aca="false">FALSE()</f>
        <v>0</v>
      </c>
      <c r="P803" s="20" t="n">
        <v>0</v>
      </c>
      <c r="Q803" s="45" t="n">
        <v>0</v>
      </c>
      <c r="R803" s="43" t="n">
        <v>0</v>
      </c>
      <c r="S803" s="20" t="n">
        <v>0</v>
      </c>
    </row>
    <row r="804" customFormat="false" ht="15.75" hidden="false" customHeight="false" outlineLevel="0" collapsed="false">
      <c r="A804" s="39" t="n">
        <v>0</v>
      </c>
      <c r="B804" s="44" t="str">
        <v/>
      </c>
      <c r="C804" s="39" t="n">
        <v>0</v>
      </c>
      <c r="D804" s="39" t="n">
        <v>0</v>
      </c>
      <c r="E804" s="39" t="str">
        <v/>
      </c>
      <c r="F804" s="45" t="n">
        <v>0</v>
      </c>
      <c r="G804" s="40" t="n">
        <v>0</v>
      </c>
      <c r="H804" s="39" t="n">
        <v>0</v>
      </c>
      <c r="I804" s="49" t="b">
        <f aca="false">IF(ISBLANK(H804),"", IF($H$2:$H2303 = "Gohar Rehan","Overnight",IF($H$2:$H2303 = "Taufeeq Akhtar ","Overnight",IF($H$2:$H2303 = "Zeeshan Ali Malik","Audit",IF($H$2:$H2303 = "Ali Raza ","Receiving",IF($H$2:$H2303 = "Ali Ahmad","Full-In"))))))</f>
        <v>0</v>
      </c>
      <c r="J804" s="29"/>
      <c r="K804" s="40"/>
      <c r="L804" s="40"/>
      <c r="M804" s="41"/>
      <c r="N804" s="39" t="s">
        <v>2335</v>
      </c>
      <c r="O804" s="46" t="b">
        <f aca="false">FALSE()</f>
        <v>0</v>
      </c>
      <c r="P804" s="20" t="n">
        <v>0</v>
      </c>
      <c r="Q804" s="45" t="n">
        <v>0</v>
      </c>
      <c r="R804" s="43" t="n">
        <v>0</v>
      </c>
      <c r="S804" s="20" t="n">
        <v>0</v>
      </c>
    </row>
    <row r="805" customFormat="false" ht="15.75" hidden="false" customHeight="false" outlineLevel="0" collapsed="false">
      <c r="A805" s="39" t="n">
        <v>0</v>
      </c>
      <c r="B805" s="44" t="str">
        <v/>
      </c>
      <c r="C805" s="39" t="n">
        <v>0</v>
      </c>
      <c r="D805" s="39" t="n">
        <v>0</v>
      </c>
      <c r="E805" s="39" t="str">
        <v/>
      </c>
      <c r="F805" s="45" t="n">
        <v>0</v>
      </c>
      <c r="G805" s="40" t="n">
        <v>0</v>
      </c>
      <c r="H805" s="39" t="n">
        <v>0</v>
      </c>
      <c r="I805" s="49" t="b">
        <f aca="false">IF(ISBLANK(H805),"", IF($H$2:$H2304 = "Gohar Rehan","Overnight",IF($H$2:$H2304 = "Taufeeq Akhtar ","Overnight",IF($H$2:$H2304 = "Zeeshan Ali Malik","Audit",IF($H$2:$H2304 = "Ali Raza ","Receiving",IF($H$2:$H2304 = "Ali Ahmad","Full-In"))))))</f>
        <v>0</v>
      </c>
      <c r="J805" s="29"/>
      <c r="K805" s="40"/>
      <c r="L805" s="40"/>
      <c r="M805" s="41"/>
      <c r="N805" s="39" t="s">
        <v>2335</v>
      </c>
      <c r="O805" s="46" t="b">
        <f aca="false">FALSE()</f>
        <v>0</v>
      </c>
      <c r="P805" s="20" t="n">
        <v>0</v>
      </c>
      <c r="Q805" s="45" t="n">
        <v>0</v>
      </c>
      <c r="R805" s="43" t="n">
        <v>0</v>
      </c>
      <c r="S805" s="20" t="n">
        <v>0</v>
      </c>
    </row>
    <row r="806" customFormat="false" ht="15.75" hidden="false" customHeight="false" outlineLevel="0" collapsed="false">
      <c r="A806" s="39" t="n">
        <v>0</v>
      </c>
      <c r="B806" s="44" t="str">
        <v/>
      </c>
      <c r="C806" s="39" t="n">
        <v>0</v>
      </c>
      <c r="D806" s="39" t="n">
        <v>0</v>
      </c>
      <c r="E806" s="39" t="str">
        <v/>
      </c>
      <c r="F806" s="45" t="n">
        <v>0</v>
      </c>
      <c r="G806" s="40" t="n">
        <v>0</v>
      </c>
      <c r="H806" s="39" t="n">
        <v>0</v>
      </c>
      <c r="I806" s="49" t="b">
        <f aca="false">IF(ISBLANK(H806),"", IF($H$2:$H2305 = "Gohar Rehan","Overnight",IF($H$2:$H2305 = "Taufeeq Akhtar ","Overnight",IF($H$2:$H2305 = "Zeeshan Ali Malik","Audit",IF($H$2:$H2305 = "Ali Raza ","Receiving",IF($H$2:$H2305 = "Ali Ahmad","Full-In"))))))</f>
        <v>0</v>
      </c>
      <c r="J806" s="29"/>
      <c r="K806" s="40"/>
      <c r="L806" s="40"/>
      <c r="M806" s="41"/>
      <c r="N806" s="39" t="s">
        <v>2335</v>
      </c>
      <c r="O806" s="46" t="b">
        <f aca="false">FALSE()</f>
        <v>0</v>
      </c>
      <c r="P806" s="20" t="n">
        <v>0</v>
      </c>
      <c r="Q806" s="45" t="n">
        <v>0</v>
      </c>
      <c r="R806" s="43" t="n">
        <v>0</v>
      </c>
      <c r="S806" s="20" t="n">
        <v>0</v>
      </c>
    </row>
    <row r="807" customFormat="false" ht="15.75" hidden="false" customHeight="false" outlineLevel="0" collapsed="false">
      <c r="A807" s="39" t="n">
        <v>0</v>
      </c>
      <c r="B807" s="44" t="str">
        <v/>
      </c>
      <c r="C807" s="39" t="n">
        <v>0</v>
      </c>
      <c r="D807" s="39" t="n">
        <v>0</v>
      </c>
      <c r="E807" s="39" t="str">
        <v/>
      </c>
      <c r="F807" s="45" t="n">
        <v>0</v>
      </c>
      <c r="G807" s="40" t="n">
        <v>0</v>
      </c>
      <c r="H807" s="39" t="n">
        <v>0</v>
      </c>
      <c r="I807" s="49" t="b">
        <f aca="false">IF(ISBLANK(H807),"", IF($H$2:$H2306 = "Gohar Rehan","Overnight",IF($H$2:$H2306 = "Taufeeq Akhtar ","Overnight",IF($H$2:$H2306 = "Zeeshan Ali Malik","Audit",IF($H$2:$H2306 = "Ali Raza ","Receiving",IF($H$2:$H2306 = "Ali Ahmad","Full-In"))))))</f>
        <v>0</v>
      </c>
      <c r="J807" s="29"/>
      <c r="K807" s="40"/>
      <c r="L807" s="40"/>
      <c r="M807" s="41"/>
      <c r="N807" s="39" t="s">
        <v>2335</v>
      </c>
      <c r="O807" s="46" t="b">
        <f aca="false">FALSE()</f>
        <v>0</v>
      </c>
      <c r="P807" s="20" t="n">
        <v>0</v>
      </c>
      <c r="Q807" s="45" t="n">
        <v>0</v>
      </c>
      <c r="R807" s="43" t="n">
        <v>0</v>
      </c>
      <c r="S807" s="20" t="n">
        <v>0</v>
      </c>
    </row>
    <row r="808" customFormat="false" ht="15.75" hidden="false" customHeight="false" outlineLevel="0" collapsed="false">
      <c r="A808" s="39" t="n">
        <v>0</v>
      </c>
      <c r="B808" s="44" t="str">
        <v/>
      </c>
      <c r="C808" s="39" t="n">
        <v>0</v>
      </c>
      <c r="D808" s="39" t="n">
        <v>0</v>
      </c>
      <c r="E808" s="39" t="str">
        <v/>
      </c>
      <c r="F808" s="45" t="n">
        <v>0</v>
      </c>
      <c r="G808" s="40" t="n">
        <v>0</v>
      </c>
      <c r="H808" s="39" t="n">
        <v>0</v>
      </c>
      <c r="I808" s="49" t="b">
        <f aca="false">IF(ISBLANK(H808),"", IF($H$2:$H2307 = "Gohar Rehan","Overnight",IF($H$2:$H2307 = "Taufeeq Akhtar ","Overnight",IF($H$2:$H2307 = "Zeeshan Ali Malik","Audit",IF($H$2:$H2307 = "Ali Raza ","Receiving",IF($H$2:$H2307 = "Ali Ahmad","Full-In"))))))</f>
        <v>0</v>
      </c>
      <c r="J808" s="29"/>
      <c r="K808" s="40"/>
      <c r="L808" s="40"/>
      <c r="M808" s="41"/>
      <c r="N808" s="39" t="s">
        <v>2335</v>
      </c>
      <c r="O808" s="46" t="b">
        <f aca="false">FALSE()</f>
        <v>0</v>
      </c>
      <c r="P808" s="20" t="n">
        <v>0</v>
      </c>
      <c r="Q808" s="45" t="n">
        <v>0</v>
      </c>
      <c r="R808" s="43" t="n">
        <v>0</v>
      </c>
      <c r="S808" s="20" t="n">
        <v>0</v>
      </c>
    </row>
    <row r="809" customFormat="false" ht="15.75" hidden="false" customHeight="false" outlineLevel="0" collapsed="false">
      <c r="A809" s="39" t="n">
        <v>0</v>
      </c>
      <c r="B809" s="44" t="str">
        <v/>
      </c>
      <c r="C809" s="39" t="n">
        <v>0</v>
      </c>
      <c r="D809" s="39" t="n">
        <v>0</v>
      </c>
      <c r="E809" s="39" t="str">
        <v/>
      </c>
      <c r="F809" s="45" t="n">
        <v>0</v>
      </c>
      <c r="G809" s="40" t="n">
        <v>0</v>
      </c>
      <c r="H809" s="39" t="n">
        <v>0</v>
      </c>
      <c r="I809" s="49" t="b">
        <f aca="false">IF(ISBLANK(H809),"", IF($H$2:$H2308 = "Gohar Rehan","Overnight",IF($H$2:$H2308 = "Taufeeq Akhtar ","Overnight",IF($H$2:$H2308 = "Zeeshan Ali Malik","Audit",IF($H$2:$H2308 = "Ali Raza ","Receiving",IF($H$2:$H2308 = "Ali Ahmad","Full-In"))))))</f>
        <v>0</v>
      </c>
      <c r="J809" s="29"/>
      <c r="K809" s="40"/>
      <c r="L809" s="40"/>
      <c r="M809" s="41"/>
      <c r="N809" s="39" t="s">
        <v>2335</v>
      </c>
      <c r="O809" s="46" t="b">
        <f aca="false">FALSE()</f>
        <v>0</v>
      </c>
      <c r="P809" s="20" t="n">
        <v>0</v>
      </c>
      <c r="Q809" s="45" t="n">
        <v>0</v>
      </c>
      <c r="R809" s="43" t="n">
        <v>0</v>
      </c>
      <c r="S809" s="20" t="n">
        <v>0</v>
      </c>
    </row>
    <row r="810" customFormat="false" ht="15.75" hidden="false" customHeight="false" outlineLevel="0" collapsed="false">
      <c r="A810" s="39" t="n">
        <v>0</v>
      </c>
      <c r="B810" s="44" t="str">
        <v/>
      </c>
      <c r="C810" s="39" t="n">
        <v>0</v>
      </c>
      <c r="D810" s="39" t="n">
        <v>0</v>
      </c>
      <c r="E810" s="39" t="str">
        <v/>
      </c>
      <c r="F810" s="45" t="n">
        <v>0</v>
      </c>
      <c r="G810" s="40" t="n">
        <v>0</v>
      </c>
      <c r="H810" s="39" t="n">
        <v>0</v>
      </c>
      <c r="I810" s="49" t="b">
        <f aca="false">IF(ISBLANK(H810),"", IF($H$2:$H2309 = "Gohar Rehan","Overnight",IF($H$2:$H2309 = "Taufeeq Akhtar ","Overnight",IF($H$2:$H2309 = "Zeeshan Ali Malik","Audit",IF($H$2:$H2309 = "Ali Raza ","Receiving",IF($H$2:$H2309 = "Ali Ahmad","Full-In"))))))</f>
        <v>0</v>
      </c>
      <c r="J810" s="29"/>
      <c r="K810" s="40"/>
      <c r="L810" s="40"/>
      <c r="M810" s="41"/>
      <c r="N810" s="39" t="s">
        <v>2335</v>
      </c>
      <c r="O810" s="46" t="b">
        <f aca="false">FALSE()</f>
        <v>0</v>
      </c>
      <c r="P810" s="20" t="n">
        <v>0</v>
      </c>
      <c r="Q810" s="45" t="n">
        <v>0</v>
      </c>
      <c r="R810" s="43" t="n">
        <v>0</v>
      </c>
      <c r="S810" s="20" t="n">
        <v>0</v>
      </c>
    </row>
    <row r="811" customFormat="false" ht="15.75" hidden="false" customHeight="false" outlineLevel="0" collapsed="false">
      <c r="A811" s="39" t="n">
        <v>0</v>
      </c>
      <c r="B811" s="44" t="str">
        <v/>
      </c>
      <c r="C811" s="39" t="n">
        <v>0</v>
      </c>
      <c r="D811" s="39" t="n">
        <v>0</v>
      </c>
      <c r="E811" s="39" t="str">
        <v/>
      </c>
      <c r="F811" s="45" t="n">
        <v>0</v>
      </c>
      <c r="G811" s="40" t="n">
        <v>0</v>
      </c>
      <c r="H811" s="39" t="n">
        <v>0</v>
      </c>
      <c r="I811" s="49" t="b">
        <f aca="false">IF(ISBLANK(H811),"", IF($H$2:$H2310 = "Gohar Rehan","Overnight",IF($H$2:$H2310 = "Taufeeq Akhtar ","Overnight",IF($H$2:$H2310 = "Zeeshan Ali Malik","Audit",IF($H$2:$H2310 = "Ali Raza ","Receiving",IF($H$2:$H2310 = "Ali Ahmad","Full-In"))))))</f>
        <v>0</v>
      </c>
      <c r="J811" s="29"/>
      <c r="K811" s="40"/>
      <c r="L811" s="40"/>
      <c r="M811" s="41"/>
      <c r="N811" s="39" t="s">
        <v>2335</v>
      </c>
      <c r="O811" s="46" t="b">
        <f aca="false">FALSE()</f>
        <v>0</v>
      </c>
      <c r="P811" s="20" t="n">
        <v>0</v>
      </c>
      <c r="Q811" s="45" t="n">
        <v>0</v>
      </c>
      <c r="R811" s="43" t="n">
        <v>0</v>
      </c>
      <c r="S811" s="20" t="n">
        <v>0</v>
      </c>
    </row>
    <row r="812" customFormat="false" ht="15.75" hidden="false" customHeight="false" outlineLevel="0" collapsed="false">
      <c r="A812" s="39" t="n">
        <v>0</v>
      </c>
      <c r="B812" s="44" t="str">
        <v/>
      </c>
      <c r="C812" s="39" t="n">
        <v>0</v>
      </c>
      <c r="D812" s="39" t="n">
        <v>0</v>
      </c>
      <c r="E812" s="39" t="str">
        <v/>
      </c>
      <c r="F812" s="45" t="n">
        <v>0</v>
      </c>
      <c r="G812" s="40" t="n">
        <v>0</v>
      </c>
      <c r="H812" s="39" t="n">
        <v>0</v>
      </c>
      <c r="I812" s="49" t="b">
        <f aca="false">IF(ISBLANK(H812),"", IF($H$2:$H2311 = "Gohar Rehan","Overnight",IF($H$2:$H2311 = "Taufeeq Akhtar ","Overnight",IF($H$2:$H2311 = "Zeeshan Ali Malik","Audit",IF($H$2:$H2311 = "Ali Raza ","Receiving",IF($H$2:$H2311 = "Ali Ahmad","Full-In"))))))</f>
        <v>0</v>
      </c>
      <c r="J812" s="29"/>
      <c r="K812" s="40"/>
      <c r="L812" s="40"/>
      <c r="M812" s="41"/>
      <c r="N812" s="39" t="s">
        <v>2335</v>
      </c>
      <c r="O812" s="46" t="b">
        <f aca="false">FALSE()</f>
        <v>0</v>
      </c>
      <c r="P812" s="20" t="n">
        <v>0</v>
      </c>
      <c r="Q812" s="45" t="n">
        <v>0</v>
      </c>
      <c r="R812" s="43" t="n">
        <v>0</v>
      </c>
      <c r="S812" s="20" t="n">
        <v>0</v>
      </c>
    </row>
    <row r="813" customFormat="false" ht="15.75" hidden="false" customHeight="false" outlineLevel="0" collapsed="false">
      <c r="A813" s="39" t="n">
        <v>0</v>
      </c>
      <c r="B813" s="44" t="str">
        <v/>
      </c>
      <c r="C813" s="39" t="n">
        <v>0</v>
      </c>
      <c r="D813" s="39" t="n">
        <v>0</v>
      </c>
      <c r="E813" s="39" t="str">
        <v/>
      </c>
      <c r="F813" s="45" t="n">
        <v>0</v>
      </c>
      <c r="G813" s="40" t="n">
        <v>0</v>
      </c>
      <c r="H813" s="39" t="n">
        <v>0</v>
      </c>
      <c r="I813" s="49" t="b">
        <f aca="false">IF(ISBLANK(H813),"", IF($H$2:$H2312 = "Gohar Rehan","Overnight",IF($H$2:$H2312 = "Taufeeq Akhtar ","Overnight",IF($H$2:$H2312 = "Zeeshan Ali Malik","Audit",IF($H$2:$H2312 = "Ali Raza ","Receiving",IF($H$2:$H2312 = "Ali Ahmad","Full-In"))))))</f>
        <v>0</v>
      </c>
      <c r="J813" s="29"/>
      <c r="K813" s="40"/>
      <c r="L813" s="40"/>
      <c r="M813" s="41"/>
      <c r="N813" s="39" t="s">
        <v>2335</v>
      </c>
      <c r="O813" s="46" t="b">
        <f aca="false">FALSE()</f>
        <v>0</v>
      </c>
      <c r="P813" s="20" t="n">
        <v>0</v>
      </c>
      <c r="Q813" s="45" t="n">
        <v>0</v>
      </c>
      <c r="R813" s="43" t="n">
        <v>0</v>
      </c>
      <c r="S813" s="20" t="n">
        <v>0</v>
      </c>
    </row>
    <row r="814" customFormat="false" ht="15.75" hidden="false" customHeight="false" outlineLevel="0" collapsed="false">
      <c r="A814" s="39" t="n">
        <v>0</v>
      </c>
      <c r="B814" s="44" t="str">
        <v/>
      </c>
      <c r="C814" s="39" t="n">
        <v>0</v>
      </c>
      <c r="D814" s="39" t="n">
        <v>0</v>
      </c>
      <c r="E814" s="39" t="str">
        <v/>
      </c>
      <c r="F814" s="45" t="n">
        <v>0</v>
      </c>
      <c r="G814" s="40" t="n">
        <v>0</v>
      </c>
      <c r="H814" s="39" t="n">
        <v>0</v>
      </c>
      <c r="I814" s="49" t="b">
        <f aca="false">IF(ISBLANK(H814),"", IF($H$2:$H2313 = "Gohar Rehan","Overnight",IF($H$2:$H2313 = "Taufeeq Akhtar ","Overnight",IF($H$2:$H2313 = "Zeeshan Ali Malik","Audit",IF($H$2:$H2313 = "Ali Raza ","Receiving",IF($H$2:$H2313 = "Ali Ahmad","Full-In"))))))</f>
        <v>0</v>
      </c>
      <c r="J814" s="29"/>
      <c r="K814" s="40"/>
      <c r="L814" s="40"/>
      <c r="M814" s="41"/>
      <c r="N814" s="39" t="s">
        <v>2335</v>
      </c>
      <c r="O814" s="46" t="b">
        <f aca="false">FALSE()</f>
        <v>0</v>
      </c>
      <c r="P814" s="20" t="n">
        <v>0</v>
      </c>
      <c r="Q814" s="45" t="n">
        <v>0</v>
      </c>
      <c r="R814" s="43" t="n">
        <v>0</v>
      </c>
      <c r="S814" s="20" t="n">
        <v>0</v>
      </c>
    </row>
    <row r="815" customFormat="false" ht="15.75" hidden="false" customHeight="false" outlineLevel="0" collapsed="false">
      <c r="A815" s="39" t="n">
        <v>0</v>
      </c>
      <c r="B815" s="44" t="str">
        <v/>
      </c>
      <c r="C815" s="39" t="n">
        <v>0</v>
      </c>
      <c r="D815" s="39" t="n">
        <v>0</v>
      </c>
      <c r="E815" s="39" t="str">
        <v/>
      </c>
      <c r="F815" s="45" t="n">
        <v>0</v>
      </c>
      <c r="G815" s="40" t="n">
        <v>0</v>
      </c>
      <c r="H815" s="39" t="n">
        <v>0</v>
      </c>
      <c r="I815" s="49" t="b">
        <f aca="false">IF(ISBLANK(H815),"", IF($H$2:$H2314 = "Gohar Rehan","Overnight",IF($H$2:$H2314 = "Taufeeq Akhtar ","Overnight",IF($H$2:$H2314 = "Zeeshan Ali Malik","Audit",IF($H$2:$H2314 = "Ali Raza ","Receiving",IF($H$2:$H2314 = "Ali Ahmad","Full-In"))))))</f>
        <v>0</v>
      </c>
      <c r="J815" s="29"/>
      <c r="K815" s="40"/>
      <c r="L815" s="40"/>
      <c r="M815" s="41"/>
      <c r="N815" s="39" t="s">
        <v>2335</v>
      </c>
      <c r="O815" s="46" t="b">
        <f aca="false">FALSE()</f>
        <v>0</v>
      </c>
      <c r="P815" s="20" t="n">
        <v>0</v>
      </c>
      <c r="Q815" s="45" t="n">
        <v>0</v>
      </c>
      <c r="R815" s="43" t="n">
        <v>0</v>
      </c>
      <c r="S815" s="20" t="n">
        <v>0</v>
      </c>
    </row>
    <row r="816" customFormat="false" ht="15.75" hidden="false" customHeight="false" outlineLevel="0" collapsed="false">
      <c r="A816" s="39" t="n">
        <v>0</v>
      </c>
      <c r="B816" s="44" t="str">
        <v/>
      </c>
      <c r="C816" s="39" t="n">
        <v>0</v>
      </c>
      <c r="D816" s="39" t="n">
        <v>0</v>
      </c>
      <c r="E816" s="39" t="str">
        <v/>
      </c>
      <c r="F816" s="45" t="n">
        <v>0</v>
      </c>
      <c r="G816" s="40" t="n">
        <v>0</v>
      </c>
      <c r="H816" s="39" t="n">
        <v>0</v>
      </c>
      <c r="I816" s="49" t="b">
        <f aca="false">IF(ISBLANK(H816),"", IF($H$2:$H2315 = "Gohar Rehan","Overnight",IF($H$2:$H2315 = "Taufeeq Akhtar ","Overnight",IF($H$2:$H2315 = "Zeeshan Ali Malik","Audit",IF($H$2:$H2315 = "Ali Raza ","Receiving",IF($H$2:$H2315 = "Ali Ahmad","Full-In"))))))</f>
        <v>0</v>
      </c>
      <c r="J816" s="29"/>
      <c r="K816" s="40"/>
      <c r="L816" s="40"/>
      <c r="M816" s="41"/>
      <c r="N816" s="39" t="s">
        <v>2335</v>
      </c>
      <c r="O816" s="46" t="b">
        <f aca="false">FALSE()</f>
        <v>0</v>
      </c>
      <c r="P816" s="20" t="n">
        <v>0</v>
      </c>
      <c r="Q816" s="45" t="n">
        <v>0</v>
      </c>
      <c r="R816" s="43" t="n">
        <v>0</v>
      </c>
      <c r="S816" s="20" t="n">
        <v>0</v>
      </c>
    </row>
    <row r="817" customFormat="false" ht="15.75" hidden="false" customHeight="false" outlineLevel="0" collapsed="false">
      <c r="A817" s="39" t="n">
        <v>0</v>
      </c>
      <c r="B817" s="44" t="str">
        <v/>
      </c>
      <c r="C817" s="39" t="n">
        <v>0</v>
      </c>
      <c r="D817" s="39" t="n">
        <v>0</v>
      </c>
      <c r="E817" s="39" t="str">
        <v/>
      </c>
      <c r="F817" s="45" t="n">
        <v>0</v>
      </c>
      <c r="G817" s="40" t="n">
        <v>0</v>
      </c>
      <c r="H817" s="39" t="n">
        <v>0</v>
      </c>
      <c r="I817" s="49" t="b">
        <f aca="false">IF(ISBLANK(H817),"", IF($H$2:$H2316 = "Gohar Rehan","Overnight",IF($H$2:$H2316 = "Taufeeq Akhtar ","Overnight",IF($H$2:$H2316 = "Zeeshan Ali Malik","Audit",IF($H$2:$H2316 = "Ali Raza ","Receiving",IF($H$2:$H2316 = "Ali Ahmad","Full-In"))))))</f>
        <v>0</v>
      </c>
      <c r="J817" s="29"/>
      <c r="K817" s="40"/>
      <c r="L817" s="40"/>
      <c r="M817" s="41"/>
      <c r="N817" s="39" t="s">
        <v>2335</v>
      </c>
      <c r="O817" s="46" t="b">
        <f aca="false">FALSE()</f>
        <v>0</v>
      </c>
      <c r="P817" s="20" t="n">
        <v>0</v>
      </c>
      <c r="Q817" s="45" t="n">
        <v>0</v>
      </c>
      <c r="R817" s="43" t="n">
        <v>0</v>
      </c>
      <c r="S817" s="20" t="n">
        <v>0</v>
      </c>
    </row>
    <row r="818" customFormat="false" ht="15.75" hidden="false" customHeight="false" outlineLevel="0" collapsed="false">
      <c r="A818" s="39" t="n">
        <v>0</v>
      </c>
      <c r="B818" s="44" t="str">
        <v/>
      </c>
      <c r="C818" s="39" t="n">
        <v>0</v>
      </c>
      <c r="D818" s="39" t="n">
        <v>0</v>
      </c>
      <c r="E818" s="39" t="str">
        <v/>
      </c>
      <c r="F818" s="45" t="n">
        <v>0</v>
      </c>
      <c r="G818" s="40" t="n">
        <v>0</v>
      </c>
      <c r="H818" s="39" t="n">
        <v>0</v>
      </c>
      <c r="I818" s="49" t="b">
        <f aca="false">IF(ISBLANK(H818),"", IF($H$2:$H2317 = "Gohar Rehan","Overnight",IF($H$2:$H2317 = "Taufeeq Akhtar ","Overnight",IF($H$2:$H2317 = "Zeeshan Ali Malik","Audit",IF($H$2:$H2317 = "Ali Raza ","Receiving",IF($H$2:$H2317 = "Ali Ahmad","Full-In"))))))</f>
        <v>0</v>
      </c>
      <c r="J818" s="29"/>
      <c r="K818" s="40"/>
      <c r="L818" s="40"/>
      <c r="M818" s="41"/>
      <c r="N818" s="39" t="s">
        <v>2335</v>
      </c>
      <c r="O818" s="46" t="b">
        <f aca="false">FALSE()</f>
        <v>0</v>
      </c>
      <c r="P818" s="20" t="n">
        <v>0</v>
      </c>
      <c r="Q818" s="45" t="n">
        <v>0</v>
      </c>
      <c r="R818" s="43" t="n">
        <v>0</v>
      </c>
      <c r="S818" s="20" t="n">
        <v>0</v>
      </c>
    </row>
    <row r="819" customFormat="false" ht="15.75" hidden="false" customHeight="false" outlineLevel="0" collapsed="false">
      <c r="A819" s="39" t="n">
        <v>0</v>
      </c>
      <c r="B819" s="44" t="str">
        <v/>
      </c>
      <c r="C819" s="39" t="n">
        <v>0</v>
      </c>
      <c r="D819" s="39" t="n">
        <v>0</v>
      </c>
      <c r="E819" s="39" t="str">
        <v/>
      </c>
      <c r="F819" s="45" t="n">
        <v>0</v>
      </c>
      <c r="G819" s="40" t="n">
        <v>0</v>
      </c>
      <c r="H819" s="39" t="n">
        <v>0</v>
      </c>
      <c r="I819" s="49" t="b">
        <f aca="false">IF(ISBLANK(H819),"", IF($H$2:$H2318 = "Gohar Rehan","Overnight",IF($H$2:$H2318 = "Taufeeq Akhtar ","Overnight",IF($H$2:$H2318 = "Zeeshan Ali Malik","Audit",IF($H$2:$H2318 = "Ali Raza ","Receiving",IF($H$2:$H2318 = "Ali Ahmad","Full-In"))))))</f>
        <v>0</v>
      </c>
      <c r="J819" s="29"/>
      <c r="K819" s="40"/>
      <c r="L819" s="40"/>
      <c r="M819" s="41"/>
      <c r="N819" s="39" t="s">
        <v>2335</v>
      </c>
      <c r="O819" s="46" t="b">
        <f aca="false">FALSE()</f>
        <v>0</v>
      </c>
      <c r="P819" s="20" t="n">
        <v>0</v>
      </c>
      <c r="Q819" s="45" t="n">
        <v>0</v>
      </c>
      <c r="R819" s="43" t="n">
        <v>0</v>
      </c>
      <c r="S819" s="20" t="n">
        <v>0</v>
      </c>
    </row>
    <row r="820" customFormat="false" ht="15.75" hidden="false" customHeight="false" outlineLevel="0" collapsed="false">
      <c r="A820" s="39" t="n">
        <v>0</v>
      </c>
      <c r="B820" s="44" t="str">
        <v/>
      </c>
      <c r="C820" s="39" t="n">
        <v>0</v>
      </c>
      <c r="D820" s="39" t="n">
        <v>0</v>
      </c>
      <c r="E820" s="39" t="str">
        <v/>
      </c>
      <c r="F820" s="45" t="n">
        <v>0</v>
      </c>
      <c r="G820" s="40" t="n">
        <v>0</v>
      </c>
      <c r="H820" s="39" t="n">
        <v>0</v>
      </c>
      <c r="I820" s="49" t="b">
        <f aca="false">IF(ISBLANK(H820),"", IF($H$2:$H2319 = "Gohar Rehan","Overnight",IF($H$2:$H2319 = "Taufeeq Akhtar ","Overnight",IF($H$2:$H2319 = "Zeeshan Ali Malik","Audit",IF($H$2:$H2319 = "Ali Raza ","Receiving",IF($H$2:$H2319 = "Ali Ahmad","Full-In"))))))</f>
        <v>0</v>
      </c>
      <c r="J820" s="29"/>
      <c r="K820" s="40"/>
      <c r="L820" s="40"/>
      <c r="M820" s="41"/>
      <c r="N820" s="39" t="s">
        <v>2335</v>
      </c>
      <c r="O820" s="46" t="b">
        <f aca="false">FALSE()</f>
        <v>0</v>
      </c>
      <c r="P820" s="20" t="n">
        <v>0</v>
      </c>
      <c r="Q820" s="45" t="n">
        <v>0</v>
      </c>
      <c r="R820" s="43" t="n">
        <v>0</v>
      </c>
      <c r="S820" s="20" t="n">
        <v>0</v>
      </c>
    </row>
    <row r="821" customFormat="false" ht="15.75" hidden="false" customHeight="false" outlineLevel="0" collapsed="false">
      <c r="A821" s="39" t="n">
        <v>0</v>
      </c>
      <c r="B821" s="44" t="str">
        <v/>
      </c>
      <c r="C821" s="39" t="n">
        <v>0</v>
      </c>
      <c r="D821" s="39" t="n">
        <v>0</v>
      </c>
      <c r="E821" s="39" t="str">
        <v/>
      </c>
      <c r="F821" s="45" t="n">
        <v>0</v>
      </c>
      <c r="G821" s="40" t="n">
        <v>0</v>
      </c>
      <c r="H821" s="39" t="n">
        <v>0</v>
      </c>
      <c r="I821" s="49" t="b">
        <f aca="false">IF(ISBLANK(H821),"", IF($H$2:$H2320 = "Gohar Rehan","Overnight",IF($H$2:$H2320 = "Taufeeq Akhtar ","Overnight",IF($H$2:$H2320 = "Zeeshan Ali Malik","Audit",IF($H$2:$H2320 = "Ali Raza ","Receiving",IF($H$2:$H2320 = "Ali Ahmad","Full-In"))))))</f>
        <v>0</v>
      </c>
      <c r="J821" s="29"/>
      <c r="K821" s="40"/>
      <c r="L821" s="40"/>
      <c r="M821" s="41"/>
      <c r="N821" s="39" t="s">
        <v>2335</v>
      </c>
      <c r="O821" s="46" t="b">
        <f aca="false">FALSE()</f>
        <v>0</v>
      </c>
      <c r="P821" s="20" t="n">
        <v>0</v>
      </c>
      <c r="Q821" s="45" t="n">
        <v>0</v>
      </c>
      <c r="R821" s="43" t="n">
        <v>0</v>
      </c>
      <c r="S821" s="20" t="n">
        <v>0</v>
      </c>
    </row>
    <row r="822" customFormat="false" ht="15.75" hidden="false" customHeight="false" outlineLevel="0" collapsed="false">
      <c r="A822" s="39" t="n">
        <v>0</v>
      </c>
      <c r="B822" s="44" t="str">
        <v/>
      </c>
      <c r="C822" s="39" t="n">
        <v>0</v>
      </c>
      <c r="D822" s="39" t="n">
        <v>0</v>
      </c>
      <c r="E822" s="39" t="str">
        <v/>
      </c>
      <c r="F822" s="45" t="n">
        <v>0</v>
      </c>
      <c r="G822" s="40" t="n">
        <v>0</v>
      </c>
      <c r="H822" s="39" t="n">
        <v>0</v>
      </c>
      <c r="I822" s="49" t="b">
        <f aca="false">IF(ISBLANK(H822),"", IF($H$2:$H2321 = "Gohar Rehan","Overnight",IF($H$2:$H2321 = "Taufeeq Akhtar ","Overnight",IF($H$2:$H2321 = "Zeeshan Ali Malik","Audit",IF($H$2:$H2321 = "Ali Raza ","Receiving",IF($H$2:$H2321 = "Ali Ahmad","Full-In"))))))</f>
        <v>0</v>
      </c>
      <c r="J822" s="29"/>
      <c r="K822" s="40"/>
      <c r="L822" s="40"/>
      <c r="M822" s="41"/>
      <c r="N822" s="39" t="s">
        <v>2335</v>
      </c>
      <c r="O822" s="46" t="b">
        <f aca="false">FALSE()</f>
        <v>0</v>
      </c>
      <c r="P822" s="20" t="n">
        <v>0</v>
      </c>
      <c r="Q822" s="45" t="n">
        <v>0</v>
      </c>
      <c r="R822" s="43" t="n">
        <v>0</v>
      </c>
      <c r="S822" s="20" t="n">
        <v>0</v>
      </c>
    </row>
    <row r="823" customFormat="false" ht="15.75" hidden="false" customHeight="false" outlineLevel="0" collapsed="false">
      <c r="A823" s="39" t="n">
        <v>0</v>
      </c>
      <c r="B823" s="44" t="str">
        <v/>
      </c>
      <c r="C823" s="39" t="n">
        <v>0</v>
      </c>
      <c r="D823" s="39" t="n">
        <v>0</v>
      </c>
      <c r="E823" s="39" t="str">
        <v/>
      </c>
      <c r="F823" s="45" t="n">
        <v>0</v>
      </c>
      <c r="G823" s="40" t="n">
        <v>0</v>
      </c>
      <c r="H823" s="39" t="n">
        <v>0</v>
      </c>
      <c r="I823" s="49" t="b">
        <f aca="false">IF(ISBLANK(H823),"", IF($H$2:$H2322 = "Gohar Rehan","Overnight",IF($H$2:$H2322 = "Taufeeq Akhtar ","Overnight",IF($H$2:$H2322 = "Zeeshan Ali Malik","Audit",IF($H$2:$H2322 = "Ali Raza ","Receiving",IF($H$2:$H2322 = "Ali Ahmad","Full-In"))))))</f>
        <v>0</v>
      </c>
      <c r="J823" s="29"/>
      <c r="K823" s="40"/>
      <c r="L823" s="40"/>
      <c r="M823" s="41"/>
      <c r="N823" s="39" t="s">
        <v>2335</v>
      </c>
      <c r="O823" s="46" t="b">
        <f aca="false">FALSE()</f>
        <v>0</v>
      </c>
      <c r="P823" s="20" t="n">
        <v>0</v>
      </c>
      <c r="Q823" s="45" t="n">
        <v>0</v>
      </c>
      <c r="R823" s="43" t="n">
        <v>0</v>
      </c>
      <c r="S823" s="20" t="n">
        <v>0</v>
      </c>
    </row>
    <row r="824" customFormat="false" ht="15.75" hidden="false" customHeight="false" outlineLevel="0" collapsed="false">
      <c r="A824" s="39" t="n">
        <v>0</v>
      </c>
      <c r="B824" s="44" t="str">
        <v/>
      </c>
      <c r="C824" s="39" t="n">
        <v>0</v>
      </c>
      <c r="D824" s="39" t="n">
        <v>0</v>
      </c>
      <c r="E824" s="39" t="str">
        <v/>
      </c>
      <c r="F824" s="45" t="n">
        <v>0</v>
      </c>
      <c r="G824" s="40" t="n">
        <v>0</v>
      </c>
      <c r="H824" s="39" t="n">
        <v>0</v>
      </c>
      <c r="I824" s="49" t="b">
        <f aca="false">IF(ISBLANK(H824),"", IF($H$2:$H2323 = "Gohar Rehan","Overnight",IF($H$2:$H2323 = "Taufeeq Akhtar ","Overnight",IF($H$2:$H2323 = "Zeeshan Ali Malik","Audit",IF($H$2:$H2323 = "Ali Raza ","Receiving",IF($H$2:$H2323 = "Ali Ahmad","Full-In"))))))</f>
        <v>0</v>
      </c>
      <c r="J824" s="29"/>
      <c r="K824" s="40"/>
      <c r="L824" s="40"/>
      <c r="M824" s="41"/>
      <c r="N824" s="39" t="s">
        <v>2335</v>
      </c>
      <c r="O824" s="46" t="b">
        <f aca="false">FALSE()</f>
        <v>0</v>
      </c>
      <c r="P824" s="20" t="n">
        <v>0</v>
      </c>
      <c r="Q824" s="45" t="n">
        <v>0</v>
      </c>
      <c r="R824" s="43" t="n">
        <v>0</v>
      </c>
      <c r="S824" s="20" t="n">
        <v>0</v>
      </c>
    </row>
    <row r="825" customFormat="false" ht="15.75" hidden="false" customHeight="false" outlineLevel="0" collapsed="false">
      <c r="A825" s="39" t="n">
        <v>0</v>
      </c>
      <c r="B825" s="44" t="str">
        <v/>
      </c>
      <c r="C825" s="39" t="n">
        <v>0</v>
      </c>
      <c r="D825" s="39" t="n">
        <v>0</v>
      </c>
      <c r="E825" s="39" t="str">
        <v/>
      </c>
      <c r="F825" s="45" t="n">
        <v>0</v>
      </c>
      <c r="G825" s="40" t="n">
        <v>0</v>
      </c>
      <c r="H825" s="39" t="n">
        <v>0</v>
      </c>
      <c r="I825" s="49" t="b">
        <f aca="false">IF(ISBLANK(H825),"", IF($H$2:$H2324 = "Gohar Rehan","Overnight",IF($H$2:$H2324 = "Taufeeq Akhtar ","Overnight",IF($H$2:$H2324 = "Zeeshan Ali Malik","Audit",IF($H$2:$H2324 = "Ali Raza ","Receiving",IF($H$2:$H2324 = "Ali Ahmad","Full-In"))))))</f>
        <v>0</v>
      </c>
      <c r="J825" s="29"/>
      <c r="K825" s="40"/>
      <c r="L825" s="40"/>
      <c r="M825" s="41"/>
      <c r="N825" s="39" t="s">
        <v>2335</v>
      </c>
      <c r="O825" s="46" t="b">
        <f aca="false">FALSE()</f>
        <v>0</v>
      </c>
      <c r="P825" s="20" t="n">
        <v>0</v>
      </c>
      <c r="Q825" s="45" t="n">
        <v>0</v>
      </c>
      <c r="R825" s="43" t="n">
        <v>0</v>
      </c>
      <c r="S825" s="20" t="n">
        <v>0</v>
      </c>
    </row>
    <row r="826" customFormat="false" ht="15.75" hidden="false" customHeight="false" outlineLevel="0" collapsed="false">
      <c r="A826" s="39" t="n">
        <v>0</v>
      </c>
      <c r="B826" s="44" t="str">
        <v/>
      </c>
      <c r="C826" s="39" t="n">
        <v>0</v>
      </c>
      <c r="D826" s="39" t="n">
        <v>0</v>
      </c>
      <c r="E826" s="39" t="str">
        <v/>
      </c>
      <c r="F826" s="45" t="n">
        <v>0</v>
      </c>
      <c r="G826" s="40" t="n">
        <v>0</v>
      </c>
      <c r="H826" s="39" t="n">
        <v>0</v>
      </c>
      <c r="I826" s="49" t="b">
        <f aca="false">IF(ISBLANK(H826),"", IF($H$2:$H2325 = "Gohar Rehan","Overnight",IF($H$2:$H2325 = "Taufeeq Akhtar ","Overnight",IF($H$2:$H2325 = "Zeeshan Ali Malik","Audit",IF($H$2:$H2325 = "Ali Raza ","Receiving",IF($H$2:$H2325 = "Ali Ahmad","Full-In"))))))</f>
        <v>0</v>
      </c>
      <c r="J826" s="29"/>
      <c r="K826" s="40"/>
      <c r="L826" s="40"/>
      <c r="M826" s="41"/>
      <c r="N826" s="39" t="s">
        <v>2335</v>
      </c>
      <c r="O826" s="46" t="b">
        <f aca="false">FALSE()</f>
        <v>0</v>
      </c>
      <c r="P826" s="20" t="n">
        <v>0</v>
      </c>
      <c r="Q826" s="45" t="n">
        <v>0</v>
      </c>
      <c r="R826" s="43" t="n">
        <v>0</v>
      </c>
      <c r="S826" s="20" t="n">
        <v>0</v>
      </c>
    </row>
    <row r="827" customFormat="false" ht="15.75" hidden="false" customHeight="false" outlineLevel="0" collapsed="false">
      <c r="A827" s="39" t="n">
        <v>0</v>
      </c>
      <c r="B827" s="44" t="str">
        <v/>
      </c>
      <c r="C827" s="39" t="n">
        <v>0</v>
      </c>
      <c r="D827" s="39" t="n">
        <v>0</v>
      </c>
      <c r="E827" s="39" t="str">
        <v/>
      </c>
      <c r="F827" s="45" t="n">
        <v>0</v>
      </c>
      <c r="G827" s="40" t="n">
        <v>0</v>
      </c>
      <c r="H827" s="39" t="n">
        <v>0</v>
      </c>
      <c r="I827" s="49" t="b">
        <f aca="false">IF(ISBLANK(H827),"", IF($H$2:$H2326 = "Gohar Rehan","Overnight",IF($H$2:$H2326 = "Taufeeq Akhtar ","Overnight",IF($H$2:$H2326 = "Zeeshan Ali Malik","Audit",IF($H$2:$H2326 = "Ali Raza ","Receiving",IF($H$2:$H2326 = "Ali Ahmad","Full-In"))))))</f>
        <v>0</v>
      </c>
      <c r="J827" s="29"/>
      <c r="K827" s="40"/>
      <c r="L827" s="40"/>
      <c r="M827" s="41"/>
      <c r="N827" s="39" t="s">
        <v>2335</v>
      </c>
      <c r="O827" s="46" t="b">
        <f aca="false">FALSE()</f>
        <v>0</v>
      </c>
      <c r="P827" s="20" t="n">
        <v>0</v>
      </c>
      <c r="Q827" s="45" t="n">
        <v>0</v>
      </c>
      <c r="R827" s="43" t="n">
        <v>0</v>
      </c>
      <c r="S827" s="20" t="n">
        <v>0</v>
      </c>
    </row>
    <row r="828" customFormat="false" ht="15.75" hidden="false" customHeight="false" outlineLevel="0" collapsed="false">
      <c r="A828" s="39" t="n">
        <v>0</v>
      </c>
      <c r="B828" s="44" t="str">
        <v/>
      </c>
      <c r="C828" s="39" t="n">
        <v>0</v>
      </c>
      <c r="D828" s="39" t="n">
        <v>0</v>
      </c>
      <c r="E828" s="39" t="str">
        <v/>
      </c>
      <c r="F828" s="45" t="n">
        <v>0</v>
      </c>
      <c r="G828" s="40" t="n">
        <v>0</v>
      </c>
      <c r="H828" s="39" t="n">
        <v>0</v>
      </c>
      <c r="I828" s="49" t="b">
        <f aca="false">IF(ISBLANK(H828),"", IF($H$2:$H2327 = "Gohar Rehan","Overnight",IF($H$2:$H2327 = "Taufeeq Akhtar ","Overnight",IF($H$2:$H2327 = "Zeeshan Ali Malik","Audit",IF($H$2:$H2327 = "Ali Raza ","Receiving",IF($H$2:$H2327 = "Ali Ahmad","Full-In"))))))</f>
        <v>0</v>
      </c>
      <c r="J828" s="29"/>
      <c r="K828" s="40"/>
      <c r="L828" s="40"/>
      <c r="M828" s="41"/>
      <c r="N828" s="39" t="s">
        <v>2335</v>
      </c>
      <c r="O828" s="46" t="b">
        <f aca="false">FALSE()</f>
        <v>0</v>
      </c>
      <c r="P828" s="20" t="n">
        <v>0</v>
      </c>
      <c r="Q828" s="45" t="n">
        <v>0</v>
      </c>
      <c r="R828" s="43" t="n">
        <v>0</v>
      </c>
      <c r="S828" s="20" t="n">
        <v>0</v>
      </c>
    </row>
    <row r="829" customFormat="false" ht="15.75" hidden="false" customHeight="false" outlineLevel="0" collapsed="false">
      <c r="A829" s="39" t="n">
        <v>0</v>
      </c>
      <c r="B829" s="44" t="str">
        <v/>
      </c>
      <c r="C829" s="39" t="n">
        <v>0</v>
      </c>
      <c r="D829" s="39" t="n">
        <v>0</v>
      </c>
      <c r="E829" s="39" t="str">
        <v/>
      </c>
      <c r="F829" s="45" t="n">
        <v>0</v>
      </c>
      <c r="G829" s="40" t="n">
        <v>0</v>
      </c>
      <c r="H829" s="39" t="n">
        <v>0</v>
      </c>
      <c r="I829" s="49" t="b">
        <f aca="false">IF(ISBLANK(H829),"", IF($H$2:$H2328 = "Gohar Rehan","Overnight",IF($H$2:$H2328 = "Taufeeq Akhtar ","Overnight",IF($H$2:$H2328 = "Zeeshan Ali Malik","Audit",IF($H$2:$H2328 = "Ali Raza ","Receiving",IF($H$2:$H2328 = "Ali Ahmad","Full-In"))))))</f>
        <v>0</v>
      </c>
      <c r="J829" s="29"/>
      <c r="K829" s="40"/>
      <c r="L829" s="40"/>
      <c r="M829" s="41"/>
      <c r="N829" s="39" t="s">
        <v>2335</v>
      </c>
      <c r="O829" s="46" t="b">
        <f aca="false">FALSE()</f>
        <v>0</v>
      </c>
      <c r="P829" s="20" t="n">
        <v>0</v>
      </c>
      <c r="Q829" s="45" t="n">
        <v>0</v>
      </c>
      <c r="R829" s="43" t="n">
        <v>0</v>
      </c>
      <c r="S829" s="20" t="n">
        <v>0</v>
      </c>
    </row>
    <row r="830" customFormat="false" ht="15.75" hidden="false" customHeight="false" outlineLevel="0" collapsed="false">
      <c r="A830" s="39" t="n">
        <v>0</v>
      </c>
      <c r="B830" s="44" t="str">
        <v/>
      </c>
      <c r="C830" s="39" t="n">
        <v>0</v>
      </c>
      <c r="D830" s="39" t="n">
        <v>0</v>
      </c>
      <c r="E830" s="39" t="str">
        <v/>
      </c>
      <c r="F830" s="45" t="n">
        <v>0</v>
      </c>
      <c r="G830" s="40" t="n">
        <v>0</v>
      </c>
      <c r="H830" s="39" t="n">
        <v>0</v>
      </c>
      <c r="I830" s="49" t="b">
        <f aca="false">IF(ISBLANK(H830),"", IF($H$2:$H2329 = "Gohar Rehan","Overnight",IF($H$2:$H2329 = "Taufeeq Akhtar ","Overnight",IF($H$2:$H2329 = "Zeeshan Ali Malik","Audit",IF($H$2:$H2329 = "Ali Raza ","Receiving",IF($H$2:$H2329 = "Ali Ahmad","Full-In"))))))</f>
        <v>0</v>
      </c>
      <c r="J830" s="29"/>
      <c r="K830" s="40"/>
      <c r="L830" s="40"/>
      <c r="M830" s="41"/>
      <c r="N830" s="39" t="s">
        <v>2335</v>
      </c>
      <c r="O830" s="46" t="b">
        <f aca="false">FALSE()</f>
        <v>0</v>
      </c>
      <c r="P830" s="20" t="n">
        <v>0</v>
      </c>
      <c r="Q830" s="45" t="n">
        <v>0</v>
      </c>
      <c r="R830" s="43" t="n">
        <v>0</v>
      </c>
      <c r="S830" s="20" t="n">
        <v>0</v>
      </c>
    </row>
    <row r="831" customFormat="false" ht="15.75" hidden="false" customHeight="false" outlineLevel="0" collapsed="false">
      <c r="A831" s="39" t="n">
        <v>0</v>
      </c>
      <c r="B831" s="44" t="str">
        <v/>
      </c>
      <c r="C831" s="39" t="n">
        <v>0</v>
      </c>
      <c r="D831" s="39" t="n">
        <v>0</v>
      </c>
      <c r="E831" s="39" t="str">
        <v/>
      </c>
      <c r="F831" s="45" t="n">
        <v>0</v>
      </c>
      <c r="G831" s="40" t="n">
        <v>0</v>
      </c>
      <c r="H831" s="39" t="n">
        <v>0</v>
      </c>
      <c r="I831" s="49" t="b">
        <f aca="false">IF(ISBLANK(H831),"", IF($H$2:$H2330 = "Gohar Rehan","Overnight",IF($H$2:$H2330 = "Taufeeq Akhtar ","Overnight",IF($H$2:$H2330 = "Zeeshan Ali Malik","Audit",IF($H$2:$H2330 = "Ali Raza ","Receiving",IF($H$2:$H2330 = "Ali Ahmad","Full-In"))))))</f>
        <v>0</v>
      </c>
      <c r="J831" s="29"/>
      <c r="K831" s="40"/>
      <c r="L831" s="40"/>
      <c r="M831" s="41"/>
      <c r="N831" s="39" t="s">
        <v>2335</v>
      </c>
      <c r="O831" s="46" t="b">
        <f aca="false">FALSE()</f>
        <v>0</v>
      </c>
      <c r="P831" s="20" t="n">
        <v>0</v>
      </c>
      <c r="Q831" s="45" t="n">
        <v>0</v>
      </c>
      <c r="R831" s="43" t="n">
        <v>0</v>
      </c>
      <c r="S831" s="20" t="n">
        <v>0</v>
      </c>
    </row>
    <row r="832" customFormat="false" ht="15.75" hidden="false" customHeight="false" outlineLevel="0" collapsed="false">
      <c r="A832" s="39" t="n">
        <v>0</v>
      </c>
      <c r="B832" s="44" t="str">
        <v/>
      </c>
      <c r="C832" s="39" t="n">
        <v>0</v>
      </c>
      <c r="D832" s="39" t="n">
        <v>0</v>
      </c>
      <c r="E832" s="39" t="str">
        <v/>
      </c>
      <c r="F832" s="45" t="n">
        <v>0</v>
      </c>
      <c r="G832" s="40" t="n">
        <v>0</v>
      </c>
      <c r="H832" s="39" t="n">
        <v>0</v>
      </c>
      <c r="I832" s="49" t="b">
        <f aca="false">IF(ISBLANK(H832),"", IF($H$2:$H2331 = "Gohar Rehan","Overnight",IF($H$2:$H2331 = "Taufeeq Akhtar ","Overnight",IF($H$2:$H2331 = "Zeeshan Ali Malik","Audit",IF($H$2:$H2331 = "Ali Raza ","Receiving",IF($H$2:$H2331 = "Ali Ahmad","Full-In"))))))</f>
        <v>0</v>
      </c>
      <c r="J832" s="29"/>
      <c r="K832" s="40"/>
      <c r="L832" s="40"/>
      <c r="M832" s="41"/>
      <c r="N832" s="39" t="s">
        <v>2335</v>
      </c>
      <c r="O832" s="46" t="b">
        <f aca="false">FALSE()</f>
        <v>0</v>
      </c>
      <c r="P832" s="20" t="n">
        <v>0</v>
      </c>
      <c r="Q832" s="45" t="n">
        <v>0</v>
      </c>
      <c r="R832" s="43" t="n">
        <v>0</v>
      </c>
      <c r="S832" s="20" t="n">
        <v>0</v>
      </c>
    </row>
    <row r="833" customFormat="false" ht="15.75" hidden="false" customHeight="false" outlineLevel="0" collapsed="false">
      <c r="A833" s="39" t="n">
        <v>0</v>
      </c>
      <c r="B833" s="44" t="str">
        <v/>
      </c>
      <c r="C833" s="39" t="n">
        <v>0</v>
      </c>
      <c r="D833" s="39" t="n">
        <v>0</v>
      </c>
      <c r="E833" s="39" t="str">
        <v/>
      </c>
      <c r="F833" s="45" t="n">
        <v>0</v>
      </c>
      <c r="G833" s="40" t="n">
        <v>0</v>
      </c>
      <c r="H833" s="39" t="n">
        <v>0</v>
      </c>
      <c r="I833" s="49" t="b">
        <f aca="false">IF(ISBLANK(H833),"", IF($H$2:$H2332 = "Gohar Rehan","Overnight",IF($H$2:$H2332 = "Taufeeq Akhtar ","Overnight",IF($H$2:$H2332 = "Zeeshan Ali Malik","Audit",IF($H$2:$H2332 = "Ali Raza ","Receiving",IF($H$2:$H2332 = "Ali Ahmad","Full-In"))))))</f>
        <v>0</v>
      </c>
      <c r="J833" s="29"/>
      <c r="K833" s="40"/>
      <c r="L833" s="40"/>
      <c r="M833" s="41"/>
      <c r="N833" s="39" t="s">
        <v>2335</v>
      </c>
      <c r="O833" s="46" t="b">
        <f aca="false">FALSE()</f>
        <v>0</v>
      </c>
      <c r="P833" s="20" t="n">
        <v>0</v>
      </c>
      <c r="Q833" s="45" t="n">
        <v>0</v>
      </c>
      <c r="R833" s="43" t="n">
        <v>0</v>
      </c>
      <c r="S833" s="20" t="n">
        <v>0</v>
      </c>
    </row>
    <row r="834" customFormat="false" ht="15.75" hidden="false" customHeight="false" outlineLevel="0" collapsed="false">
      <c r="A834" s="39" t="n">
        <v>0</v>
      </c>
      <c r="B834" s="44" t="str">
        <v/>
      </c>
      <c r="C834" s="39" t="n">
        <v>0</v>
      </c>
      <c r="D834" s="39" t="n">
        <v>0</v>
      </c>
      <c r="E834" s="39" t="str">
        <v/>
      </c>
      <c r="F834" s="45" t="n">
        <v>0</v>
      </c>
      <c r="G834" s="40" t="n">
        <v>0</v>
      </c>
      <c r="H834" s="39" t="n">
        <v>0</v>
      </c>
      <c r="I834" s="49" t="b">
        <f aca="false">IF(ISBLANK(H834),"", IF($H$2:$H2333 = "Gohar Rehan","Overnight",IF($H$2:$H2333 = "Taufeeq Akhtar ","Overnight",IF($H$2:$H2333 = "Zeeshan Ali Malik","Audit",IF($H$2:$H2333 = "Ali Raza ","Receiving",IF($H$2:$H2333 = "Ali Ahmad","Full-In"))))))</f>
        <v>0</v>
      </c>
      <c r="J834" s="29"/>
      <c r="K834" s="40"/>
      <c r="L834" s="40"/>
      <c r="M834" s="41"/>
      <c r="N834" s="39" t="s">
        <v>2335</v>
      </c>
      <c r="O834" s="46" t="b">
        <f aca="false">FALSE()</f>
        <v>0</v>
      </c>
      <c r="P834" s="20" t="n">
        <v>0</v>
      </c>
      <c r="Q834" s="45" t="n">
        <v>0</v>
      </c>
      <c r="R834" s="43" t="n">
        <v>0</v>
      </c>
      <c r="S834" s="20" t="n">
        <v>0</v>
      </c>
    </row>
    <row r="835" customFormat="false" ht="15.75" hidden="false" customHeight="false" outlineLevel="0" collapsed="false">
      <c r="A835" s="39" t="n">
        <v>0</v>
      </c>
      <c r="B835" s="44" t="str">
        <v/>
      </c>
      <c r="C835" s="39" t="n">
        <v>0</v>
      </c>
      <c r="D835" s="39" t="n">
        <v>0</v>
      </c>
      <c r="E835" s="39" t="str">
        <v/>
      </c>
      <c r="F835" s="45" t="n">
        <v>0</v>
      </c>
      <c r="G835" s="40" t="n">
        <v>0</v>
      </c>
      <c r="H835" s="39" t="n">
        <v>0</v>
      </c>
      <c r="I835" s="49" t="b">
        <f aca="false">IF(ISBLANK(H835),"", IF($H$2:$H2334 = "Gohar Rehan","Overnight",IF($H$2:$H2334 = "Taufeeq Akhtar ","Overnight",IF($H$2:$H2334 = "Zeeshan Ali Malik","Audit",IF($H$2:$H2334 = "Ali Raza ","Receiving",IF($H$2:$H2334 = "Ali Ahmad","Full-In"))))))</f>
        <v>0</v>
      </c>
      <c r="J835" s="29"/>
      <c r="K835" s="40"/>
      <c r="L835" s="40"/>
      <c r="M835" s="41"/>
      <c r="N835" s="39" t="s">
        <v>2335</v>
      </c>
      <c r="O835" s="46" t="b">
        <f aca="false">FALSE()</f>
        <v>0</v>
      </c>
      <c r="P835" s="20" t="n">
        <v>0</v>
      </c>
      <c r="Q835" s="45" t="n">
        <v>0</v>
      </c>
      <c r="R835" s="43" t="n">
        <v>0</v>
      </c>
      <c r="S835" s="20" t="n">
        <v>0</v>
      </c>
    </row>
    <row r="836" customFormat="false" ht="15.75" hidden="false" customHeight="false" outlineLevel="0" collapsed="false">
      <c r="A836" s="39" t="n">
        <v>0</v>
      </c>
      <c r="B836" s="44" t="str">
        <v/>
      </c>
      <c r="C836" s="39" t="n">
        <v>0</v>
      </c>
      <c r="D836" s="39" t="n">
        <v>0</v>
      </c>
      <c r="E836" s="39" t="str">
        <v/>
      </c>
      <c r="F836" s="45" t="n">
        <v>0</v>
      </c>
      <c r="G836" s="40" t="n">
        <v>0</v>
      </c>
      <c r="H836" s="39" t="n">
        <v>0</v>
      </c>
      <c r="I836" s="49" t="b">
        <f aca="false">IF(ISBLANK(H836),"", IF($H$2:$H2335 = "Gohar Rehan","Overnight",IF($H$2:$H2335 = "Taufeeq Akhtar ","Overnight",IF($H$2:$H2335 = "Zeeshan Ali Malik","Audit",IF($H$2:$H2335 = "Ali Raza ","Receiving",IF($H$2:$H2335 = "Ali Ahmad","Full-In"))))))</f>
        <v>0</v>
      </c>
      <c r="J836" s="29"/>
      <c r="K836" s="40"/>
      <c r="L836" s="40"/>
      <c r="M836" s="41"/>
      <c r="N836" s="39" t="s">
        <v>2335</v>
      </c>
      <c r="O836" s="46" t="b">
        <f aca="false">FALSE()</f>
        <v>0</v>
      </c>
      <c r="P836" s="20" t="n">
        <v>0</v>
      </c>
      <c r="Q836" s="45" t="n">
        <v>0</v>
      </c>
      <c r="R836" s="43" t="n">
        <v>0</v>
      </c>
      <c r="S836" s="20" t="n">
        <v>0</v>
      </c>
    </row>
    <row r="837" customFormat="false" ht="15.75" hidden="false" customHeight="false" outlineLevel="0" collapsed="false">
      <c r="A837" s="39" t="n">
        <v>0</v>
      </c>
      <c r="B837" s="44" t="str">
        <v/>
      </c>
      <c r="C837" s="39" t="n">
        <v>0</v>
      </c>
      <c r="D837" s="39" t="n">
        <v>0</v>
      </c>
      <c r="E837" s="39" t="str">
        <v/>
      </c>
      <c r="F837" s="45" t="n">
        <v>0</v>
      </c>
      <c r="G837" s="40" t="n">
        <v>0</v>
      </c>
      <c r="H837" s="39" t="n">
        <v>0</v>
      </c>
      <c r="I837" s="49" t="b">
        <f aca="false">IF(ISBLANK(H837),"", IF($H$2:$H2336 = "Gohar Rehan","Overnight",IF($H$2:$H2336 = "Taufeeq Akhtar ","Overnight",IF($H$2:$H2336 = "Zeeshan Ali Malik","Audit",IF($H$2:$H2336 = "Ali Raza ","Receiving",IF($H$2:$H2336 = "Ali Ahmad","Full-In"))))))</f>
        <v>0</v>
      </c>
      <c r="J837" s="29"/>
      <c r="K837" s="40"/>
      <c r="L837" s="40"/>
      <c r="M837" s="41"/>
      <c r="N837" s="39" t="s">
        <v>2335</v>
      </c>
      <c r="O837" s="46" t="b">
        <f aca="false">FALSE()</f>
        <v>0</v>
      </c>
      <c r="P837" s="20" t="n">
        <v>0</v>
      </c>
      <c r="Q837" s="45" t="n">
        <v>0</v>
      </c>
      <c r="R837" s="43" t="n">
        <v>0</v>
      </c>
      <c r="S837" s="20" t="n">
        <v>0</v>
      </c>
    </row>
    <row r="838" customFormat="false" ht="15.75" hidden="false" customHeight="false" outlineLevel="0" collapsed="false">
      <c r="A838" s="39" t="n">
        <v>0</v>
      </c>
      <c r="B838" s="44" t="str">
        <v/>
      </c>
      <c r="C838" s="39" t="n">
        <v>0</v>
      </c>
      <c r="D838" s="39" t="n">
        <v>0</v>
      </c>
      <c r="E838" s="39" t="str">
        <v/>
      </c>
      <c r="F838" s="45" t="n">
        <v>0</v>
      </c>
      <c r="G838" s="40" t="n">
        <v>0</v>
      </c>
      <c r="H838" s="39" t="n">
        <v>0</v>
      </c>
      <c r="I838" s="49" t="b">
        <f aca="false">IF(ISBLANK(H838),"", IF($H$2:$H2337 = "Gohar Rehan","Overnight",IF($H$2:$H2337 = "Taufeeq Akhtar ","Overnight",IF($H$2:$H2337 = "Zeeshan Ali Malik","Audit",IF($H$2:$H2337 = "Ali Raza ","Receiving",IF($H$2:$H2337 = "Ali Ahmad","Full-In"))))))</f>
        <v>0</v>
      </c>
      <c r="J838" s="29"/>
      <c r="K838" s="40"/>
      <c r="L838" s="40"/>
      <c r="M838" s="41"/>
      <c r="N838" s="39" t="s">
        <v>2335</v>
      </c>
      <c r="O838" s="46" t="b">
        <f aca="false">FALSE()</f>
        <v>0</v>
      </c>
      <c r="P838" s="20" t="n">
        <v>0</v>
      </c>
      <c r="Q838" s="45" t="n">
        <v>0</v>
      </c>
      <c r="R838" s="43" t="n">
        <v>0</v>
      </c>
      <c r="S838" s="20" t="n">
        <v>0</v>
      </c>
    </row>
    <row r="839" customFormat="false" ht="15.75" hidden="false" customHeight="false" outlineLevel="0" collapsed="false">
      <c r="A839" s="39" t="n">
        <v>0</v>
      </c>
      <c r="B839" s="44" t="str">
        <v/>
      </c>
      <c r="C839" s="39" t="n">
        <v>0</v>
      </c>
      <c r="D839" s="39" t="n">
        <v>0</v>
      </c>
      <c r="E839" s="39" t="str">
        <v/>
      </c>
      <c r="F839" s="45" t="n">
        <v>0</v>
      </c>
      <c r="G839" s="40" t="n">
        <v>0</v>
      </c>
      <c r="H839" s="39" t="n">
        <v>0</v>
      </c>
      <c r="I839" s="49" t="b">
        <f aca="false">IF(ISBLANK(H839),"", IF($H$2:$H2338 = "Gohar Rehan","Overnight",IF($H$2:$H2338 = "Taufeeq Akhtar ","Overnight",IF($H$2:$H2338 = "Zeeshan Ali Malik","Audit",IF($H$2:$H2338 = "Ali Raza ","Receiving",IF($H$2:$H2338 = "Ali Ahmad","Full-In"))))))</f>
        <v>0</v>
      </c>
      <c r="J839" s="29"/>
      <c r="K839" s="40"/>
      <c r="L839" s="40"/>
      <c r="M839" s="41"/>
      <c r="N839" s="39" t="s">
        <v>2335</v>
      </c>
      <c r="O839" s="46" t="b">
        <f aca="false">FALSE()</f>
        <v>0</v>
      </c>
      <c r="P839" s="20" t="n">
        <v>0</v>
      </c>
      <c r="Q839" s="45" t="n">
        <v>0</v>
      </c>
      <c r="R839" s="43" t="n">
        <v>0</v>
      </c>
      <c r="S839" s="20" t="n">
        <v>0</v>
      </c>
    </row>
    <row r="840" customFormat="false" ht="15.75" hidden="false" customHeight="false" outlineLevel="0" collapsed="false">
      <c r="A840" s="39" t="n">
        <v>0</v>
      </c>
      <c r="B840" s="44" t="str">
        <v/>
      </c>
      <c r="C840" s="39" t="n">
        <v>0</v>
      </c>
      <c r="D840" s="39" t="n">
        <v>0</v>
      </c>
      <c r="E840" s="39" t="str">
        <v/>
      </c>
      <c r="F840" s="45" t="n">
        <v>0</v>
      </c>
      <c r="G840" s="40" t="n">
        <v>0</v>
      </c>
      <c r="H840" s="39" t="n">
        <v>0</v>
      </c>
      <c r="I840" s="49" t="b">
        <f aca="false">IF(ISBLANK(H840),"", IF($H$2:$H2339 = "Gohar Rehan","Overnight",IF($H$2:$H2339 = "Taufeeq Akhtar ","Overnight",IF($H$2:$H2339 = "Zeeshan Ali Malik","Audit",IF($H$2:$H2339 = "Ali Raza ","Receiving",IF($H$2:$H2339 = "Ali Ahmad","Full-In"))))))</f>
        <v>0</v>
      </c>
      <c r="J840" s="29"/>
      <c r="K840" s="40"/>
      <c r="L840" s="40"/>
      <c r="M840" s="41"/>
      <c r="N840" s="39" t="s">
        <v>2335</v>
      </c>
      <c r="O840" s="46" t="b">
        <f aca="false">FALSE()</f>
        <v>0</v>
      </c>
      <c r="P840" s="20" t="n">
        <v>0</v>
      </c>
      <c r="Q840" s="45" t="n">
        <v>0</v>
      </c>
      <c r="R840" s="43" t="n">
        <v>0</v>
      </c>
      <c r="S840" s="20" t="n">
        <v>0</v>
      </c>
    </row>
    <row r="841" customFormat="false" ht="15.75" hidden="false" customHeight="false" outlineLevel="0" collapsed="false">
      <c r="A841" s="39" t="n">
        <v>0</v>
      </c>
      <c r="B841" s="44" t="str">
        <v/>
      </c>
      <c r="C841" s="39" t="n">
        <v>0</v>
      </c>
      <c r="D841" s="39" t="n">
        <v>0</v>
      </c>
      <c r="E841" s="39" t="str">
        <v/>
      </c>
      <c r="F841" s="45" t="n">
        <v>0</v>
      </c>
      <c r="G841" s="40" t="n">
        <v>0</v>
      </c>
      <c r="H841" s="39" t="n">
        <v>0</v>
      </c>
      <c r="I841" s="49" t="b">
        <f aca="false">IF(ISBLANK(H841),"", IF($H$2:$H2340 = "Gohar Rehan","Overnight",IF($H$2:$H2340 = "Taufeeq Akhtar ","Overnight",IF($H$2:$H2340 = "Zeeshan Ali Malik","Audit",IF($H$2:$H2340 = "Ali Raza ","Receiving",IF($H$2:$H2340 = "Ali Ahmad","Full-In"))))))</f>
        <v>0</v>
      </c>
      <c r="J841" s="29"/>
      <c r="K841" s="40"/>
      <c r="L841" s="40"/>
      <c r="M841" s="41"/>
      <c r="N841" s="39" t="s">
        <v>2335</v>
      </c>
      <c r="O841" s="46" t="b">
        <f aca="false">FALSE()</f>
        <v>0</v>
      </c>
      <c r="P841" s="20" t="n">
        <v>0</v>
      </c>
      <c r="Q841" s="45" t="n">
        <v>0</v>
      </c>
      <c r="R841" s="43" t="n">
        <v>0</v>
      </c>
      <c r="S841" s="20" t="n">
        <v>0</v>
      </c>
    </row>
    <row r="842" customFormat="false" ht="15.75" hidden="false" customHeight="false" outlineLevel="0" collapsed="false">
      <c r="A842" s="39" t="n">
        <v>0</v>
      </c>
      <c r="B842" s="44" t="str">
        <v/>
      </c>
      <c r="C842" s="39" t="n">
        <v>0</v>
      </c>
      <c r="D842" s="39" t="n">
        <v>0</v>
      </c>
      <c r="E842" s="39" t="str">
        <v/>
      </c>
      <c r="F842" s="45" t="n">
        <v>0</v>
      </c>
      <c r="G842" s="40" t="n">
        <v>0</v>
      </c>
      <c r="H842" s="39" t="n">
        <v>0</v>
      </c>
      <c r="I842" s="49" t="b">
        <f aca="false">IF(ISBLANK(H842),"", IF($H$2:$H2341 = "Gohar Rehan","Overnight",IF($H$2:$H2341 = "Taufeeq Akhtar ","Overnight",IF($H$2:$H2341 = "Zeeshan Ali Malik","Audit",IF($H$2:$H2341 = "Ali Raza ","Receiving",IF($H$2:$H2341 = "Ali Ahmad","Full-In"))))))</f>
        <v>0</v>
      </c>
      <c r="J842" s="29"/>
      <c r="K842" s="40"/>
      <c r="L842" s="40"/>
      <c r="M842" s="41"/>
      <c r="N842" s="39" t="s">
        <v>2335</v>
      </c>
      <c r="O842" s="46" t="b">
        <f aca="false">FALSE()</f>
        <v>0</v>
      </c>
      <c r="P842" s="20" t="n">
        <v>0</v>
      </c>
      <c r="Q842" s="45" t="n">
        <v>0</v>
      </c>
      <c r="R842" s="43" t="n">
        <v>0</v>
      </c>
      <c r="S842" s="20" t="n">
        <v>0</v>
      </c>
    </row>
    <row r="843" customFormat="false" ht="15.75" hidden="false" customHeight="false" outlineLevel="0" collapsed="false">
      <c r="A843" s="39" t="n">
        <v>0</v>
      </c>
      <c r="B843" s="44" t="str">
        <v/>
      </c>
      <c r="C843" s="39" t="n">
        <v>0</v>
      </c>
      <c r="D843" s="39" t="n">
        <v>0</v>
      </c>
      <c r="E843" s="39" t="str">
        <v/>
      </c>
      <c r="F843" s="45" t="n">
        <v>0</v>
      </c>
      <c r="G843" s="40" t="n">
        <v>0</v>
      </c>
      <c r="H843" s="39" t="n">
        <v>0</v>
      </c>
      <c r="I843" s="49" t="b">
        <f aca="false">IF(ISBLANK(H843),"", IF($H$2:$H2342 = "Gohar Rehan","Overnight",IF($H$2:$H2342 = "Taufeeq Akhtar ","Overnight",IF($H$2:$H2342 = "Zeeshan Ali Malik","Audit",IF($H$2:$H2342 = "Ali Raza ","Receiving",IF($H$2:$H2342 = "Ali Ahmad","Full-In"))))))</f>
        <v>0</v>
      </c>
      <c r="J843" s="29"/>
      <c r="K843" s="40"/>
      <c r="L843" s="40"/>
      <c r="M843" s="41"/>
      <c r="N843" s="39" t="s">
        <v>2335</v>
      </c>
      <c r="O843" s="46" t="b">
        <f aca="false">FALSE()</f>
        <v>0</v>
      </c>
      <c r="P843" s="20" t="n">
        <v>0</v>
      </c>
      <c r="Q843" s="45" t="n">
        <v>0</v>
      </c>
      <c r="R843" s="43" t="n">
        <v>0</v>
      </c>
      <c r="S843" s="20" t="n">
        <v>0</v>
      </c>
    </row>
    <row r="844" customFormat="false" ht="15.75" hidden="false" customHeight="false" outlineLevel="0" collapsed="false">
      <c r="A844" s="39" t="n">
        <v>0</v>
      </c>
      <c r="B844" s="44" t="str">
        <v/>
      </c>
      <c r="C844" s="39" t="n">
        <v>0</v>
      </c>
      <c r="D844" s="39" t="n">
        <v>0</v>
      </c>
      <c r="E844" s="39" t="str">
        <v/>
      </c>
      <c r="F844" s="45" t="n">
        <v>0</v>
      </c>
      <c r="G844" s="40" t="n">
        <v>0</v>
      </c>
      <c r="H844" s="39" t="n">
        <v>0</v>
      </c>
      <c r="I844" s="49" t="b">
        <f aca="false">IF(ISBLANK(H844),"", IF($H$2:$H2343 = "Gohar Rehan","Overnight",IF($H$2:$H2343 = "Taufeeq Akhtar ","Overnight",IF($H$2:$H2343 = "Zeeshan Ali Malik","Audit",IF($H$2:$H2343 = "Ali Raza ","Receiving",IF($H$2:$H2343 = "Ali Ahmad","Full-In"))))))</f>
        <v>0</v>
      </c>
      <c r="J844" s="29"/>
      <c r="K844" s="40"/>
      <c r="L844" s="40"/>
      <c r="M844" s="41"/>
      <c r="N844" s="39" t="s">
        <v>2335</v>
      </c>
      <c r="O844" s="46" t="b">
        <f aca="false">FALSE()</f>
        <v>0</v>
      </c>
      <c r="P844" s="20" t="n">
        <v>0</v>
      </c>
      <c r="Q844" s="45" t="n">
        <v>0</v>
      </c>
      <c r="R844" s="43" t="n">
        <v>0</v>
      </c>
      <c r="S844" s="20" t="n">
        <v>0</v>
      </c>
    </row>
    <row r="845" customFormat="false" ht="15.75" hidden="false" customHeight="false" outlineLevel="0" collapsed="false">
      <c r="A845" s="39" t="n">
        <v>0</v>
      </c>
      <c r="B845" s="44" t="str">
        <v/>
      </c>
      <c r="C845" s="39" t="n">
        <v>0</v>
      </c>
      <c r="D845" s="39" t="n">
        <v>0</v>
      </c>
      <c r="E845" s="39" t="str">
        <v/>
      </c>
      <c r="F845" s="45" t="n">
        <v>0</v>
      </c>
      <c r="G845" s="40" t="n">
        <v>0</v>
      </c>
      <c r="H845" s="39" t="n">
        <v>0</v>
      </c>
      <c r="I845" s="49" t="b">
        <f aca="false">IF(ISBLANK(H845),"", IF($H$2:$H2344 = "Gohar Rehan","Overnight",IF($H$2:$H2344 = "Taufeeq Akhtar ","Overnight",IF($H$2:$H2344 = "Zeeshan Ali Malik","Audit",IF($H$2:$H2344 = "Ali Raza ","Receiving",IF($H$2:$H2344 = "Ali Ahmad","Full-In"))))))</f>
        <v>0</v>
      </c>
      <c r="J845" s="29"/>
      <c r="K845" s="40"/>
      <c r="L845" s="40"/>
      <c r="M845" s="41"/>
      <c r="N845" s="39" t="s">
        <v>2335</v>
      </c>
      <c r="O845" s="46" t="b">
        <f aca="false">FALSE()</f>
        <v>0</v>
      </c>
      <c r="P845" s="20" t="n">
        <v>0</v>
      </c>
      <c r="Q845" s="45" t="n">
        <v>0</v>
      </c>
      <c r="R845" s="43" t="n">
        <v>0</v>
      </c>
      <c r="S845" s="20" t="n">
        <v>0</v>
      </c>
    </row>
    <row r="846" customFormat="false" ht="15.75" hidden="false" customHeight="false" outlineLevel="0" collapsed="false">
      <c r="A846" s="39" t="n">
        <v>0</v>
      </c>
      <c r="B846" s="44" t="str">
        <v/>
      </c>
      <c r="C846" s="39" t="n">
        <v>0</v>
      </c>
      <c r="D846" s="39" t="n">
        <v>0</v>
      </c>
      <c r="E846" s="39" t="str">
        <v/>
      </c>
      <c r="F846" s="45" t="n">
        <v>0</v>
      </c>
      <c r="G846" s="40" t="n">
        <v>0</v>
      </c>
      <c r="H846" s="39" t="n">
        <v>0</v>
      </c>
      <c r="I846" s="49" t="b">
        <f aca="false">IF(ISBLANK(H846),"", IF($H$2:$H2345 = "Gohar Rehan","Overnight",IF($H$2:$H2345 = "Taufeeq Akhtar ","Overnight",IF($H$2:$H2345 = "Zeeshan Ali Malik","Audit",IF($H$2:$H2345 = "Ali Raza ","Receiving",IF($H$2:$H2345 = "Ali Ahmad","Full-In"))))))</f>
        <v>0</v>
      </c>
      <c r="J846" s="29"/>
      <c r="K846" s="40"/>
      <c r="L846" s="40"/>
      <c r="M846" s="41"/>
      <c r="N846" s="39" t="s">
        <v>2335</v>
      </c>
      <c r="O846" s="46" t="b">
        <f aca="false">FALSE()</f>
        <v>0</v>
      </c>
      <c r="P846" s="20" t="n">
        <v>0</v>
      </c>
      <c r="Q846" s="45" t="n">
        <v>0</v>
      </c>
      <c r="R846" s="43" t="n">
        <v>0</v>
      </c>
      <c r="S846" s="20" t="n">
        <v>0</v>
      </c>
    </row>
    <row r="847" customFormat="false" ht="15.75" hidden="false" customHeight="false" outlineLevel="0" collapsed="false">
      <c r="A847" s="39" t="n">
        <v>0</v>
      </c>
      <c r="B847" s="44" t="str">
        <v/>
      </c>
      <c r="C847" s="39" t="n">
        <v>0</v>
      </c>
      <c r="D847" s="39" t="n">
        <v>0</v>
      </c>
      <c r="E847" s="39" t="str">
        <v/>
      </c>
      <c r="F847" s="45" t="n">
        <v>0</v>
      </c>
      <c r="G847" s="40" t="n">
        <v>0</v>
      </c>
      <c r="H847" s="39" t="n">
        <v>0</v>
      </c>
      <c r="I847" s="49" t="b">
        <f aca="false">IF(ISBLANK(H847),"", IF($H$2:$H2346 = "Gohar Rehan","Overnight",IF($H$2:$H2346 = "Taufeeq Akhtar ","Overnight",IF($H$2:$H2346 = "Zeeshan Ali Malik","Audit",IF($H$2:$H2346 = "Ali Raza ","Receiving",IF($H$2:$H2346 = "Ali Ahmad","Full-In"))))))</f>
        <v>0</v>
      </c>
      <c r="J847" s="29"/>
      <c r="K847" s="40"/>
      <c r="L847" s="40"/>
      <c r="M847" s="41"/>
      <c r="N847" s="39" t="s">
        <v>2335</v>
      </c>
      <c r="O847" s="46" t="b">
        <f aca="false">FALSE()</f>
        <v>0</v>
      </c>
      <c r="P847" s="20" t="n">
        <v>0</v>
      </c>
      <c r="Q847" s="45" t="n">
        <v>0</v>
      </c>
      <c r="R847" s="43" t="n">
        <v>0</v>
      </c>
      <c r="S847" s="20" t="n">
        <v>0</v>
      </c>
    </row>
    <row r="848" customFormat="false" ht="15.75" hidden="false" customHeight="false" outlineLevel="0" collapsed="false">
      <c r="A848" s="39" t="n">
        <v>0</v>
      </c>
      <c r="B848" s="44" t="str">
        <v/>
      </c>
      <c r="C848" s="39" t="n">
        <v>0</v>
      </c>
      <c r="D848" s="39" t="n">
        <v>0</v>
      </c>
      <c r="E848" s="39" t="str">
        <v/>
      </c>
      <c r="F848" s="45" t="n">
        <v>0</v>
      </c>
      <c r="G848" s="40" t="n">
        <v>0</v>
      </c>
      <c r="H848" s="39" t="n">
        <v>0</v>
      </c>
      <c r="I848" s="49" t="b">
        <f aca="false">IF(ISBLANK(H848),"", IF($H$2:$H2347 = "Gohar Rehan","Overnight",IF($H$2:$H2347 = "Taufeeq Akhtar ","Overnight",IF($H$2:$H2347 = "Zeeshan Ali Malik","Audit",IF($H$2:$H2347 = "Ali Raza ","Receiving",IF($H$2:$H2347 = "Ali Ahmad","Full-In"))))))</f>
        <v>0</v>
      </c>
      <c r="J848" s="29"/>
      <c r="K848" s="40"/>
      <c r="L848" s="40"/>
      <c r="M848" s="41"/>
      <c r="N848" s="39" t="s">
        <v>2335</v>
      </c>
      <c r="O848" s="46" t="b">
        <f aca="false">FALSE()</f>
        <v>0</v>
      </c>
      <c r="P848" s="20" t="n">
        <v>0</v>
      </c>
      <c r="Q848" s="45" t="n">
        <v>0</v>
      </c>
      <c r="R848" s="43" t="n">
        <v>0</v>
      </c>
      <c r="S848" s="20" t="n">
        <v>0</v>
      </c>
    </row>
    <row r="849" customFormat="false" ht="15.75" hidden="false" customHeight="false" outlineLevel="0" collapsed="false">
      <c r="A849" s="39" t="n">
        <v>0</v>
      </c>
      <c r="B849" s="44" t="str">
        <v/>
      </c>
      <c r="C849" s="39" t="n">
        <v>0</v>
      </c>
      <c r="D849" s="39" t="n">
        <v>0</v>
      </c>
      <c r="E849" s="39" t="str">
        <v/>
      </c>
      <c r="F849" s="45" t="n">
        <v>0</v>
      </c>
      <c r="G849" s="40" t="n">
        <v>0</v>
      </c>
      <c r="H849" s="39" t="n">
        <v>0</v>
      </c>
      <c r="I849" s="49" t="b">
        <f aca="false">IF(ISBLANK(H849),"", IF($H$2:$H2348 = "Gohar Rehan","Overnight",IF($H$2:$H2348 = "Taufeeq Akhtar ","Overnight",IF($H$2:$H2348 = "Zeeshan Ali Malik","Audit",IF($H$2:$H2348 = "Ali Raza ","Receiving",IF($H$2:$H2348 = "Ali Ahmad","Full-In"))))))</f>
        <v>0</v>
      </c>
      <c r="J849" s="29"/>
      <c r="K849" s="40"/>
      <c r="L849" s="40"/>
      <c r="M849" s="41"/>
      <c r="N849" s="39" t="s">
        <v>2335</v>
      </c>
      <c r="O849" s="46" t="b">
        <f aca="false">FALSE()</f>
        <v>0</v>
      </c>
      <c r="P849" s="20" t="n">
        <v>0</v>
      </c>
      <c r="Q849" s="45" t="n">
        <v>0</v>
      </c>
      <c r="R849" s="43" t="n">
        <v>0</v>
      </c>
      <c r="S849" s="20" t="n">
        <v>0</v>
      </c>
    </row>
    <row r="850" customFormat="false" ht="15.75" hidden="false" customHeight="false" outlineLevel="0" collapsed="false">
      <c r="A850" s="39" t="n">
        <v>0</v>
      </c>
      <c r="B850" s="44" t="str">
        <v/>
      </c>
      <c r="C850" s="39" t="n">
        <v>0</v>
      </c>
      <c r="D850" s="39" t="n">
        <v>0</v>
      </c>
      <c r="E850" s="39" t="str">
        <v/>
      </c>
      <c r="F850" s="45" t="n">
        <v>0</v>
      </c>
      <c r="G850" s="40" t="n">
        <v>0</v>
      </c>
      <c r="H850" s="39" t="n">
        <v>0</v>
      </c>
      <c r="I850" s="49" t="b">
        <f aca="false">IF(ISBLANK(H850),"", IF($H$2:$H2349 = "Gohar Rehan","Overnight",IF($H$2:$H2349 = "Taufeeq Akhtar ","Overnight",IF($H$2:$H2349 = "Zeeshan Ali Malik","Audit",IF($H$2:$H2349 = "Ali Raza ","Receiving",IF($H$2:$H2349 = "Ali Ahmad","Full-In"))))))</f>
        <v>0</v>
      </c>
      <c r="J850" s="29"/>
      <c r="K850" s="40"/>
      <c r="L850" s="40"/>
      <c r="M850" s="41"/>
      <c r="N850" s="39" t="s">
        <v>2335</v>
      </c>
      <c r="O850" s="46" t="b">
        <f aca="false">FALSE()</f>
        <v>0</v>
      </c>
      <c r="P850" s="20" t="n">
        <v>0</v>
      </c>
      <c r="Q850" s="45" t="n">
        <v>0</v>
      </c>
      <c r="R850" s="43" t="n">
        <v>0</v>
      </c>
      <c r="S850" s="20" t="n">
        <v>0</v>
      </c>
    </row>
    <row r="851" customFormat="false" ht="15.75" hidden="false" customHeight="false" outlineLevel="0" collapsed="false">
      <c r="A851" s="39" t="n">
        <v>0</v>
      </c>
      <c r="B851" s="44" t="str">
        <v/>
      </c>
      <c r="C851" s="39" t="n">
        <v>0</v>
      </c>
      <c r="D851" s="39" t="n">
        <v>0</v>
      </c>
      <c r="E851" s="39" t="str">
        <v/>
      </c>
      <c r="F851" s="45" t="n">
        <v>0</v>
      </c>
      <c r="G851" s="40" t="n">
        <v>0</v>
      </c>
      <c r="H851" s="39" t="n">
        <v>0</v>
      </c>
      <c r="I851" s="49" t="b">
        <f aca="false">IF(ISBLANK(H851),"", IF($H$2:$H2350 = "Gohar Rehan","Overnight",IF($H$2:$H2350 = "Taufeeq Akhtar ","Overnight",IF($H$2:$H2350 = "Zeeshan Ali Malik","Audit",IF($H$2:$H2350 = "Ali Raza ","Receiving",IF($H$2:$H2350 = "Ali Ahmad","Full-In"))))))</f>
        <v>0</v>
      </c>
      <c r="J851" s="29"/>
      <c r="K851" s="40"/>
      <c r="L851" s="40"/>
      <c r="M851" s="41"/>
      <c r="N851" s="39" t="s">
        <v>2335</v>
      </c>
      <c r="O851" s="46" t="b">
        <f aca="false">FALSE()</f>
        <v>0</v>
      </c>
      <c r="P851" s="20" t="n">
        <v>0</v>
      </c>
      <c r="Q851" s="45" t="n">
        <v>0</v>
      </c>
      <c r="R851" s="43" t="n">
        <v>0</v>
      </c>
      <c r="S851" s="20" t="n">
        <v>0</v>
      </c>
    </row>
    <row r="852" customFormat="false" ht="15.75" hidden="false" customHeight="false" outlineLevel="0" collapsed="false">
      <c r="A852" s="39" t="n">
        <v>0</v>
      </c>
      <c r="B852" s="44" t="str">
        <v/>
      </c>
      <c r="C852" s="39" t="n">
        <v>0</v>
      </c>
      <c r="D852" s="39" t="n">
        <v>0</v>
      </c>
      <c r="E852" s="39" t="str">
        <v/>
      </c>
      <c r="F852" s="45" t="n">
        <v>0</v>
      </c>
      <c r="G852" s="40" t="n">
        <v>0</v>
      </c>
      <c r="H852" s="39" t="n">
        <v>0</v>
      </c>
      <c r="I852" s="49" t="b">
        <f aca="false">IF(ISBLANK(H852),"", IF($H$2:$H2351 = "Gohar Rehan","Overnight",IF($H$2:$H2351 = "Taufeeq Akhtar ","Overnight",IF($H$2:$H2351 = "Zeeshan Ali Malik","Audit",IF($H$2:$H2351 = "Ali Raza ","Receiving",IF($H$2:$H2351 = "Ali Ahmad","Full-In"))))))</f>
        <v>0</v>
      </c>
      <c r="J852" s="29"/>
      <c r="K852" s="40"/>
      <c r="L852" s="40"/>
      <c r="M852" s="41"/>
      <c r="N852" s="39" t="s">
        <v>2335</v>
      </c>
      <c r="O852" s="46" t="b">
        <f aca="false">FALSE()</f>
        <v>0</v>
      </c>
      <c r="P852" s="20" t="n">
        <v>0</v>
      </c>
      <c r="Q852" s="45" t="n">
        <v>0</v>
      </c>
      <c r="R852" s="43" t="n">
        <v>0</v>
      </c>
      <c r="S852" s="20" t="n">
        <v>0</v>
      </c>
    </row>
    <row r="853" customFormat="false" ht="15.75" hidden="false" customHeight="false" outlineLevel="0" collapsed="false">
      <c r="A853" s="39" t="n">
        <v>0</v>
      </c>
      <c r="B853" s="44" t="str">
        <v/>
      </c>
      <c r="C853" s="39" t="n">
        <v>0</v>
      </c>
      <c r="D853" s="39" t="n">
        <v>0</v>
      </c>
      <c r="E853" s="39" t="str">
        <v/>
      </c>
      <c r="F853" s="45" t="n">
        <v>0</v>
      </c>
      <c r="G853" s="40" t="n">
        <v>0</v>
      </c>
      <c r="H853" s="39" t="n">
        <v>0</v>
      </c>
      <c r="I853" s="49" t="b">
        <f aca="false">IF(ISBLANK(H853),"", IF($H$2:$H2352 = "Gohar Rehan","Overnight",IF($H$2:$H2352 = "Taufeeq Akhtar ","Overnight",IF($H$2:$H2352 = "Zeeshan Ali Malik","Audit",IF($H$2:$H2352 = "Ali Raza ","Receiving",IF($H$2:$H2352 = "Ali Ahmad","Full-In"))))))</f>
        <v>0</v>
      </c>
      <c r="J853" s="29"/>
      <c r="K853" s="40"/>
      <c r="L853" s="40"/>
      <c r="M853" s="41"/>
      <c r="N853" s="39" t="s">
        <v>2335</v>
      </c>
      <c r="O853" s="46" t="b">
        <f aca="false">FALSE()</f>
        <v>0</v>
      </c>
      <c r="P853" s="20" t="n">
        <v>0</v>
      </c>
      <c r="Q853" s="45" t="n">
        <v>0</v>
      </c>
      <c r="R853" s="43" t="n">
        <v>0</v>
      </c>
      <c r="S853" s="20" t="n">
        <v>0</v>
      </c>
    </row>
    <row r="854" customFormat="false" ht="15.75" hidden="false" customHeight="false" outlineLevel="0" collapsed="false">
      <c r="A854" s="39" t="n">
        <v>0</v>
      </c>
      <c r="B854" s="44" t="str">
        <v/>
      </c>
      <c r="C854" s="39" t="n">
        <v>0</v>
      </c>
      <c r="D854" s="39" t="n">
        <v>0</v>
      </c>
      <c r="E854" s="39" t="str">
        <v/>
      </c>
      <c r="F854" s="45" t="n">
        <v>0</v>
      </c>
      <c r="G854" s="40" t="n">
        <v>0</v>
      </c>
      <c r="H854" s="39" t="n">
        <v>0</v>
      </c>
      <c r="I854" s="49" t="b">
        <f aca="false">IF(ISBLANK(H854),"", IF($H$2:$H2353 = "Gohar Rehan","Overnight",IF($H$2:$H2353 = "Taufeeq Akhtar ","Overnight",IF($H$2:$H2353 = "Zeeshan Ali Malik","Audit",IF($H$2:$H2353 = "Ali Raza ","Receiving",IF($H$2:$H2353 = "Ali Ahmad","Full-In"))))))</f>
        <v>0</v>
      </c>
      <c r="J854" s="29"/>
      <c r="K854" s="40"/>
      <c r="L854" s="40"/>
      <c r="M854" s="41"/>
      <c r="N854" s="39" t="s">
        <v>2335</v>
      </c>
      <c r="O854" s="46" t="b">
        <f aca="false">FALSE()</f>
        <v>0</v>
      </c>
      <c r="P854" s="20" t="n">
        <v>0</v>
      </c>
      <c r="Q854" s="45" t="n">
        <v>0</v>
      </c>
      <c r="R854" s="43" t="n">
        <v>0</v>
      </c>
      <c r="S854" s="20" t="n">
        <v>0</v>
      </c>
    </row>
    <row r="855" customFormat="false" ht="15.75" hidden="false" customHeight="false" outlineLevel="0" collapsed="false">
      <c r="A855" s="39" t="n">
        <v>0</v>
      </c>
      <c r="B855" s="44" t="str">
        <v/>
      </c>
      <c r="C855" s="39" t="n">
        <v>0</v>
      </c>
      <c r="D855" s="39" t="n">
        <v>0</v>
      </c>
      <c r="E855" s="39" t="str">
        <v/>
      </c>
      <c r="F855" s="45" t="n">
        <v>0</v>
      </c>
      <c r="G855" s="40" t="n">
        <v>0</v>
      </c>
      <c r="H855" s="39" t="n">
        <v>0</v>
      </c>
      <c r="I855" s="49" t="b">
        <f aca="false">IF(ISBLANK(H855),"", IF($H$2:$H2354 = "Gohar Rehan","Overnight",IF($H$2:$H2354 = "Taufeeq Akhtar ","Overnight",IF($H$2:$H2354 = "Zeeshan Ali Malik","Audit",IF($H$2:$H2354 = "Ali Raza ","Receiving",IF($H$2:$H2354 = "Ali Ahmad","Full-In"))))))</f>
        <v>0</v>
      </c>
      <c r="J855" s="29"/>
      <c r="K855" s="40"/>
      <c r="L855" s="40"/>
      <c r="M855" s="41"/>
      <c r="N855" s="39" t="s">
        <v>2335</v>
      </c>
      <c r="O855" s="46" t="b">
        <f aca="false">FALSE()</f>
        <v>0</v>
      </c>
      <c r="P855" s="20" t="n">
        <v>0</v>
      </c>
      <c r="Q855" s="45" t="n">
        <v>0</v>
      </c>
      <c r="R855" s="43" t="n">
        <v>0</v>
      </c>
      <c r="S855" s="20" t="n">
        <v>0</v>
      </c>
    </row>
    <row r="856" customFormat="false" ht="15.75" hidden="false" customHeight="false" outlineLevel="0" collapsed="false">
      <c r="A856" s="39" t="n">
        <v>0</v>
      </c>
      <c r="B856" s="44" t="str">
        <v/>
      </c>
      <c r="C856" s="39" t="n">
        <v>0</v>
      </c>
      <c r="D856" s="39" t="n">
        <v>0</v>
      </c>
      <c r="E856" s="39" t="str">
        <v/>
      </c>
      <c r="F856" s="45" t="n">
        <v>0</v>
      </c>
      <c r="G856" s="40" t="n">
        <v>0</v>
      </c>
      <c r="H856" s="39" t="n">
        <v>0</v>
      </c>
      <c r="I856" s="49" t="b">
        <f aca="false">IF(ISBLANK(H856),"", IF($H$2:$H2355 = "Gohar Rehan","Overnight",IF($H$2:$H2355 = "Taufeeq Akhtar ","Overnight",IF($H$2:$H2355 = "Zeeshan Ali Malik","Audit",IF($H$2:$H2355 = "Ali Raza ","Receiving",IF($H$2:$H2355 = "Ali Ahmad","Full-In"))))))</f>
        <v>0</v>
      </c>
      <c r="J856" s="29"/>
      <c r="K856" s="40"/>
      <c r="L856" s="40"/>
      <c r="M856" s="41"/>
      <c r="N856" s="39" t="s">
        <v>2335</v>
      </c>
      <c r="O856" s="46" t="b">
        <f aca="false">FALSE()</f>
        <v>0</v>
      </c>
      <c r="P856" s="20" t="n">
        <v>0</v>
      </c>
      <c r="Q856" s="45" t="n">
        <v>0</v>
      </c>
      <c r="R856" s="43" t="n">
        <v>0</v>
      </c>
      <c r="S856" s="20" t="n">
        <v>0</v>
      </c>
    </row>
    <row r="857" customFormat="false" ht="15.75" hidden="false" customHeight="false" outlineLevel="0" collapsed="false">
      <c r="A857" s="39" t="n">
        <v>0</v>
      </c>
      <c r="B857" s="44" t="str">
        <v/>
      </c>
      <c r="C857" s="39" t="n">
        <v>0</v>
      </c>
      <c r="D857" s="39" t="n">
        <v>0</v>
      </c>
      <c r="E857" s="39" t="str">
        <v/>
      </c>
      <c r="F857" s="45" t="n">
        <v>0</v>
      </c>
      <c r="G857" s="40" t="n">
        <v>0</v>
      </c>
      <c r="H857" s="39" t="n">
        <v>0</v>
      </c>
      <c r="I857" s="49" t="b">
        <f aca="false">IF(ISBLANK(H857),"", IF($H$2:$H2356 = "Gohar Rehan","Overnight",IF($H$2:$H2356 = "Taufeeq Akhtar ","Overnight",IF($H$2:$H2356 = "Zeeshan Ali Malik","Audit",IF($H$2:$H2356 = "Ali Raza ","Receiving",IF($H$2:$H2356 = "Ali Ahmad","Full-In"))))))</f>
        <v>0</v>
      </c>
      <c r="J857" s="29"/>
      <c r="K857" s="40"/>
      <c r="L857" s="40"/>
      <c r="M857" s="41"/>
      <c r="N857" s="39" t="s">
        <v>2335</v>
      </c>
      <c r="O857" s="46" t="b">
        <f aca="false">FALSE()</f>
        <v>0</v>
      </c>
      <c r="P857" s="20" t="n">
        <v>0</v>
      </c>
      <c r="Q857" s="45" t="n">
        <v>0</v>
      </c>
      <c r="R857" s="43" t="n">
        <v>0</v>
      </c>
      <c r="S857" s="20" t="n">
        <v>0</v>
      </c>
    </row>
    <row r="858" customFormat="false" ht="15.75" hidden="false" customHeight="false" outlineLevel="0" collapsed="false">
      <c r="A858" s="39" t="n">
        <v>0</v>
      </c>
      <c r="B858" s="44" t="str">
        <v/>
      </c>
      <c r="C858" s="39" t="n">
        <v>0</v>
      </c>
      <c r="D858" s="39" t="n">
        <v>0</v>
      </c>
      <c r="E858" s="39" t="str">
        <v/>
      </c>
      <c r="F858" s="45" t="n">
        <v>0</v>
      </c>
      <c r="G858" s="40" t="n">
        <v>0</v>
      </c>
      <c r="H858" s="39" t="n">
        <v>0</v>
      </c>
      <c r="I858" s="49" t="b">
        <f aca="false">IF(ISBLANK(H858),"", IF($H$2:$H2357 = "Gohar Rehan","Overnight",IF($H$2:$H2357 = "Taufeeq Akhtar ","Overnight",IF($H$2:$H2357 = "Zeeshan Ali Malik","Audit",IF($H$2:$H2357 = "Ali Raza ","Receiving",IF($H$2:$H2357 = "Ali Ahmad","Full-In"))))))</f>
        <v>0</v>
      </c>
      <c r="J858" s="29"/>
      <c r="K858" s="40"/>
      <c r="L858" s="40"/>
      <c r="M858" s="41"/>
      <c r="N858" s="39" t="s">
        <v>2335</v>
      </c>
      <c r="O858" s="46" t="b">
        <f aca="false">FALSE()</f>
        <v>0</v>
      </c>
      <c r="P858" s="20" t="n">
        <v>0</v>
      </c>
      <c r="Q858" s="45" t="n">
        <v>0</v>
      </c>
      <c r="R858" s="43" t="n">
        <v>0</v>
      </c>
      <c r="S858" s="20" t="n">
        <v>0</v>
      </c>
    </row>
    <row r="859" customFormat="false" ht="15.75" hidden="false" customHeight="false" outlineLevel="0" collapsed="false">
      <c r="A859" s="39" t="n">
        <v>0</v>
      </c>
      <c r="B859" s="44" t="str">
        <v/>
      </c>
      <c r="C859" s="39" t="n">
        <v>0</v>
      </c>
      <c r="D859" s="39" t="n">
        <v>0</v>
      </c>
      <c r="E859" s="39" t="str">
        <v/>
      </c>
      <c r="F859" s="45" t="n">
        <v>0</v>
      </c>
      <c r="G859" s="40" t="n">
        <v>0</v>
      </c>
      <c r="H859" s="39" t="n">
        <v>0</v>
      </c>
      <c r="I859" s="49" t="b">
        <f aca="false">IF(ISBLANK(H859),"", IF($H$2:$H2358 = "Gohar Rehan","Overnight",IF($H$2:$H2358 = "Taufeeq Akhtar ","Overnight",IF($H$2:$H2358 = "Zeeshan Ali Malik","Audit",IF($H$2:$H2358 = "Ali Raza ","Receiving",IF($H$2:$H2358 = "Ali Ahmad","Full-In"))))))</f>
        <v>0</v>
      </c>
      <c r="J859" s="29"/>
      <c r="K859" s="40"/>
      <c r="L859" s="40"/>
      <c r="M859" s="41"/>
      <c r="N859" s="39" t="s">
        <v>2335</v>
      </c>
      <c r="O859" s="46" t="b">
        <f aca="false">FALSE()</f>
        <v>0</v>
      </c>
      <c r="P859" s="20" t="n">
        <v>0</v>
      </c>
      <c r="Q859" s="45" t="n">
        <v>0</v>
      </c>
      <c r="R859" s="43" t="n">
        <v>0</v>
      </c>
      <c r="S859" s="20" t="n">
        <v>0</v>
      </c>
    </row>
    <row r="860" customFormat="false" ht="15.75" hidden="false" customHeight="false" outlineLevel="0" collapsed="false">
      <c r="A860" s="39" t="n">
        <v>0</v>
      </c>
      <c r="B860" s="44" t="str">
        <v/>
      </c>
      <c r="C860" s="39" t="n">
        <v>0</v>
      </c>
      <c r="D860" s="39" t="n">
        <v>0</v>
      </c>
      <c r="E860" s="39" t="str">
        <v/>
      </c>
      <c r="F860" s="45" t="n">
        <v>0</v>
      </c>
      <c r="G860" s="40" t="n">
        <v>0</v>
      </c>
      <c r="H860" s="39" t="n">
        <v>0</v>
      </c>
      <c r="I860" s="49" t="b">
        <f aca="false">IF(ISBLANK(H860),"", IF($H$2:$H2359 = "Gohar Rehan","Overnight",IF($H$2:$H2359 = "Taufeeq Akhtar ","Overnight",IF($H$2:$H2359 = "Zeeshan Ali Malik","Audit",IF($H$2:$H2359 = "Ali Raza ","Receiving",IF($H$2:$H2359 = "Ali Ahmad","Full-In"))))))</f>
        <v>0</v>
      </c>
      <c r="J860" s="29"/>
      <c r="K860" s="40"/>
      <c r="L860" s="40"/>
      <c r="M860" s="41"/>
      <c r="N860" s="39" t="s">
        <v>2335</v>
      </c>
      <c r="O860" s="46" t="b">
        <f aca="false">FALSE()</f>
        <v>0</v>
      </c>
      <c r="P860" s="20" t="n">
        <v>0</v>
      </c>
      <c r="Q860" s="45" t="n">
        <v>0</v>
      </c>
      <c r="R860" s="43" t="n">
        <v>0</v>
      </c>
      <c r="S860" s="20" t="n">
        <v>0</v>
      </c>
    </row>
    <row r="861" customFormat="false" ht="15.75" hidden="false" customHeight="false" outlineLevel="0" collapsed="false">
      <c r="A861" s="39" t="n">
        <v>0</v>
      </c>
      <c r="B861" s="44" t="str">
        <v/>
      </c>
      <c r="C861" s="39" t="n">
        <v>0</v>
      </c>
      <c r="D861" s="39" t="n">
        <v>0</v>
      </c>
      <c r="E861" s="39" t="str">
        <v/>
      </c>
      <c r="F861" s="45" t="n">
        <v>0</v>
      </c>
      <c r="G861" s="40" t="n">
        <v>0</v>
      </c>
      <c r="H861" s="39" t="n">
        <v>0</v>
      </c>
      <c r="I861" s="49" t="b">
        <f aca="false">IF(ISBLANK(H861),"", IF($H$2:$H2360 = "Gohar Rehan","Overnight",IF($H$2:$H2360 = "Taufeeq Akhtar ","Overnight",IF($H$2:$H2360 = "Zeeshan Ali Malik","Audit",IF($H$2:$H2360 = "Ali Raza ","Receiving",IF($H$2:$H2360 = "Ali Ahmad","Full-In"))))))</f>
        <v>0</v>
      </c>
      <c r="J861" s="29"/>
      <c r="K861" s="40"/>
      <c r="L861" s="40"/>
      <c r="M861" s="41"/>
      <c r="N861" s="39" t="s">
        <v>2335</v>
      </c>
      <c r="O861" s="46" t="b">
        <f aca="false">FALSE()</f>
        <v>0</v>
      </c>
      <c r="P861" s="20" t="n">
        <v>0</v>
      </c>
      <c r="Q861" s="45" t="n">
        <v>0</v>
      </c>
      <c r="R861" s="43" t="n">
        <v>0</v>
      </c>
      <c r="S861" s="20" t="n">
        <v>0</v>
      </c>
    </row>
    <row r="862" customFormat="false" ht="15.75" hidden="false" customHeight="false" outlineLevel="0" collapsed="false">
      <c r="A862" s="39" t="n">
        <v>0</v>
      </c>
      <c r="B862" s="44" t="str">
        <v/>
      </c>
      <c r="C862" s="39" t="n">
        <v>0</v>
      </c>
      <c r="D862" s="39" t="n">
        <v>0</v>
      </c>
      <c r="E862" s="39" t="str">
        <v/>
      </c>
      <c r="F862" s="45" t="n">
        <v>0</v>
      </c>
      <c r="G862" s="40" t="n">
        <v>0</v>
      </c>
      <c r="H862" s="39" t="n">
        <v>0</v>
      </c>
      <c r="I862" s="49" t="b">
        <f aca="false">IF(ISBLANK(H862),"", IF($H$2:$H2361 = "Gohar Rehan","Overnight",IF($H$2:$H2361 = "Taufeeq Akhtar ","Overnight",IF($H$2:$H2361 = "Zeeshan Ali Malik","Audit",IF($H$2:$H2361 = "Ali Raza ","Receiving",IF($H$2:$H2361 = "Ali Ahmad","Full-In"))))))</f>
        <v>0</v>
      </c>
      <c r="J862" s="29"/>
      <c r="K862" s="40"/>
      <c r="L862" s="40"/>
      <c r="M862" s="41"/>
      <c r="N862" s="39" t="s">
        <v>2335</v>
      </c>
      <c r="O862" s="46" t="b">
        <f aca="false">FALSE()</f>
        <v>0</v>
      </c>
      <c r="P862" s="20" t="n">
        <v>0</v>
      </c>
      <c r="Q862" s="45" t="n">
        <v>0</v>
      </c>
      <c r="R862" s="43" t="n">
        <v>0</v>
      </c>
      <c r="S862" s="20" t="n">
        <v>0</v>
      </c>
    </row>
    <row r="863" customFormat="false" ht="15.75" hidden="false" customHeight="false" outlineLevel="0" collapsed="false">
      <c r="A863" s="39" t="n">
        <v>0</v>
      </c>
      <c r="B863" s="44" t="str">
        <v/>
      </c>
      <c r="C863" s="39" t="n">
        <v>0</v>
      </c>
      <c r="D863" s="39" t="n">
        <v>0</v>
      </c>
      <c r="E863" s="39" t="str">
        <v/>
      </c>
      <c r="F863" s="45" t="n">
        <v>0</v>
      </c>
      <c r="G863" s="40" t="n">
        <v>0</v>
      </c>
      <c r="H863" s="39" t="n">
        <v>0</v>
      </c>
      <c r="I863" s="49" t="b">
        <f aca="false">IF(ISBLANK(H863),"", IF($H$2:$H2362 = "Gohar Rehan","Overnight",IF($H$2:$H2362 = "Taufeeq Akhtar ","Overnight",IF($H$2:$H2362 = "Zeeshan Ali Malik","Audit",IF($H$2:$H2362 = "Ali Raza ","Receiving",IF($H$2:$H2362 = "Ali Ahmad","Full-In"))))))</f>
        <v>0</v>
      </c>
      <c r="J863" s="29"/>
      <c r="K863" s="40"/>
      <c r="L863" s="40"/>
      <c r="M863" s="41"/>
      <c r="N863" s="39" t="s">
        <v>2335</v>
      </c>
      <c r="O863" s="46" t="b">
        <f aca="false">FALSE()</f>
        <v>0</v>
      </c>
      <c r="P863" s="20" t="n">
        <v>0</v>
      </c>
      <c r="Q863" s="45" t="n">
        <v>0</v>
      </c>
      <c r="R863" s="43" t="n">
        <v>0</v>
      </c>
      <c r="S863" s="20" t="n">
        <v>0</v>
      </c>
    </row>
    <row r="864" customFormat="false" ht="15.75" hidden="false" customHeight="false" outlineLevel="0" collapsed="false">
      <c r="A864" s="39" t="n">
        <v>0</v>
      </c>
      <c r="B864" s="44" t="str">
        <v/>
      </c>
      <c r="C864" s="39" t="n">
        <v>0</v>
      </c>
      <c r="D864" s="39" t="n">
        <v>0</v>
      </c>
      <c r="E864" s="39" t="str">
        <v/>
      </c>
      <c r="F864" s="45" t="n">
        <v>0</v>
      </c>
      <c r="G864" s="40" t="n">
        <v>0</v>
      </c>
      <c r="H864" s="39" t="n">
        <v>0</v>
      </c>
      <c r="I864" s="49" t="b">
        <f aca="false">IF(ISBLANK(H864),"", IF($H$2:$H2363 = "Gohar Rehan","Overnight",IF($H$2:$H2363 = "Taufeeq Akhtar ","Overnight",IF($H$2:$H2363 = "Zeeshan Ali Malik","Audit",IF($H$2:$H2363 = "Ali Raza ","Receiving",IF($H$2:$H2363 = "Ali Ahmad","Full-In"))))))</f>
        <v>0</v>
      </c>
      <c r="J864" s="29"/>
      <c r="K864" s="40"/>
      <c r="L864" s="40"/>
      <c r="M864" s="41"/>
      <c r="N864" s="39" t="s">
        <v>2335</v>
      </c>
      <c r="O864" s="46" t="b">
        <f aca="false">FALSE()</f>
        <v>0</v>
      </c>
      <c r="P864" s="20" t="n">
        <v>0</v>
      </c>
      <c r="Q864" s="45" t="n">
        <v>0</v>
      </c>
      <c r="R864" s="43" t="n">
        <v>0</v>
      </c>
      <c r="S864" s="20" t="n">
        <v>0</v>
      </c>
    </row>
    <row r="865" customFormat="false" ht="15.75" hidden="false" customHeight="false" outlineLevel="0" collapsed="false">
      <c r="A865" s="39" t="n">
        <v>0</v>
      </c>
      <c r="B865" s="44" t="str">
        <v/>
      </c>
      <c r="C865" s="39" t="n">
        <v>0</v>
      </c>
      <c r="D865" s="39" t="n">
        <v>0</v>
      </c>
      <c r="E865" s="39" t="str">
        <v/>
      </c>
      <c r="F865" s="45" t="n">
        <v>0</v>
      </c>
      <c r="G865" s="40" t="n">
        <v>0</v>
      </c>
      <c r="H865" s="39" t="n">
        <v>0</v>
      </c>
      <c r="I865" s="49" t="b">
        <f aca="false">IF(ISBLANK(H865),"", IF($H$2:$H2364 = "Gohar Rehan","Overnight",IF($H$2:$H2364 = "Taufeeq Akhtar ","Overnight",IF($H$2:$H2364 = "Zeeshan Ali Malik","Audit",IF($H$2:$H2364 = "Ali Raza ","Receiving",IF($H$2:$H2364 = "Ali Ahmad","Full-In"))))))</f>
        <v>0</v>
      </c>
      <c r="J865" s="29"/>
      <c r="K865" s="40"/>
      <c r="L865" s="40"/>
      <c r="M865" s="41"/>
      <c r="N865" s="39" t="s">
        <v>2335</v>
      </c>
      <c r="O865" s="46" t="b">
        <f aca="false">FALSE()</f>
        <v>0</v>
      </c>
      <c r="P865" s="20" t="n">
        <v>0</v>
      </c>
      <c r="Q865" s="45" t="n">
        <v>0</v>
      </c>
      <c r="R865" s="43" t="n">
        <v>0</v>
      </c>
      <c r="S865" s="20" t="n">
        <v>0</v>
      </c>
    </row>
    <row r="866" customFormat="false" ht="15.75" hidden="false" customHeight="false" outlineLevel="0" collapsed="false">
      <c r="A866" s="39" t="n">
        <v>0</v>
      </c>
      <c r="B866" s="44" t="str">
        <v/>
      </c>
      <c r="C866" s="39" t="n">
        <v>0</v>
      </c>
      <c r="D866" s="39" t="n">
        <v>0</v>
      </c>
      <c r="E866" s="39" t="str">
        <v/>
      </c>
      <c r="F866" s="45" t="n">
        <v>0</v>
      </c>
      <c r="G866" s="40" t="n">
        <v>0</v>
      </c>
      <c r="H866" s="39" t="n">
        <v>0</v>
      </c>
      <c r="I866" s="49" t="b">
        <f aca="false">IF(ISBLANK(H866),"", IF($H$2:$H2365 = "Gohar Rehan","Overnight",IF($H$2:$H2365 = "Taufeeq Akhtar ","Overnight",IF($H$2:$H2365 = "Zeeshan Ali Malik","Audit",IF($H$2:$H2365 = "Ali Raza ","Receiving",IF($H$2:$H2365 = "Ali Ahmad","Full-In"))))))</f>
        <v>0</v>
      </c>
      <c r="J866" s="29"/>
      <c r="K866" s="40"/>
      <c r="L866" s="40"/>
      <c r="M866" s="41"/>
      <c r="N866" s="39" t="s">
        <v>2335</v>
      </c>
      <c r="O866" s="46" t="b">
        <f aca="false">FALSE()</f>
        <v>0</v>
      </c>
      <c r="P866" s="20" t="n">
        <v>0</v>
      </c>
      <c r="Q866" s="45" t="n">
        <v>0</v>
      </c>
      <c r="R866" s="43" t="n">
        <v>0</v>
      </c>
      <c r="S866" s="20" t="n">
        <v>0</v>
      </c>
    </row>
    <row r="867" customFormat="false" ht="15.75" hidden="false" customHeight="false" outlineLevel="0" collapsed="false">
      <c r="A867" s="39" t="n">
        <v>0</v>
      </c>
      <c r="B867" s="44" t="str">
        <v/>
      </c>
      <c r="C867" s="39" t="n">
        <v>0</v>
      </c>
      <c r="D867" s="39" t="n">
        <v>0</v>
      </c>
      <c r="E867" s="39" t="str">
        <v/>
      </c>
      <c r="F867" s="45" t="n">
        <v>0</v>
      </c>
      <c r="G867" s="40" t="n">
        <v>0</v>
      </c>
      <c r="H867" s="39" t="n">
        <v>0</v>
      </c>
      <c r="I867" s="49" t="b">
        <f aca="false">IF(ISBLANK(H867),"", IF($H$2:$H2366 = "Gohar Rehan","Overnight",IF($H$2:$H2366 = "Taufeeq Akhtar ","Overnight",IF($H$2:$H2366 = "Zeeshan Ali Malik","Audit",IF($H$2:$H2366 = "Ali Raza ","Receiving",IF($H$2:$H2366 = "Ali Ahmad","Full-In"))))))</f>
        <v>0</v>
      </c>
      <c r="J867" s="29"/>
      <c r="K867" s="40"/>
      <c r="L867" s="40"/>
      <c r="M867" s="41"/>
      <c r="N867" s="39" t="s">
        <v>2335</v>
      </c>
      <c r="O867" s="46" t="b">
        <f aca="false">FALSE()</f>
        <v>0</v>
      </c>
      <c r="P867" s="20" t="n">
        <v>0</v>
      </c>
      <c r="Q867" s="45" t="n">
        <v>0</v>
      </c>
      <c r="R867" s="43" t="n">
        <v>0</v>
      </c>
      <c r="S867" s="20" t="n">
        <v>0</v>
      </c>
    </row>
    <row r="868" customFormat="false" ht="15.75" hidden="false" customHeight="false" outlineLevel="0" collapsed="false">
      <c r="A868" s="39" t="n">
        <v>0</v>
      </c>
      <c r="B868" s="44" t="str">
        <v/>
      </c>
      <c r="C868" s="39" t="n">
        <v>0</v>
      </c>
      <c r="D868" s="39" t="n">
        <v>0</v>
      </c>
      <c r="E868" s="39" t="str">
        <v/>
      </c>
      <c r="F868" s="45" t="n">
        <v>0</v>
      </c>
      <c r="G868" s="40" t="n">
        <v>0</v>
      </c>
      <c r="H868" s="39" t="n">
        <v>0</v>
      </c>
      <c r="I868" s="49" t="b">
        <f aca="false">IF(ISBLANK(H868),"", IF($H$2:$H2367 = "Gohar Rehan","Overnight",IF($H$2:$H2367 = "Taufeeq Akhtar ","Overnight",IF($H$2:$H2367 = "Zeeshan Ali Malik","Audit",IF($H$2:$H2367 = "Ali Raza ","Receiving",IF($H$2:$H2367 = "Ali Ahmad","Full-In"))))))</f>
        <v>0</v>
      </c>
      <c r="J868" s="29"/>
      <c r="K868" s="40"/>
      <c r="L868" s="40"/>
      <c r="M868" s="41"/>
      <c r="N868" s="39" t="s">
        <v>2335</v>
      </c>
      <c r="O868" s="46" t="b">
        <f aca="false">FALSE()</f>
        <v>0</v>
      </c>
      <c r="P868" s="20" t="n">
        <v>0</v>
      </c>
      <c r="Q868" s="45" t="n">
        <v>0</v>
      </c>
      <c r="R868" s="43" t="n">
        <v>0</v>
      </c>
      <c r="S868" s="20" t="n">
        <v>0</v>
      </c>
    </row>
    <row r="869" customFormat="false" ht="15.75" hidden="false" customHeight="false" outlineLevel="0" collapsed="false">
      <c r="A869" s="39" t="n">
        <v>0</v>
      </c>
      <c r="B869" s="44" t="str">
        <v/>
      </c>
      <c r="C869" s="39" t="n">
        <v>0</v>
      </c>
      <c r="D869" s="39" t="n">
        <v>0</v>
      </c>
      <c r="E869" s="39" t="str">
        <v/>
      </c>
      <c r="F869" s="45" t="n">
        <v>0</v>
      </c>
      <c r="G869" s="40" t="n">
        <v>0</v>
      </c>
      <c r="H869" s="39" t="n">
        <v>0</v>
      </c>
      <c r="I869" s="49" t="b">
        <f aca="false">IF(ISBLANK(H869),"", IF($H$2:$H2368 = "Gohar Rehan","Overnight",IF($H$2:$H2368 = "Taufeeq Akhtar ","Overnight",IF($H$2:$H2368 = "Zeeshan Ali Malik","Audit",IF($H$2:$H2368 = "Ali Raza ","Receiving",IF($H$2:$H2368 = "Ali Ahmad","Full-In"))))))</f>
        <v>0</v>
      </c>
      <c r="J869" s="29"/>
      <c r="K869" s="40"/>
      <c r="L869" s="40"/>
      <c r="M869" s="41"/>
      <c r="N869" s="39" t="s">
        <v>2335</v>
      </c>
      <c r="O869" s="46" t="b">
        <f aca="false">FALSE()</f>
        <v>0</v>
      </c>
      <c r="P869" s="20" t="n">
        <v>0</v>
      </c>
      <c r="Q869" s="45" t="n">
        <v>0</v>
      </c>
      <c r="R869" s="43" t="n">
        <v>0</v>
      </c>
      <c r="S869" s="20" t="n">
        <v>0</v>
      </c>
    </row>
    <row r="870" customFormat="false" ht="15.75" hidden="false" customHeight="false" outlineLevel="0" collapsed="false">
      <c r="A870" s="39" t="n">
        <v>0</v>
      </c>
      <c r="B870" s="44" t="str">
        <v/>
      </c>
      <c r="C870" s="39" t="n">
        <v>0</v>
      </c>
      <c r="D870" s="39" t="n">
        <v>0</v>
      </c>
      <c r="E870" s="39" t="str">
        <v/>
      </c>
      <c r="F870" s="45" t="n">
        <v>0</v>
      </c>
      <c r="G870" s="40" t="n">
        <v>0</v>
      </c>
      <c r="H870" s="39" t="n">
        <v>0</v>
      </c>
      <c r="I870" s="49" t="b">
        <f aca="false">IF(ISBLANK(H870),"", IF($H$2:$H2369 = "Gohar Rehan","Overnight",IF($H$2:$H2369 = "Taufeeq Akhtar ","Overnight",IF($H$2:$H2369 = "Zeeshan Ali Malik","Audit",IF($H$2:$H2369 = "Ali Raza ","Receiving",IF($H$2:$H2369 = "Ali Ahmad","Full-In"))))))</f>
        <v>0</v>
      </c>
      <c r="J870" s="29"/>
      <c r="K870" s="40"/>
      <c r="L870" s="40"/>
      <c r="M870" s="41"/>
      <c r="N870" s="39" t="s">
        <v>2335</v>
      </c>
      <c r="O870" s="46" t="b">
        <f aca="false">FALSE()</f>
        <v>0</v>
      </c>
      <c r="P870" s="20" t="n">
        <v>0</v>
      </c>
      <c r="Q870" s="45" t="n">
        <v>0</v>
      </c>
      <c r="R870" s="43" t="n">
        <v>0</v>
      </c>
      <c r="S870" s="20" t="n">
        <v>0</v>
      </c>
    </row>
    <row r="871" customFormat="false" ht="15.75" hidden="false" customHeight="false" outlineLevel="0" collapsed="false">
      <c r="A871" s="39" t="n">
        <v>0</v>
      </c>
      <c r="B871" s="44" t="str">
        <v/>
      </c>
      <c r="C871" s="39" t="n">
        <v>0</v>
      </c>
      <c r="D871" s="39" t="n">
        <v>0</v>
      </c>
      <c r="E871" s="39" t="str">
        <v/>
      </c>
      <c r="F871" s="45" t="n">
        <v>0</v>
      </c>
      <c r="G871" s="40" t="n">
        <v>0</v>
      </c>
      <c r="H871" s="39" t="n">
        <v>0</v>
      </c>
      <c r="I871" s="49" t="b">
        <f aca="false">IF(ISBLANK(H871),"", IF($H$2:$H2370 = "Gohar Rehan","Overnight",IF($H$2:$H2370 = "Taufeeq Akhtar ","Overnight",IF($H$2:$H2370 = "Zeeshan Ali Malik","Audit",IF($H$2:$H2370 = "Ali Raza ","Receiving",IF($H$2:$H2370 = "Ali Ahmad","Full-In"))))))</f>
        <v>0</v>
      </c>
      <c r="J871" s="29"/>
      <c r="K871" s="40"/>
      <c r="L871" s="40"/>
      <c r="M871" s="41"/>
      <c r="N871" s="39" t="s">
        <v>2335</v>
      </c>
      <c r="O871" s="46" t="b">
        <f aca="false">FALSE()</f>
        <v>0</v>
      </c>
      <c r="P871" s="20" t="n">
        <v>0</v>
      </c>
      <c r="Q871" s="45" t="n">
        <v>0</v>
      </c>
      <c r="R871" s="43" t="n">
        <v>0</v>
      </c>
      <c r="S871" s="20" t="n">
        <v>0</v>
      </c>
    </row>
    <row r="872" customFormat="false" ht="15.75" hidden="false" customHeight="false" outlineLevel="0" collapsed="false">
      <c r="A872" s="39" t="n">
        <v>0</v>
      </c>
      <c r="B872" s="44" t="str">
        <v/>
      </c>
      <c r="C872" s="39" t="n">
        <v>0</v>
      </c>
      <c r="D872" s="39" t="n">
        <v>0</v>
      </c>
      <c r="E872" s="39" t="str">
        <v/>
      </c>
      <c r="F872" s="45" t="n">
        <v>0</v>
      </c>
      <c r="G872" s="40" t="n">
        <v>0</v>
      </c>
      <c r="H872" s="39" t="n">
        <v>0</v>
      </c>
      <c r="I872" s="49" t="b">
        <f aca="false">IF(ISBLANK(H872),"", IF($H$2:$H2371 = "Gohar Rehan","Overnight",IF($H$2:$H2371 = "Taufeeq Akhtar ","Overnight",IF($H$2:$H2371 = "Zeeshan Ali Malik","Audit",IF($H$2:$H2371 = "Ali Raza ","Receiving",IF($H$2:$H2371 = "Ali Ahmad","Full-In"))))))</f>
        <v>0</v>
      </c>
      <c r="J872" s="29"/>
      <c r="K872" s="40"/>
      <c r="L872" s="40"/>
      <c r="M872" s="41"/>
      <c r="N872" s="39" t="s">
        <v>2335</v>
      </c>
      <c r="O872" s="46" t="b">
        <f aca="false">FALSE()</f>
        <v>0</v>
      </c>
      <c r="P872" s="20" t="n">
        <v>0</v>
      </c>
      <c r="Q872" s="45" t="n">
        <v>0</v>
      </c>
      <c r="R872" s="43" t="n">
        <v>0</v>
      </c>
      <c r="S872" s="20" t="n">
        <v>0</v>
      </c>
    </row>
    <row r="873" customFormat="false" ht="15.75" hidden="false" customHeight="false" outlineLevel="0" collapsed="false">
      <c r="A873" s="39" t="n">
        <v>0</v>
      </c>
      <c r="B873" s="44" t="str">
        <v/>
      </c>
      <c r="C873" s="39" t="n">
        <v>0</v>
      </c>
      <c r="D873" s="39" t="n">
        <v>0</v>
      </c>
      <c r="E873" s="39" t="str">
        <v/>
      </c>
      <c r="F873" s="45" t="n">
        <v>0</v>
      </c>
      <c r="G873" s="40" t="n">
        <v>0</v>
      </c>
      <c r="H873" s="39" t="n">
        <v>0</v>
      </c>
      <c r="I873" s="49" t="b">
        <f aca="false">IF(ISBLANK(H873),"", IF($H$2:$H2372 = "Gohar Rehan","Overnight",IF($H$2:$H2372 = "Taufeeq Akhtar ","Overnight",IF($H$2:$H2372 = "Zeeshan Ali Malik","Audit",IF($H$2:$H2372 = "Ali Raza ","Receiving",IF($H$2:$H2372 = "Ali Ahmad","Full-In"))))))</f>
        <v>0</v>
      </c>
      <c r="J873" s="29"/>
      <c r="K873" s="40"/>
      <c r="L873" s="40"/>
      <c r="M873" s="41"/>
      <c r="N873" s="39" t="s">
        <v>2335</v>
      </c>
      <c r="O873" s="46" t="b">
        <f aca="false">FALSE()</f>
        <v>0</v>
      </c>
      <c r="P873" s="20" t="n">
        <v>0</v>
      </c>
      <c r="Q873" s="45" t="n">
        <v>0</v>
      </c>
      <c r="R873" s="43" t="n">
        <v>0</v>
      </c>
      <c r="S873" s="20" t="n">
        <v>0</v>
      </c>
    </row>
    <row r="874" customFormat="false" ht="15.75" hidden="false" customHeight="false" outlineLevel="0" collapsed="false">
      <c r="A874" s="39" t="n">
        <v>0</v>
      </c>
      <c r="B874" s="44" t="str">
        <v/>
      </c>
      <c r="C874" s="39" t="n">
        <v>0</v>
      </c>
      <c r="D874" s="39" t="n">
        <v>0</v>
      </c>
      <c r="E874" s="39" t="str">
        <v/>
      </c>
      <c r="F874" s="45" t="n">
        <v>0</v>
      </c>
      <c r="G874" s="40" t="n">
        <v>0</v>
      </c>
      <c r="H874" s="39" t="n">
        <v>0</v>
      </c>
      <c r="I874" s="49" t="b">
        <f aca="false">IF(ISBLANK(H874),"", IF($H$2:$H2373 = "Gohar Rehan","Overnight",IF($H$2:$H2373 = "Taufeeq Akhtar ","Overnight",IF($H$2:$H2373 = "Zeeshan Ali Malik","Audit",IF($H$2:$H2373 = "Ali Raza ","Receiving",IF($H$2:$H2373 = "Ali Ahmad","Full-In"))))))</f>
        <v>0</v>
      </c>
      <c r="J874" s="29"/>
      <c r="K874" s="40"/>
      <c r="L874" s="40"/>
      <c r="M874" s="41"/>
      <c r="N874" s="39" t="s">
        <v>2335</v>
      </c>
      <c r="O874" s="46" t="b">
        <f aca="false">FALSE()</f>
        <v>0</v>
      </c>
      <c r="P874" s="20" t="n">
        <v>0</v>
      </c>
      <c r="Q874" s="45" t="n">
        <v>0</v>
      </c>
      <c r="R874" s="43" t="n">
        <v>0</v>
      </c>
      <c r="S874" s="20" t="n">
        <v>0</v>
      </c>
    </row>
    <row r="875" customFormat="false" ht="15.75" hidden="false" customHeight="false" outlineLevel="0" collapsed="false">
      <c r="A875" s="39" t="n">
        <v>0</v>
      </c>
      <c r="B875" s="44" t="str">
        <v/>
      </c>
      <c r="C875" s="39" t="n">
        <v>0</v>
      </c>
      <c r="D875" s="39" t="n">
        <v>0</v>
      </c>
      <c r="E875" s="39" t="str">
        <v/>
      </c>
      <c r="F875" s="45" t="n">
        <v>0</v>
      </c>
      <c r="G875" s="40" t="n">
        <v>0</v>
      </c>
      <c r="H875" s="39" t="n">
        <v>0</v>
      </c>
      <c r="I875" s="49" t="b">
        <f aca="false">IF(ISBLANK(H875),"", IF($H$2:$H2374 = "Gohar Rehan","Overnight",IF($H$2:$H2374 = "Taufeeq Akhtar ","Overnight",IF($H$2:$H2374 = "Zeeshan Ali Malik","Audit",IF($H$2:$H2374 = "Ali Raza ","Receiving",IF($H$2:$H2374 = "Ali Ahmad","Full-In"))))))</f>
        <v>0</v>
      </c>
      <c r="J875" s="29"/>
      <c r="K875" s="40"/>
      <c r="L875" s="40"/>
      <c r="M875" s="41"/>
      <c r="N875" s="39" t="s">
        <v>2335</v>
      </c>
      <c r="O875" s="46" t="b">
        <f aca="false">FALSE()</f>
        <v>0</v>
      </c>
      <c r="P875" s="20" t="n">
        <v>0</v>
      </c>
      <c r="Q875" s="45" t="n">
        <v>0</v>
      </c>
      <c r="R875" s="43" t="n">
        <v>0</v>
      </c>
      <c r="S875" s="20" t="n">
        <v>0</v>
      </c>
    </row>
    <row r="876" customFormat="false" ht="15.75" hidden="false" customHeight="false" outlineLevel="0" collapsed="false">
      <c r="A876" s="39" t="n">
        <v>0</v>
      </c>
      <c r="B876" s="44" t="str">
        <v/>
      </c>
      <c r="C876" s="39" t="n">
        <v>0</v>
      </c>
      <c r="D876" s="39" t="n">
        <v>0</v>
      </c>
      <c r="E876" s="39" t="str">
        <v/>
      </c>
      <c r="F876" s="45" t="n">
        <v>0</v>
      </c>
      <c r="G876" s="40" t="n">
        <v>0</v>
      </c>
      <c r="H876" s="39" t="n">
        <v>0</v>
      </c>
      <c r="I876" s="49" t="b">
        <f aca="false">IF(ISBLANK(H876),"", IF($H$2:$H2375 = "Gohar Rehan","Overnight",IF($H$2:$H2375 = "Taufeeq Akhtar ","Overnight",IF($H$2:$H2375 = "Zeeshan Ali Malik","Audit",IF($H$2:$H2375 = "Ali Raza ","Receiving",IF($H$2:$H2375 = "Ali Ahmad","Full-In"))))))</f>
        <v>0</v>
      </c>
      <c r="J876" s="29"/>
      <c r="K876" s="40"/>
      <c r="L876" s="40"/>
      <c r="M876" s="41"/>
      <c r="N876" s="39" t="s">
        <v>2335</v>
      </c>
      <c r="O876" s="46" t="b">
        <f aca="false">FALSE()</f>
        <v>0</v>
      </c>
      <c r="P876" s="20" t="n">
        <v>0</v>
      </c>
      <c r="Q876" s="45" t="n">
        <v>0</v>
      </c>
      <c r="R876" s="43" t="n">
        <v>0</v>
      </c>
      <c r="S876" s="20" t="n">
        <v>0</v>
      </c>
    </row>
    <row r="877" customFormat="false" ht="15.75" hidden="false" customHeight="false" outlineLevel="0" collapsed="false">
      <c r="A877" s="39" t="n">
        <v>0</v>
      </c>
      <c r="B877" s="44" t="str">
        <v/>
      </c>
      <c r="C877" s="39" t="n">
        <v>0</v>
      </c>
      <c r="D877" s="39" t="n">
        <v>0</v>
      </c>
      <c r="E877" s="39" t="str">
        <v/>
      </c>
      <c r="F877" s="45" t="n">
        <v>0</v>
      </c>
      <c r="G877" s="40" t="n">
        <v>0</v>
      </c>
      <c r="H877" s="39" t="n">
        <v>0</v>
      </c>
      <c r="I877" s="49" t="b">
        <f aca="false">IF(ISBLANK(H877),"", IF($H$2:$H2376 = "Gohar Rehan","Overnight",IF($H$2:$H2376 = "Taufeeq Akhtar ","Overnight",IF($H$2:$H2376 = "Zeeshan Ali Malik","Audit",IF($H$2:$H2376 = "Ali Raza ","Receiving",IF($H$2:$H2376 = "Ali Ahmad","Full-In"))))))</f>
        <v>0</v>
      </c>
      <c r="J877" s="29"/>
      <c r="K877" s="40"/>
      <c r="L877" s="40"/>
      <c r="M877" s="41"/>
      <c r="N877" s="39" t="s">
        <v>2335</v>
      </c>
      <c r="O877" s="46" t="b">
        <f aca="false">FALSE()</f>
        <v>0</v>
      </c>
      <c r="P877" s="20" t="n">
        <v>0</v>
      </c>
      <c r="Q877" s="45" t="n">
        <v>0</v>
      </c>
      <c r="R877" s="43" t="n">
        <v>0</v>
      </c>
      <c r="S877" s="20" t="n">
        <v>0</v>
      </c>
    </row>
    <row r="878" customFormat="false" ht="15.75" hidden="false" customHeight="false" outlineLevel="0" collapsed="false">
      <c r="A878" s="39" t="n">
        <v>0</v>
      </c>
      <c r="B878" s="44" t="str">
        <v/>
      </c>
      <c r="C878" s="39" t="n">
        <v>0</v>
      </c>
      <c r="D878" s="39" t="n">
        <v>0</v>
      </c>
      <c r="E878" s="39" t="str">
        <v/>
      </c>
      <c r="F878" s="45" t="n">
        <v>0</v>
      </c>
      <c r="G878" s="40" t="n">
        <v>0</v>
      </c>
      <c r="H878" s="39" t="n">
        <v>0</v>
      </c>
      <c r="I878" s="49" t="b">
        <f aca="false">IF(ISBLANK(H878),"", IF($H$2:$H2377 = "Gohar Rehan","Overnight",IF($H$2:$H2377 = "Taufeeq Akhtar ","Overnight",IF($H$2:$H2377 = "Zeeshan Ali Malik","Audit",IF($H$2:$H2377 = "Ali Raza ","Receiving",IF($H$2:$H2377 = "Ali Ahmad","Full-In"))))))</f>
        <v>0</v>
      </c>
      <c r="J878" s="29"/>
      <c r="K878" s="40"/>
      <c r="L878" s="40"/>
      <c r="M878" s="41"/>
      <c r="N878" s="39" t="s">
        <v>2335</v>
      </c>
      <c r="O878" s="46" t="b">
        <f aca="false">FALSE()</f>
        <v>0</v>
      </c>
      <c r="P878" s="20" t="n">
        <v>0</v>
      </c>
      <c r="Q878" s="45" t="n">
        <v>0</v>
      </c>
      <c r="R878" s="43" t="n">
        <v>0</v>
      </c>
      <c r="S878" s="20" t="n">
        <v>0</v>
      </c>
    </row>
    <row r="879" customFormat="false" ht="15.75" hidden="false" customHeight="false" outlineLevel="0" collapsed="false">
      <c r="A879" s="39" t="n">
        <v>0</v>
      </c>
      <c r="B879" s="44" t="str">
        <v/>
      </c>
      <c r="C879" s="39" t="n">
        <v>0</v>
      </c>
      <c r="D879" s="39" t="n">
        <v>0</v>
      </c>
      <c r="E879" s="39" t="str">
        <v/>
      </c>
      <c r="F879" s="45" t="n">
        <v>0</v>
      </c>
      <c r="G879" s="40" t="n">
        <v>0</v>
      </c>
      <c r="H879" s="39" t="n">
        <v>0</v>
      </c>
      <c r="I879" s="49" t="b">
        <f aca="false">IF(ISBLANK(H879),"", IF($H$2:$H2378 = "Gohar Rehan","Overnight",IF($H$2:$H2378 = "Taufeeq Akhtar ","Overnight",IF($H$2:$H2378 = "Zeeshan Ali Malik","Audit",IF($H$2:$H2378 = "Ali Raza ","Receiving",IF($H$2:$H2378 = "Ali Ahmad","Full-In"))))))</f>
        <v>0</v>
      </c>
      <c r="J879" s="29"/>
      <c r="K879" s="40"/>
      <c r="L879" s="40"/>
      <c r="M879" s="41"/>
      <c r="N879" s="39" t="s">
        <v>2335</v>
      </c>
      <c r="O879" s="46" t="b">
        <f aca="false">FALSE()</f>
        <v>0</v>
      </c>
      <c r="P879" s="20" t="n">
        <v>0</v>
      </c>
      <c r="Q879" s="45" t="n">
        <v>0</v>
      </c>
      <c r="R879" s="43" t="n">
        <v>0</v>
      </c>
      <c r="S879" s="20" t="n">
        <v>0</v>
      </c>
    </row>
    <row r="880" customFormat="false" ht="15.75" hidden="false" customHeight="false" outlineLevel="0" collapsed="false">
      <c r="A880" s="39" t="n">
        <v>0</v>
      </c>
      <c r="B880" s="44" t="str">
        <v/>
      </c>
      <c r="C880" s="39" t="n">
        <v>0</v>
      </c>
      <c r="D880" s="39" t="n">
        <v>0</v>
      </c>
      <c r="E880" s="39" t="str">
        <v/>
      </c>
      <c r="F880" s="45" t="n">
        <v>0</v>
      </c>
      <c r="G880" s="40" t="n">
        <v>0</v>
      </c>
      <c r="H880" s="39" t="n">
        <v>0</v>
      </c>
      <c r="I880" s="49" t="b">
        <f aca="false">IF(ISBLANK(H880),"", IF($H$2:$H2379 = "Gohar Rehan","Overnight",IF($H$2:$H2379 = "Taufeeq Akhtar ","Overnight",IF($H$2:$H2379 = "Zeeshan Ali Malik","Audit",IF($H$2:$H2379 = "Ali Raza ","Receiving",IF($H$2:$H2379 = "Ali Ahmad","Full-In"))))))</f>
        <v>0</v>
      </c>
      <c r="J880" s="29"/>
      <c r="K880" s="40"/>
      <c r="L880" s="40"/>
      <c r="M880" s="41"/>
      <c r="N880" s="39" t="s">
        <v>2335</v>
      </c>
      <c r="O880" s="46" t="b">
        <f aca="false">FALSE()</f>
        <v>0</v>
      </c>
      <c r="P880" s="20" t="n">
        <v>0</v>
      </c>
      <c r="Q880" s="45" t="n">
        <v>0</v>
      </c>
      <c r="R880" s="43" t="n">
        <v>0</v>
      </c>
      <c r="S880" s="20" t="n">
        <v>0</v>
      </c>
    </row>
    <row r="881" customFormat="false" ht="15.75" hidden="false" customHeight="false" outlineLevel="0" collapsed="false">
      <c r="A881" s="39" t="n">
        <v>0</v>
      </c>
      <c r="B881" s="44" t="str">
        <v/>
      </c>
      <c r="C881" s="39" t="n">
        <v>0</v>
      </c>
      <c r="D881" s="39" t="n">
        <v>0</v>
      </c>
      <c r="E881" s="39" t="str">
        <v/>
      </c>
      <c r="F881" s="45" t="n">
        <v>0</v>
      </c>
      <c r="G881" s="40" t="n">
        <v>0</v>
      </c>
      <c r="H881" s="39" t="n">
        <v>0</v>
      </c>
      <c r="I881" s="49" t="b">
        <f aca="false">IF(ISBLANK(H881),"", IF($H$2:$H2380 = "Gohar Rehan","Overnight",IF($H$2:$H2380 = "Taufeeq Akhtar ","Overnight",IF($H$2:$H2380 = "Zeeshan Ali Malik","Audit",IF($H$2:$H2380 = "Ali Raza ","Receiving",IF($H$2:$H2380 = "Ali Ahmad","Full-In"))))))</f>
        <v>0</v>
      </c>
      <c r="J881" s="29"/>
      <c r="K881" s="40"/>
      <c r="L881" s="40"/>
      <c r="M881" s="41"/>
      <c r="N881" s="39" t="s">
        <v>2335</v>
      </c>
      <c r="O881" s="46" t="b">
        <f aca="false">FALSE()</f>
        <v>0</v>
      </c>
      <c r="P881" s="20" t="n">
        <v>0</v>
      </c>
      <c r="Q881" s="45" t="n">
        <v>0</v>
      </c>
      <c r="R881" s="43" t="n">
        <v>0</v>
      </c>
      <c r="S881" s="20" t="n">
        <v>0</v>
      </c>
    </row>
    <row r="882" customFormat="false" ht="15.75" hidden="false" customHeight="false" outlineLevel="0" collapsed="false">
      <c r="A882" s="39" t="n">
        <v>0</v>
      </c>
      <c r="B882" s="44" t="str">
        <v/>
      </c>
      <c r="C882" s="39" t="n">
        <v>0</v>
      </c>
      <c r="D882" s="39" t="n">
        <v>0</v>
      </c>
      <c r="E882" s="39" t="str">
        <v/>
      </c>
      <c r="F882" s="45" t="n">
        <v>0</v>
      </c>
      <c r="G882" s="40" t="n">
        <v>0</v>
      </c>
      <c r="H882" s="39" t="n">
        <v>0</v>
      </c>
      <c r="I882" s="49" t="b">
        <f aca="false">IF(ISBLANK(H882),"", IF($H$2:$H2381 = "Gohar Rehan","Overnight",IF($H$2:$H2381 = "Taufeeq Akhtar ","Overnight",IF($H$2:$H2381 = "Zeeshan Ali Malik","Audit",IF($H$2:$H2381 = "Ali Raza ","Receiving",IF($H$2:$H2381 = "Ali Ahmad","Full-In"))))))</f>
        <v>0</v>
      </c>
      <c r="J882" s="29"/>
      <c r="K882" s="40"/>
      <c r="L882" s="40"/>
      <c r="M882" s="41"/>
      <c r="N882" s="39" t="s">
        <v>2335</v>
      </c>
      <c r="O882" s="46" t="b">
        <f aca="false">FALSE()</f>
        <v>0</v>
      </c>
      <c r="P882" s="20" t="n">
        <v>0</v>
      </c>
      <c r="Q882" s="45" t="n">
        <v>0</v>
      </c>
      <c r="R882" s="43" t="n">
        <v>0</v>
      </c>
      <c r="S882" s="20" t="n">
        <v>0</v>
      </c>
    </row>
    <row r="883" customFormat="false" ht="15.75" hidden="false" customHeight="false" outlineLevel="0" collapsed="false">
      <c r="A883" s="39" t="n">
        <v>0</v>
      </c>
      <c r="B883" s="44" t="str">
        <v/>
      </c>
      <c r="C883" s="39" t="n">
        <v>0</v>
      </c>
      <c r="D883" s="39" t="n">
        <v>0</v>
      </c>
      <c r="E883" s="39" t="str">
        <v/>
      </c>
      <c r="F883" s="45" t="n">
        <v>0</v>
      </c>
      <c r="G883" s="40" t="n">
        <v>0</v>
      </c>
      <c r="H883" s="39" t="n">
        <v>0</v>
      </c>
      <c r="I883" s="49" t="b">
        <f aca="false">IF(ISBLANK(H883),"", IF($H$2:$H2382 = "Gohar Rehan","Overnight",IF($H$2:$H2382 = "Taufeeq Akhtar ","Overnight",IF($H$2:$H2382 = "Zeeshan Ali Malik","Audit",IF($H$2:$H2382 = "Ali Raza ","Receiving",IF($H$2:$H2382 = "Ali Ahmad","Full-In"))))))</f>
        <v>0</v>
      </c>
      <c r="J883" s="29"/>
      <c r="K883" s="40"/>
      <c r="L883" s="40"/>
      <c r="M883" s="41"/>
      <c r="N883" s="39" t="s">
        <v>2335</v>
      </c>
      <c r="O883" s="46" t="b">
        <f aca="false">FALSE()</f>
        <v>0</v>
      </c>
      <c r="P883" s="20" t="n">
        <v>0</v>
      </c>
      <c r="Q883" s="45" t="n">
        <v>0</v>
      </c>
      <c r="R883" s="43" t="n">
        <v>0</v>
      </c>
      <c r="S883" s="20" t="n">
        <v>0</v>
      </c>
    </row>
    <row r="884" customFormat="false" ht="15.75" hidden="false" customHeight="false" outlineLevel="0" collapsed="false">
      <c r="A884" s="39" t="n">
        <v>0</v>
      </c>
      <c r="B884" s="44" t="str">
        <v/>
      </c>
      <c r="C884" s="39" t="n">
        <v>0</v>
      </c>
      <c r="D884" s="39" t="n">
        <v>0</v>
      </c>
      <c r="E884" s="39" t="str">
        <v/>
      </c>
      <c r="F884" s="45" t="n">
        <v>0</v>
      </c>
      <c r="G884" s="40" t="n">
        <v>0</v>
      </c>
      <c r="H884" s="39" t="n">
        <v>0</v>
      </c>
      <c r="I884" s="49" t="b">
        <f aca="false">IF(ISBLANK(H884),"", IF($H$2:$H2383 = "Gohar Rehan","Overnight",IF($H$2:$H2383 = "Taufeeq Akhtar ","Overnight",IF($H$2:$H2383 = "Zeeshan Ali Malik","Audit",IF($H$2:$H2383 = "Ali Raza ","Receiving",IF($H$2:$H2383 = "Ali Ahmad","Full-In"))))))</f>
        <v>0</v>
      </c>
      <c r="J884" s="29"/>
      <c r="K884" s="40"/>
      <c r="L884" s="40"/>
      <c r="M884" s="41"/>
      <c r="N884" s="39" t="s">
        <v>2335</v>
      </c>
      <c r="O884" s="46" t="b">
        <f aca="false">FALSE()</f>
        <v>0</v>
      </c>
      <c r="P884" s="20" t="n">
        <v>0</v>
      </c>
      <c r="Q884" s="45" t="n">
        <v>0</v>
      </c>
      <c r="R884" s="43" t="n">
        <v>0</v>
      </c>
      <c r="S884" s="20" t="n">
        <v>0</v>
      </c>
    </row>
    <row r="885" customFormat="false" ht="15.75" hidden="false" customHeight="false" outlineLevel="0" collapsed="false">
      <c r="A885" s="39" t="n">
        <v>0</v>
      </c>
      <c r="B885" s="44" t="str">
        <v/>
      </c>
      <c r="C885" s="39" t="n">
        <v>0</v>
      </c>
      <c r="D885" s="39" t="n">
        <v>0</v>
      </c>
      <c r="E885" s="39" t="str">
        <v/>
      </c>
      <c r="F885" s="45" t="n">
        <v>0</v>
      </c>
      <c r="G885" s="40" t="n">
        <v>0</v>
      </c>
      <c r="H885" s="39" t="n">
        <v>0</v>
      </c>
      <c r="I885" s="49" t="b">
        <f aca="false">IF(ISBLANK(H885),"", IF($H$2:$H2384 = "Gohar Rehan","Overnight",IF($H$2:$H2384 = "Taufeeq Akhtar ","Overnight",IF($H$2:$H2384 = "Zeeshan Ali Malik","Audit",IF($H$2:$H2384 = "Ali Raza ","Receiving",IF($H$2:$H2384 = "Ali Ahmad","Full-In"))))))</f>
        <v>0</v>
      </c>
      <c r="J885" s="29"/>
      <c r="K885" s="40"/>
      <c r="L885" s="40"/>
      <c r="M885" s="41"/>
      <c r="N885" s="39" t="s">
        <v>2335</v>
      </c>
      <c r="O885" s="46" t="b">
        <f aca="false">FALSE()</f>
        <v>0</v>
      </c>
      <c r="P885" s="20" t="n">
        <v>0</v>
      </c>
      <c r="Q885" s="45" t="n">
        <v>0</v>
      </c>
      <c r="R885" s="43" t="n">
        <v>0</v>
      </c>
      <c r="S885" s="20" t="n">
        <v>0</v>
      </c>
    </row>
    <row r="886" customFormat="false" ht="15.75" hidden="false" customHeight="false" outlineLevel="0" collapsed="false">
      <c r="A886" s="39" t="n">
        <v>0</v>
      </c>
      <c r="B886" s="44" t="str">
        <v/>
      </c>
      <c r="C886" s="39" t="n">
        <v>0</v>
      </c>
      <c r="D886" s="39" t="n">
        <v>0</v>
      </c>
      <c r="E886" s="39" t="str">
        <v/>
      </c>
      <c r="F886" s="45" t="n">
        <v>0</v>
      </c>
      <c r="G886" s="40" t="n">
        <v>0</v>
      </c>
      <c r="H886" s="39" t="n">
        <v>0</v>
      </c>
      <c r="I886" s="49" t="b">
        <f aca="false">IF(ISBLANK(H886),"", IF($H$2:$H2385 = "Gohar Rehan","Overnight",IF($H$2:$H2385 = "Taufeeq Akhtar ","Overnight",IF($H$2:$H2385 = "Zeeshan Ali Malik","Audit",IF($H$2:$H2385 = "Ali Raza ","Receiving",IF($H$2:$H2385 = "Ali Ahmad","Full-In"))))))</f>
        <v>0</v>
      </c>
      <c r="J886" s="29"/>
      <c r="K886" s="40"/>
      <c r="L886" s="40"/>
      <c r="M886" s="41"/>
      <c r="N886" s="39" t="s">
        <v>2335</v>
      </c>
      <c r="O886" s="46" t="b">
        <f aca="false">FALSE()</f>
        <v>0</v>
      </c>
      <c r="P886" s="20" t="n">
        <v>0</v>
      </c>
      <c r="Q886" s="45" t="n">
        <v>0</v>
      </c>
      <c r="R886" s="43" t="n">
        <v>0</v>
      </c>
      <c r="S886" s="20" t="n">
        <v>0</v>
      </c>
    </row>
    <row r="887" customFormat="false" ht="15.75" hidden="false" customHeight="false" outlineLevel="0" collapsed="false">
      <c r="A887" s="39" t="n">
        <v>0</v>
      </c>
      <c r="B887" s="44" t="str">
        <v/>
      </c>
      <c r="C887" s="39" t="n">
        <v>0</v>
      </c>
      <c r="D887" s="39" t="n">
        <v>0</v>
      </c>
      <c r="E887" s="39" t="str">
        <v/>
      </c>
      <c r="F887" s="45" t="n">
        <v>0</v>
      </c>
      <c r="G887" s="40" t="n">
        <v>0</v>
      </c>
      <c r="H887" s="39" t="n">
        <v>0</v>
      </c>
      <c r="I887" s="49" t="b">
        <f aca="false">IF(ISBLANK(H887),"", IF($H$2:$H2386 = "Gohar Rehan","Overnight",IF($H$2:$H2386 = "Taufeeq Akhtar ","Overnight",IF($H$2:$H2386 = "Zeeshan Ali Malik","Audit",IF($H$2:$H2386 = "Ali Raza ","Receiving",IF($H$2:$H2386 = "Ali Ahmad","Full-In"))))))</f>
        <v>0</v>
      </c>
      <c r="J887" s="29"/>
      <c r="K887" s="40"/>
      <c r="L887" s="40"/>
      <c r="M887" s="41"/>
      <c r="N887" s="39" t="s">
        <v>2335</v>
      </c>
      <c r="O887" s="46" t="b">
        <f aca="false">FALSE()</f>
        <v>0</v>
      </c>
      <c r="P887" s="20" t="n">
        <v>0</v>
      </c>
      <c r="Q887" s="45" t="n">
        <v>0</v>
      </c>
      <c r="R887" s="43" t="n">
        <v>0</v>
      </c>
      <c r="S887" s="20" t="n">
        <v>0</v>
      </c>
    </row>
    <row r="888" customFormat="false" ht="15.75" hidden="false" customHeight="false" outlineLevel="0" collapsed="false">
      <c r="A888" s="39" t="n">
        <v>0</v>
      </c>
      <c r="B888" s="44" t="str">
        <v/>
      </c>
      <c r="C888" s="39" t="n">
        <v>0</v>
      </c>
      <c r="D888" s="39" t="n">
        <v>0</v>
      </c>
      <c r="E888" s="39" t="str">
        <v/>
      </c>
      <c r="F888" s="45" t="n">
        <v>0</v>
      </c>
      <c r="G888" s="40" t="n">
        <v>0</v>
      </c>
      <c r="H888" s="39" t="n">
        <v>0</v>
      </c>
      <c r="I888" s="49" t="b">
        <f aca="false">IF(ISBLANK(H888),"", IF($H$2:$H2387 = "Gohar Rehan","Overnight",IF($H$2:$H2387 = "Taufeeq Akhtar ","Overnight",IF($H$2:$H2387 = "Zeeshan Ali Malik","Audit",IF($H$2:$H2387 = "Ali Raza ","Receiving",IF($H$2:$H2387 = "Ali Ahmad","Full-In"))))))</f>
        <v>0</v>
      </c>
      <c r="J888" s="29"/>
      <c r="K888" s="40"/>
      <c r="L888" s="40"/>
      <c r="M888" s="41"/>
      <c r="N888" s="39" t="s">
        <v>2335</v>
      </c>
      <c r="O888" s="46" t="b">
        <f aca="false">FALSE()</f>
        <v>0</v>
      </c>
      <c r="P888" s="20" t="n">
        <v>0</v>
      </c>
      <c r="Q888" s="45" t="n">
        <v>0</v>
      </c>
      <c r="R888" s="43" t="n">
        <v>0</v>
      </c>
      <c r="S888" s="20" t="n">
        <v>0</v>
      </c>
    </row>
    <row r="889" customFormat="false" ht="15.75" hidden="false" customHeight="false" outlineLevel="0" collapsed="false">
      <c r="A889" s="39" t="n">
        <v>0</v>
      </c>
      <c r="B889" s="44" t="str">
        <v/>
      </c>
      <c r="C889" s="39" t="n">
        <v>0</v>
      </c>
      <c r="D889" s="39" t="n">
        <v>0</v>
      </c>
      <c r="E889" s="39" t="str">
        <v/>
      </c>
      <c r="F889" s="45" t="n">
        <v>0</v>
      </c>
      <c r="G889" s="40" t="n">
        <v>0</v>
      </c>
      <c r="H889" s="39" t="n">
        <v>0</v>
      </c>
      <c r="I889" s="49" t="b">
        <f aca="false">IF(ISBLANK(H889),"", IF($H$2:$H2388 = "Gohar Rehan","Overnight",IF($H$2:$H2388 = "Taufeeq Akhtar ","Overnight",IF($H$2:$H2388 = "Zeeshan Ali Malik","Audit",IF($H$2:$H2388 = "Ali Raza ","Receiving",IF($H$2:$H2388 = "Ali Ahmad","Full-In"))))))</f>
        <v>0</v>
      </c>
      <c r="J889" s="29"/>
      <c r="K889" s="40"/>
      <c r="L889" s="40"/>
      <c r="M889" s="41"/>
      <c r="N889" s="39" t="s">
        <v>2335</v>
      </c>
      <c r="O889" s="46" t="b">
        <f aca="false">FALSE()</f>
        <v>0</v>
      </c>
      <c r="P889" s="20" t="n">
        <v>0</v>
      </c>
      <c r="Q889" s="45" t="n">
        <v>0</v>
      </c>
      <c r="R889" s="43" t="n">
        <v>0</v>
      </c>
      <c r="S889" s="20" t="n">
        <v>0</v>
      </c>
    </row>
    <row r="890" customFormat="false" ht="15.75" hidden="false" customHeight="false" outlineLevel="0" collapsed="false">
      <c r="A890" s="39" t="n">
        <v>0</v>
      </c>
      <c r="B890" s="44" t="str">
        <v/>
      </c>
      <c r="C890" s="39" t="n">
        <v>0</v>
      </c>
      <c r="D890" s="39" t="n">
        <v>0</v>
      </c>
      <c r="E890" s="39" t="str">
        <v/>
      </c>
      <c r="F890" s="45" t="n">
        <v>0</v>
      </c>
      <c r="G890" s="40" t="n">
        <v>0</v>
      </c>
      <c r="H890" s="39" t="n">
        <v>0</v>
      </c>
      <c r="I890" s="49" t="b">
        <f aca="false">IF(ISBLANK(H890),"", IF($H$2:$H2389 = "Gohar Rehan","Overnight",IF($H$2:$H2389 = "Taufeeq Akhtar ","Overnight",IF($H$2:$H2389 = "Zeeshan Ali Malik","Audit",IF($H$2:$H2389 = "Ali Raza ","Receiving",IF($H$2:$H2389 = "Ali Ahmad","Full-In"))))))</f>
        <v>0</v>
      </c>
      <c r="J890" s="29"/>
      <c r="K890" s="40"/>
      <c r="L890" s="40"/>
      <c r="M890" s="41"/>
      <c r="N890" s="39" t="s">
        <v>2335</v>
      </c>
      <c r="O890" s="46" t="b">
        <f aca="false">FALSE()</f>
        <v>0</v>
      </c>
      <c r="P890" s="20" t="n">
        <v>0</v>
      </c>
      <c r="Q890" s="45" t="n">
        <v>0</v>
      </c>
      <c r="R890" s="43" t="n">
        <v>0</v>
      </c>
      <c r="S890" s="20" t="n">
        <v>0</v>
      </c>
    </row>
    <row r="891" customFormat="false" ht="15.75" hidden="false" customHeight="false" outlineLevel="0" collapsed="false">
      <c r="A891" s="39" t="n">
        <v>0</v>
      </c>
      <c r="B891" s="44" t="str">
        <v/>
      </c>
      <c r="C891" s="39" t="n">
        <v>0</v>
      </c>
      <c r="D891" s="39" t="n">
        <v>0</v>
      </c>
      <c r="E891" s="39" t="str">
        <v/>
      </c>
      <c r="F891" s="45" t="n">
        <v>0</v>
      </c>
      <c r="G891" s="40" t="n">
        <v>0</v>
      </c>
      <c r="H891" s="39" t="n">
        <v>0</v>
      </c>
      <c r="I891" s="49" t="b">
        <f aca="false">IF(ISBLANK(H891),"", IF($H$2:$H2390 = "Gohar Rehan","Overnight",IF($H$2:$H2390 = "Taufeeq Akhtar ","Overnight",IF($H$2:$H2390 = "Zeeshan Ali Malik","Audit",IF($H$2:$H2390 = "Ali Raza ","Receiving",IF($H$2:$H2390 = "Ali Ahmad","Full-In"))))))</f>
        <v>0</v>
      </c>
      <c r="J891" s="29"/>
      <c r="K891" s="40"/>
      <c r="L891" s="40"/>
      <c r="M891" s="41"/>
      <c r="N891" s="39" t="s">
        <v>2335</v>
      </c>
      <c r="O891" s="46" t="b">
        <f aca="false">FALSE()</f>
        <v>0</v>
      </c>
      <c r="P891" s="20" t="n">
        <v>0</v>
      </c>
      <c r="Q891" s="45" t="n">
        <v>0</v>
      </c>
      <c r="R891" s="43" t="n">
        <v>0</v>
      </c>
      <c r="S891" s="20" t="n">
        <v>0</v>
      </c>
    </row>
    <row r="892" customFormat="false" ht="15.75" hidden="false" customHeight="false" outlineLevel="0" collapsed="false">
      <c r="A892" s="39" t="n">
        <v>0</v>
      </c>
      <c r="B892" s="44" t="str">
        <v/>
      </c>
      <c r="C892" s="39" t="n">
        <v>0</v>
      </c>
      <c r="D892" s="39" t="n">
        <v>0</v>
      </c>
      <c r="E892" s="39" t="str">
        <v/>
      </c>
      <c r="F892" s="45" t="n">
        <v>0</v>
      </c>
      <c r="G892" s="40" t="n">
        <v>0</v>
      </c>
      <c r="H892" s="39" t="n">
        <v>0</v>
      </c>
      <c r="I892" s="49" t="b">
        <f aca="false">IF(ISBLANK(H892),"", IF($H$2:$H2391 = "Gohar Rehan","Overnight",IF($H$2:$H2391 = "Taufeeq Akhtar ","Overnight",IF($H$2:$H2391 = "Zeeshan Ali Malik","Audit",IF($H$2:$H2391 = "Ali Raza ","Receiving",IF($H$2:$H2391 = "Ali Ahmad","Full-In"))))))</f>
        <v>0</v>
      </c>
      <c r="J892" s="29"/>
      <c r="K892" s="40"/>
      <c r="L892" s="40"/>
      <c r="M892" s="41"/>
      <c r="N892" s="39" t="s">
        <v>2335</v>
      </c>
      <c r="O892" s="46" t="b">
        <f aca="false">FALSE()</f>
        <v>0</v>
      </c>
      <c r="P892" s="20" t="n">
        <v>0</v>
      </c>
      <c r="Q892" s="45" t="n">
        <v>0</v>
      </c>
      <c r="R892" s="43" t="n">
        <v>0</v>
      </c>
      <c r="S892" s="20" t="n">
        <v>0</v>
      </c>
    </row>
    <row r="893" customFormat="false" ht="15.75" hidden="false" customHeight="false" outlineLevel="0" collapsed="false">
      <c r="A893" s="39" t="n">
        <v>0</v>
      </c>
      <c r="B893" s="44" t="str">
        <v/>
      </c>
      <c r="C893" s="39" t="n">
        <v>0</v>
      </c>
      <c r="D893" s="39" t="n">
        <v>0</v>
      </c>
      <c r="E893" s="39" t="str">
        <v/>
      </c>
      <c r="F893" s="45" t="n">
        <v>0</v>
      </c>
      <c r="G893" s="40" t="n">
        <v>0</v>
      </c>
      <c r="H893" s="39" t="n">
        <v>0</v>
      </c>
      <c r="I893" s="49" t="b">
        <f aca="false">IF(ISBLANK(H893),"", IF($H$2:$H2392 = "Gohar Rehan","Overnight",IF($H$2:$H2392 = "Taufeeq Akhtar ","Overnight",IF($H$2:$H2392 = "Zeeshan Ali Malik","Audit",IF($H$2:$H2392 = "Ali Raza ","Receiving",IF($H$2:$H2392 = "Ali Ahmad","Full-In"))))))</f>
        <v>0</v>
      </c>
      <c r="J893" s="29"/>
      <c r="K893" s="40"/>
      <c r="L893" s="40"/>
      <c r="M893" s="41"/>
      <c r="N893" s="39" t="s">
        <v>2335</v>
      </c>
      <c r="O893" s="46" t="b">
        <f aca="false">FALSE()</f>
        <v>0</v>
      </c>
      <c r="P893" s="20" t="n">
        <v>0</v>
      </c>
      <c r="Q893" s="45" t="n">
        <v>0</v>
      </c>
      <c r="R893" s="43" t="n">
        <v>0</v>
      </c>
      <c r="S893" s="20" t="n">
        <v>0</v>
      </c>
    </row>
    <row r="894" customFormat="false" ht="15.75" hidden="false" customHeight="false" outlineLevel="0" collapsed="false">
      <c r="A894" s="39" t="n">
        <v>0</v>
      </c>
      <c r="B894" s="44" t="str">
        <v/>
      </c>
      <c r="C894" s="39" t="n">
        <v>0</v>
      </c>
      <c r="D894" s="39" t="n">
        <v>0</v>
      </c>
      <c r="E894" s="39" t="str">
        <v/>
      </c>
      <c r="F894" s="45" t="n">
        <v>0</v>
      </c>
      <c r="G894" s="40" t="n">
        <v>0</v>
      </c>
      <c r="H894" s="39" t="n">
        <v>0</v>
      </c>
      <c r="I894" s="49" t="b">
        <f aca="false">IF(ISBLANK(H894),"", IF($H$2:$H2393 = "Gohar Rehan","Overnight",IF($H$2:$H2393 = "Taufeeq Akhtar ","Overnight",IF($H$2:$H2393 = "Zeeshan Ali Malik","Audit",IF($H$2:$H2393 = "Ali Raza ","Receiving",IF($H$2:$H2393 = "Ali Ahmad","Full-In"))))))</f>
        <v>0</v>
      </c>
      <c r="J894" s="29"/>
      <c r="K894" s="40"/>
      <c r="L894" s="40"/>
      <c r="M894" s="41"/>
      <c r="N894" s="39" t="s">
        <v>2335</v>
      </c>
      <c r="O894" s="46" t="b">
        <f aca="false">FALSE()</f>
        <v>0</v>
      </c>
      <c r="P894" s="20" t="n">
        <v>0</v>
      </c>
      <c r="Q894" s="45" t="n">
        <v>0</v>
      </c>
      <c r="R894" s="43" t="n">
        <v>0</v>
      </c>
      <c r="S894" s="20" t="n">
        <v>0</v>
      </c>
    </row>
    <row r="895" customFormat="false" ht="15.75" hidden="false" customHeight="false" outlineLevel="0" collapsed="false">
      <c r="A895" s="39" t="n">
        <v>0</v>
      </c>
      <c r="B895" s="44" t="str">
        <v/>
      </c>
      <c r="C895" s="39" t="n">
        <v>0</v>
      </c>
      <c r="D895" s="39" t="n">
        <v>0</v>
      </c>
      <c r="E895" s="39" t="str">
        <v/>
      </c>
      <c r="F895" s="45" t="n">
        <v>0</v>
      </c>
      <c r="G895" s="40" t="n">
        <v>0</v>
      </c>
      <c r="H895" s="39" t="n">
        <v>0</v>
      </c>
      <c r="I895" s="49" t="b">
        <f aca="false">IF(ISBLANK(H895),"", IF($H$2:$H2394 = "Gohar Rehan","Overnight",IF($H$2:$H2394 = "Taufeeq Akhtar ","Overnight",IF($H$2:$H2394 = "Zeeshan Ali Malik","Audit",IF($H$2:$H2394 = "Ali Raza ","Receiving",IF($H$2:$H2394 = "Ali Ahmad","Full-In"))))))</f>
        <v>0</v>
      </c>
      <c r="J895" s="29"/>
      <c r="K895" s="40"/>
      <c r="L895" s="40"/>
      <c r="M895" s="41"/>
      <c r="N895" s="39" t="s">
        <v>2335</v>
      </c>
      <c r="O895" s="46" t="b">
        <f aca="false">FALSE()</f>
        <v>0</v>
      </c>
      <c r="P895" s="20" t="n">
        <v>0</v>
      </c>
      <c r="Q895" s="45" t="n">
        <v>0</v>
      </c>
      <c r="R895" s="43" t="n">
        <v>0</v>
      </c>
      <c r="S895" s="20" t="n">
        <v>0</v>
      </c>
    </row>
    <row r="896" customFormat="false" ht="15.75" hidden="false" customHeight="false" outlineLevel="0" collapsed="false">
      <c r="A896" s="39" t="n">
        <v>0</v>
      </c>
      <c r="B896" s="44" t="str">
        <v/>
      </c>
      <c r="C896" s="39" t="n">
        <v>0</v>
      </c>
      <c r="D896" s="39" t="n">
        <v>0</v>
      </c>
      <c r="E896" s="39" t="str">
        <v/>
      </c>
      <c r="F896" s="45" t="n">
        <v>0</v>
      </c>
      <c r="G896" s="40" t="n">
        <v>0</v>
      </c>
      <c r="H896" s="39" t="n">
        <v>0</v>
      </c>
      <c r="I896" s="49" t="b">
        <f aca="false">IF(ISBLANK(H896),"", IF($H$2:$H2395 = "Gohar Rehan","Overnight",IF($H$2:$H2395 = "Taufeeq Akhtar ","Overnight",IF($H$2:$H2395 = "Zeeshan Ali Malik","Audit",IF($H$2:$H2395 = "Ali Raza ","Receiving",IF($H$2:$H2395 = "Ali Ahmad","Full-In"))))))</f>
        <v>0</v>
      </c>
      <c r="J896" s="29"/>
      <c r="K896" s="40"/>
      <c r="L896" s="40"/>
      <c r="M896" s="41"/>
      <c r="N896" s="39" t="s">
        <v>2335</v>
      </c>
      <c r="O896" s="46" t="b">
        <f aca="false">FALSE()</f>
        <v>0</v>
      </c>
      <c r="P896" s="20" t="n">
        <v>0</v>
      </c>
      <c r="Q896" s="45" t="n">
        <v>0</v>
      </c>
      <c r="R896" s="43" t="n">
        <v>0</v>
      </c>
      <c r="S896" s="20" t="n">
        <v>0</v>
      </c>
    </row>
    <row r="897" customFormat="false" ht="15.75" hidden="false" customHeight="false" outlineLevel="0" collapsed="false">
      <c r="A897" s="39" t="n">
        <v>0</v>
      </c>
      <c r="B897" s="44" t="str">
        <v/>
      </c>
      <c r="C897" s="39" t="n">
        <v>0</v>
      </c>
      <c r="D897" s="39" t="n">
        <v>0</v>
      </c>
      <c r="E897" s="39" t="str">
        <v/>
      </c>
      <c r="F897" s="45" t="n">
        <v>0</v>
      </c>
      <c r="G897" s="40" t="n">
        <v>0</v>
      </c>
      <c r="H897" s="39" t="n">
        <v>0</v>
      </c>
      <c r="I897" s="49" t="b">
        <f aca="false">IF(ISBLANK(H897),"", IF($H$2:$H2396 = "Gohar Rehan","Overnight",IF($H$2:$H2396 = "Taufeeq Akhtar ","Overnight",IF($H$2:$H2396 = "Zeeshan Ali Malik","Audit",IF($H$2:$H2396 = "Ali Raza ","Receiving",IF($H$2:$H2396 = "Ali Ahmad","Full-In"))))))</f>
        <v>0</v>
      </c>
      <c r="J897" s="29"/>
      <c r="K897" s="40"/>
      <c r="L897" s="40"/>
      <c r="M897" s="41"/>
      <c r="N897" s="39" t="s">
        <v>2335</v>
      </c>
      <c r="O897" s="46" t="b">
        <f aca="false">FALSE()</f>
        <v>0</v>
      </c>
      <c r="P897" s="20" t="n">
        <v>0</v>
      </c>
      <c r="Q897" s="45" t="n">
        <v>0</v>
      </c>
      <c r="R897" s="43" t="n">
        <v>0</v>
      </c>
      <c r="S897" s="20" t="n">
        <v>0</v>
      </c>
    </row>
    <row r="898" customFormat="false" ht="15.75" hidden="false" customHeight="false" outlineLevel="0" collapsed="false">
      <c r="A898" s="39" t="n">
        <v>0</v>
      </c>
      <c r="B898" s="44" t="str">
        <v/>
      </c>
      <c r="C898" s="39" t="n">
        <v>0</v>
      </c>
      <c r="D898" s="39" t="n">
        <v>0</v>
      </c>
      <c r="E898" s="39" t="str">
        <v/>
      </c>
      <c r="F898" s="45" t="n">
        <v>0</v>
      </c>
      <c r="G898" s="40" t="n">
        <v>0</v>
      </c>
      <c r="H898" s="39" t="n">
        <v>0</v>
      </c>
      <c r="I898" s="49" t="b">
        <f aca="false">IF(ISBLANK(H898),"", IF($H$2:$H2397 = "Gohar Rehan","Overnight",IF($H$2:$H2397 = "Taufeeq Akhtar ","Overnight",IF($H$2:$H2397 = "Zeeshan Ali Malik","Audit",IF($H$2:$H2397 = "Ali Raza ","Receiving",IF($H$2:$H2397 = "Ali Ahmad","Full-In"))))))</f>
        <v>0</v>
      </c>
      <c r="J898" s="29"/>
      <c r="K898" s="40"/>
      <c r="L898" s="40"/>
      <c r="M898" s="41"/>
      <c r="N898" s="39" t="s">
        <v>2335</v>
      </c>
      <c r="O898" s="46" t="b">
        <f aca="false">FALSE()</f>
        <v>0</v>
      </c>
      <c r="P898" s="20" t="n">
        <v>0</v>
      </c>
      <c r="Q898" s="45" t="n">
        <v>0</v>
      </c>
      <c r="R898" s="43" t="n">
        <v>0</v>
      </c>
      <c r="S898" s="20" t="n">
        <v>0</v>
      </c>
    </row>
    <row r="899" customFormat="false" ht="15.75" hidden="false" customHeight="false" outlineLevel="0" collapsed="false">
      <c r="A899" s="39" t="n">
        <v>0</v>
      </c>
      <c r="B899" s="44" t="str">
        <v/>
      </c>
      <c r="C899" s="39" t="n">
        <v>0</v>
      </c>
      <c r="D899" s="39" t="n">
        <v>0</v>
      </c>
      <c r="E899" s="39" t="str">
        <v/>
      </c>
      <c r="F899" s="45" t="n">
        <v>0</v>
      </c>
      <c r="G899" s="40" t="n">
        <v>0</v>
      </c>
      <c r="H899" s="39" t="n">
        <v>0</v>
      </c>
      <c r="I899" s="49" t="b">
        <f aca="false">IF(ISBLANK(H899),"", IF($H$2:$H2398 = "Gohar Rehan","Overnight",IF($H$2:$H2398 = "Taufeeq Akhtar ","Overnight",IF($H$2:$H2398 = "Zeeshan Ali Malik","Audit",IF($H$2:$H2398 = "Ali Raza ","Receiving",IF($H$2:$H2398 = "Ali Ahmad","Full-In"))))))</f>
        <v>0</v>
      </c>
      <c r="J899" s="29"/>
      <c r="K899" s="40"/>
      <c r="L899" s="40"/>
      <c r="M899" s="41"/>
      <c r="N899" s="39" t="s">
        <v>2335</v>
      </c>
      <c r="O899" s="46" t="b">
        <f aca="false">FALSE()</f>
        <v>0</v>
      </c>
      <c r="P899" s="20" t="n">
        <v>0</v>
      </c>
      <c r="Q899" s="45" t="n">
        <v>0</v>
      </c>
      <c r="R899" s="43" t="n">
        <v>0</v>
      </c>
      <c r="S899" s="20" t="n">
        <v>0</v>
      </c>
    </row>
    <row r="900" customFormat="false" ht="15.75" hidden="false" customHeight="false" outlineLevel="0" collapsed="false">
      <c r="A900" s="39" t="n">
        <v>0</v>
      </c>
      <c r="B900" s="44" t="str">
        <v/>
      </c>
      <c r="C900" s="39" t="n">
        <v>0</v>
      </c>
      <c r="D900" s="39" t="n">
        <v>0</v>
      </c>
      <c r="E900" s="39" t="str">
        <v/>
      </c>
      <c r="F900" s="45" t="n">
        <v>0</v>
      </c>
      <c r="G900" s="40" t="n">
        <v>0</v>
      </c>
      <c r="H900" s="39" t="n">
        <v>0</v>
      </c>
      <c r="I900" s="49" t="b">
        <f aca="false">IF(ISBLANK(H900),"", IF($H$2:$H2399 = "Gohar Rehan","Overnight",IF($H$2:$H2399 = "Taufeeq Akhtar ","Overnight",IF($H$2:$H2399 = "Zeeshan Ali Malik","Audit",IF($H$2:$H2399 = "Ali Raza ","Receiving",IF($H$2:$H2399 = "Ali Ahmad","Full-In"))))))</f>
        <v>0</v>
      </c>
      <c r="J900" s="29"/>
      <c r="K900" s="40"/>
      <c r="L900" s="40"/>
      <c r="M900" s="41"/>
      <c r="N900" s="39" t="s">
        <v>2335</v>
      </c>
      <c r="O900" s="46" t="b">
        <f aca="false">FALSE()</f>
        <v>0</v>
      </c>
      <c r="P900" s="20" t="n">
        <v>0</v>
      </c>
      <c r="Q900" s="45" t="n">
        <v>0</v>
      </c>
      <c r="R900" s="43" t="n">
        <v>0</v>
      </c>
      <c r="S900" s="20" t="n">
        <v>0</v>
      </c>
    </row>
    <row r="901" customFormat="false" ht="15.75" hidden="false" customHeight="false" outlineLevel="0" collapsed="false">
      <c r="A901" s="39" t="n">
        <v>0</v>
      </c>
      <c r="B901" s="44" t="str">
        <v/>
      </c>
      <c r="C901" s="39" t="n">
        <v>0</v>
      </c>
      <c r="D901" s="39" t="n">
        <v>0</v>
      </c>
      <c r="E901" s="39" t="str">
        <v/>
      </c>
      <c r="F901" s="45" t="n">
        <v>0</v>
      </c>
      <c r="G901" s="40" t="n">
        <v>0</v>
      </c>
      <c r="H901" s="39" t="n">
        <v>0</v>
      </c>
      <c r="I901" s="49" t="b">
        <f aca="false">IF(ISBLANK(H901),"", IF($H$2:$H2400 = "Gohar Rehan","Overnight",IF($H$2:$H2400 = "Taufeeq Akhtar ","Overnight",IF($H$2:$H2400 = "Zeeshan Ali Malik","Audit",IF($H$2:$H2400 = "Ali Raza ","Receiving",IF($H$2:$H2400 = "Ali Ahmad","Full-In"))))))</f>
        <v>0</v>
      </c>
      <c r="J901" s="29"/>
      <c r="K901" s="40"/>
      <c r="L901" s="40"/>
      <c r="M901" s="41"/>
      <c r="N901" s="39" t="s">
        <v>2335</v>
      </c>
      <c r="O901" s="46" t="b">
        <f aca="false">FALSE()</f>
        <v>0</v>
      </c>
      <c r="P901" s="20" t="n">
        <v>0</v>
      </c>
      <c r="Q901" s="45" t="n">
        <v>0</v>
      </c>
      <c r="R901" s="43" t="n">
        <v>0</v>
      </c>
      <c r="S901" s="20" t="n">
        <v>0</v>
      </c>
    </row>
    <row r="902" customFormat="false" ht="15.75" hidden="false" customHeight="false" outlineLevel="0" collapsed="false">
      <c r="A902" s="39" t="n">
        <v>0</v>
      </c>
      <c r="B902" s="44" t="str">
        <v/>
      </c>
      <c r="C902" s="39" t="n">
        <v>0</v>
      </c>
      <c r="D902" s="39" t="n">
        <v>0</v>
      </c>
      <c r="E902" s="39" t="str">
        <v/>
      </c>
      <c r="F902" s="45" t="n">
        <v>0</v>
      </c>
      <c r="G902" s="40" t="n">
        <v>0</v>
      </c>
      <c r="H902" s="39" t="n">
        <v>0</v>
      </c>
      <c r="I902" s="49" t="b">
        <f aca="false">IF(ISBLANK(H902),"", IF($H$2:$H2401 = "Gohar Rehan","Overnight",IF($H$2:$H2401 = "Taufeeq Akhtar ","Overnight",IF($H$2:$H2401 = "Zeeshan Ali Malik","Audit",IF($H$2:$H2401 = "Ali Raza ","Receiving",IF($H$2:$H2401 = "Ali Ahmad","Full-In"))))))</f>
        <v>0</v>
      </c>
      <c r="J902" s="29"/>
      <c r="K902" s="40"/>
      <c r="L902" s="40"/>
      <c r="M902" s="41"/>
      <c r="N902" s="39" t="s">
        <v>2335</v>
      </c>
      <c r="O902" s="46" t="b">
        <f aca="false">FALSE()</f>
        <v>0</v>
      </c>
      <c r="P902" s="20" t="n">
        <v>0</v>
      </c>
      <c r="Q902" s="45" t="n">
        <v>0</v>
      </c>
      <c r="R902" s="43" t="n">
        <v>0</v>
      </c>
      <c r="S902" s="20" t="n">
        <v>0</v>
      </c>
    </row>
    <row r="903" customFormat="false" ht="15.75" hidden="false" customHeight="false" outlineLevel="0" collapsed="false">
      <c r="A903" s="39" t="n">
        <v>0</v>
      </c>
      <c r="B903" s="44" t="str">
        <v/>
      </c>
      <c r="C903" s="39" t="n">
        <v>0</v>
      </c>
      <c r="D903" s="39" t="n">
        <v>0</v>
      </c>
      <c r="E903" s="39" t="str">
        <v/>
      </c>
      <c r="F903" s="45" t="n">
        <v>0</v>
      </c>
      <c r="G903" s="40" t="n">
        <v>0</v>
      </c>
      <c r="H903" s="39" t="n">
        <v>0</v>
      </c>
      <c r="I903" s="49" t="b">
        <f aca="false">IF(ISBLANK(H903),"", IF($H$2:$H2402 = "Gohar Rehan","Overnight",IF($H$2:$H2402 = "Taufeeq Akhtar ","Overnight",IF($H$2:$H2402 = "Zeeshan Ali Malik","Audit",IF($H$2:$H2402 = "Ali Raza ","Receiving",IF($H$2:$H2402 = "Ali Ahmad","Full-In"))))))</f>
        <v>0</v>
      </c>
      <c r="J903" s="29"/>
      <c r="K903" s="40"/>
      <c r="L903" s="40"/>
      <c r="M903" s="41"/>
      <c r="N903" s="39" t="s">
        <v>2335</v>
      </c>
      <c r="O903" s="46" t="b">
        <f aca="false">FALSE()</f>
        <v>0</v>
      </c>
      <c r="P903" s="20" t="n">
        <v>0</v>
      </c>
      <c r="Q903" s="45" t="n">
        <v>0</v>
      </c>
      <c r="R903" s="43" t="n">
        <v>0</v>
      </c>
      <c r="S903" s="20" t="n">
        <v>0</v>
      </c>
    </row>
    <row r="904" customFormat="false" ht="15.75" hidden="false" customHeight="false" outlineLevel="0" collapsed="false">
      <c r="A904" s="39" t="n">
        <v>0</v>
      </c>
      <c r="B904" s="44" t="str">
        <v/>
      </c>
      <c r="C904" s="39" t="n">
        <v>0</v>
      </c>
      <c r="D904" s="39" t="n">
        <v>0</v>
      </c>
      <c r="E904" s="39" t="str">
        <v/>
      </c>
      <c r="F904" s="45" t="n">
        <v>0</v>
      </c>
      <c r="G904" s="40" t="n">
        <v>0</v>
      </c>
      <c r="H904" s="39" t="n">
        <v>0</v>
      </c>
      <c r="I904" s="49" t="b">
        <f aca="false">IF(ISBLANK(H904),"", IF($H$2:$H2403 = "Gohar Rehan","Overnight",IF($H$2:$H2403 = "Taufeeq Akhtar ","Overnight",IF($H$2:$H2403 = "Zeeshan Ali Malik","Audit",IF($H$2:$H2403 = "Ali Raza ","Receiving",IF($H$2:$H2403 = "Ali Ahmad","Full-In"))))))</f>
        <v>0</v>
      </c>
      <c r="J904" s="29"/>
      <c r="K904" s="40"/>
      <c r="L904" s="40"/>
      <c r="M904" s="41"/>
      <c r="N904" s="39" t="s">
        <v>2335</v>
      </c>
      <c r="O904" s="46" t="b">
        <f aca="false">FALSE()</f>
        <v>0</v>
      </c>
      <c r="P904" s="20" t="n">
        <v>0</v>
      </c>
      <c r="Q904" s="45" t="n">
        <v>0</v>
      </c>
      <c r="R904" s="43" t="n">
        <v>0</v>
      </c>
      <c r="S904" s="20" t="n">
        <v>0</v>
      </c>
    </row>
    <row r="905" customFormat="false" ht="15.75" hidden="false" customHeight="false" outlineLevel="0" collapsed="false">
      <c r="A905" s="39" t="n">
        <v>0</v>
      </c>
      <c r="B905" s="44" t="str">
        <v/>
      </c>
      <c r="C905" s="39" t="n">
        <v>0</v>
      </c>
      <c r="D905" s="39" t="n">
        <v>0</v>
      </c>
      <c r="E905" s="39" t="str">
        <v/>
      </c>
      <c r="F905" s="45" t="n">
        <v>0</v>
      </c>
      <c r="G905" s="40" t="n">
        <v>0</v>
      </c>
      <c r="H905" s="39" t="n">
        <v>0</v>
      </c>
      <c r="I905" s="49" t="b">
        <f aca="false">IF(ISBLANK(H905),"", IF($H$2:$H2404 = "Gohar Rehan","Overnight",IF($H$2:$H2404 = "Taufeeq Akhtar ","Overnight",IF($H$2:$H2404 = "Zeeshan Ali Malik","Audit",IF($H$2:$H2404 = "Ali Raza ","Receiving",IF($H$2:$H2404 = "Ali Ahmad","Full-In"))))))</f>
        <v>0</v>
      </c>
      <c r="J905" s="29"/>
      <c r="K905" s="40"/>
      <c r="L905" s="40"/>
      <c r="M905" s="41"/>
      <c r="N905" s="39" t="s">
        <v>2335</v>
      </c>
      <c r="O905" s="46" t="b">
        <f aca="false">FALSE()</f>
        <v>0</v>
      </c>
      <c r="P905" s="20" t="n">
        <v>0</v>
      </c>
      <c r="Q905" s="45" t="n">
        <v>0</v>
      </c>
      <c r="R905" s="43" t="n">
        <v>0</v>
      </c>
      <c r="S905" s="20" t="n">
        <v>0</v>
      </c>
    </row>
    <row r="906" customFormat="false" ht="15.75" hidden="false" customHeight="false" outlineLevel="0" collapsed="false">
      <c r="A906" s="39" t="n">
        <v>0</v>
      </c>
      <c r="B906" s="44" t="str">
        <v/>
      </c>
      <c r="C906" s="39" t="n">
        <v>0</v>
      </c>
      <c r="D906" s="39" t="n">
        <v>0</v>
      </c>
      <c r="E906" s="39" t="str">
        <v/>
      </c>
      <c r="F906" s="45" t="n">
        <v>0</v>
      </c>
      <c r="G906" s="40" t="n">
        <v>0</v>
      </c>
      <c r="H906" s="39" t="n">
        <v>0</v>
      </c>
      <c r="I906" s="49" t="b">
        <f aca="false">IF(ISBLANK(H906),"", IF($H$2:$H2405 = "Gohar Rehan","Overnight",IF($H$2:$H2405 = "Taufeeq Akhtar ","Overnight",IF($H$2:$H2405 = "Zeeshan Ali Malik","Audit",IF($H$2:$H2405 = "Ali Raza ","Receiving",IF($H$2:$H2405 = "Ali Ahmad","Full-In"))))))</f>
        <v>0</v>
      </c>
      <c r="J906" s="29"/>
      <c r="K906" s="40"/>
      <c r="L906" s="40"/>
      <c r="M906" s="41"/>
      <c r="N906" s="39" t="s">
        <v>2335</v>
      </c>
      <c r="O906" s="46" t="b">
        <f aca="false">FALSE()</f>
        <v>0</v>
      </c>
      <c r="P906" s="20" t="n">
        <v>0</v>
      </c>
      <c r="Q906" s="45" t="n">
        <v>0</v>
      </c>
      <c r="R906" s="43" t="n">
        <v>0</v>
      </c>
      <c r="S906" s="20" t="n">
        <v>0</v>
      </c>
    </row>
    <row r="907" customFormat="false" ht="15.75" hidden="false" customHeight="false" outlineLevel="0" collapsed="false">
      <c r="A907" s="39" t="n">
        <v>0</v>
      </c>
      <c r="B907" s="44" t="str">
        <v/>
      </c>
      <c r="C907" s="39" t="n">
        <v>0</v>
      </c>
      <c r="D907" s="39" t="n">
        <v>0</v>
      </c>
      <c r="E907" s="39" t="str">
        <v/>
      </c>
      <c r="F907" s="45" t="n">
        <v>0</v>
      </c>
      <c r="G907" s="40" t="n">
        <v>0</v>
      </c>
      <c r="H907" s="39" t="n">
        <v>0</v>
      </c>
      <c r="I907" s="49" t="b">
        <f aca="false">IF(ISBLANK(H907),"", IF($H$2:$H2406 = "Gohar Rehan","Overnight",IF($H$2:$H2406 = "Taufeeq Akhtar ","Overnight",IF($H$2:$H2406 = "Zeeshan Ali Malik","Audit",IF($H$2:$H2406 = "Ali Raza ","Receiving",IF($H$2:$H2406 = "Ali Ahmad","Full-In"))))))</f>
        <v>0</v>
      </c>
      <c r="J907" s="29"/>
      <c r="K907" s="40"/>
      <c r="L907" s="40"/>
      <c r="M907" s="41"/>
      <c r="N907" s="39" t="s">
        <v>2335</v>
      </c>
      <c r="O907" s="46" t="b">
        <f aca="false">FALSE()</f>
        <v>0</v>
      </c>
      <c r="P907" s="20" t="n">
        <v>0</v>
      </c>
      <c r="Q907" s="45" t="n">
        <v>0</v>
      </c>
      <c r="R907" s="43" t="n">
        <v>0</v>
      </c>
      <c r="S907" s="20" t="n">
        <v>0</v>
      </c>
    </row>
    <row r="908" customFormat="false" ht="15.75" hidden="false" customHeight="false" outlineLevel="0" collapsed="false">
      <c r="A908" s="39" t="n">
        <v>0</v>
      </c>
      <c r="B908" s="44" t="str">
        <v/>
      </c>
      <c r="C908" s="39" t="n">
        <v>0</v>
      </c>
      <c r="D908" s="39" t="n">
        <v>0</v>
      </c>
      <c r="E908" s="39" t="str">
        <v/>
      </c>
      <c r="F908" s="45" t="n">
        <v>0</v>
      </c>
      <c r="G908" s="40" t="n">
        <v>0</v>
      </c>
      <c r="H908" s="39" t="n">
        <v>0</v>
      </c>
      <c r="I908" s="49" t="b">
        <f aca="false">IF(ISBLANK(H908),"", IF($H$2:$H2407 = "Gohar Rehan","Overnight",IF($H$2:$H2407 = "Taufeeq Akhtar ","Overnight",IF($H$2:$H2407 = "Zeeshan Ali Malik","Audit",IF($H$2:$H2407 = "Ali Raza ","Receiving",IF($H$2:$H2407 = "Ali Ahmad","Full-In"))))))</f>
        <v>0</v>
      </c>
      <c r="J908" s="29"/>
      <c r="K908" s="40"/>
      <c r="L908" s="40"/>
      <c r="M908" s="41"/>
      <c r="N908" s="39" t="s">
        <v>2335</v>
      </c>
      <c r="O908" s="46" t="b">
        <f aca="false">FALSE()</f>
        <v>0</v>
      </c>
      <c r="P908" s="20" t="n">
        <v>0</v>
      </c>
      <c r="Q908" s="45" t="n">
        <v>0</v>
      </c>
      <c r="R908" s="43" t="n">
        <v>0</v>
      </c>
      <c r="S908" s="20" t="n">
        <v>0</v>
      </c>
    </row>
    <row r="909" customFormat="false" ht="15.75" hidden="false" customHeight="false" outlineLevel="0" collapsed="false">
      <c r="A909" s="39" t="n">
        <v>0</v>
      </c>
      <c r="B909" s="44" t="str">
        <v/>
      </c>
      <c r="C909" s="39" t="n">
        <v>0</v>
      </c>
      <c r="D909" s="39" t="n">
        <v>0</v>
      </c>
      <c r="E909" s="39" t="str">
        <v/>
      </c>
      <c r="F909" s="45" t="n">
        <v>0</v>
      </c>
      <c r="G909" s="40" t="n">
        <v>0</v>
      </c>
      <c r="H909" s="39" t="n">
        <v>0</v>
      </c>
      <c r="I909" s="49" t="b">
        <f aca="false">IF(ISBLANK(H909),"", IF($H$2:$H2408 = "Gohar Rehan","Overnight",IF($H$2:$H2408 = "Taufeeq Akhtar ","Overnight",IF($H$2:$H2408 = "Zeeshan Ali Malik","Audit",IF($H$2:$H2408 = "Ali Raza ","Receiving",IF($H$2:$H2408 = "Ali Ahmad","Full-In"))))))</f>
        <v>0</v>
      </c>
      <c r="J909" s="29"/>
      <c r="K909" s="40"/>
      <c r="L909" s="40"/>
      <c r="M909" s="41"/>
      <c r="N909" s="39" t="s">
        <v>2335</v>
      </c>
      <c r="O909" s="46" t="b">
        <f aca="false">FALSE()</f>
        <v>0</v>
      </c>
      <c r="P909" s="20" t="n">
        <v>0</v>
      </c>
      <c r="Q909" s="45" t="n">
        <v>0</v>
      </c>
      <c r="R909" s="43" t="n">
        <v>0</v>
      </c>
      <c r="S909" s="20" t="n">
        <v>0</v>
      </c>
    </row>
    <row r="910" customFormat="false" ht="15.75" hidden="false" customHeight="false" outlineLevel="0" collapsed="false">
      <c r="A910" s="39" t="n">
        <v>0</v>
      </c>
      <c r="B910" s="44" t="str">
        <v/>
      </c>
      <c r="C910" s="39" t="n">
        <v>0</v>
      </c>
      <c r="D910" s="39" t="n">
        <v>0</v>
      </c>
      <c r="E910" s="39" t="str">
        <v/>
      </c>
      <c r="F910" s="45" t="n">
        <v>0</v>
      </c>
      <c r="G910" s="40" t="n">
        <v>0</v>
      </c>
      <c r="H910" s="39" t="n">
        <v>0</v>
      </c>
      <c r="I910" s="49" t="b">
        <f aca="false">IF(ISBLANK(H910),"", IF($H$2:$H2409 = "Gohar Rehan","Overnight",IF($H$2:$H2409 = "Taufeeq Akhtar ","Overnight",IF($H$2:$H2409 = "Zeeshan Ali Malik","Audit",IF($H$2:$H2409 = "Ali Raza ","Receiving",IF($H$2:$H2409 = "Ali Ahmad","Full-In"))))))</f>
        <v>0</v>
      </c>
      <c r="J910" s="29"/>
      <c r="K910" s="40"/>
      <c r="L910" s="40"/>
      <c r="M910" s="41"/>
      <c r="N910" s="39" t="s">
        <v>2335</v>
      </c>
      <c r="O910" s="46" t="b">
        <f aca="false">FALSE()</f>
        <v>0</v>
      </c>
      <c r="P910" s="20" t="n">
        <v>0</v>
      </c>
      <c r="Q910" s="45" t="n">
        <v>0</v>
      </c>
      <c r="R910" s="43" t="n">
        <v>0</v>
      </c>
      <c r="S910" s="20" t="n">
        <v>0</v>
      </c>
    </row>
    <row r="911" customFormat="false" ht="15.75" hidden="false" customHeight="false" outlineLevel="0" collapsed="false">
      <c r="A911" s="39" t="n">
        <v>0</v>
      </c>
      <c r="B911" s="44" t="str">
        <v/>
      </c>
      <c r="C911" s="39" t="n">
        <v>0</v>
      </c>
      <c r="D911" s="39" t="n">
        <v>0</v>
      </c>
      <c r="E911" s="39" t="str">
        <v/>
      </c>
      <c r="F911" s="45" t="n">
        <v>0</v>
      </c>
      <c r="G911" s="40" t="n">
        <v>0</v>
      </c>
      <c r="H911" s="39" t="n">
        <v>0</v>
      </c>
      <c r="I911" s="49" t="b">
        <f aca="false">IF(ISBLANK(H911),"", IF($H$2:$H2410 = "Gohar Rehan","Overnight",IF($H$2:$H2410 = "Taufeeq Akhtar ","Overnight",IF($H$2:$H2410 = "Zeeshan Ali Malik","Audit",IF($H$2:$H2410 = "Ali Raza ","Receiving",IF($H$2:$H2410 = "Ali Ahmad","Full-In"))))))</f>
        <v>0</v>
      </c>
      <c r="J911" s="29"/>
      <c r="K911" s="40"/>
      <c r="L911" s="40"/>
      <c r="M911" s="41"/>
      <c r="N911" s="39" t="s">
        <v>2335</v>
      </c>
      <c r="O911" s="46" t="b">
        <f aca="false">FALSE()</f>
        <v>0</v>
      </c>
      <c r="P911" s="20" t="n">
        <v>0</v>
      </c>
      <c r="Q911" s="45" t="n">
        <v>0</v>
      </c>
      <c r="R911" s="43" t="n">
        <v>0</v>
      </c>
      <c r="S911" s="20" t="n">
        <v>0</v>
      </c>
    </row>
    <row r="912" customFormat="false" ht="15.75" hidden="false" customHeight="false" outlineLevel="0" collapsed="false">
      <c r="A912" s="39" t="n">
        <v>0</v>
      </c>
      <c r="B912" s="44" t="str">
        <v/>
      </c>
      <c r="C912" s="39" t="n">
        <v>0</v>
      </c>
      <c r="D912" s="39" t="n">
        <v>0</v>
      </c>
      <c r="E912" s="39" t="str">
        <v/>
      </c>
      <c r="F912" s="45" t="n">
        <v>0</v>
      </c>
      <c r="G912" s="40" t="n">
        <v>0</v>
      </c>
      <c r="H912" s="39" t="n">
        <v>0</v>
      </c>
      <c r="I912" s="49" t="b">
        <f aca="false">IF(ISBLANK(H912),"", IF($H$2:$H2411 = "Gohar Rehan","Overnight",IF($H$2:$H2411 = "Taufeeq Akhtar ","Overnight",IF($H$2:$H2411 = "Zeeshan Ali Malik","Audit",IF($H$2:$H2411 = "Ali Raza ","Receiving",IF($H$2:$H2411 = "Ali Ahmad","Full-In"))))))</f>
        <v>0</v>
      </c>
      <c r="J912" s="29"/>
      <c r="K912" s="40"/>
      <c r="L912" s="40"/>
      <c r="M912" s="41"/>
      <c r="N912" s="39" t="s">
        <v>2335</v>
      </c>
      <c r="O912" s="46" t="b">
        <f aca="false">FALSE()</f>
        <v>0</v>
      </c>
      <c r="P912" s="20" t="n">
        <v>0</v>
      </c>
      <c r="Q912" s="45" t="n">
        <v>0</v>
      </c>
      <c r="R912" s="43" t="n">
        <v>0</v>
      </c>
      <c r="S912" s="20" t="n">
        <v>0</v>
      </c>
    </row>
    <row r="913" customFormat="false" ht="15.75" hidden="false" customHeight="false" outlineLevel="0" collapsed="false">
      <c r="A913" s="39" t="n">
        <v>0</v>
      </c>
      <c r="B913" s="44" t="str">
        <v/>
      </c>
      <c r="C913" s="39" t="n">
        <v>0</v>
      </c>
      <c r="D913" s="39" t="n">
        <v>0</v>
      </c>
      <c r="E913" s="39" t="str">
        <v/>
      </c>
      <c r="F913" s="45" t="n">
        <v>0</v>
      </c>
      <c r="G913" s="40" t="n">
        <v>0</v>
      </c>
      <c r="H913" s="39" t="n">
        <v>0</v>
      </c>
      <c r="I913" s="49" t="b">
        <f aca="false">IF(ISBLANK(H913),"", IF($H$2:$H2412 = "Gohar Rehan","Overnight",IF($H$2:$H2412 = "Taufeeq Akhtar ","Overnight",IF($H$2:$H2412 = "Zeeshan Ali Malik","Audit",IF($H$2:$H2412 = "Ali Raza ","Receiving",IF($H$2:$H2412 = "Ali Ahmad","Full-In"))))))</f>
        <v>0</v>
      </c>
      <c r="J913" s="29"/>
      <c r="K913" s="40"/>
      <c r="L913" s="40"/>
      <c r="M913" s="41"/>
      <c r="N913" s="39" t="s">
        <v>2335</v>
      </c>
      <c r="O913" s="46" t="b">
        <f aca="false">FALSE()</f>
        <v>0</v>
      </c>
      <c r="P913" s="20" t="n">
        <v>0</v>
      </c>
      <c r="Q913" s="45" t="n">
        <v>0</v>
      </c>
      <c r="R913" s="43" t="n">
        <v>0</v>
      </c>
      <c r="S913" s="20" t="n">
        <v>0</v>
      </c>
    </row>
    <row r="914" customFormat="false" ht="15.75" hidden="false" customHeight="false" outlineLevel="0" collapsed="false">
      <c r="A914" s="39" t="n">
        <v>0</v>
      </c>
      <c r="B914" s="44" t="str">
        <v/>
      </c>
      <c r="C914" s="39" t="n">
        <v>0</v>
      </c>
      <c r="D914" s="39" t="n">
        <v>0</v>
      </c>
      <c r="E914" s="39" t="str">
        <v/>
      </c>
      <c r="F914" s="45" t="n">
        <v>0</v>
      </c>
      <c r="G914" s="40" t="n">
        <v>0</v>
      </c>
      <c r="H914" s="39" t="n">
        <v>0</v>
      </c>
      <c r="I914" s="49" t="b">
        <f aca="false">IF(ISBLANK(H914),"", IF($H$2:$H2413 = "Gohar Rehan","Overnight",IF($H$2:$H2413 = "Taufeeq Akhtar ","Overnight",IF($H$2:$H2413 = "Zeeshan Ali Malik","Audit",IF($H$2:$H2413 = "Ali Raza ","Receiving",IF($H$2:$H2413 = "Ali Ahmad","Full-In"))))))</f>
        <v>0</v>
      </c>
      <c r="J914" s="29"/>
      <c r="K914" s="40"/>
      <c r="L914" s="40"/>
      <c r="M914" s="41"/>
      <c r="N914" s="39" t="s">
        <v>2335</v>
      </c>
      <c r="O914" s="46" t="b">
        <f aca="false">FALSE()</f>
        <v>0</v>
      </c>
      <c r="P914" s="20" t="n">
        <v>0</v>
      </c>
      <c r="Q914" s="45" t="n">
        <v>0</v>
      </c>
      <c r="R914" s="43" t="n">
        <v>0</v>
      </c>
      <c r="S914" s="20" t="n">
        <v>0</v>
      </c>
    </row>
    <row r="915" customFormat="false" ht="15.75" hidden="false" customHeight="false" outlineLevel="0" collapsed="false">
      <c r="A915" s="39" t="n">
        <v>0</v>
      </c>
      <c r="B915" s="44" t="str">
        <v/>
      </c>
      <c r="C915" s="39" t="n">
        <v>0</v>
      </c>
      <c r="D915" s="39" t="n">
        <v>0</v>
      </c>
      <c r="E915" s="39" t="str">
        <v/>
      </c>
      <c r="F915" s="45" t="n">
        <v>0</v>
      </c>
      <c r="G915" s="40" t="n">
        <v>0</v>
      </c>
      <c r="H915" s="39" t="n">
        <v>0</v>
      </c>
      <c r="I915" s="49" t="b">
        <f aca="false">IF(ISBLANK(H915),"", IF($H$2:$H2414 = "Gohar Rehan","Overnight",IF($H$2:$H2414 = "Taufeeq Akhtar ","Overnight",IF($H$2:$H2414 = "Zeeshan Ali Malik","Audit",IF($H$2:$H2414 = "Ali Raza ","Receiving",IF($H$2:$H2414 = "Ali Ahmad","Full-In"))))))</f>
        <v>0</v>
      </c>
      <c r="J915" s="29"/>
      <c r="K915" s="40"/>
      <c r="L915" s="40"/>
      <c r="M915" s="41"/>
      <c r="N915" s="39" t="s">
        <v>2335</v>
      </c>
      <c r="O915" s="46" t="b">
        <f aca="false">FALSE()</f>
        <v>0</v>
      </c>
      <c r="P915" s="20" t="n">
        <v>0</v>
      </c>
      <c r="Q915" s="45" t="n">
        <v>0</v>
      </c>
      <c r="R915" s="43" t="n">
        <v>0</v>
      </c>
      <c r="S915" s="20" t="n">
        <v>0</v>
      </c>
    </row>
    <row r="916" customFormat="false" ht="15.75" hidden="false" customHeight="false" outlineLevel="0" collapsed="false">
      <c r="A916" s="39" t="n">
        <v>0</v>
      </c>
      <c r="B916" s="44" t="str">
        <v/>
      </c>
      <c r="C916" s="39" t="n">
        <v>0</v>
      </c>
      <c r="D916" s="39" t="n">
        <v>0</v>
      </c>
      <c r="E916" s="39" t="str">
        <v/>
      </c>
      <c r="F916" s="45" t="n">
        <v>0</v>
      </c>
      <c r="G916" s="40" t="n">
        <v>0</v>
      </c>
      <c r="H916" s="39" t="n">
        <v>0</v>
      </c>
      <c r="I916" s="49" t="b">
        <f aca="false">IF(ISBLANK(H916),"", IF($H$2:$H2415 = "Gohar Rehan","Overnight",IF($H$2:$H2415 = "Taufeeq Akhtar ","Overnight",IF($H$2:$H2415 = "Zeeshan Ali Malik","Audit",IF($H$2:$H2415 = "Ali Raza ","Receiving",IF($H$2:$H2415 = "Ali Ahmad","Full-In"))))))</f>
        <v>0</v>
      </c>
      <c r="J916" s="29"/>
      <c r="K916" s="40"/>
      <c r="L916" s="40"/>
      <c r="M916" s="41"/>
      <c r="N916" s="39" t="s">
        <v>2335</v>
      </c>
      <c r="O916" s="46" t="b">
        <f aca="false">FALSE()</f>
        <v>0</v>
      </c>
      <c r="P916" s="20" t="n">
        <v>0</v>
      </c>
      <c r="Q916" s="45" t="n">
        <v>0</v>
      </c>
      <c r="R916" s="43" t="n">
        <v>0</v>
      </c>
      <c r="S916" s="20" t="n">
        <v>0</v>
      </c>
    </row>
    <row r="917" customFormat="false" ht="15.75" hidden="false" customHeight="false" outlineLevel="0" collapsed="false">
      <c r="A917" s="39" t="n">
        <v>0</v>
      </c>
      <c r="B917" s="44" t="str">
        <v/>
      </c>
      <c r="C917" s="39" t="n">
        <v>0</v>
      </c>
      <c r="D917" s="39" t="n">
        <v>0</v>
      </c>
      <c r="E917" s="39" t="str">
        <v/>
      </c>
      <c r="F917" s="45" t="n">
        <v>0</v>
      </c>
      <c r="G917" s="40" t="n">
        <v>0</v>
      </c>
      <c r="H917" s="39" t="n">
        <v>0</v>
      </c>
      <c r="I917" s="49" t="b">
        <f aca="false">IF(ISBLANK(H917),"", IF($H$2:$H2416 = "Gohar Rehan","Overnight",IF($H$2:$H2416 = "Taufeeq Akhtar ","Overnight",IF($H$2:$H2416 = "Zeeshan Ali Malik","Audit",IF($H$2:$H2416 = "Ali Raza ","Receiving",IF($H$2:$H2416 = "Ali Ahmad","Full-In"))))))</f>
        <v>0</v>
      </c>
      <c r="J917" s="29"/>
      <c r="K917" s="40"/>
      <c r="L917" s="40"/>
      <c r="M917" s="41"/>
      <c r="N917" s="39" t="s">
        <v>2335</v>
      </c>
      <c r="O917" s="46" t="b">
        <f aca="false">FALSE()</f>
        <v>0</v>
      </c>
      <c r="P917" s="20" t="n">
        <v>0</v>
      </c>
      <c r="Q917" s="45" t="n">
        <v>0</v>
      </c>
      <c r="R917" s="43" t="n">
        <v>0</v>
      </c>
      <c r="S917" s="20" t="n">
        <v>0</v>
      </c>
    </row>
    <row r="918" customFormat="false" ht="15.75" hidden="false" customHeight="false" outlineLevel="0" collapsed="false">
      <c r="A918" s="39" t="n">
        <v>0</v>
      </c>
      <c r="B918" s="44" t="str">
        <v/>
      </c>
      <c r="C918" s="39" t="n">
        <v>0</v>
      </c>
      <c r="D918" s="39" t="n">
        <v>0</v>
      </c>
      <c r="E918" s="39" t="str">
        <v/>
      </c>
      <c r="F918" s="45" t="n">
        <v>0</v>
      </c>
      <c r="G918" s="40" t="n">
        <v>0</v>
      </c>
      <c r="H918" s="39" t="n">
        <v>0</v>
      </c>
      <c r="I918" s="49" t="b">
        <f aca="false">IF(ISBLANK(H918),"", IF($H$2:$H2417 = "Gohar Rehan","Overnight",IF($H$2:$H2417 = "Taufeeq Akhtar ","Overnight",IF($H$2:$H2417 = "Zeeshan Ali Malik","Audit",IF($H$2:$H2417 = "Ali Raza ","Receiving",IF($H$2:$H2417 = "Ali Ahmad","Full-In"))))))</f>
        <v>0</v>
      </c>
      <c r="J918" s="29"/>
      <c r="K918" s="40"/>
      <c r="L918" s="40"/>
      <c r="M918" s="41"/>
      <c r="N918" s="39" t="s">
        <v>2335</v>
      </c>
      <c r="O918" s="46" t="b">
        <f aca="false">FALSE()</f>
        <v>0</v>
      </c>
      <c r="P918" s="20" t="n">
        <v>0</v>
      </c>
      <c r="Q918" s="45" t="n">
        <v>0</v>
      </c>
      <c r="R918" s="43" t="n">
        <v>0</v>
      </c>
      <c r="S918" s="20" t="n">
        <v>0</v>
      </c>
    </row>
    <row r="919" customFormat="false" ht="15.75" hidden="false" customHeight="false" outlineLevel="0" collapsed="false">
      <c r="A919" s="39" t="n">
        <v>0</v>
      </c>
      <c r="B919" s="44" t="str">
        <v/>
      </c>
      <c r="C919" s="39" t="n">
        <v>0</v>
      </c>
      <c r="D919" s="39" t="n">
        <v>0</v>
      </c>
      <c r="E919" s="39" t="str">
        <v/>
      </c>
      <c r="F919" s="45" t="n">
        <v>0</v>
      </c>
      <c r="G919" s="40" t="n">
        <v>0</v>
      </c>
      <c r="H919" s="39" t="n">
        <v>0</v>
      </c>
      <c r="I919" s="49" t="b">
        <f aca="false">IF(ISBLANK(H919),"", IF($H$2:$H2418 = "Gohar Rehan","Overnight",IF($H$2:$H2418 = "Taufeeq Akhtar ","Overnight",IF($H$2:$H2418 = "Zeeshan Ali Malik","Audit",IF($H$2:$H2418 = "Ali Raza ","Receiving",IF($H$2:$H2418 = "Ali Ahmad","Full-In"))))))</f>
        <v>0</v>
      </c>
      <c r="J919" s="29"/>
      <c r="K919" s="40"/>
      <c r="L919" s="40"/>
      <c r="M919" s="41"/>
      <c r="N919" s="39" t="s">
        <v>2335</v>
      </c>
      <c r="O919" s="46" t="b">
        <f aca="false">FALSE()</f>
        <v>0</v>
      </c>
      <c r="P919" s="20" t="n">
        <v>0</v>
      </c>
      <c r="Q919" s="45" t="n">
        <v>0</v>
      </c>
      <c r="R919" s="43" t="n">
        <v>0</v>
      </c>
      <c r="S919" s="20" t="n">
        <v>0</v>
      </c>
    </row>
    <row r="920" customFormat="false" ht="15.75" hidden="false" customHeight="false" outlineLevel="0" collapsed="false">
      <c r="A920" s="39" t="n">
        <v>0</v>
      </c>
      <c r="B920" s="44" t="str">
        <v/>
      </c>
      <c r="C920" s="39" t="n">
        <v>0</v>
      </c>
      <c r="D920" s="39" t="n">
        <v>0</v>
      </c>
      <c r="E920" s="39" t="str">
        <v/>
      </c>
      <c r="F920" s="45" t="n">
        <v>0</v>
      </c>
      <c r="G920" s="40" t="n">
        <v>0</v>
      </c>
      <c r="H920" s="39" t="n">
        <v>0</v>
      </c>
      <c r="I920" s="49" t="b">
        <f aca="false">IF(ISBLANK(H920),"", IF($H$2:$H2419 = "Gohar Rehan","Overnight",IF($H$2:$H2419 = "Taufeeq Akhtar ","Overnight",IF($H$2:$H2419 = "Zeeshan Ali Malik","Audit",IF($H$2:$H2419 = "Ali Raza ","Receiving",IF($H$2:$H2419 = "Ali Ahmad","Full-In"))))))</f>
        <v>0</v>
      </c>
      <c r="J920" s="29"/>
      <c r="K920" s="40"/>
      <c r="L920" s="40"/>
      <c r="M920" s="41"/>
      <c r="N920" s="39" t="s">
        <v>2335</v>
      </c>
      <c r="O920" s="46" t="b">
        <f aca="false">FALSE()</f>
        <v>0</v>
      </c>
      <c r="P920" s="20" t="n">
        <v>0</v>
      </c>
      <c r="Q920" s="45" t="n">
        <v>0</v>
      </c>
      <c r="R920" s="43" t="n">
        <v>0</v>
      </c>
      <c r="S920" s="20" t="n">
        <v>0</v>
      </c>
    </row>
    <row r="921" customFormat="false" ht="15.75" hidden="false" customHeight="false" outlineLevel="0" collapsed="false">
      <c r="A921" s="39" t="n">
        <v>0</v>
      </c>
      <c r="B921" s="44" t="str">
        <v/>
      </c>
      <c r="C921" s="39" t="n">
        <v>0</v>
      </c>
      <c r="D921" s="39" t="n">
        <v>0</v>
      </c>
      <c r="E921" s="39" t="str">
        <v/>
      </c>
      <c r="F921" s="45" t="n">
        <v>0</v>
      </c>
      <c r="G921" s="40" t="n">
        <v>0</v>
      </c>
      <c r="H921" s="39" t="n">
        <v>0</v>
      </c>
      <c r="I921" s="49" t="b">
        <f aca="false">IF(ISBLANK(H921),"", IF($H$2:$H2420 = "Gohar Rehan","Overnight",IF($H$2:$H2420 = "Taufeeq Akhtar ","Overnight",IF($H$2:$H2420 = "Zeeshan Ali Malik","Audit",IF($H$2:$H2420 = "Ali Raza ","Receiving",IF($H$2:$H2420 = "Ali Ahmad","Full-In"))))))</f>
        <v>0</v>
      </c>
      <c r="J921" s="29"/>
      <c r="K921" s="40"/>
      <c r="L921" s="40"/>
      <c r="M921" s="41"/>
      <c r="N921" s="39" t="s">
        <v>2335</v>
      </c>
      <c r="O921" s="46" t="b">
        <f aca="false">FALSE()</f>
        <v>0</v>
      </c>
      <c r="P921" s="20" t="n">
        <v>0</v>
      </c>
      <c r="Q921" s="45" t="n">
        <v>0</v>
      </c>
      <c r="R921" s="43" t="n">
        <v>0</v>
      </c>
      <c r="S921" s="20" t="n">
        <v>0</v>
      </c>
    </row>
    <row r="922" customFormat="false" ht="15.75" hidden="false" customHeight="false" outlineLevel="0" collapsed="false">
      <c r="A922" s="39" t="n">
        <v>0</v>
      </c>
      <c r="B922" s="44" t="str">
        <v/>
      </c>
      <c r="C922" s="39" t="n">
        <v>0</v>
      </c>
      <c r="D922" s="39" t="n">
        <v>0</v>
      </c>
      <c r="E922" s="39" t="str">
        <v/>
      </c>
      <c r="F922" s="45" t="n">
        <v>0</v>
      </c>
      <c r="G922" s="40" t="n">
        <v>0</v>
      </c>
      <c r="H922" s="39" t="n">
        <v>0</v>
      </c>
      <c r="I922" s="49" t="b">
        <f aca="false">IF(ISBLANK(H922),"", IF($H$2:$H2421 = "Gohar Rehan","Overnight",IF($H$2:$H2421 = "Taufeeq Akhtar ","Overnight",IF($H$2:$H2421 = "Zeeshan Ali Malik","Audit",IF($H$2:$H2421 = "Ali Raza ","Receiving",IF($H$2:$H2421 = "Ali Ahmad","Full-In"))))))</f>
        <v>0</v>
      </c>
      <c r="J922" s="29"/>
      <c r="K922" s="40"/>
      <c r="L922" s="40"/>
      <c r="M922" s="41"/>
      <c r="N922" s="39" t="s">
        <v>2335</v>
      </c>
      <c r="O922" s="46" t="b">
        <f aca="false">FALSE()</f>
        <v>0</v>
      </c>
      <c r="P922" s="20" t="n">
        <v>0</v>
      </c>
      <c r="Q922" s="45" t="n">
        <v>0</v>
      </c>
      <c r="R922" s="43" t="n">
        <v>0</v>
      </c>
      <c r="S922" s="20" t="n">
        <v>0</v>
      </c>
    </row>
    <row r="923" customFormat="false" ht="15.75" hidden="false" customHeight="false" outlineLevel="0" collapsed="false">
      <c r="A923" s="39" t="n">
        <v>0</v>
      </c>
      <c r="B923" s="44" t="str">
        <v/>
      </c>
      <c r="C923" s="39" t="n">
        <v>0</v>
      </c>
      <c r="D923" s="39" t="n">
        <v>0</v>
      </c>
      <c r="E923" s="39" t="str">
        <v/>
      </c>
      <c r="F923" s="45" t="n">
        <v>0</v>
      </c>
      <c r="G923" s="40" t="n">
        <v>0</v>
      </c>
      <c r="H923" s="39" t="n">
        <v>0</v>
      </c>
      <c r="I923" s="49" t="b">
        <f aca="false">IF(ISBLANK(H923),"", IF($H$2:$H2422 = "Gohar Rehan","Overnight",IF($H$2:$H2422 = "Taufeeq Akhtar ","Overnight",IF($H$2:$H2422 = "Zeeshan Ali Malik","Audit",IF($H$2:$H2422 = "Ali Raza ","Receiving",IF($H$2:$H2422 = "Ali Ahmad","Full-In"))))))</f>
        <v>0</v>
      </c>
      <c r="J923" s="29"/>
      <c r="K923" s="40"/>
      <c r="L923" s="40"/>
      <c r="M923" s="41"/>
      <c r="N923" s="39" t="s">
        <v>2335</v>
      </c>
      <c r="O923" s="46" t="b">
        <f aca="false">FALSE()</f>
        <v>0</v>
      </c>
      <c r="P923" s="20" t="n">
        <v>0</v>
      </c>
      <c r="Q923" s="45" t="n">
        <v>0</v>
      </c>
      <c r="R923" s="43" t="n">
        <v>0</v>
      </c>
      <c r="S923" s="20" t="n">
        <v>0</v>
      </c>
    </row>
    <row r="924" customFormat="false" ht="15.75" hidden="false" customHeight="false" outlineLevel="0" collapsed="false">
      <c r="A924" s="39" t="n">
        <v>0</v>
      </c>
      <c r="B924" s="44" t="str">
        <v/>
      </c>
      <c r="C924" s="39" t="n">
        <v>0</v>
      </c>
      <c r="D924" s="39" t="n">
        <v>0</v>
      </c>
      <c r="E924" s="39" t="str">
        <v/>
      </c>
      <c r="F924" s="45" t="n">
        <v>0</v>
      </c>
      <c r="G924" s="40" t="n">
        <v>0</v>
      </c>
      <c r="H924" s="39" t="n">
        <v>0</v>
      </c>
      <c r="I924" s="49" t="b">
        <f aca="false">IF(ISBLANK(H924),"", IF($H$2:$H2423 = "Gohar Rehan","Overnight",IF($H$2:$H2423 = "Taufeeq Akhtar ","Overnight",IF($H$2:$H2423 = "Zeeshan Ali Malik","Audit",IF($H$2:$H2423 = "Ali Raza ","Receiving",IF($H$2:$H2423 = "Ali Ahmad","Full-In"))))))</f>
        <v>0</v>
      </c>
      <c r="J924" s="29"/>
      <c r="K924" s="40"/>
      <c r="L924" s="40"/>
      <c r="M924" s="41"/>
      <c r="N924" s="39" t="s">
        <v>2335</v>
      </c>
      <c r="O924" s="46" t="b">
        <f aca="false">FALSE()</f>
        <v>0</v>
      </c>
      <c r="P924" s="20" t="n">
        <v>0</v>
      </c>
      <c r="Q924" s="45" t="n">
        <v>0</v>
      </c>
      <c r="R924" s="43" t="n">
        <v>0</v>
      </c>
      <c r="S924" s="20" t="n">
        <v>0</v>
      </c>
    </row>
    <row r="925" customFormat="false" ht="15.75" hidden="false" customHeight="false" outlineLevel="0" collapsed="false">
      <c r="A925" s="39" t="n">
        <v>0</v>
      </c>
      <c r="B925" s="44" t="str">
        <v/>
      </c>
      <c r="C925" s="39" t="n">
        <v>0</v>
      </c>
      <c r="D925" s="39" t="n">
        <v>0</v>
      </c>
      <c r="E925" s="39" t="str">
        <v/>
      </c>
      <c r="F925" s="45" t="n">
        <v>0</v>
      </c>
      <c r="G925" s="40" t="n">
        <v>0</v>
      </c>
      <c r="H925" s="39" t="n">
        <v>0</v>
      </c>
      <c r="I925" s="49" t="b">
        <f aca="false">IF(ISBLANK(H925),"", IF($H$2:$H2424 = "Gohar Rehan","Overnight",IF($H$2:$H2424 = "Taufeeq Akhtar ","Overnight",IF($H$2:$H2424 = "Zeeshan Ali Malik","Audit",IF($H$2:$H2424 = "Ali Raza ","Receiving",IF($H$2:$H2424 = "Ali Ahmad","Full-In"))))))</f>
        <v>0</v>
      </c>
      <c r="J925" s="29"/>
      <c r="K925" s="40"/>
      <c r="L925" s="40"/>
      <c r="M925" s="41"/>
      <c r="N925" s="39" t="s">
        <v>2335</v>
      </c>
      <c r="O925" s="46" t="b">
        <f aca="false">FALSE()</f>
        <v>0</v>
      </c>
      <c r="P925" s="20" t="n">
        <v>0</v>
      </c>
      <c r="Q925" s="45" t="n">
        <v>0</v>
      </c>
      <c r="R925" s="43" t="n">
        <v>0</v>
      </c>
      <c r="S925" s="20" t="n">
        <v>0</v>
      </c>
    </row>
    <row r="926" customFormat="false" ht="15.75" hidden="false" customHeight="false" outlineLevel="0" collapsed="false">
      <c r="A926" s="39" t="n">
        <v>0</v>
      </c>
      <c r="B926" s="44" t="str">
        <v/>
      </c>
      <c r="C926" s="39" t="n">
        <v>0</v>
      </c>
      <c r="D926" s="39" t="n">
        <v>0</v>
      </c>
      <c r="E926" s="39" t="str">
        <v/>
      </c>
      <c r="F926" s="45" t="n">
        <v>0</v>
      </c>
      <c r="G926" s="40" t="n">
        <v>0</v>
      </c>
      <c r="H926" s="39" t="n">
        <v>0</v>
      </c>
      <c r="I926" s="49" t="b">
        <f aca="false">IF(ISBLANK(H926),"", IF($H$2:$H2425 = "Gohar Rehan","Overnight",IF($H$2:$H2425 = "Taufeeq Akhtar ","Overnight",IF($H$2:$H2425 = "Zeeshan Ali Malik","Audit",IF($H$2:$H2425 = "Ali Raza ","Receiving",IF($H$2:$H2425 = "Ali Ahmad","Full-In"))))))</f>
        <v>0</v>
      </c>
      <c r="J926" s="29"/>
      <c r="K926" s="40"/>
      <c r="L926" s="40"/>
      <c r="M926" s="41"/>
      <c r="N926" s="39" t="s">
        <v>2335</v>
      </c>
      <c r="O926" s="46" t="b">
        <f aca="false">FALSE()</f>
        <v>0</v>
      </c>
      <c r="P926" s="20" t="n">
        <v>0</v>
      </c>
      <c r="Q926" s="45" t="n">
        <v>0</v>
      </c>
      <c r="R926" s="43" t="n">
        <v>0</v>
      </c>
      <c r="S926" s="20" t="n">
        <v>0</v>
      </c>
    </row>
    <row r="927" customFormat="false" ht="15.75" hidden="false" customHeight="false" outlineLevel="0" collapsed="false">
      <c r="A927" s="39" t="n">
        <v>0</v>
      </c>
      <c r="B927" s="44" t="str">
        <v/>
      </c>
      <c r="C927" s="39" t="n">
        <v>0</v>
      </c>
      <c r="D927" s="39" t="n">
        <v>0</v>
      </c>
      <c r="E927" s="39" t="str">
        <v/>
      </c>
      <c r="F927" s="45" t="n">
        <v>0</v>
      </c>
      <c r="G927" s="40" t="n">
        <v>0</v>
      </c>
      <c r="H927" s="39" t="n">
        <v>0</v>
      </c>
      <c r="I927" s="49" t="b">
        <f aca="false">IF(ISBLANK(H927),"", IF($H$2:$H2426 = "Gohar Rehan","Overnight",IF($H$2:$H2426 = "Taufeeq Akhtar ","Overnight",IF($H$2:$H2426 = "Zeeshan Ali Malik","Audit",IF($H$2:$H2426 = "Ali Raza ","Receiving",IF($H$2:$H2426 = "Ali Ahmad","Full-In"))))))</f>
        <v>0</v>
      </c>
      <c r="J927" s="29"/>
      <c r="K927" s="40"/>
      <c r="L927" s="40"/>
      <c r="M927" s="41"/>
      <c r="N927" s="39" t="s">
        <v>2335</v>
      </c>
      <c r="O927" s="46" t="b">
        <f aca="false">FALSE()</f>
        <v>0</v>
      </c>
      <c r="P927" s="20" t="n">
        <v>0</v>
      </c>
      <c r="Q927" s="45" t="n">
        <v>0</v>
      </c>
      <c r="R927" s="43" t="n">
        <v>0</v>
      </c>
      <c r="S927" s="20" t="n">
        <v>0</v>
      </c>
    </row>
    <row r="928" customFormat="false" ht="15.75" hidden="false" customHeight="false" outlineLevel="0" collapsed="false">
      <c r="A928" s="39" t="n">
        <v>0</v>
      </c>
      <c r="B928" s="44" t="str">
        <v/>
      </c>
      <c r="C928" s="39" t="n">
        <v>0</v>
      </c>
      <c r="D928" s="39" t="n">
        <v>0</v>
      </c>
      <c r="E928" s="39" t="str">
        <v/>
      </c>
      <c r="F928" s="45" t="n">
        <v>0</v>
      </c>
      <c r="G928" s="40" t="n">
        <v>0</v>
      </c>
      <c r="H928" s="39" t="n">
        <v>0</v>
      </c>
      <c r="I928" s="49" t="b">
        <f aca="false">IF(ISBLANK(H928),"", IF($H$2:$H2427 = "Gohar Rehan","Overnight",IF($H$2:$H2427 = "Taufeeq Akhtar ","Overnight",IF($H$2:$H2427 = "Zeeshan Ali Malik","Audit",IF($H$2:$H2427 = "Ali Raza ","Receiving",IF($H$2:$H2427 = "Ali Ahmad","Full-In"))))))</f>
        <v>0</v>
      </c>
      <c r="J928" s="29"/>
      <c r="K928" s="40"/>
      <c r="L928" s="40"/>
      <c r="M928" s="41"/>
      <c r="N928" s="39" t="s">
        <v>2335</v>
      </c>
      <c r="O928" s="46" t="b">
        <f aca="false">FALSE()</f>
        <v>0</v>
      </c>
      <c r="P928" s="20" t="n">
        <v>0</v>
      </c>
      <c r="Q928" s="45" t="n">
        <v>0</v>
      </c>
      <c r="R928" s="43" t="n">
        <v>0</v>
      </c>
      <c r="S928" s="20" t="n">
        <v>0</v>
      </c>
    </row>
    <row r="929" customFormat="false" ht="15.75" hidden="false" customHeight="false" outlineLevel="0" collapsed="false">
      <c r="A929" s="39" t="n">
        <v>0</v>
      </c>
      <c r="B929" s="44" t="str">
        <v/>
      </c>
      <c r="C929" s="39" t="n">
        <v>0</v>
      </c>
      <c r="D929" s="39" t="n">
        <v>0</v>
      </c>
      <c r="E929" s="39" t="str">
        <v/>
      </c>
      <c r="F929" s="45" t="n">
        <v>0</v>
      </c>
      <c r="G929" s="40" t="n">
        <v>0</v>
      </c>
      <c r="H929" s="39" t="n">
        <v>0</v>
      </c>
      <c r="I929" s="49" t="b">
        <f aca="false">IF(ISBLANK(H929),"", IF($H$2:$H2428 = "Gohar Rehan","Overnight",IF($H$2:$H2428 = "Taufeeq Akhtar ","Overnight",IF($H$2:$H2428 = "Zeeshan Ali Malik","Audit",IF($H$2:$H2428 = "Ali Raza ","Receiving",IF($H$2:$H2428 = "Ali Ahmad","Full-In"))))))</f>
        <v>0</v>
      </c>
      <c r="J929" s="29"/>
      <c r="K929" s="40"/>
      <c r="L929" s="40"/>
      <c r="M929" s="41"/>
      <c r="N929" s="39" t="s">
        <v>2335</v>
      </c>
      <c r="O929" s="46" t="b">
        <f aca="false">FALSE()</f>
        <v>0</v>
      </c>
      <c r="P929" s="20" t="n">
        <v>0</v>
      </c>
      <c r="Q929" s="45" t="n">
        <v>0</v>
      </c>
      <c r="R929" s="43" t="n">
        <v>0</v>
      </c>
      <c r="S929" s="20" t="n">
        <v>0</v>
      </c>
    </row>
    <row r="930" customFormat="false" ht="15.75" hidden="false" customHeight="false" outlineLevel="0" collapsed="false">
      <c r="A930" s="39" t="n">
        <v>0</v>
      </c>
      <c r="B930" s="44" t="str">
        <v/>
      </c>
      <c r="C930" s="39" t="n">
        <v>0</v>
      </c>
      <c r="D930" s="39" t="n">
        <v>0</v>
      </c>
      <c r="E930" s="39" t="str">
        <v/>
      </c>
      <c r="F930" s="45" t="n">
        <v>0</v>
      </c>
      <c r="G930" s="40" t="n">
        <v>0</v>
      </c>
      <c r="H930" s="39" t="n">
        <v>0</v>
      </c>
      <c r="I930" s="49" t="b">
        <f aca="false">IF(ISBLANK(H930),"", IF($H$2:$H2429 = "Gohar Rehan","Overnight",IF($H$2:$H2429 = "Taufeeq Akhtar ","Overnight",IF($H$2:$H2429 = "Zeeshan Ali Malik","Audit",IF($H$2:$H2429 = "Ali Raza ","Receiving",IF($H$2:$H2429 = "Ali Ahmad","Full-In"))))))</f>
        <v>0</v>
      </c>
      <c r="J930" s="29"/>
      <c r="K930" s="40"/>
      <c r="L930" s="40"/>
      <c r="M930" s="41"/>
      <c r="N930" s="39" t="s">
        <v>2335</v>
      </c>
      <c r="O930" s="46" t="b">
        <f aca="false">FALSE()</f>
        <v>0</v>
      </c>
      <c r="P930" s="20" t="n">
        <v>0</v>
      </c>
      <c r="Q930" s="45" t="n">
        <v>0</v>
      </c>
      <c r="R930" s="43" t="n">
        <v>0</v>
      </c>
      <c r="S930" s="20" t="n">
        <v>0</v>
      </c>
    </row>
    <row r="931" customFormat="false" ht="15.75" hidden="false" customHeight="false" outlineLevel="0" collapsed="false">
      <c r="A931" s="39" t="n">
        <v>0</v>
      </c>
      <c r="B931" s="44" t="str">
        <v/>
      </c>
      <c r="C931" s="39" t="n">
        <v>0</v>
      </c>
      <c r="D931" s="39" t="n">
        <v>0</v>
      </c>
      <c r="E931" s="39" t="str">
        <v/>
      </c>
      <c r="F931" s="45" t="n">
        <v>0</v>
      </c>
      <c r="G931" s="40" t="n">
        <v>0</v>
      </c>
      <c r="H931" s="39" t="n">
        <v>0</v>
      </c>
      <c r="I931" s="49" t="b">
        <f aca="false">IF(ISBLANK(H931),"", IF($H$2:$H2430 = "Gohar Rehan","Overnight",IF($H$2:$H2430 = "Taufeeq Akhtar ","Overnight",IF($H$2:$H2430 = "Zeeshan Ali Malik","Audit",IF($H$2:$H2430 = "Ali Raza ","Receiving",IF($H$2:$H2430 = "Ali Ahmad","Full-In"))))))</f>
        <v>0</v>
      </c>
      <c r="J931" s="29"/>
      <c r="K931" s="40"/>
      <c r="L931" s="40"/>
      <c r="M931" s="41"/>
      <c r="N931" s="39" t="s">
        <v>2335</v>
      </c>
      <c r="O931" s="46" t="b">
        <f aca="false">FALSE()</f>
        <v>0</v>
      </c>
      <c r="P931" s="20" t="n">
        <v>0</v>
      </c>
      <c r="Q931" s="45" t="n">
        <v>0</v>
      </c>
      <c r="R931" s="43" t="n">
        <v>0</v>
      </c>
      <c r="S931" s="20" t="n">
        <v>0</v>
      </c>
    </row>
    <row r="932" customFormat="false" ht="15.75" hidden="false" customHeight="false" outlineLevel="0" collapsed="false">
      <c r="A932" s="39" t="n">
        <v>0</v>
      </c>
      <c r="B932" s="44" t="str">
        <v/>
      </c>
      <c r="C932" s="39" t="n">
        <v>0</v>
      </c>
      <c r="D932" s="39" t="n">
        <v>0</v>
      </c>
      <c r="E932" s="39" t="str">
        <v/>
      </c>
      <c r="F932" s="45" t="n">
        <v>0</v>
      </c>
      <c r="G932" s="40" t="n">
        <v>0</v>
      </c>
      <c r="H932" s="39" t="n">
        <v>0</v>
      </c>
      <c r="I932" s="49" t="b">
        <f aca="false">IF(ISBLANK(H932),"", IF($H$2:$H2431 = "Gohar Rehan","Overnight",IF($H$2:$H2431 = "Taufeeq Akhtar ","Overnight",IF($H$2:$H2431 = "Zeeshan Ali Malik","Audit",IF($H$2:$H2431 = "Ali Raza ","Receiving",IF($H$2:$H2431 = "Ali Ahmad","Full-In"))))))</f>
        <v>0</v>
      </c>
      <c r="J932" s="29"/>
      <c r="K932" s="40"/>
      <c r="L932" s="40"/>
      <c r="M932" s="41"/>
      <c r="N932" s="39" t="s">
        <v>2335</v>
      </c>
      <c r="O932" s="46" t="b">
        <f aca="false">FALSE()</f>
        <v>0</v>
      </c>
      <c r="P932" s="20" t="n">
        <v>0</v>
      </c>
      <c r="Q932" s="45" t="n">
        <v>0</v>
      </c>
      <c r="R932" s="43" t="n">
        <v>0</v>
      </c>
      <c r="S932" s="20" t="n">
        <v>0</v>
      </c>
    </row>
    <row r="933" customFormat="false" ht="15.75" hidden="false" customHeight="false" outlineLevel="0" collapsed="false">
      <c r="A933" s="39" t="n">
        <v>0</v>
      </c>
      <c r="B933" s="44" t="str">
        <v/>
      </c>
      <c r="C933" s="39" t="n">
        <v>0</v>
      </c>
      <c r="D933" s="39" t="n">
        <v>0</v>
      </c>
      <c r="E933" s="39" t="str">
        <v/>
      </c>
      <c r="F933" s="45" t="n">
        <v>0</v>
      </c>
      <c r="G933" s="40" t="n">
        <v>0</v>
      </c>
      <c r="H933" s="39" t="n">
        <v>0</v>
      </c>
      <c r="I933" s="49" t="b">
        <f aca="false">IF(ISBLANK(H933),"", IF($H$2:$H2432 = "Gohar Rehan","Overnight",IF($H$2:$H2432 = "Taufeeq Akhtar ","Overnight",IF($H$2:$H2432 = "Zeeshan Ali Malik","Audit",IF($H$2:$H2432 = "Ali Raza ","Receiving",IF($H$2:$H2432 = "Ali Ahmad","Full-In"))))))</f>
        <v>0</v>
      </c>
      <c r="J933" s="29"/>
      <c r="K933" s="40"/>
      <c r="L933" s="40"/>
      <c r="M933" s="41"/>
      <c r="N933" s="39" t="s">
        <v>2335</v>
      </c>
      <c r="O933" s="46" t="b">
        <f aca="false">FALSE()</f>
        <v>0</v>
      </c>
      <c r="P933" s="20" t="n">
        <v>0</v>
      </c>
      <c r="Q933" s="45" t="n">
        <v>0</v>
      </c>
      <c r="R933" s="43" t="n">
        <v>0</v>
      </c>
      <c r="S933" s="20" t="n">
        <v>0</v>
      </c>
    </row>
    <row r="934" customFormat="false" ht="15.75" hidden="false" customHeight="false" outlineLevel="0" collapsed="false">
      <c r="A934" s="39" t="n">
        <v>0</v>
      </c>
      <c r="B934" s="44" t="str">
        <v/>
      </c>
      <c r="C934" s="39" t="n">
        <v>0</v>
      </c>
      <c r="D934" s="39" t="n">
        <v>0</v>
      </c>
      <c r="E934" s="39" t="str">
        <v/>
      </c>
      <c r="F934" s="45" t="n">
        <v>0</v>
      </c>
      <c r="G934" s="40" t="n">
        <v>0</v>
      </c>
      <c r="H934" s="39" t="n">
        <v>0</v>
      </c>
      <c r="I934" s="49" t="b">
        <f aca="false">IF(ISBLANK(H934),"", IF($H$2:$H2433 = "Gohar Rehan","Overnight",IF($H$2:$H2433 = "Taufeeq Akhtar ","Overnight",IF($H$2:$H2433 = "Zeeshan Ali Malik","Audit",IF($H$2:$H2433 = "Ali Raza ","Receiving",IF($H$2:$H2433 = "Ali Ahmad","Full-In"))))))</f>
        <v>0</v>
      </c>
      <c r="J934" s="29"/>
      <c r="K934" s="40"/>
      <c r="L934" s="40"/>
      <c r="M934" s="41"/>
      <c r="N934" s="39" t="s">
        <v>2335</v>
      </c>
      <c r="O934" s="46" t="b">
        <f aca="false">FALSE()</f>
        <v>0</v>
      </c>
      <c r="P934" s="20" t="n">
        <v>0</v>
      </c>
      <c r="Q934" s="45" t="n">
        <v>0</v>
      </c>
      <c r="R934" s="43" t="n">
        <v>0</v>
      </c>
      <c r="S934" s="20" t="n">
        <v>0</v>
      </c>
    </row>
    <row r="935" customFormat="false" ht="15.75" hidden="false" customHeight="false" outlineLevel="0" collapsed="false">
      <c r="A935" s="39" t="n">
        <v>0</v>
      </c>
      <c r="B935" s="44" t="str">
        <v/>
      </c>
      <c r="C935" s="39" t="n">
        <v>0</v>
      </c>
      <c r="D935" s="39" t="n">
        <v>0</v>
      </c>
      <c r="E935" s="39" t="str">
        <v/>
      </c>
      <c r="F935" s="45" t="n">
        <v>0</v>
      </c>
      <c r="G935" s="40" t="n">
        <v>0</v>
      </c>
      <c r="H935" s="39" t="n">
        <v>0</v>
      </c>
      <c r="I935" s="49" t="b">
        <f aca="false">IF(ISBLANK(H935),"", IF($H$2:$H2434 = "Gohar Rehan","Overnight",IF($H$2:$H2434 = "Taufeeq Akhtar ","Overnight",IF($H$2:$H2434 = "Zeeshan Ali Malik","Audit",IF($H$2:$H2434 = "Ali Raza ","Receiving",IF($H$2:$H2434 = "Ali Ahmad","Full-In"))))))</f>
        <v>0</v>
      </c>
      <c r="J935" s="29"/>
      <c r="K935" s="40"/>
      <c r="L935" s="40"/>
      <c r="M935" s="41"/>
      <c r="N935" s="39" t="s">
        <v>2335</v>
      </c>
      <c r="O935" s="46" t="b">
        <f aca="false">FALSE()</f>
        <v>0</v>
      </c>
      <c r="P935" s="20" t="n">
        <v>0</v>
      </c>
      <c r="Q935" s="45" t="n">
        <v>0</v>
      </c>
      <c r="R935" s="43" t="n">
        <v>0</v>
      </c>
      <c r="S935" s="20" t="n">
        <v>0</v>
      </c>
    </row>
    <row r="936" customFormat="false" ht="15.75" hidden="false" customHeight="false" outlineLevel="0" collapsed="false">
      <c r="A936" s="39" t="n">
        <v>0</v>
      </c>
      <c r="B936" s="44" t="str">
        <v/>
      </c>
      <c r="C936" s="39" t="n">
        <v>0</v>
      </c>
      <c r="D936" s="39" t="n">
        <v>0</v>
      </c>
      <c r="E936" s="39" t="str">
        <v/>
      </c>
      <c r="F936" s="45" t="n">
        <v>0</v>
      </c>
      <c r="G936" s="40" t="n">
        <v>0</v>
      </c>
      <c r="H936" s="39" t="n">
        <v>0</v>
      </c>
      <c r="I936" s="49" t="b">
        <f aca="false">IF(ISBLANK(H936),"", IF($H$2:$H2435 = "Gohar Rehan","Overnight",IF($H$2:$H2435 = "Taufeeq Akhtar ","Overnight",IF($H$2:$H2435 = "Zeeshan Ali Malik","Audit",IF($H$2:$H2435 = "Ali Raza ","Receiving",IF($H$2:$H2435 = "Ali Ahmad","Full-In"))))))</f>
        <v>0</v>
      </c>
      <c r="J936" s="29"/>
      <c r="K936" s="40"/>
      <c r="L936" s="40"/>
      <c r="M936" s="41"/>
      <c r="N936" s="39" t="s">
        <v>2335</v>
      </c>
      <c r="O936" s="46" t="b">
        <f aca="false">FALSE()</f>
        <v>0</v>
      </c>
      <c r="P936" s="20" t="n">
        <v>0</v>
      </c>
      <c r="Q936" s="45" t="n">
        <v>0</v>
      </c>
      <c r="R936" s="43" t="n">
        <v>0</v>
      </c>
      <c r="S936" s="20" t="n">
        <v>0</v>
      </c>
    </row>
    <row r="937" customFormat="false" ht="15.75" hidden="false" customHeight="false" outlineLevel="0" collapsed="false">
      <c r="A937" s="39" t="n">
        <v>0</v>
      </c>
      <c r="B937" s="44" t="str">
        <v/>
      </c>
      <c r="C937" s="39" t="n">
        <v>0</v>
      </c>
      <c r="D937" s="39" t="n">
        <v>0</v>
      </c>
      <c r="E937" s="39" t="str">
        <v/>
      </c>
      <c r="F937" s="45" t="n">
        <v>0</v>
      </c>
      <c r="G937" s="40" t="n">
        <v>0</v>
      </c>
      <c r="H937" s="39" t="n">
        <v>0</v>
      </c>
      <c r="I937" s="49" t="b">
        <f aca="false">IF(ISBLANK(H937),"", IF($H$2:$H2436 = "Gohar Rehan","Overnight",IF($H$2:$H2436 = "Taufeeq Akhtar ","Overnight",IF($H$2:$H2436 = "Zeeshan Ali Malik","Audit",IF($H$2:$H2436 = "Ali Raza ","Receiving",IF($H$2:$H2436 = "Ali Ahmad","Full-In"))))))</f>
        <v>0</v>
      </c>
      <c r="J937" s="29"/>
      <c r="K937" s="40"/>
      <c r="L937" s="40"/>
      <c r="M937" s="41"/>
      <c r="N937" s="39" t="s">
        <v>2335</v>
      </c>
      <c r="O937" s="46" t="b">
        <f aca="false">FALSE()</f>
        <v>0</v>
      </c>
      <c r="P937" s="20" t="n">
        <v>0</v>
      </c>
      <c r="Q937" s="45" t="n">
        <v>0</v>
      </c>
      <c r="R937" s="43" t="n">
        <v>0</v>
      </c>
      <c r="S937" s="20" t="n">
        <v>0</v>
      </c>
    </row>
    <row r="938" customFormat="false" ht="15.75" hidden="false" customHeight="false" outlineLevel="0" collapsed="false">
      <c r="A938" s="39" t="n">
        <v>0</v>
      </c>
      <c r="B938" s="44" t="str">
        <v/>
      </c>
      <c r="C938" s="39" t="n">
        <v>0</v>
      </c>
      <c r="D938" s="39" t="n">
        <v>0</v>
      </c>
      <c r="E938" s="39" t="str">
        <v/>
      </c>
      <c r="F938" s="45" t="n">
        <v>0</v>
      </c>
      <c r="G938" s="40" t="n">
        <v>0</v>
      </c>
      <c r="H938" s="39" t="n">
        <v>0</v>
      </c>
      <c r="I938" s="49" t="b">
        <f aca="false">IF(ISBLANK(H938),"", IF($H$2:$H2437 = "Gohar Rehan","Overnight",IF($H$2:$H2437 = "Taufeeq Akhtar ","Overnight",IF($H$2:$H2437 = "Zeeshan Ali Malik","Audit",IF($H$2:$H2437 = "Ali Raza ","Receiving",IF($H$2:$H2437 = "Ali Ahmad","Full-In"))))))</f>
        <v>0</v>
      </c>
      <c r="J938" s="29"/>
      <c r="K938" s="40"/>
      <c r="L938" s="40"/>
      <c r="M938" s="41"/>
      <c r="N938" s="39" t="s">
        <v>2335</v>
      </c>
      <c r="O938" s="46" t="b">
        <f aca="false">FALSE()</f>
        <v>0</v>
      </c>
      <c r="P938" s="20" t="n">
        <v>0</v>
      </c>
      <c r="Q938" s="45" t="n">
        <v>0</v>
      </c>
      <c r="R938" s="43" t="n">
        <v>0</v>
      </c>
      <c r="S938" s="20" t="n">
        <v>0</v>
      </c>
    </row>
    <row r="939" customFormat="false" ht="15.75" hidden="false" customHeight="false" outlineLevel="0" collapsed="false">
      <c r="A939" s="39" t="n">
        <v>0</v>
      </c>
      <c r="B939" s="44" t="str">
        <v/>
      </c>
      <c r="C939" s="39" t="n">
        <v>0</v>
      </c>
      <c r="D939" s="39" t="n">
        <v>0</v>
      </c>
      <c r="E939" s="39" t="str">
        <v/>
      </c>
      <c r="F939" s="45" t="n">
        <v>0</v>
      </c>
      <c r="G939" s="40" t="n">
        <v>0</v>
      </c>
      <c r="H939" s="39" t="n">
        <v>0</v>
      </c>
      <c r="I939" s="49" t="b">
        <f aca="false">IF(ISBLANK(H939),"", IF($H$2:$H2438 = "Gohar Rehan","Overnight",IF($H$2:$H2438 = "Taufeeq Akhtar ","Overnight",IF($H$2:$H2438 = "Zeeshan Ali Malik","Audit",IF($H$2:$H2438 = "Ali Raza ","Receiving",IF($H$2:$H2438 = "Ali Ahmad","Full-In"))))))</f>
        <v>0</v>
      </c>
      <c r="J939" s="29"/>
      <c r="K939" s="40"/>
      <c r="L939" s="40"/>
      <c r="M939" s="41"/>
      <c r="N939" s="39" t="s">
        <v>2335</v>
      </c>
      <c r="O939" s="46" t="b">
        <f aca="false">FALSE()</f>
        <v>0</v>
      </c>
      <c r="P939" s="20" t="n">
        <v>0</v>
      </c>
      <c r="Q939" s="45" t="n">
        <v>0</v>
      </c>
      <c r="R939" s="43" t="n">
        <v>0</v>
      </c>
      <c r="S939" s="20" t="n">
        <v>0</v>
      </c>
    </row>
    <row r="940" customFormat="false" ht="15.75" hidden="false" customHeight="false" outlineLevel="0" collapsed="false">
      <c r="A940" s="39" t="n">
        <v>0</v>
      </c>
      <c r="B940" s="44" t="str">
        <v/>
      </c>
      <c r="C940" s="39" t="n">
        <v>0</v>
      </c>
      <c r="D940" s="39" t="n">
        <v>0</v>
      </c>
      <c r="E940" s="39" t="str">
        <v/>
      </c>
      <c r="F940" s="45" t="n">
        <v>0</v>
      </c>
      <c r="G940" s="40" t="n">
        <v>0</v>
      </c>
      <c r="H940" s="39" t="n">
        <v>0</v>
      </c>
      <c r="I940" s="49" t="b">
        <f aca="false">IF(ISBLANK(H940),"", IF($H$2:$H2439 = "Gohar Rehan","Overnight",IF($H$2:$H2439 = "Taufeeq Akhtar ","Overnight",IF($H$2:$H2439 = "Zeeshan Ali Malik","Audit",IF($H$2:$H2439 = "Ali Raza ","Receiving",IF($H$2:$H2439 = "Ali Ahmad","Full-In"))))))</f>
        <v>0</v>
      </c>
      <c r="J940" s="29"/>
      <c r="K940" s="40"/>
      <c r="L940" s="40"/>
      <c r="M940" s="41"/>
      <c r="N940" s="39" t="s">
        <v>2335</v>
      </c>
      <c r="O940" s="46" t="b">
        <f aca="false">FALSE()</f>
        <v>0</v>
      </c>
      <c r="P940" s="20" t="n">
        <v>0</v>
      </c>
      <c r="Q940" s="45" t="n">
        <v>0</v>
      </c>
      <c r="R940" s="43" t="n">
        <v>0</v>
      </c>
      <c r="S940" s="20" t="n">
        <v>0</v>
      </c>
    </row>
    <row r="941" customFormat="false" ht="15.75" hidden="false" customHeight="false" outlineLevel="0" collapsed="false">
      <c r="A941" s="39" t="n">
        <v>0</v>
      </c>
      <c r="B941" s="44" t="str">
        <v/>
      </c>
      <c r="C941" s="39" t="n">
        <v>0</v>
      </c>
      <c r="D941" s="39" t="n">
        <v>0</v>
      </c>
      <c r="E941" s="39" t="str">
        <v/>
      </c>
      <c r="F941" s="45" t="n">
        <v>0</v>
      </c>
      <c r="G941" s="40" t="n">
        <v>0</v>
      </c>
      <c r="H941" s="39" t="n">
        <v>0</v>
      </c>
      <c r="I941" s="49" t="b">
        <f aca="false">IF(ISBLANK(H941),"", IF($H$2:$H2440 = "Gohar Rehan","Overnight",IF($H$2:$H2440 = "Taufeeq Akhtar ","Overnight",IF($H$2:$H2440 = "Zeeshan Ali Malik","Audit",IF($H$2:$H2440 = "Ali Raza ","Receiving",IF($H$2:$H2440 = "Ali Ahmad","Full-In"))))))</f>
        <v>0</v>
      </c>
      <c r="J941" s="29"/>
      <c r="K941" s="40"/>
      <c r="L941" s="40"/>
      <c r="M941" s="41"/>
      <c r="N941" s="39" t="s">
        <v>2335</v>
      </c>
      <c r="O941" s="46" t="b">
        <f aca="false">FALSE()</f>
        <v>0</v>
      </c>
      <c r="P941" s="20" t="n">
        <v>0</v>
      </c>
      <c r="Q941" s="45" t="n">
        <v>0</v>
      </c>
      <c r="R941" s="43" t="n">
        <v>0</v>
      </c>
      <c r="S941" s="20" t="n">
        <v>0</v>
      </c>
    </row>
    <row r="942" customFormat="false" ht="15.75" hidden="false" customHeight="false" outlineLevel="0" collapsed="false">
      <c r="A942" s="39" t="n">
        <v>0</v>
      </c>
      <c r="B942" s="44" t="str">
        <v/>
      </c>
      <c r="C942" s="39" t="n">
        <v>0</v>
      </c>
      <c r="D942" s="39" t="n">
        <v>0</v>
      </c>
      <c r="E942" s="39" t="str">
        <v/>
      </c>
      <c r="F942" s="45" t="n">
        <v>0</v>
      </c>
      <c r="G942" s="40" t="n">
        <v>0</v>
      </c>
      <c r="H942" s="39" t="n">
        <v>0</v>
      </c>
      <c r="I942" s="49" t="b">
        <f aca="false">IF(ISBLANK(H942),"", IF($H$2:$H2441 = "Gohar Rehan","Overnight",IF($H$2:$H2441 = "Taufeeq Akhtar ","Overnight",IF($H$2:$H2441 = "Zeeshan Ali Malik","Audit",IF($H$2:$H2441 = "Ali Raza ","Receiving",IF($H$2:$H2441 = "Ali Ahmad","Full-In"))))))</f>
        <v>0</v>
      </c>
      <c r="J942" s="29"/>
      <c r="K942" s="40"/>
      <c r="L942" s="40"/>
      <c r="M942" s="41"/>
      <c r="N942" s="39" t="s">
        <v>2335</v>
      </c>
      <c r="O942" s="46" t="b">
        <f aca="false">FALSE()</f>
        <v>0</v>
      </c>
      <c r="P942" s="20" t="n">
        <v>0</v>
      </c>
      <c r="Q942" s="45" t="n">
        <v>0</v>
      </c>
      <c r="R942" s="43" t="n">
        <v>0</v>
      </c>
      <c r="S942" s="20" t="n">
        <v>0</v>
      </c>
    </row>
    <row r="943" customFormat="false" ht="15.75" hidden="false" customHeight="false" outlineLevel="0" collapsed="false">
      <c r="A943" s="39" t="n">
        <v>0</v>
      </c>
      <c r="B943" s="44" t="str">
        <v/>
      </c>
      <c r="C943" s="39" t="n">
        <v>0</v>
      </c>
      <c r="D943" s="39" t="n">
        <v>0</v>
      </c>
      <c r="E943" s="39" t="str">
        <v/>
      </c>
      <c r="F943" s="45" t="n">
        <v>0</v>
      </c>
      <c r="G943" s="40" t="n">
        <v>0</v>
      </c>
      <c r="H943" s="39" t="n">
        <v>0</v>
      </c>
      <c r="I943" s="49" t="b">
        <f aca="false">IF(ISBLANK(H943),"", IF($H$2:$H2442 = "Gohar Rehan","Overnight",IF($H$2:$H2442 = "Taufeeq Akhtar ","Overnight",IF($H$2:$H2442 = "Zeeshan Ali Malik","Audit",IF($H$2:$H2442 = "Ali Raza ","Receiving",IF($H$2:$H2442 = "Ali Ahmad","Full-In"))))))</f>
        <v>0</v>
      </c>
      <c r="J943" s="29"/>
      <c r="K943" s="40"/>
      <c r="L943" s="40"/>
      <c r="M943" s="41"/>
      <c r="N943" s="39" t="s">
        <v>2335</v>
      </c>
      <c r="O943" s="46" t="b">
        <f aca="false">FALSE()</f>
        <v>0</v>
      </c>
      <c r="P943" s="20" t="n">
        <v>0</v>
      </c>
      <c r="Q943" s="45" t="n">
        <v>0</v>
      </c>
      <c r="R943" s="43" t="n">
        <v>0</v>
      </c>
      <c r="S943" s="20" t="n">
        <v>0</v>
      </c>
    </row>
    <row r="944" customFormat="false" ht="15.75" hidden="false" customHeight="false" outlineLevel="0" collapsed="false">
      <c r="A944" s="39" t="n">
        <v>0</v>
      </c>
      <c r="B944" s="44" t="str">
        <v/>
      </c>
      <c r="C944" s="39" t="n">
        <v>0</v>
      </c>
      <c r="D944" s="39" t="n">
        <v>0</v>
      </c>
      <c r="E944" s="39" t="str">
        <v/>
      </c>
      <c r="F944" s="45" t="n">
        <v>0</v>
      </c>
      <c r="G944" s="40" t="n">
        <v>0</v>
      </c>
      <c r="H944" s="39" t="n">
        <v>0</v>
      </c>
      <c r="I944" s="49" t="b">
        <f aca="false">IF(ISBLANK(H944),"", IF($H$2:$H2443 = "Gohar Rehan","Overnight",IF($H$2:$H2443 = "Taufeeq Akhtar ","Overnight",IF($H$2:$H2443 = "Zeeshan Ali Malik","Audit",IF($H$2:$H2443 = "Ali Raza ","Receiving",IF($H$2:$H2443 = "Ali Ahmad","Full-In"))))))</f>
        <v>0</v>
      </c>
      <c r="J944" s="29"/>
      <c r="K944" s="40"/>
      <c r="L944" s="40"/>
      <c r="M944" s="41"/>
      <c r="N944" s="39" t="s">
        <v>2335</v>
      </c>
      <c r="O944" s="46" t="b">
        <f aca="false">FALSE()</f>
        <v>0</v>
      </c>
      <c r="P944" s="20" t="n">
        <v>0</v>
      </c>
      <c r="Q944" s="45" t="n">
        <v>0</v>
      </c>
      <c r="R944" s="43" t="n">
        <v>0</v>
      </c>
      <c r="S944" s="20" t="n">
        <v>0</v>
      </c>
    </row>
    <row r="945" customFormat="false" ht="15.75" hidden="false" customHeight="false" outlineLevel="0" collapsed="false">
      <c r="A945" s="39" t="n">
        <v>0</v>
      </c>
      <c r="B945" s="44" t="str">
        <v/>
      </c>
      <c r="C945" s="39" t="n">
        <v>0</v>
      </c>
      <c r="D945" s="39" t="n">
        <v>0</v>
      </c>
      <c r="E945" s="39" t="str">
        <v/>
      </c>
      <c r="F945" s="45" t="n">
        <v>0</v>
      </c>
      <c r="G945" s="40" t="n">
        <v>0</v>
      </c>
      <c r="H945" s="39" t="n">
        <v>0</v>
      </c>
      <c r="I945" s="49" t="b">
        <f aca="false">IF(ISBLANK(H945),"", IF($H$2:$H2444 = "Gohar Rehan","Overnight",IF($H$2:$H2444 = "Taufeeq Akhtar ","Overnight",IF($H$2:$H2444 = "Zeeshan Ali Malik","Audit",IF($H$2:$H2444 = "Ali Raza ","Receiving",IF($H$2:$H2444 = "Ali Ahmad","Full-In"))))))</f>
        <v>0</v>
      </c>
      <c r="J945" s="29"/>
      <c r="K945" s="40"/>
      <c r="L945" s="40"/>
      <c r="M945" s="41"/>
      <c r="N945" s="39" t="s">
        <v>2335</v>
      </c>
      <c r="O945" s="46" t="b">
        <f aca="false">FALSE()</f>
        <v>0</v>
      </c>
      <c r="P945" s="20" t="n">
        <v>0</v>
      </c>
      <c r="Q945" s="45" t="n">
        <v>0</v>
      </c>
      <c r="R945" s="43" t="n">
        <v>0</v>
      </c>
      <c r="S945" s="20" t="n">
        <v>0</v>
      </c>
    </row>
    <row r="946" customFormat="false" ht="15.75" hidden="false" customHeight="false" outlineLevel="0" collapsed="false">
      <c r="A946" s="39" t="n">
        <v>0</v>
      </c>
      <c r="B946" s="44" t="str">
        <v/>
      </c>
      <c r="C946" s="39" t="n">
        <v>0</v>
      </c>
      <c r="D946" s="39" t="n">
        <v>0</v>
      </c>
      <c r="E946" s="39" t="str">
        <v/>
      </c>
      <c r="F946" s="45" t="n">
        <v>0</v>
      </c>
      <c r="G946" s="40" t="n">
        <v>0</v>
      </c>
      <c r="H946" s="39" t="n">
        <v>0</v>
      </c>
      <c r="I946" s="49" t="b">
        <f aca="false">IF(ISBLANK(H946),"", IF($H$2:$H2445 = "Gohar Rehan","Overnight",IF($H$2:$H2445 = "Taufeeq Akhtar ","Overnight",IF($H$2:$H2445 = "Zeeshan Ali Malik","Audit",IF($H$2:$H2445 = "Ali Raza ","Receiving",IF($H$2:$H2445 = "Ali Ahmad","Full-In"))))))</f>
        <v>0</v>
      </c>
      <c r="J946" s="29"/>
      <c r="K946" s="40"/>
      <c r="L946" s="40"/>
      <c r="M946" s="41"/>
      <c r="N946" s="39" t="s">
        <v>2335</v>
      </c>
      <c r="O946" s="46" t="b">
        <f aca="false">FALSE()</f>
        <v>0</v>
      </c>
      <c r="P946" s="20" t="n">
        <v>0</v>
      </c>
      <c r="Q946" s="45" t="n">
        <v>0</v>
      </c>
      <c r="R946" s="43" t="n">
        <v>0</v>
      </c>
      <c r="S946" s="20" t="n">
        <v>0</v>
      </c>
    </row>
    <row r="947" customFormat="false" ht="15.75" hidden="false" customHeight="false" outlineLevel="0" collapsed="false">
      <c r="A947" s="39" t="n">
        <v>0</v>
      </c>
      <c r="B947" s="44" t="str">
        <v/>
      </c>
      <c r="C947" s="39" t="n">
        <v>0</v>
      </c>
      <c r="D947" s="39" t="n">
        <v>0</v>
      </c>
      <c r="E947" s="39" t="str">
        <v/>
      </c>
      <c r="F947" s="45" t="n">
        <v>0</v>
      </c>
      <c r="G947" s="40" t="n">
        <v>0</v>
      </c>
      <c r="H947" s="39" t="n">
        <v>0</v>
      </c>
      <c r="I947" s="49" t="b">
        <f aca="false">IF(ISBLANK(H947),"", IF($H$2:$H2446 = "Gohar Rehan","Overnight",IF($H$2:$H2446 = "Taufeeq Akhtar ","Overnight",IF($H$2:$H2446 = "Zeeshan Ali Malik","Audit",IF($H$2:$H2446 = "Ali Raza ","Receiving",IF($H$2:$H2446 = "Ali Ahmad","Full-In"))))))</f>
        <v>0</v>
      </c>
      <c r="J947" s="29"/>
      <c r="K947" s="40"/>
      <c r="L947" s="40"/>
      <c r="M947" s="41"/>
      <c r="N947" s="39" t="s">
        <v>2335</v>
      </c>
      <c r="O947" s="46" t="b">
        <f aca="false">FALSE()</f>
        <v>0</v>
      </c>
      <c r="P947" s="20" t="n">
        <v>0</v>
      </c>
      <c r="Q947" s="45" t="n">
        <v>0</v>
      </c>
      <c r="R947" s="43" t="n">
        <v>0</v>
      </c>
      <c r="S947" s="20" t="n">
        <v>0</v>
      </c>
    </row>
    <row r="948" customFormat="false" ht="15.75" hidden="false" customHeight="false" outlineLevel="0" collapsed="false">
      <c r="A948" s="39" t="n">
        <v>0</v>
      </c>
      <c r="B948" s="44" t="str">
        <v/>
      </c>
      <c r="C948" s="39" t="n">
        <v>0</v>
      </c>
      <c r="D948" s="39" t="n">
        <v>0</v>
      </c>
      <c r="E948" s="39" t="str">
        <v/>
      </c>
      <c r="F948" s="45" t="n">
        <v>0</v>
      </c>
      <c r="G948" s="40" t="n">
        <v>0</v>
      </c>
      <c r="H948" s="39" t="n">
        <v>0</v>
      </c>
      <c r="I948" s="49" t="b">
        <f aca="false">IF(ISBLANK(H948),"", IF($H$2:$H2447 = "Gohar Rehan","Overnight",IF($H$2:$H2447 = "Taufeeq Akhtar ","Overnight",IF($H$2:$H2447 = "Zeeshan Ali Malik","Audit",IF($H$2:$H2447 = "Ali Raza ","Receiving",IF($H$2:$H2447 = "Ali Ahmad","Full-In"))))))</f>
        <v>0</v>
      </c>
      <c r="J948" s="29"/>
      <c r="K948" s="40"/>
      <c r="L948" s="40"/>
      <c r="M948" s="41"/>
      <c r="N948" s="39" t="s">
        <v>2335</v>
      </c>
      <c r="O948" s="46" t="b">
        <f aca="false">FALSE()</f>
        <v>0</v>
      </c>
      <c r="P948" s="20" t="n">
        <v>0</v>
      </c>
      <c r="Q948" s="45" t="n">
        <v>0</v>
      </c>
      <c r="R948" s="43" t="n">
        <v>0</v>
      </c>
      <c r="S948" s="20" t="n">
        <v>0</v>
      </c>
    </row>
    <row r="949" customFormat="false" ht="15.75" hidden="false" customHeight="false" outlineLevel="0" collapsed="false">
      <c r="A949" s="39" t="n">
        <v>0</v>
      </c>
      <c r="B949" s="44" t="str">
        <v/>
      </c>
      <c r="C949" s="39" t="n">
        <v>0</v>
      </c>
      <c r="D949" s="39" t="n">
        <v>0</v>
      </c>
      <c r="E949" s="39" t="str">
        <v/>
      </c>
      <c r="F949" s="45" t="n">
        <v>0</v>
      </c>
      <c r="G949" s="40" t="n">
        <v>0</v>
      </c>
      <c r="H949" s="39" t="n">
        <v>0</v>
      </c>
      <c r="I949" s="49" t="b">
        <f aca="false">IF(ISBLANK(H949),"", IF($H$2:$H2448 = "Gohar Rehan","Overnight",IF($H$2:$H2448 = "Taufeeq Akhtar ","Overnight",IF($H$2:$H2448 = "Zeeshan Ali Malik","Audit",IF($H$2:$H2448 = "Ali Raza ","Receiving",IF($H$2:$H2448 = "Ali Ahmad","Full-In"))))))</f>
        <v>0</v>
      </c>
      <c r="J949" s="29"/>
      <c r="K949" s="40"/>
      <c r="L949" s="40"/>
      <c r="M949" s="41"/>
      <c r="N949" s="39" t="s">
        <v>2335</v>
      </c>
      <c r="O949" s="46" t="b">
        <f aca="false">FALSE()</f>
        <v>0</v>
      </c>
      <c r="P949" s="20" t="n">
        <v>0</v>
      </c>
      <c r="Q949" s="45" t="n">
        <v>0</v>
      </c>
      <c r="R949" s="43" t="n">
        <v>0</v>
      </c>
      <c r="S949" s="20" t="n">
        <v>0</v>
      </c>
    </row>
    <row r="950" customFormat="false" ht="15.75" hidden="false" customHeight="false" outlineLevel="0" collapsed="false">
      <c r="A950" s="39" t="n">
        <v>0</v>
      </c>
      <c r="B950" s="44" t="str">
        <v/>
      </c>
      <c r="C950" s="39" t="n">
        <v>0</v>
      </c>
      <c r="D950" s="39" t="n">
        <v>0</v>
      </c>
      <c r="E950" s="39" t="str">
        <v/>
      </c>
      <c r="F950" s="45" t="n">
        <v>0</v>
      </c>
      <c r="G950" s="40" t="n">
        <v>0</v>
      </c>
      <c r="H950" s="39" t="n">
        <v>0</v>
      </c>
      <c r="I950" s="49" t="b">
        <f aca="false">IF(ISBLANK(H950),"", IF($H$2:$H2449 = "Gohar Rehan","Overnight",IF($H$2:$H2449 = "Taufeeq Akhtar ","Overnight",IF($H$2:$H2449 = "Zeeshan Ali Malik","Audit",IF($H$2:$H2449 = "Ali Raza ","Receiving",IF($H$2:$H2449 = "Ali Ahmad","Full-In"))))))</f>
        <v>0</v>
      </c>
      <c r="J950" s="29"/>
      <c r="K950" s="40"/>
      <c r="L950" s="40"/>
      <c r="M950" s="41"/>
      <c r="N950" s="39" t="s">
        <v>2335</v>
      </c>
      <c r="O950" s="46" t="b">
        <f aca="false">FALSE()</f>
        <v>0</v>
      </c>
      <c r="P950" s="20" t="n">
        <v>0</v>
      </c>
      <c r="Q950" s="45" t="n">
        <v>0</v>
      </c>
      <c r="R950" s="43" t="n">
        <v>0</v>
      </c>
      <c r="S950" s="20" t="n">
        <v>0</v>
      </c>
    </row>
    <row r="951" customFormat="false" ht="15.75" hidden="false" customHeight="false" outlineLevel="0" collapsed="false">
      <c r="A951" s="39" t="n">
        <v>0</v>
      </c>
      <c r="B951" s="44" t="str">
        <v/>
      </c>
      <c r="C951" s="39" t="n">
        <v>0</v>
      </c>
      <c r="D951" s="39" t="n">
        <v>0</v>
      </c>
      <c r="E951" s="39" t="str">
        <v/>
      </c>
      <c r="F951" s="45" t="n">
        <v>0</v>
      </c>
      <c r="G951" s="40" t="n">
        <v>0</v>
      </c>
      <c r="H951" s="39" t="n">
        <v>0</v>
      </c>
      <c r="I951" s="49" t="b">
        <f aca="false">IF(ISBLANK(H951),"", IF($H$2:$H2450 = "Gohar Rehan","Overnight",IF($H$2:$H2450 = "Taufeeq Akhtar ","Overnight",IF($H$2:$H2450 = "Zeeshan Ali Malik","Audit",IF($H$2:$H2450 = "Ali Raza ","Receiving",IF($H$2:$H2450 = "Ali Ahmad","Full-In"))))))</f>
        <v>0</v>
      </c>
      <c r="J951" s="29"/>
      <c r="K951" s="40"/>
      <c r="L951" s="40"/>
      <c r="M951" s="41"/>
      <c r="N951" s="39" t="s">
        <v>2335</v>
      </c>
      <c r="O951" s="46" t="b">
        <f aca="false">FALSE()</f>
        <v>0</v>
      </c>
      <c r="P951" s="20" t="n">
        <v>0</v>
      </c>
      <c r="Q951" s="45" t="n">
        <v>0</v>
      </c>
      <c r="R951" s="43" t="n">
        <v>0</v>
      </c>
      <c r="S951" s="20" t="n">
        <v>0</v>
      </c>
    </row>
    <row r="952" customFormat="false" ht="15.75" hidden="false" customHeight="false" outlineLevel="0" collapsed="false">
      <c r="A952" s="39" t="n">
        <v>0</v>
      </c>
      <c r="B952" s="44" t="str">
        <v/>
      </c>
      <c r="C952" s="39" t="n">
        <v>0</v>
      </c>
      <c r="D952" s="39" t="n">
        <v>0</v>
      </c>
      <c r="E952" s="39" t="str">
        <v/>
      </c>
      <c r="F952" s="45" t="n">
        <v>0</v>
      </c>
      <c r="G952" s="40" t="n">
        <v>0</v>
      </c>
      <c r="H952" s="39" t="n">
        <v>0</v>
      </c>
      <c r="I952" s="49" t="b">
        <f aca="false">IF(ISBLANK(H952),"", IF($H$2:$H2451 = "Gohar Rehan","Overnight",IF($H$2:$H2451 = "Taufeeq Akhtar ","Overnight",IF($H$2:$H2451 = "Zeeshan Ali Malik","Audit",IF($H$2:$H2451 = "Ali Raza ","Receiving",IF($H$2:$H2451 = "Ali Ahmad","Full-In"))))))</f>
        <v>0</v>
      </c>
      <c r="J952" s="29"/>
      <c r="K952" s="40"/>
      <c r="L952" s="40"/>
      <c r="M952" s="41"/>
      <c r="N952" s="39" t="s">
        <v>2335</v>
      </c>
      <c r="O952" s="46" t="b">
        <f aca="false">FALSE()</f>
        <v>0</v>
      </c>
      <c r="P952" s="20" t="n">
        <v>0</v>
      </c>
      <c r="Q952" s="45" t="n">
        <v>0</v>
      </c>
      <c r="R952" s="43" t="n">
        <v>0</v>
      </c>
      <c r="S952" s="20" t="n">
        <v>0</v>
      </c>
    </row>
    <row r="953" customFormat="false" ht="15.75" hidden="false" customHeight="false" outlineLevel="0" collapsed="false">
      <c r="A953" s="39" t="n">
        <v>0</v>
      </c>
      <c r="B953" s="44" t="str">
        <v/>
      </c>
      <c r="C953" s="39" t="n">
        <v>0</v>
      </c>
      <c r="D953" s="39" t="n">
        <v>0</v>
      </c>
      <c r="E953" s="39" t="str">
        <v/>
      </c>
      <c r="F953" s="45" t="n">
        <v>0</v>
      </c>
      <c r="G953" s="40" t="n">
        <v>0</v>
      </c>
      <c r="H953" s="39" t="n">
        <v>0</v>
      </c>
      <c r="I953" s="49" t="b">
        <f aca="false">IF(ISBLANK(H953),"", IF($H$2:$H2452 = "Gohar Rehan","Overnight",IF($H$2:$H2452 = "Taufeeq Akhtar ","Overnight",IF($H$2:$H2452 = "Zeeshan Ali Malik","Audit",IF($H$2:$H2452 = "Ali Raza ","Receiving",IF($H$2:$H2452 = "Ali Ahmad","Full-In"))))))</f>
        <v>0</v>
      </c>
      <c r="J953" s="29"/>
      <c r="K953" s="40"/>
      <c r="L953" s="40"/>
      <c r="M953" s="41"/>
      <c r="N953" s="39" t="s">
        <v>2335</v>
      </c>
      <c r="O953" s="46" t="b">
        <f aca="false">FALSE()</f>
        <v>0</v>
      </c>
      <c r="P953" s="20" t="n">
        <v>0</v>
      </c>
      <c r="Q953" s="45" t="n">
        <v>0</v>
      </c>
      <c r="R953" s="43" t="n">
        <v>0</v>
      </c>
      <c r="S953" s="20" t="n">
        <v>0</v>
      </c>
    </row>
    <row r="954" customFormat="false" ht="15.75" hidden="false" customHeight="false" outlineLevel="0" collapsed="false">
      <c r="A954" s="39" t="n">
        <v>0</v>
      </c>
      <c r="B954" s="44" t="str">
        <v/>
      </c>
      <c r="C954" s="39" t="n">
        <v>0</v>
      </c>
      <c r="D954" s="39" t="n">
        <v>0</v>
      </c>
      <c r="E954" s="39" t="str">
        <v/>
      </c>
      <c r="F954" s="45" t="n">
        <v>0</v>
      </c>
      <c r="G954" s="40" t="n">
        <v>0</v>
      </c>
      <c r="H954" s="39" t="n">
        <v>0</v>
      </c>
      <c r="I954" s="49" t="b">
        <f aca="false">IF(ISBLANK(H954),"", IF($H$2:$H2453 = "Gohar Rehan","Overnight",IF($H$2:$H2453 = "Taufeeq Akhtar ","Overnight",IF($H$2:$H2453 = "Zeeshan Ali Malik","Audit",IF($H$2:$H2453 = "Ali Raza ","Receiving",IF($H$2:$H2453 = "Ali Ahmad","Full-In"))))))</f>
        <v>0</v>
      </c>
      <c r="J954" s="29"/>
      <c r="K954" s="40"/>
      <c r="L954" s="40"/>
      <c r="M954" s="41"/>
      <c r="N954" s="39" t="s">
        <v>2335</v>
      </c>
      <c r="O954" s="46" t="b">
        <f aca="false">FALSE()</f>
        <v>0</v>
      </c>
      <c r="P954" s="20" t="n">
        <v>0</v>
      </c>
      <c r="Q954" s="45" t="n">
        <v>0</v>
      </c>
      <c r="R954" s="43" t="n">
        <v>0</v>
      </c>
      <c r="S954" s="20" t="n">
        <v>0</v>
      </c>
    </row>
    <row r="955" customFormat="false" ht="15.75" hidden="false" customHeight="false" outlineLevel="0" collapsed="false">
      <c r="A955" s="39" t="n">
        <v>0</v>
      </c>
      <c r="B955" s="44" t="str">
        <v/>
      </c>
      <c r="C955" s="39" t="n">
        <v>0</v>
      </c>
      <c r="D955" s="39" t="n">
        <v>0</v>
      </c>
      <c r="E955" s="39" t="str">
        <v/>
      </c>
      <c r="F955" s="45" t="n">
        <v>0</v>
      </c>
      <c r="G955" s="40" t="n">
        <v>0</v>
      </c>
      <c r="H955" s="39" t="n">
        <v>0</v>
      </c>
      <c r="I955" s="49" t="b">
        <f aca="false">IF(ISBLANK(H955),"", IF($H$2:$H2454 = "Gohar Rehan","Overnight",IF($H$2:$H2454 = "Taufeeq Akhtar ","Overnight",IF($H$2:$H2454 = "Zeeshan Ali Malik","Audit",IF($H$2:$H2454 = "Ali Raza ","Receiving",IF($H$2:$H2454 = "Ali Ahmad","Full-In"))))))</f>
        <v>0</v>
      </c>
      <c r="J955" s="29"/>
      <c r="K955" s="40"/>
      <c r="L955" s="40"/>
      <c r="M955" s="41"/>
      <c r="N955" s="39" t="s">
        <v>2335</v>
      </c>
      <c r="O955" s="46" t="b">
        <f aca="false">FALSE()</f>
        <v>0</v>
      </c>
      <c r="P955" s="20" t="n">
        <v>0</v>
      </c>
      <c r="Q955" s="45" t="n">
        <v>0</v>
      </c>
      <c r="R955" s="43" t="n">
        <v>0</v>
      </c>
      <c r="S955" s="20" t="n">
        <v>0</v>
      </c>
    </row>
    <row r="956" customFormat="false" ht="15.75" hidden="false" customHeight="false" outlineLevel="0" collapsed="false">
      <c r="A956" s="39" t="n">
        <v>0</v>
      </c>
      <c r="B956" s="44" t="str">
        <v/>
      </c>
      <c r="C956" s="39" t="n">
        <v>0</v>
      </c>
      <c r="D956" s="39" t="n">
        <v>0</v>
      </c>
      <c r="E956" s="39" t="str">
        <v/>
      </c>
      <c r="F956" s="45" t="n">
        <v>0</v>
      </c>
      <c r="G956" s="40" t="n">
        <v>0</v>
      </c>
      <c r="H956" s="39" t="n">
        <v>0</v>
      </c>
      <c r="I956" s="49" t="b">
        <f aca="false">IF(ISBLANK(H956),"", IF($H$2:$H2455 = "Gohar Rehan","Overnight",IF($H$2:$H2455 = "Taufeeq Akhtar ","Overnight",IF($H$2:$H2455 = "Zeeshan Ali Malik","Audit",IF($H$2:$H2455 = "Ali Raza ","Receiving",IF($H$2:$H2455 = "Ali Ahmad","Full-In"))))))</f>
        <v>0</v>
      </c>
      <c r="J956" s="29"/>
      <c r="K956" s="40"/>
      <c r="L956" s="40"/>
      <c r="M956" s="41"/>
      <c r="N956" s="39" t="s">
        <v>2335</v>
      </c>
      <c r="O956" s="46" t="b">
        <f aca="false">FALSE()</f>
        <v>0</v>
      </c>
      <c r="P956" s="20" t="n">
        <v>0</v>
      </c>
      <c r="Q956" s="45" t="n">
        <v>0</v>
      </c>
      <c r="R956" s="43" t="n">
        <v>0</v>
      </c>
      <c r="S956" s="20" t="n">
        <v>0</v>
      </c>
    </row>
    <row r="957" customFormat="false" ht="15.75" hidden="false" customHeight="false" outlineLevel="0" collapsed="false">
      <c r="A957" s="39" t="n">
        <v>0</v>
      </c>
      <c r="B957" s="44" t="str">
        <v/>
      </c>
      <c r="C957" s="39" t="n">
        <v>0</v>
      </c>
      <c r="D957" s="39" t="n">
        <v>0</v>
      </c>
      <c r="E957" s="39" t="str">
        <v/>
      </c>
      <c r="F957" s="45" t="n">
        <v>0</v>
      </c>
      <c r="G957" s="40" t="n">
        <v>0</v>
      </c>
      <c r="H957" s="39" t="n">
        <v>0</v>
      </c>
      <c r="I957" s="49" t="b">
        <f aca="false">IF(ISBLANK(H957),"", IF($H$2:$H2456 = "Gohar Rehan","Overnight",IF($H$2:$H2456 = "Taufeeq Akhtar ","Overnight",IF($H$2:$H2456 = "Zeeshan Ali Malik","Audit",IF($H$2:$H2456 = "Ali Raza ","Receiving",IF($H$2:$H2456 = "Ali Ahmad","Full-In"))))))</f>
        <v>0</v>
      </c>
      <c r="J957" s="29"/>
      <c r="K957" s="40"/>
      <c r="L957" s="40"/>
      <c r="M957" s="41"/>
      <c r="N957" s="39" t="s">
        <v>2335</v>
      </c>
      <c r="O957" s="46" t="b">
        <f aca="false">FALSE()</f>
        <v>0</v>
      </c>
      <c r="P957" s="20" t="n">
        <v>0</v>
      </c>
      <c r="Q957" s="45" t="n">
        <v>0</v>
      </c>
      <c r="R957" s="43" t="n">
        <v>0</v>
      </c>
      <c r="S957" s="20" t="n">
        <v>0</v>
      </c>
    </row>
    <row r="958" customFormat="false" ht="15.75" hidden="false" customHeight="false" outlineLevel="0" collapsed="false">
      <c r="A958" s="39" t="n">
        <v>0</v>
      </c>
      <c r="B958" s="44" t="str">
        <v/>
      </c>
      <c r="C958" s="39" t="n">
        <v>0</v>
      </c>
      <c r="D958" s="39" t="n">
        <v>0</v>
      </c>
      <c r="E958" s="39" t="str">
        <v/>
      </c>
      <c r="F958" s="45" t="n">
        <v>0</v>
      </c>
      <c r="G958" s="40" t="n">
        <v>0</v>
      </c>
      <c r="H958" s="39" t="n">
        <v>0</v>
      </c>
      <c r="I958" s="49" t="b">
        <f aca="false">IF(ISBLANK(H958),"", IF($H$2:$H2457 = "Gohar Rehan","Overnight",IF($H$2:$H2457 = "Taufeeq Akhtar ","Overnight",IF($H$2:$H2457 = "Zeeshan Ali Malik","Audit",IF($H$2:$H2457 = "Ali Raza ","Receiving",IF($H$2:$H2457 = "Ali Ahmad","Full-In"))))))</f>
        <v>0</v>
      </c>
      <c r="J958" s="29"/>
      <c r="K958" s="40"/>
      <c r="L958" s="40"/>
      <c r="M958" s="41"/>
      <c r="N958" s="39" t="s">
        <v>2335</v>
      </c>
      <c r="O958" s="46" t="b">
        <f aca="false">FALSE()</f>
        <v>0</v>
      </c>
      <c r="P958" s="20" t="n">
        <v>0</v>
      </c>
      <c r="Q958" s="45" t="n">
        <v>0</v>
      </c>
      <c r="R958" s="43" t="n">
        <v>0</v>
      </c>
      <c r="S958" s="20" t="n">
        <v>0</v>
      </c>
    </row>
    <row r="959" customFormat="false" ht="15.75" hidden="false" customHeight="false" outlineLevel="0" collapsed="false">
      <c r="A959" s="39" t="n">
        <v>0</v>
      </c>
      <c r="B959" s="44" t="str">
        <v/>
      </c>
      <c r="C959" s="39" t="n">
        <v>0</v>
      </c>
      <c r="D959" s="39" t="n">
        <v>0</v>
      </c>
      <c r="E959" s="39" t="str">
        <v/>
      </c>
      <c r="F959" s="45" t="n">
        <v>0</v>
      </c>
      <c r="G959" s="40" t="n">
        <v>0</v>
      </c>
      <c r="H959" s="39" t="n">
        <v>0</v>
      </c>
      <c r="I959" s="49" t="b">
        <f aca="false">IF(ISBLANK(H959),"", IF($H$2:$H2458 = "Gohar Rehan","Overnight",IF($H$2:$H2458 = "Taufeeq Akhtar ","Overnight",IF($H$2:$H2458 = "Zeeshan Ali Malik","Audit",IF($H$2:$H2458 = "Ali Raza ","Receiving",IF($H$2:$H2458 = "Ali Ahmad","Full-In"))))))</f>
        <v>0</v>
      </c>
      <c r="J959" s="29"/>
      <c r="K959" s="40"/>
      <c r="L959" s="40"/>
      <c r="M959" s="41"/>
      <c r="N959" s="39" t="s">
        <v>2335</v>
      </c>
      <c r="O959" s="46" t="b">
        <f aca="false">FALSE()</f>
        <v>0</v>
      </c>
      <c r="P959" s="20" t="n">
        <v>0</v>
      </c>
      <c r="Q959" s="45" t="n">
        <v>0</v>
      </c>
      <c r="R959" s="43" t="n">
        <v>0</v>
      </c>
      <c r="S959" s="20" t="n">
        <v>0</v>
      </c>
    </row>
    <row r="960" customFormat="false" ht="15.75" hidden="false" customHeight="false" outlineLevel="0" collapsed="false">
      <c r="A960" s="39" t="n">
        <v>0</v>
      </c>
      <c r="B960" s="44" t="str">
        <v/>
      </c>
      <c r="C960" s="39" t="n">
        <v>0</v>
      </c>
      <c r="D960" s="39" t="n">
        <v>0</v>
      </c>
      <c r="E960" s="39" t="str">
        <v/>
      </c>
      <c r="F960" s="45" t="n">
        <v>0</v>
      </c>
      <c r="G960" s="40" t="n">
        <v>0</v>
      </c>
      <c r="H960" s="39" t="n">
        <v>0</v>
      </c>
      <c r="I960" s="49" t="b">
        <f aca="false">IF(ISBLANK(H960),"", IF($H$2:$H2459 = "Gohar Rehan","Overnight",IF($H$2:$H2459 = "Taufeeq Akhtar ","Overnight",IF($H$2:$H2459 = "Zeeshan Ali Malik","Audit",IF($H$2:$H2459 = "Ali Raza ","Receiving",IF($H$2:$H2459 = "Ali Ahmad","Full-In"))))))</f>
        <v>0</v>
      </c>
      <c r="J960" s="29"/>
      <c r="K960" s="40"/>
      <c r="L960" s="40"/>
      <c r="M960" s="41"/>
      <c r="N960" s="39" t="s">
        <v>2335</v>
      </c>
      <c r="O960" s="46" t="b">
        <f aca="false">FALSE()</f>
        <v>0</v>
      </c>
      <c r="P960" s="20" t="n">
        <v>0</v>
      </c>
      <c r="Q960" s="45" t="n">
        <v>0</v>
      </c>
      <c r="R960" s="43" t="n">
        <v>0</v>
      </c>
      <c r="S960" s="20" t="n">
        <v>0</v>
      </c>
    </row>
    <row r="961" customFormat="false" ht="15.75" hidden="false" customHeight="false" outlineLevel="0" collapsed="false">
      <c r="A961" s="39" t="n">
        <v>0</v>
      </c>
      <c r="B961" s="44" t="str">
        <v/>
      </c>
      <c r="C961" s="39" t="n">
        <v>0</v>
      </c>
      <c r="D961" s="39" t="n">
        <v>0</v>
      </c>
      <c r="E961" s="39" t="str">
        <v/>
      </c>
      <c r="F961" s="45" t="n">
        <v>0</v>
      </c>
      <c r="G961" s="40" t="n">
        <v>0</v>
      </c>
      <c r="H961" s="39" t="n">
        <v>0</v>
      </c>
      <c r="I961" s="49" t="b">
        <f aca="false">IF(ISBLANK(H961),"", IF($H$2:$H2460 = "Gohar Rehan","Overnight",IF($H$2:$H2460 = "Taufeeq Akhtar ","Overnight",IF($H$2:$H2460 = "Zeeshan Ali Malik","Audit",IF($H$2:$H2460 = "Ali Raza ","Receiving",IF($H$2:$H2460 = "Ali Ahmad","Full-In"))))))</f>
        <v>0</v>
      </c>
      <c r="J961" s="29"/>
      <c r="K961" s="40"/>
      <c r="L961" s="40"/>
      <c r="M961" s="41"/>
      <c r="N961" s="39" t="s">
        <v>2335</v>
      </c>
      <c r="O961" s="46" t="b">
        <f aca="false">FALSE()</f>
        <v>0</v>
      </c>
      <c r="P961" s="20" t="n">
        <v>0</v>
      </c>
      <c r="Q961" s="45" t="n">
        <v>0</v>
      </c>
      <c r="R961" s="43" t="n">
        <v>0</v>
      </c>
      <c r="S961" s="20" t="n">
        <v>0</v>
      </c>
    </row>
    <row r="962" customFormat="false" ht="15.75" hidden="false" customHeight="false" outlineLevel="0" collapsed="false">
      <c r="A962" s="39" t="n">
        <v>0</v>
      </c>
      <c r="B962" s="44" t="str">
        <v/>
      </c>
      <c r="C962" s="39" t="n">
        <v>0</v>
      </c>
      <c r="D962" s="39" t="n">
        <v>0</v>
      </c>
      <c r="E962" s="39" t="str">
        <v/>
      </c>
      <c r="F962" s="45" t="n">
        <v>0</v>
      </c>
      <c r="G962" s="40" t="n">
        <v>0</v>
      </c>
      <c r="H962" s="39" t="n">
        <v>0</v>
      </c>
      <c r="I962" s="49" t="b">
        <f aca="false">IF(ISBLANK(H962),"", IF($H$2:$H2461 = "Gohar Rehan","Overnight",IF($H$2:$H2461 = "Taufeeq Akhtar ","Overnight",IF($H$2:$H2461 = "Zeeshan Ali Malik","Audit",IF($H$2:$H2461 = "Ali Raza ","Receiving",IF($H$2:$H2461 = "Ali Ahmad","Full-In"))))))</f>
        <v>0</v>
      </c>
      <c r="J962" s="29"/>
      <c r="K962" s="40"/>
      <c r="L962" s="40"/>
      <c r="M962" s="41"/>
      <c r="N962" s="39" t="s">
        <v>2335</v>
      </c>
      <c r="O962" s="46" t="b">
        <f aca="false">FALSE()</f>
        <v>0</v>
      </c>
      <c r="P962" s="20" t="n">
        <v>0</v>
      </c>
      <c r="Q962" s="45" t="n">
        <v>0</v>
      </c>
      <c r="R962" s="43" t="n">
        <v>0</v>
      </c>
      <c r="S962" s="20" t="n">
        <v>0</v>
      </c>
    </row>
    <row r="963" customFormat="false" ht="15.75" hidden="false" customHeight="false" outlineLevel="0" collapsed="false">
      <c r="A963" s="39" t="n">
        <v>0</v>
      </c>
      <c r="B963" s="44" t="str">
        <v/>
      </c>
      <c r="C963" s="39" t="n">
        <v>0</v>
      </c>
      <c r="D963" s="39" t="n">
        <v>0</v>
      </c>
      <c r="E963" s="39" t="str">
        <v/>
      </c>
      <c r="F963" s="45" t="n">
        <v>0</v>
      </c>
      <c r="G963" s="40" t="n">
        <v>0</v>
      </c>
      <c r="H963" s="39" t="n">
        <v>0</v>
      </c>
      <c r="I963" s="49" t="b">
        <f aca="false">IF(ISBLANK(H963),"", IF($H$2:$H2462 = "Gohar Rehan","Overnight",IF($H$2:$H2462 = "Taufeeq Akhtar ","Overnight",IF($H$2:$H2462 = "Zeeshan Ali Malik","Audit",IF($H$2:$H2462 = "Ali Raza ","Receiving",IF($H$2:$H2462 = "Ali Ahmad","Full-In"))))))</f>
        <v>0</v>
      </c>
      <c r="J963" s="29"/>
      <c r="K963" s="40"/>
      <c r="L963" s="40"/>
      <c r="M963" s="41"/>
      <c r="N963" s="39" t="s">
        <v>2335</v>
      </c>
      <c r="O963" s="46" t="b">
        <f aca="false">FALSE()</f>
        <v>0</v>
      </c>
      <c r="P963" s="20" t="n">
        <v>0</v>
      </c>
      <c r="Q963" s="45" t="n">
        <v>0</v>
      </c>
      <c r="R963" s="43" t="n">
        <v>0</v>
      </c>
      <c r="S963" s="20" t="n">
        <v>0</v>
      </c>
    </row>
    <row r="964" customFormat="false" ht="15.75" hidden="false" customHeight="false" outlineLevel="0" collapsed="false">
      <c r="A964" s="39" t="n">
        <v>0</v>
      </c>
      <c r="B964" s="44" t="str">
        <v/>
      </c>
      <c r="C964" s="39" t="n">
        <v>0</v>
      </c>
      <c r="D964" s="39" t="n">
        <v>0</v>
      </c>
      <c r="E964" s="39" t="str">
        <v/>
      </c>
      <c r="F964" s="45" t="n">
        <v>0</v>
      </c>
      <c r="G964" s="40" t="n">
        <v>0</v>
      </c>
      <c r="H964" s="39" t="n">
        <v>0</v>
      </c>
      <c r="I964" s="49" t="b">
        <f aca="false">IF(ISBLANK(H964),"", IF($H$2:$H2463 = "Gohar Rehan","Overnight",IF($H$2:$H2463 = "Taufeeq Akhtar ","Overnight",IF($H$2:$H2463 = "Zeeshan Ali Malik","Audit",IF($H$2:$H2463 = "Ali Raza ","Receiving",IF($H$2:$H2463 = "Ali Ahmad","Full-In"))))))</f>
        <v>0</v>
      </c>
      <c r="J964" s="29"/>
      <c r="K964" s="40"/>
      <c r="L964" s="40"/>
      <c r="M964" s="41"/>
      <c r="N964" s="39" t="s">
        <v>2335</v>
      </c>
      <c r="O964" s="46" t="b">
        <f aca="false">FALSE()</f>
        <v>0</v>
      </c>
      <c r="P964" s="20" t="n">
        <v>0</v>
      </c>
      <c r="Q964" s="45" t="n">
        <v>0</v>
      </c>
      <c r="R964" s="43" t="n">
        <v>0</v>
      </c>
      <c r="S964" s="20" t="n">
        <v>0</v>
      </c>
    </row>
    <row r="965" customFormat="false" ht="15.75" hidden="false" customHeight="false" outlineLevel="0" collapsed="false">
      <c r="A965" s="39" t="n">
        <v>0</v>
      </c>
      <c r="B965" s="44" t="str">
        <v/>
      </c>
      <c r="C965" s="39" t="n">
        <v>0</v>
      </c>
      <c r="D965" s="39" t="n">
        <v>0</v>
      </c>
      <c r="E965" s="39" t="str">
        <v/>
      </c>
      <c r="F965" s="45" t="n">
        <v>0</v>
      </c>
      <c r="G965" s="40" t="n">
        <v>0</v>
      </c>
      <c r="H965" s="39" t="n">
        <v>0</v>
      </c>
      <c r="I965" s="49" t="b">
        <f aca="false">IF(ISBLANK(H965),"", IF($H$2:$H2464 = "Gohar Rehan","Overnight",IF($H$2:$H2464 = "Taufeeq Akhtar ","Overnight",IF($H$2:$H2464 = "Zeeshan Ali Malik","Audit",IF($H$2:$H2464 = "Ali Raza ","Receiving",IF($H$2:$H2464 = "Ali Ahmad","Full-In"))))))</f>
        <v>0</v>
      </c>
      <c r="J965" s="29"/>
      <c r="K965" s="40"/>
      <c r="L965" s="40"/>
      <c r="M965" s="41"/>
      <c r="N965" s="39" t="s">
        <v>2335</v>
      </c>
      <c r="O965" s="46" t="b">
        <f aca="false">FALSE()</f>
        <v>0</v>
      </c>
      <c r="P965" s="20" t="n">
        <v>0</v>
      </c>
      <c r="Q965" s="45" t="n">
        <v>0</v>
      </c>
      <c r="R965" s="43" t="n">
        <v>0</v>
      </c>
      <c r="S965" s="20" t="n">
        <v>0</v>
      </c>
    </row>
    <row r="966" customFormat="false" ht="15.75" hidden="false" customHeight="false" outlineLevel="0" collapsed="false">
      <c r="A966" s="39" t="n">
        <v>0</v>
      </c>
      <c r="B966" s="44" t="str">
        <v/>
      </c>
      <c r="C966" s="39" t="n">
        <v>0</v>
      </c>
      <c r="D966" s="39" t="n">
        <v>0</v>
      </c>
      <c r="E966" s="39" t="str">
        <v/>
      </c>
      <c r="F966" s="45" t="n">
        <v>0</v>
      </c>
      <c r="G966" s="40" t="n">
        <v>0</v>
      </c>
      <c r="H966" s="39" t="n">
        <v>0</v>
      </c>
      <c r="I966" s="49" t="b">
        <f aca="false">IF(ISBLANK(H966),"", IF($H$2:$H2465 = "Gohar Rehan","Overnight",IF($H$2:$H2465 = "Taufeeq Akhtar ","Overnight",IF($H$2:$H2465 = "Zeeshan Ali Malik","Audit",IF($H$2:$H2465 = "Ali Raza ","Receiving",IF($H$2:$H2465 = "Ali Ahmad","Full-In"))))))</f>
        <v>0</v>
      </c>
      <c r="J966" s="29"/>
      <c r="K966" s="40"/>
      <c r="L966" s="40"/>
      <c r="M966" s="41"/>
      <c r="N966" s="39" t="s">
        <v>2335</v>
      </c>
      <c r="O966" s="46" t="b">
        <f aca="false">FALSE()</f>
        <v>0</v>
      </c>
      <c r="P966" s="20" t="n">
        <v>0</v>
      </c>
      <c r="Q966" s="45" t="n">
        <v>0</v>
      </c>
      <c r="R966" s="43" t="n">
        <v>0</v>
      </c>
      <c r="S966" s="20" t="n">
        <v>0</v>
      </c>
    </row>
    <row r="967" customFormat="false" ht="15.75" hidden="false" customHeight="false" outlineLevel="0" collapsed="false">
      <c r="A967" s="39" t="n">
        <v>0</v>
      </c>
      <c r="B967" s="44" t="str">
        <v/>
      </c>
      <c r="C967" s="39" t="n">
        <v>0</v>
      </c>
      <c r="D967" s="39" t="n">
        <v>0</v>
      </c>
      <c r="E967" s="39" t="str">
        <v/>
      </c>
      <c r="F967" s="45" t="n">
        <v>0</v>
      </c>
      <c r="G967" s="40" t="n">
        <v>0</v>
      </c>
      <c r="H967" s="39" t="n">
        <v>0</v>
      </c>
      <c r="I967" s="49" t="b">
        <f aca="false">IF(ISBLANK(H967),"", IF($H$2:$H2466 = "Gohar Rehan","Overnight",IF($H$2:$H2466 = "Taufeeq Akhtar ","Overnight",IF($H$2:$H2466 = "Zeeshan Ali Malik","Audit",IF($H$2:$H2466 = "Ali Raza ","Receiving",IF($H$2:$H2466 = "Ali Ahmad","Full-In"))))))</f>
        <v>0</v>
      </c>
      <c r="J967" s="29"/>
      <c r="K967" s="40"/>
      <c r="L967" s="40"/>
      <c r="M967" s="41"/>
      <c r="N967" s="39" t="s">
        <v>2335</v>
      </c>
      <c r="O967" s="46" t="b">
        <f aca="false">FALSE()</f>
        <v>0</v>
      </c>
      <c r="P967" s="20" t="n">
        <v>0</v>
      </c>
      <c r="Q967" s="45" t="n">
        <v>0</v>
      </c>
      <c r="R967" s="43" t="n">
        <v>0</v>
      </c>
      <c r="S967" s="20" t="n">
        <v>0</v>
      </c>
    </row>
    <row r="968" customFormat="false" ht="15.75" hidden="false" customHeight="false" outlineLevel="0" collapsed="false">
      <c r="A968" s="39" t="n">
        <v>0</v>
      </c>
      <c r="B968" s="44" t="str">
        <v/>
      </c>
      <c r="C968" s="39" t="n">
        <v>0</v>
      </c>
      <c r="D968" s="39" t="n">
        <v>0</v>
      </c>
      <c r="E968" s="39" t="str">
        <v/>
      </c>
      <c r="F968" s="45" t="n">
        <v>0</v>
      </c>
      <c r="G968" s="40" t="n">
        <v>0</v>
      </c>
      <c r="H968" s="39" t="n">
        <v>0</v>
      </c>
      <c r="I968" s="49" t="b">
        <f aca="false">IF(ISBLANK(H968),"", IF($H$2:$H2467 = "Gohar Rehan","Overnight",IF($H$2:$H2467 = "Taufeeq Akhtar ","Overnight",IF($H$2:$H2467 = "Zeeshan Ali Malik","Audit",IF($H$2:$H2467 = "Ali Raza ","Receiving",IF($H$2:$H2467 = "Ali Ahmad","Full-In"))))))</f>
        <v>0</v>
      </c>
      <c r="J968" s="29"/>
      <c r="K968" s="40"/>
      <c r="L968" s="40"/>
      <c r="M968" s="41"/>
      <c r="N968" s="39" t="s">
        <v>2335</v>
      </c>
      <c r="O968" s="46" t="b">
        <f aca="false">FALSE()</f>
        <v>0</v>
      </c>
      <c r="P968" s="20" t="n">
        <v>0</v>
      </c>
      <c r="Q968" s="45" t="n">
        <v>0</v>
      </c>
      <c r="R968" s="43" t="n">
        <v>0</v>
      </c>
      <c r="S968" s="20" t="n">
        <v>0</v>
      </c>
    </row>
    <row r="969" customFormat="false" ht="15.75" hidden="false" customHeight="false" outlineLevel="0" collapsed="false">
      <c r="A969" s="39" t="n">
        <v>0</v>
      </c>
      <c r="B969" s="44" t="str">
        <v/>
      </c>
      <c r="C969" s="39" t="n">
        <v>0</v>
      </c>
      <c r="D969" s="39" t="n">
        <v>0</v>
      </c>
      <c r="E969" s="39" t="str">
        <v/>
      </c>
      <c r="F969" s="45" t="n">
        <v>0</v>
      </c>
      <c r="G969" s="40" t="n">
        <v>0</v>
      </c>
      <c r="H969" s="39" t="n">
        <v>0</v>
      </c>
      <c r="I969" s="49" t="b">
        <f aca="false">IF(ISBLANK(H969),"", IF($H$2:$H2468 = "Gohar Rehan","Overnight",IF($H$2:$H2468 = "Taufeeq Akhtar ","Overnight",IF($H$2:$H2468 = "Zeeshan Ali Malik","Audit",IF($H$2:$H2468 = "Ali Raza ","Receiving",IF($H$2:$H2468 = "Ali Ahmad","Full-In"))))))</f>
        <v>0</v>
      </c>
      <c r="J969" s="29"/>
      <c r="K969" s="40"/>
      <c r="L969" s="40"/>
      <c r="M969" s="41"/>
      <c r="N969" s="39" t="s">
        <v>2335</v>
      </c>
      <c r="O969" s="46" t="b">
        <f aca="false">FALSE()</f>
        <v>0</v>
      </c>
      <c r="P969" s="20" t="n">
        <v>0</v>
      </c>
      <c r="Q969" s="45" t="n">
        <v>0</v>
      </c>
      <c r="R969" s="43" t="n">
        <v>0</v>
      </c>
      <c r="S969" s="20" t="n">
        <v>0</v>
      </c>
    </row>
    <row r="970" customFormat="false" ht="15.75" hidden="false" customHeight="false" outlineLevel="0" collapsed="false">
      <c r="A970" s="39" t="n">
        <v>0</v>
      </c>
      <c r="B970" s="44" t="str">
        <v/>
      </c>
      <c r="C970" s="39" t="n">
        <v>0</v>
      </c>
      <c r="D970" s="39" t="n">
        <v>0</v>
      </c>
      <c r="E970" s="39" t="str">
        <v/>
      </c>
      <c r="F970" s="45" t="n">
        <v>0</v>
      </c>
      <c r="G970" s="40" t="n">
        <v>0</v>
      </c>
      <c r="H970" s="39" t="n">
        <v>0</v>
      </c>
      <c r="I970" s="49" t="b">
        <f aca="false">IF(ISBLANK(H970),"", IF($H$2:$H2469 = "Gohar Rehan","Overnight",IF($H$2:$H2469 = "Taufeeq Akhtar ","Overnight",IF($H$2:$H2469 = "Zeeshan Ali Malik","Audit",IF($H$2:$H2469 = "Ali Raza ","Receiving",IF($H$2:$H2469 = "Ali Ahmad","Full-In"))))))</f>
        <v>0</v>
      </c>
      <c r="J970" s="29"/>
      <c r="K970" s="40"/>
      <c r="L970" s="40"/>
      <c r="M970" s="41"/>
      <c r="N970" s="39" t="s">
        <v>2335</v>
      </c>
      <c r="O970" s="46" t="b">
        <f aca="false">FALSE()</f>
        <v>0</v>
      </c>
      <c r="P970" s="20" t="n">
        <v>0</v>
      </c>
      <c r="Q970" s="45" t="n">
        <v>0</v>
      </c>
      <c r="R970" s="43" t="n">
        <v>0</v>
      </c>
      <c r="S970" s="20" t="n">
        <v>0</v>
      </c>
    </row>
    <row r="971" customFormat="false" ht="15.75" hidden="false" customHeight="false" outlineLevel="0" collapsed="false">
      <c r="A971" s="39" t="n">
        <v>0</v>
      </c>
      <c r="B971" s="44" t="str">
        <v/>
      </c>
      <c r="C971" s="39" t="n">
        <v>0</v>
      </c>
      <c r="D971" s="39" t="n">
        <v>0</v>
      </c>
      <c r="E971" s="39" t="str">
        <v/>
      </c>
      <c r="F971" s="45" t="n">
        <v>0</v>
      </c>
      <c r="G971" s="40" t="n">
        <v>0</v>
      </c>
      <c r="H971" s="39" t="n">
        <v>0</v>
      </c>
      <c r="I971" s="49" t="b">
        <f aca="false">IF(ISBLANK(H971),"", IF($H$2:$H2470 = "Gohar Rehan","Overnight",IF($H$2:$H2470 = "Taufeeq Akhtar ","Overnight",IF($H$2:$H2470 = "Zeeshan Ali Malik","Audit",IF($H$2:$H2470 = "Ali Raza ","Receiving",IF($H$2:$H2470 = "Ali Ahmad","Full-In"))))))</f>
        <v>0</v>
      </c>
      <c r="J971" s="29"/>
      <c r="K971" s="40"/>
      <c r="L971" s="40"/>
      <c r="M971" s="41"/>
      <c r="N971" s="39" t="s">
        <v>2335</v>
      </c>
      <c r="O971" s="46" t="b">
        <f aca="false">FALSE()</f>
        <v>0</v>
      </c>
      <c r="P971" s="20" t="n">
        <v>0</v>
      </c>
      <c r="Q971" s="45" t="n">
        <v>0</v>
      </c>
      <c r="R971" s="43" t="n">
        <v>0</v>
      </c>
      <c r="S971" s="20" t="n">
        <v>0</v>
      </c>
    </row>
    <row r="972" customFormat="false" ht="15.75" hidden="false" customHeight="false" outlineLevel="0" collapsed="false">
      <c r="A972" s="39" t="n">
        <v>0</v>
      </c>
      <c r="B972" s="44" t="str">
        <v/>
      </c>
      <c r="C972" s="39" t="n">
        <v>0</v>
      </c>
      <c r="D972" s="39" t="n">
        <v>0</v>
      </c>
      <c r="E972" s="39" t="str">
        <v/>
      </c>
      <c r="F972" s="45" t="n">
        <v>0</v>
      </c>
      <c r="G972" s="40" t="n">
        <v>0</v>
      </c>
      <c r="H972" s="39" t="n">
        <v>0</v>
      </c>
      <c r="I972" s="49" t="b">
        <f aca="false">IF(ISBLANK(H972),"", IF($H$2:$H2471 = "Gohar Rehan","Overnight",IF($H$2:$H2471 = "Taufeeq Akhtar ","Overnight",IF($H$2:$H2471 = "Zeeshan Ali Malik","Audit",IF($H$2:$H2471 = "Ali Raza ","Receiving",IF($H$2:$H2471 = "Ali Ahmad","Full-In"))))))</f>
        <v>0</v>
      </c>
      <c r="J972" s="29"/>
      <c r="K972" s="40"/>
      <c r="L972" s="40"/>
      <c r="M972" s="41"/>
      <c r="N972" s="39" t="s">
        <v>2335</v>
      </c>
      <c r="O972" s="46" t="b">
        <f aca="false">FALSE()</f>
        <v>0</v>
      </c>
      <c r="P972" s="20" t="n">
        <v>0</v>
      </c>
      <c r="Q972" s="45" t="n">
        <v>0</v>
      </c>
      <c r="R972" s="43" t="n">
        <v>0</v>
      </c>
      <c r="S972" s="20" t="n">
        <v>0</v>
      </c>
    </row>
    <row r="973" customFormat="false" ht="15.75" hidden="false" customHeight="false" outlineLevel="0" collapsed="false">
      <c r="A973" s="39" t="n">
        <v>0</v>
      </c>
      <c r="B973" s="44" t="str">
        <v/>
      </c>
      <c r="C973" s="39" t="n">
        <v>0</v>
      </c>
      <c r="D973" s="39" t="n">
        <v>0</v>
      </c>
      <c r="E973" s="39" t="str">
        <v/>
      </c>
      <c r="F973" s="45" t="n">
        <v>0</v>
      </c>
      <c r="G973" s="40" t="n">
        <v>0</v>
      </c>
      <c r="H973" s="39" t="n">
        <v>0</v>
      </c>
      <c r="I973" s="49" t="b">
        <f aca="false">IF(ISBLANK(H973),"", IF($H$2:$H2472 = "Gohar Rehan","Overnight",IF($H$2:$H2472 = "Taufeeq Akhtar ","Overnight",IF($H$2:$H2472 = "Zeeshan Ali Malik","Audit",IF($H$2:$H2472 = "Ali Raza ","Receiving",IF($H$2:$H2472 = "Ali Ahmad","Full-In"))))))</f>
        <v>0</v>
      </c>
      <c r="J973" s="29"/>
      <c r="K973" s="40"/>
      <c r="L973" s="40"/>
      <c r="M973" s="41"/>
      <c r="N973" s="39" t="s">
        <v>2335</v>
      </c>
      <c r="O973" s="46" t="b">
        <f aca="false">FALSE()</f>
        <v>0</v>
      </c>
      <c r="P973" s="20" t="n">
        <v>0</v>
      </c>
      <c r="Q973" s="45" t="n">
        <v>0</v>
      </c>
      <c r="R973" s="43" t="n">
        <v>0</v>
      </c>
      <c r="S973" s="20" t="n">
        <v>0</v>
      </c>
    </row>
    <row r="974" customFormat="false" ht="15.75" hidden="false" customHeight="false" outlineLevel="0" collapsed="false">
      <c r="A974" s="39" t="n">
        <v>0</v>
      </c>
      <c r="B974" s="44" t="str">
        <v/>
      </c>
      <c r="C974" s="39" t="n">
        <v>0</v>
      </c>
      <c r="D974" s="39" t="n">
        <v>0</v>
      </c>
      <c r="E974" s="39" t="str">
        <v/>
      </c>
      <c r="F974" s="45" t="n">
        <v>0</v>
      </c>
      <c r="G974" s="40" t="n">
        <v>0</v>
      </c>
      <c r="H974" s="39" t="n">
        <v>0</v>
      </c>
      <c r="I974" s="49" t="b">
        <f aca="false">IF(ISBLANK(H974),"", IF($H$2:$H2473 = "Gohar Rehan","Overnight",IF($H$2:$H2473 = "Taufeeq Akhtar ","Overnight",IF($H$2:$H2473 = "Zeeshan Ali Malik","Audit",IF($H$2:$H2473 = "Ali Raza ","Receiving",IF($H$2:$H2473 = "Ali Ahmad","Full-In"))))))</f>
        <v>0</v>
      </c>
      <c r="J974" s="29"/>
      <c r="K974" s="40"/>
      <c r="L974" s="40"/>
      <c r="M974" s="41"/>
      <c r="N974" s="39" t="s">
        <v>2335</v>
      </c>
      <c r="O974" s="46" t="b">
        <f aca="false">FALSE()</f>
        <v>0</v>
      </c>
      <c r="P974" s="20" t="n">
        <v>0</v>
      </c>
      <c r="Q974" s="45" t="n">
        <v>0</v>
      </c>
      <c r="R974" s="43" t="n">
        <v>0</v>
      </c>
      <c r="S974" s="20" t="n">
        <v>0</v>
      </c>
    </row>
    <row r="975" customFormat="false" ht="15.75" hidden="false" customHeight="false" outlineLevel="0" collapsed="false">
      <c r="A975" s="39" t="n">
        <v>0</v>
      </c>
      <c r="B975" s="44" t="str">
        <v/>
      </c>
      <c r="C975" s="39" t="n">
        <v>0</v>
      </c>
      <c r="D975" s="39" t="n">
        <v>0</v>
      </c>
      <c r="E975" s="39" t="str">
        <v/>
      </c>
      <c r="F975" s="45" t="n">
        <v>0</v>
      </c>
      <c r="G975" s="40" t="n">
        <v>0</v>
      </c>
      <c r="H975" s="39" t="n">
        <v>0</v>
      </c>
      <c r="I975" s="49" t="b">
        <f aca="false">IF(ISBLANK(H975),"", IF($H$2:$H2474 = "Gohar Rehan","Overnight",IF($H$2:$H2474 = "Taufeeq Akhtar ","Overnight",IF($H$2:$H2474 = "Zeeshan Ali Malik","Audit",IF($H$2:$H2474 = "Ali Raza ","Receiving",IF($H$2:$H2474 = "Ali Ahmad","Full-In"))))))</f>
        <v>0</v>
      </c>
      <c r="J975" s="29"/>
      <c r="K975" s="40"/>
      <c r="L975" s="40"/>
      <c r="M975" s="41"/>
      <c r="N975" s="39" t="s">
        <v>2335</v>
      </c>
      <c r="O975" s="46" t="b">
        <f aca="false">FALSE()</f>
        <v>0</v>
      </c>
      <c r="P975" s="20" t="n">
        <v>0</v>
      </c>
      <c r="Q975" s="45" t="n">
        <v>0</v>
      </c>
      <c r="R975" s="43" t="n">
        <v>0</v>
      </c>
      <c r="S975" s="20" t="n">
        <v>0</v>
      </c>
    </row>
    <row r="976" customFormat="false" ht="15.75" hidden="false" customHeight="false" outlineLevel="0" collapsed="false">
      <c r="A976" s="39" t="n">
        <v>0</v>
      </c>
      <c r="B976" s="44" t="str">
        <v/>
      </c>
      <c r="C976" s="39" t="n">
        <v>0</v>
      </c>
      <c r="D976" s="39" t="n">
        <v>0</v>
      </c>
      <c r="E976" s="39" t="str">
        <v/>
      </c>
      <c r="F976" s="45" t="n">
        <v>0</v>
      </c>
      <c r="G976" s="40" t="n">
        <v>0</v>
      </c>
      <c r="H976" s="39" t="n">
        <v>0</v>
      </c>
      <c r="I976" s="49" t="b">
        <f aca="false">IF(ISBLANK(H976),"", IF($H$2:$H2475 = "Gohar Rehan","Overnight",IF($H$2:$H2475 = "Taufeeq Akhtar ","Overnight",IF($H$2:$H2475 = "Zeeshan Ali Malik","Audit",IF($H$2:$H2475 = "Ali Raza ","Receiving",IF($H$2:$H2475 = "Ali Ahmad","Full-In"))))))</f>
        <v>0</v>
      </c>
      <c r="J976" s="29"/>
      <c r="K976" s="40"/>
      <c r="L976" s="40"/>
      <c r="M976" s="41"/>
      <c r="N976" s="39" t="s">
        <v>2335</v>
      </c>
      <c r="O976" s="46" t="b">
        <f aca="false">FALSE()</f>
        <v>0</v>
      </c>
      <c r="P976" s="20" t="n">
        <v>0</v>
      </c>
      <c r="Q976" s="45" t="n">
        <v>0</v>
      </c>
      <c r="R976" s="43" t="n">
        <v>0</v>
      </c>
      <c r="S976" s="20" t="n">
        <v>0</v>
      </c>
    </row>
    <row r="977" customFormat="false" ht="15.75" hidden="false" customHeight="false" outlineLevel="0" collapsed="false">
      <c r="A977" s="39" t="n">
        <v>0</v>
      </c>
      <c r="B977" s="44" t="str">
        <v/>
      </c>
      <c r="C977" s="39" t="n">
        <v>0</v>
      </c>
      <c r="D977" s="39" t="n">
        <v>0</v>
      </c>
      <c r="E977" s="39" t="str">
        <v/>
      </c>
      <c r="F977" s="45" t="n">
        <v>0</v>
      </c>
      <c r="G977" s="40" t="n">
        <v>0</v>
      </c>
      <c r="H977" s="39" t="n">
        <v>0</v>
      </c>
      <c r="I977" s="49" t="b">
        <f aca="false">IF(ISBLANK(H977),"", IF($H$2:$H2476 = "Gohar Rehan","Overnight",IF($H$2:$H2476 = "Taufeeq Akhtar ","Overnight",IF($H$2:$H2476 = "Zeeshan Ali Malik","Audit",IF($H$2:$H2476 = "Ali Raza ","Receiving",IF($H$2:$H2476 = "Ali Ahmad","Full-In"))))))</f>
        <v>0</v>
      </c>
      <c r="J977" s="29"/>
      <c r="K977" s="40"/>
      <c r="L977" s="40"/>
      <c r="M977" s="41"/>
      <c r="N977" s="39" t="s">
        <v>2335</v>
      </c>
      <c r="O977" s="46" t="b">
        <f aca="false">FALSE()</f>
        <v>0</v>
      </c>
      <c r="P977" s="20" t="n">
        <v>0</v>
      </c>
      <c r="Q977" s="45" t="n">
        <v>0</v>
      </c>
      <c r="R977" s="43" t="n">
        <v>0</v>
      </c>
      <c r="S977" s="20" t="n">
        <v>0</v>
      </c>
    </row>
    <row r="978" customFormat="false" ht="15.75" hidden="false" customHeight="false" outlineLevel="0" collapsed="false">
      <c r="A978" s="39" t="n">
        <v>0</v>
      </c>
      <c r="B978" s="44" t="str">
        <v/>
      </c>
      <c r="C978" s="39" t="n">
        <v>0</v>
      </c>
      <c r="D978" s="39" t="n">
        <v>0</v>
      </c>
      <c r="E978" s="39" t="str">
        <v/>
      </c>
      <c r="F978" s="45" t="n">
        <v>0</v>
      </c>
      <c r="G978" s="40" t="n">
        <v>0</v>
      </c>
      <c r="H978" s="39" t="n">
        <v>0</v>
      </c>
      <c r="I978" s="49" t="b">
        <f aca="false">IF(ISBLANK(H978),"", IF($H$2:$H2477 = "Gohar Rehan","Overnight",IF($H$2:$H2477 = "Taufeeq Akhtar ","Overnight",IF($H$2:$H2477 = "Zeeshan Ali Malik","Audit",IF($H$2:$H2477 = "Ali Raza ","Receiving",IF($H$2:$H2477 = "Ali Ahmad","Full-In"))))))</f>
        <v>0</v>
      </c>
      <c r="J978" s="29"/>
      <c r="K978" s="40"/>
      <c r="L978" s="40"/>
      <c r="M978" s="41"/>
      <c r="N978" s="39" t="s">
        <v>2335</v>
      </c>
      <c r="O978" s="46" t="b">
        <f aca="false">FALSE()</f>
        <v>0</v>
      </c>
      <c r="P978" s="20" t="n">
        <v>0</v>
      </c>
      <c r="Q978" s="45" t="n">
        <v>0</v>
      </c>
      <c r="R978" s="43" t="n">
        <v>0</v>
      </c>
      <c r="S978" s="20" t="n">
        <v>0</v>
      </c>
    </row>
    <row r="979" customFormat="false" ht="15.75" hidden="false" customHeight="false" outlineLevel="0" collapsed="false">
      <c r="A979" s="39" t="n">
        <v>0</v>
      </c>
      <c r="B979" s="44" t="str">
        <v/>
      </c>
      <c r="C979" s="39" t="n">
        <v>0</v>
      </c>
      <c r="D979" s="39" t="n">
        <v>0</v>
      </c>
      <c r="E979" s="39" t="str">
        <v/>
      </c>
      <c r="F979" s="45" t="n">
        <v>0</v>
      </c>
      <c r="G979" s="40" t="n">
        <v>0</v>
      </c>
      <c r="H979" s="39" t="n">
        <v>0</v>
      </c>
      <c r="I979" s="49" t="b">
        <f aca="false">IF(ISBLANK(H979),"", IF($H$2:$H2478 = "Gohar Rehan","Overnight",IF($H$2:$H2478 = "Taufeeq Akhtar ","Overnight",IF($H$2:$H2478 = "Zeeshan Ali Malik","Audit",IF($H$2:$H2478 = "Ali Raza ","Receiving",IF($H$2:$H2478 = "Ali Ahmad","Full-In"))))))</f>
        <v>0</v>
      </c>
      <c r="J979" s="29"/>
      <c r="K979" s="40"/>
      <c r="L979" s="40"/>
      <c r="M979" s="41"/>
      <c r="N979" s="39" t="s">
        <v>2335</v>
      </c>
      <c r="O979" s="46" t="b">
        <f aca="false">FALSE()</f>
        <v>0</v>
      </c>
      <c r="P979" s="20" t="n">
        <v>0</v>
      </c>
      <c r="Q979" s="45" t="n">
        <v>0</v>
      </c>
      <c r="R979" s="43" t="n">
        <v>0</v>
      </c>
      <c r="S979" s="20" t="n">
        <v>0</v>
      </c>
    </row>
    <row r="980" customFormat="false" ht="15.75" hidden="false" customHeight="false" outlineLevel="0" collapsed="false">
      <c r="A980" s="39" t="n">
        <v>0</v>
      </c>
      <c r="B980" s="44" t="str">
        <v/>
      </c>
      <c r="C980" s="39" t="n">
        <v>0</v>
      </c>
      <c r="D980" s="39" t="n">
        <v>0</v>
      </c>
      <c r="E980" s="39" t="str">
        <v/>
      </c>
      <c r="F980" s="45" t="n">
        <v>0</v>
      </c>
      <c r="G980" s="40" t="n">
        <v>0</v>
      </c>
      <c r="H980" s="39" t="n">
        <v>0</v>
      </c>
      <c r="I980" s="49" t="b">
        <f aca="false">IF(ISBLANK(H980),"", IF($H$2:$H2479 = "Gohar Rehan","Overnight",IF($H$2:$H2479 = "Taufeeq Akhtar ","Overnight",IF($H$2:$H2479 = "Zeeshan Ali Malik","Audit",IF($H$2:$H2479 = "Ali Raza ","Receiving",IF($H$2:$H2479 = "Ali Ahmad","Full-In"))))))</f>
        <v>0</v>
      </c>
      <c r="J980" s="29"/>
      <c r="K980" s="40"/>
      <c r="L980" s="40"/>
      <c r="M980" s="41"/>
      <c r="N980" s="39" t="s">
        <v>2335</v>
      </c>
      <c r="O980" s="46" t="b">
        <f aca="false">FALSE()</f>
        <v>0</v>
      </c>
      <c r="P980" s="20" t="n">
        <v>0</v>
      </c>
      <c r="Q980" s="45" t="n">
        <v>0</v>
      </c>
      <c r="R980" s="43" t="n">
        <v>0</v>
      </c>
      <c r="S980" s="20" t="n">
        <v>0</v>
      </c>
    </row>
    <row r="981" customFormat="false" ht="15.75" hidden="false" customHeight="false" outlineLevel="0" collapsed="false">
      <c r="A981" s="39" t="n">
        <v>0</v>
      </c>
      <c r="B981" s="44" t="str">
        <v/>
      </c>
      <c r="C981" s="39" t="n">
        <v>0</v>
      </c>
      <c r="D981" s="39" t="n">
        <v>0</v>
      </c>
      <c r="E981" s="39" t="str">
        <v/>
      </c>
      <c r="F981" s="45" t="n">
        <v>0</v>
      </c>
      <c r="G981" s="40" t="n">
        <v>0</v>
      </c>
      <c r="H981" s="39" t="n">
        <v>0</v>
      </c>
      <c r="I981" s="49" t="b">
        <f aca="false">IF(ISBLANK(H981),"", IF($H$2:$H2480 = "Gohar Rehan","Overnight",IF($H$2:$H2480 = "Taufeeq Akhtar ","Overnight",IF($H$2:$H2480 = "Zeeshan Ali Malik","Audit",IF($H$2:$H2480 = "Ali Raza ","Receiving",IF($H$2:$H2480 = "Ali Ahmad","Full-In"))))))</f>
        <v>0</v>
      </c>
      <c r="J981" s="29"/>
      <c r="K981" s="40"/>
      <c r="L981" s="40"/>
      <c r="M981" s="41"/>
      <c r="N981" s="39" t="s">
        <v>2335</v>
      </c>
      <c r="O981" s="46" t="b">
        <f aca="false">FALSE()</f>
        <v>0</v>
      </c>
      <c r="P981" s="20" t="n">
        <v>0</v>
      </c>
      <c r="Q981" s="45" t="n">
        <v>0</v>
      </c>
      <c r="R981" s="43" t="n">
        <v>0</v>
      </c>
      <c r="S981" s="20" t="n">
        <v>0</v>
      </c>
    </row>
    <row r="982" customFormat="false" ht="15.75" hidden="false" customHeight="false" outlineLevel="0" collapsed="false">
      <c r="A982" s="39" t="n">
        <v>0</v>
      </c>
      <c r="B982" s="44" t="str">
        <v/>
      </c>
      <c r="C982" s="39" t="n">
        <v>0</v>
      </c>
      <c r="D982" s="39" t="n">
        <v>0</v>
      </c>
      <c r="E982" s="39" t="str">
        <v/>
      </c>
      <c r="F982" s="45" t="n">
        <v>0</v>
      </c>
      <c r="G982" s="40" t="n">
        <v>0</v>
      </c>
      <c r="H982" s="39" t="n">
        <v>0</v>
      </c>
      <c r="I982" s="49" t="b">
        <f aca="false">IF(ISBLANK(H982),"", IF($H$2:$H2481 = "Gohar Rehan","Overnight",IF($H$2:$H2481 = "Taufeeq Akhtar ","Overnight",IF($H$2:$H2481 = "Zeeshan Ali Malik","Audit",IF($H$2:$H2481 = "Ali Raza ","Receiving",IF($H$2:$H2481 = "Ali Ahmad","Full-In"))))))</f>
        <v>0</v>
      </c>
      <c r="J982" s="29"/>
      <c r="K982" s="40"/>
      <c r="L982" s="40"/>
      <c r="M982" s="41"/>
      <c r="N982" s="39" t="s">
        <v>2335</v>
      </c>
      <c r="O982" s="46" t="b">
        <f aca="false">FALSE()</f>
        <v>0</v>
      </c>
      <c r="P982" s="20" t="n">
        <v>0</v>
      </c>
      <c r="Q982" s="45" t="n">
        <v>0</v>
      </c>
      <c r="R982" s="43" t="n">
        <v>0</v>
      </c>
      <c r="S982" s="20" t="n">
        <v>0</v>
      </c>
    </row>
    <row r="983" customFormat="false" ht="15.75" hidden="false" customHeight="false" outlineLevel="0" collapsed="false">
      <c r="A983" s="39" t="n">
        <v>0</v>
      </c>
      <c r="B983" s="44" t="str">
        <v/>
      </c>
      <c r="C983" s="39" t="n">
        <v>0</v>
      </c>
      <c r="D983" s="39" t="n">
        <v>0</v>
      </c>
      <c r="E983" s="39" t="str">
        <v/>
      </c>
      <c r="F983" s="45" t="n">
        <v>0</v>
      </c>
      <c r="G983" s="40" t="n">
        <v>0</v>
      </c>
      <c r="H983" s="39" t="n">
        <v>0</v>
      </c>
      <c r="I983" s="49" t="b">
        <f aca="false">IF(ISBLANK(H983),"", IF($H$2:$H2482 = "Gohar Rehan","Overnight",IF($H$2:$H2482 = "Taufeeq Akhtar ","Overnight",IF($H$2:$H2482 = "Zeeshan Ali Malik","Audit",IF($H$2:$H2482 = "Ali Raza ","Receiving",IF($H$2:$H2482 = "Ali Ahmad","Full-In"))))))</f>
        <v>0</v>
      </c>
      <c r="J983" s="29"/>
      <c r="K983" s="40"/>
      <c r="L983" s="40"/>
      <c r="M983" s="41"/>
      <c r="N983" s="39" t="s">
        <v>2335</v>
      </c>
      <c r="O983" s="46" t="b">
        <f aca="false">FALSE()</f>
        <v>0</v>
      </c>
      <c r="P983" s="20" t="n">
        <v>0</v>
      </c>
      <c r="Q983" s="45" t="n">
        <v>0</v>
      </c>
      <c r="R983" s="43" t="n">
        <v>0</v>
      </c>
      <c r="S983" s="20" t="n">
        <v>0</v>
      </c>
    </row>
    <row r="984" customFormat="false" ht="15.75" hidden="false" customHeight="false" outlineLevel="0" collapsed="false">
      <c r="A984" s="39" t="n">
        <v>0</v>
      </c>
      <c r="B984" s="44" t="str">
        <v/>
      </c>
      <c r="C984" s="39" t="n">
        <v>0</v>
      </c>
      <c r="D984" s="39" t="n">
        <v>0</v>
      </c>
      <c r="E984" s="39" t="str">
        <v/>
      </c>
      <c r="F984" s="45" t="n">
        <v>0</v>
      </c>
      <c r="G984" s="40" t="n">
        <v>0</v>
      </c>
      <c r="H984" s="39" t="n">
        <v>0</v>
      </c>
      <c r="I984" s="49" t="b">
        <f aca="false">IF(ISBLANK(H984),"", IF($H$2:$H2483 = "Gohar Rehan","Overnight",IF($H$2:$H2483 = "Taufeeq Akhtar ","Overnight",IF($H$2:$H2483 = "Zeeshan Ali Malik","Audit",IF($H$2:$H2483 = "Ali Raza ","Receiving",IF($H$2:$H2483 = "Ali Ahmad","Full-In"))))))</f>
        <v>0</v>
      </c>
      <c r="J984" s="29"/>
      <c r="K984" s="40"/>
      <c r="L984" s="40"/>
      <c r="M984" s="41"/>
      <c r="N984" s="39" t="s">
        <v>2335</v>
      </c>
      <c r="O984" s="46" t="b">
        <f aca="false">FALSE()</f>
        <v>0</v>
      </c>
      <c r="P984" s="20" t="n">
        <v>0</v>
      </c>
      <c r="Q984" s="45" t="n">
        <v>0</v>
      </c>
      <c r="R984" s="43" t="n">
        <v>0</v>
      </c>
      <c r="S984" s="20" t="n">
        <v>0</v>
      </c>
    </row>
    <row r="985" customFormat="false" ht="15.75" hidden="false" customHeight="false" outlineLevel="0" collapsed="false">
      <c r="A985" s="39" t="n">
        <v>0</v>
      </c>
      <c r="B985" s="44" t="str">
        <v/>
      </c>
      <c r="C985" s="39" t="n">
        <v>0</v>
      </c>
      <c r="D985" s="39" t="n">
        <v>0</v>
      </c>
      <c r="E985" s="39" t="str">
        <v/>
      </c>
      <c r="F985" s="45" t="n">
        <v>0</v>
      </c>
      <c r="G985" s="40" t="n">
        <v>0</v>
      </c>
      <c r="H985" s="39" t="n">
        <v>0</v>
      </c>
      <c r="I985" s="49" t="b">
        <f aca="false">IF(ISBLANK(H985),"", IF($H$2:$H2484 = "Gohar Rehan","Overnight",IF($H$2:$H2484 = "Taufeeq Akhtar ","Overnight",IF($H$2:$H2484 = "Zeeshan Ali Malik","Audit",IF($H$2:$H2484 = "Ali Raza ","Receiving",IF($H$2:$H2484 = "Ali Ahmad","Full-In"))))))</f>
        <v>0</v>
      </c>
      <c r="J985" s="29"/>
      <c r="K985" s="40"/>
      <c r="L985" s="40"/>
      <c r="M985" s="41"/>
      <c r="N985" s="39" t="s">
        <v>2335</v>
      </c>
      <c r="O985" s="46" t="b">
        <f aca="false">FALSE()</f>
        <v>0</v>
      </c>
      <c r="P985" s="20" t="n">
        <v>0</v>
      </c>
      <c r="Q985" s="45" t="n">
        <v>0</v>
      </c>
      <c r="R985" s="43" t="n">
        <v>0</v>
      </c>
      <c r="S985" s="20" t="n">
        <v>0</v>
      </c>
    </row>
    <row r="986" customFormat="false" ht="15.75" hidden="false" customHeight="false" outlineLevel="0" collapsed="false">
      <c r="A986" s="39" t="n">
        <v>0</v>
      </c>
      <c r="B986" s="44" t="str">
        <v/>
      </c>
      <c r="C986" s="39" t="n">
        <v>0</v>
      </c>
      <c r="D986" s="39" t="n">
        <v>0</v>
      </c>
      <c r="E986" s="39" t="str">
        <v/>
      </c>
      <c r="F986" s="45" t="n">
        <v>0</v>
      </c>
      <c r="G986" s="40" t="n">
        <v>0</v>
      </c>
      <c r="H986" s="39" t="n">
        <v>0</v>
      </c>
      <c r="I986" s="49" t="b">
        <f aca="false">IF(ISBLANK(H986),"", IF($H$2:$H2485 = "Gohar Rehan","Overnight",IF($H$2:$H2485 = "Taufeeq Akhtar ","Overnight",IF($H$2:$H2485 = "Zeeshan Ali Malik","Audit",IF($H$2:$H2485 = "Ali Raza ","Receiving",IF($H$2:$H2485 = "Ali Ahmad","Full-In"))))))</f>
        <v>0</v>
      </c>
      <c r="J986" s="29"/>
      <c r="K986" s="40"/>
      <c r="L986" s="40"/>
      <c r="M986" s="41"/>
      <c r="N986" s="39" t="s">
        <v>2335</v>
      </c>
      <c r="O986" s="46" t="b">
        <f aca="false">FALSE()</f>
        <v>0</v>
      </c>
      <c r="P986" s="20" t="n">
        <v>0</v>
      </c>
      <c r="Q986" s="45" t="n">
        <v>0</v>
      </c>
      <c r="R986" s="43" t="n">
        <v>0</v>
      </c>
      <c r="S986" s="20" t="n">
        <v>0</v>
      </c>
    </row>
    <row r="987" customFormat="false" ht="15.75" hidden="false" customHeight="false" outlineLevel="0" collapsed="false">
      <c r="A987" s="39" t="n">
        <v>0</v>
      </c>
      <c r="B987" s="44" t="str">
        <v/>
      </c>
      <c r="C987" s="39" t="n">
        <v>0</v>
      </c>
      <c r="D987" s="39" t="n">
        <v>0</v>
      </c>
      <c r="E987" s="39" t="str">
        <v/>
      </c>
      <c r="F987" s="45" t="n">
        <v>0</v>
      </c>
      <c r="G987" s="40" t="n">
        <v>0</v>
      </c>
      <c r="H987" s="39" t="n">
        <v>0</v>
      </c>
      <c r="I987" s="49" t="b">
        <f aca="false">IF(ISBLANK(H987),"", IF($H$2:$H2486 = "Gohar Rehan","Overnight",IF($H$2:$H2486 = "Taufeeq Akhtar ","Overnight",IF($H$2:$H2486 = "Zeeshan Ali Malik","Audit",IF($H$2:$H2486 = "Ali Raza ","Receiving",IF($H$2:$H2486 = "Ali Ahmad","Full-In"))))))</f>
        <v>0</v>
      </c>
      <c r="J987" s="29"/>
      <c r="K987" s="40"/>
      <c r="L987" s="40"/>
      <c r="M987" s="41"/>
      <c r="N987" s="39" t="s">
        <v>2335</v>
      </c>
      <c r="O987" s="46" t="b">
        <f aca="false">FALSE()</f>
        <v>0</v>
      </c>
      <c r="P987" s="20" t="n">
        <v>0</v>
      </c>
      <c r="Q987" s="45" t="n">
        <v>0</v>
      </c>
      <c r="R987" s="43" t="n">
        <v>0</v>
      </c>
      <c r="S987" s="20" t="n">
        <v>0</v>
      </c>
    </row>
    <row r="988" customFormat="false" ht="15.75" hidden="false" customHeight="false" outlineLevel="0" collapsed="false">
      <c r="A988" s="39" t="n">
        <v>0</v>
      </c>
      <c r="B988" s="44" t="str">
        <v/>
      </c>
      <c r="C988" s="39" t="n">
        <v>0</v>
      </c>
      <c r="D988" s="39" t="n">
        <v>0</v>
      </c>
      <c r="E988" s="39" t="str">
        <v/>
      </c>
      <c r="F988" s="45" t="n">
        <v>0</v>
      </c>
      <c r="G988" s="40" t="n">
        <v>0</v>
      </c>
      <c r="H988" s="39" t="n">
        <v>0</v>
      </c>
      <c r="I988" s="49" t="b">
        <f aca="false">IF(ISBLANK(H988),"", IF($H$2:$H2487 = "Gohar Rehan","Overnight",IF($H$2:$H2487 = "Taufeeq Akhtar ","Overnight",IF($H$2:$H2487 = "Zeeshan Ali Malik","Audit",IF($H$2:$H2487 = "Ali Raza ","Receiving",IF($H$2:$H2487 = "Ali Ahmad","Full-In"))))))</f>
        <v>0</v>
      </c>
      <c r="J988" s="29"/>
      <c r="K988" s="40"/>
      <c r="L988" s="40"/>
      <c r="M988" s="41"/>
      <c r="N988" s="39" t="s">
        <v>2335</v>
      </c>
      <c r="O988" s="46" t="b">
        <f aca="false">FALSE()</f>
        <v>0</v>
      </c>
      <c r="P988" s="20" t="n">
        <v>0</v>
      </c>
      <c r="Q988" s="45" t="n">
        <v>0</v>
      </c>
      <c r="R988" s="43" t="n">
        <v>0</v>
      </c>
      <c r="S988" s="20" t="n">
        <v>0</v>
      </c>
    </row>
    <row r="989" customFormat="false" ht="15.75" hidden="false" customHeight="false" outlineLevel="0" collapsed="false">
      <c r="A989" s="39" t="n">
        <v>0</v>
      </c>
      <c r="B989" s="44" t="str">
        <v/>
      </c>
      <c r="C989" s="39" t="n">
        <v>0</v>
      </c>
      <c r="D989" s="39" t="n">
        <v>0</v>
      </c>
      <c r="E989" s="39" t="str">
        <v/>
      </c>
      <c r="F989" s="45" t="n">
        <v>0</v>
      </c>
      <c r="G989" s="40" t="n">
        <v>0</v>
      </c>
      <c r="H989" s="39" t="n">
        <v>0</v>
      </c>
      <c r="I989" s="49" t="b">
        <f aca="false">IF(ISBLANK(H989),"", IF($H$2:$H2488 = "Gohar Rehan","Overnight",IF($H$2:$H2488 = "Taufeeq Akhtar ","Overnight",IF($H$2:$H2488 = "Zeeshan Ali Malik","Audit",IF($H$2:$H2488 = "Ali Raza ","Receiving",IF($H$2:$H2488 = "Ali Ahmad","Full-In"))))))</f>
        <v>0</v>
      </c>
      <c r="J989" s="29"/>
      <c r="K989" s="40"/>
      <c r="L989" s="40"/>
      <c r="M989" s="41"/>
      <c r="N989" s="39" t="s">
        <v>2335</v>
      </c>
      <c r="O989" s="46" t="b">
        <f aca="false">FALSE()</f>
        <v>0</v>
      </c>
      <c r="P989" s="20" t="n">
        <v>0</v>
      </c>
      <c r="Q989" s="45" t="n">
        <v>0</v>
      </c>
      <c r="R989" s="43" t="n">
        <v>0</v>
      </c>
      <c r="S989" s="20" t="n">
        <v>0</v>
      </c>
    </row>
    <row r="990" customFormat="false" ht="15.75" hidden="false" customHeight="false" outlineLevel="0" collapsed="false">
      <c r="A990" s="39" t="n">
        <v>0</v>
      </c>
      <c r="B990" s="44" t="str">
        <v/>
      </c>
      <c r="C990" s="39" t="n">
        <v>0</v>
      </c>
      <c r="D990" s="39" t="n">
        <v>0</v>
      </c>
      <c r="E990" s="39" t="str">
        <v/>
      </c>
      <c r="F990" s="45" t="n">
        <v>0</v>
      </c>
      <c r="G990" s="40" t="n">
        <v>0</v>
      </c>
      <c r="H990" s="39" t="n">
        <v>0</v>
      </c>
      <c r="I990" s="49" t="b">
        <f aca="false">IF(ISBLANK(H990),"", IF($H$2:$H2489 = "Gohar Rehan","Overnight",IF($H$2:$H2489 = "Taufeeq Akhtar ","Overnight",IF($H$2:$H2489 = "Zeeshan Ali Malik","Audit",IF($H$2:$H2489 = "Ali Raza ","Receiving",IF($H$2:$H2489 = "Ali Ahmad","Full-In"))))))</f>
        <v>0</v>
      </c>
      <c r="J990" s="29"/>
      <c r="K990" s="40"/>
      <c r="L990" s="40"/>
      <c r="M990" s="41"/>
      <c r="N990" s="39" t="s">
        <v>2335</v>
      </c>
      <c r="O990" s="46" t="b">
        <f aca="false">FALSE()</f>
        <v>0</v>
      </c>
      <c r="P990" s="20" t="n">
        <v>0</v>
      </c>
      <c r="Q990" s="45" t="n">
        <v>0</v>
      </c>
      <c r="R990" s="43" t="n">
        <v>0</v>
      </c>
      <c r="S990" s="20" t="n">
        <v>0</v>
      </c>
    </row>
    <row r="991" customFormat="false" ht="15.75" hidden="false" customHeight="false" outlineLevel="0" collapsed="false">
      <c r="A991" s="39" t="n">
        <v>0</v>
      </c>
      <c r="B991" s="44" t="str">
        <v/>
      </c>
      <c r="C991" s="39" t="n">
        <v>0</v>
      </c>
      <c r="D991" s="39" t="n">
        <v>0</v>
      </c>
      <c r="E991" s="39" t="str">
        <v/>
      </c>
      <c r="F991" s="45" t="n">
        <v>0</v>
      </c>
      <c r="G991" s="40" t="n">
        <v>0</v>
      </c>
      <c r="H991" s="39" t="n">
        <v>0</v>
      </c>
      <c r="I991" s="49" t="b">
        <f aca="false">IF(ISBLANK(H991),"", IF($H$2:$H2490 = "Gohar Rehan","Overnight",IF($H$2:$H2490 = "Taufeeq Akhtar ","Overnight",IF($H$2:$H2490 = "Zeeshan Ali Malik","Audit",IF($H$2:$H2490 = "Ali Raza ","Receiving",IF($H$2:$H2490 = "Ali Ahmad","Full-In"))))))</f>
        <v>0</v>
      </c>
      <c r="J991" s="29"/>
      <c r="K991" s="40"/>
      <c r="L991" s="40"/>
      <c r="M991" s="41"/>
      <c r="N991" s="39" t="s">
        <v>2335</v>
      </c>
      <c r="O991" s="46" t="b">
        <f aca="false">FALSE()</f>
        <v>0</v>
      </c>
      <c r="P991" s="20" t="n">
        <v>0</v>
      </c>
      <c r="Q991" s="45" t="n">
        <v>0</v>
      </c>
      <c r="R991" s="43" t="n">
        <v>0</v>
      </c>
      <c r="S991" s="20" t="n">
        <v>0</v>
      </c>
    </row>
    <row r="992" customFormat="false" ht="15.75" hidden="false" customHeight="false" outlineLevel="0" collapsed="false">
      <c r="A992" s="39" t="n">
        <v>0</v>
      </c>
      <c r="B992" s="44" t="str">
        <v/>
      </c>
      <c r="C992" s="39" t="n">
        <v>0</v>
      </c>
      <c r="D992" s="39" t="n">
        <v>0</v>
      </c>
      <c r="E992" s="39" t="str">
        <v/>
      </c>
      <c r="F992" s="45" t="n">
        <v>0</v>
      </c>
      <c r="G992" s="40" t="n">
        <v>0</v>
      </c>
      <c r="H992" s="39" t="n">
        <v>0</v>
      </c>
      <c r="I992" s="49" t="b">
        <f aca="false">IF(ISBLANK(H992),"", IF($H$2:$H2491 = "Gohar Rehan","Overnight",IF($H$2:$H2491 = "Taufeeq Akhtar ","Overnight",IF($H$2:$H2491 = "Zeeshan Ali Malik","Audit",IF($H$2:$H2491 = "Ali Raza ","Receiving",IF($H$2:$H2491 = "Ali Ahmad","Full-In"))))))</f>
        <v>0</v>
      </c>
      <c r="J992" s="29"/>
      <c r="K992" s="40"/>
      <c r="L992" s="40"/>
      <c r="M992" s="41"/>
      <c r="N992" s="39" t="s">
        <v>2335</v>
      </c>
      <c r="O992" s="46" t="b">
        <f aca="false">FALSE()</f>
        <v>0</v>
      </c>
      <c r="P992" s="20" t="n">
        <v>0</v>
      </c>
      <c r="Q992" s="45" t="n">
        <v>0</v>
      </c>
      <c r="R992" s="43" t="n">
        <v>0</v>
      </c>
      <c r="S992" s="20" t="n">
        <v>0</v>
      </c>
    </row>
    <row r="993" customFormat="false" ht="15.75" hidden="false" customHeight="false" outlineLevel="0" collapsed="false">
      <c r="A993" s="39" t="n">
        <v>0</v>
      </c>
      <c r="B993" s="44" t="str">
        <v/>
      </c>
      <c r="C993" s="39" t="n">
        <v>0</v>
      </c>
      <c r="D993" s="39" t="n">
        <v>0</v>
      </c>
      <c r="E993" s="39" t="str">
        <v/>
      </c>
      <c r="F993" s="45" t="n">
        <v>0</v>
      </c>
      <c r="G993" s="40" t="n">
        <v>0</v>
      </c>
      <c r="H993" s="39" t="n">
        <v>0</v>
      </c>
      <c r="I993" s="49" t="b">
        <f aca="false">IF(ISBLANK(H993),"", IF($H$2:$H2492 = "Gohar Rehan","Overnight",IF($H$2:$H2492 = "Taufeeq Akhtar ","Overnight",IF($H$2:$H2492 = "Zeeshan Ali Malik","Audit",IF($H$2:$H2492 = "Ali Raza ","Receiving",IF($H$2:$H2492 = "Ali Ahmad","Full-In"))))))</f>
        <v>0</v>
      </c>
      <c r="J993" s="29"/>
      <c r="K993" s="40"/>
      <c r="L993" s="40"/>
      <c r="M993" s="41"/>
      <c r="N993" s="39" t="s">
        <v>2335</v>
      </c>
      <c r="O993" s="46" t="b">
        <f aca="false">FALSE()</f>
        <v>0</v>
      </c>
      <c r="P993" s="20" t="n">
        <v>0</v>
      </c>
      <c r="Q993" s="45" t="n">
        <v>0</v>
      </c>
      <c r="R993" s="43" t="n">
        <v>0</v>
      </c>
      <c r="S993" s="20" t="n">
        <v>0</v>
      </c>
    </row>
    <row r="994" customFormat="false" ht="15.75" hidden="false" customHeight="false" outlineLevel="0" collapsed="false">
      <c r="A994" s="39" t="n">
        <v>0</v>
      </c>
      <c r="B994" s="44" t="str">
        <v/>
      </c>
      <c r="C994" s="39" t="n">
        <v>0</v>
      </c>
      <c r="D994" s="39" t="n">
        <v>0</v>
      </c>
      <c r="E994" s="39" t="str">
        <v/>
      </c>
      <c r="F994" s="45" t="n">
        <v>0</v>
      </c>
      <c r="G994" s="40" t="n">
        <v>0</v>
      </c>
      <c r="H994" s="39" t="n">
        <v>0</v>
      </c>
      <c r="I994" s="49" t="b">
        <f aca="false">IF(ISBLANK(H994),"", IF($H$2:$H2493 = "Gohar Rehan","Overnight",IF($H$2:$H2493 = "Taufeeq Akhtar ","Overnight",IF($H$2:$H2493 = "Zeeshan Ali Malik","Audit",IF($H$2:$H2493 = "Ali Raza ","Receiving",IF($H$2:$H2493 = "Ali Ahmad","Full-In"))))))</f>
        <v>0</v>
      </c>
      <c r="J994" s="29"/>
      <c r="K994" s="40"/>
      <c r="L994" s="40"/>
      <c r="M994" s="41"/>
      <c r="N994" s="39" t="s">
        <v>2335</v>
      </c>
      <c r="O994" s="46" t="b">
        <f aca="false">FALSE()</f>
        <v>0</v>
      </c>
      <c r="P994" s="20" t="n">
        <v>0</v>
      </c>
      <c r="Q994" s="45" t="n">
        <v>0</v>
      </c>
      <c r="R994" s="43" t="n">
        <v>0</v>
      </c>
      <c r="S994" s="20" t="n">
        <v>0</v>
      </c>
    </row>
    <row r="995" customFormat="false" ht="15.75" hidden="false" customHeight="false" outlineLevel="0" collapsed="false">
      <c r="A995" s="39" t="n">
        <v>0</v>
      </c>
      <c r="B995" s="44" t="str">
        <v/>
      </c>
      <c r="C995" s="39" t="n">
        <v>0</v>
      </c>
      <c r="D995" s="39" t="n">
        <v>0</v>
      </c>
      <c r="E995" s="39" t="str">
        <v/>
      </c>
      <c r="F995" s="45" t="n">
        <v>0</v>
      </c>
      <c r="G995" s="40" t="n">
        <v>0</v>
      </c>
      <c r="H995" s="39" t="n">
        <v>0</v>
      </c>
      <c r="I995" s="49" t="b">
        <f aca="false">IF(ISBLANK(H995),"", IF($H$2:$H2494 = "Gohar Rehan","Overnight",IF($H$2:$H2494 = "Taufeeq Akhtar ","Overnight",IF($H$2:$H2494 = "Zeeshan Ali Malik","Audit",IF($H$2:$H2494 = "Ali Raza ","Receiving",IF($H$2:$H2494 = "Ali Ahmad","Full-In"))))))</f>
        <v>0</v>
      </c>
      <c r="J995" s="29"/>
      <c r="K995" s="40"/>
      <c r="L995" s="40"/>
      <c r="M995" s="41"/>
      <c r="N995" s="39" t="s">
        <v>2335</v>
      </c>
      <c r="O995" s="46" t="b">
        <f aca="false">FALSE()</f>
        <v>0</v>
      </c>
      <c r="P995" s="20" t="n">
        <v>0</v>
      </c>
      <c r="Q995" s="45" t="n">
        <v>0</v>
      </c>
      <c r="R995" s="43" t="n">
        <v>0</v>
      </c>
      <c r="S995" s="20" t="n">
        <v>0</v>
      </c>
    </row>
    <row r="996" customFormat="false" ht="15.75" hidden="false" customHeight="false" outlineLevel="0" collapsed="false">
      <c r="A996" s="39" t="n">
        <v>0</v>
      </c>
      <c r="B996" s="44" t="str">
        <v/>
      </c>
      <c r="C996" s="39" t="n">
        <v>0</v>
      </c>
      <c r="D996" s="39" t="n">
        <v>0</v>
      </c>
      <c r="E996" s="39" t="str">
        <v/>
      </c>
      <c r="F996" s="45" t="n">
        <v>0</v>
      </c>
      <c r="G996" s="40" t="n">
        <v>0</v>
      </c>
      <c r="H996" s="39" t="n">
        <v>0</v>
      </c>
      <c r="I996" s="49" t="b">
        <f aca="false">IF(ISBLANK(H996),"", IF($H$2:$H2495 = "Gohar Rehan","Overnight",IF($H$2:$H2495 = "Taufeeq Akhtar ","Overnight",IF($H$2:$H2495 = "Zeeshan Ali Malik","Audit",IF($H$2:$H2495 = "Ali Raza ","Receiving",IF($H$2:$H2495 = "Ali Ahmad","Full-In"))))))</f>
        <v>0</v>
      </c>
      <c r="J996" s="29"/>
      <c r="K996" s="40"/>
      <c r="L996" s="40"/>
      <c r="M996" s="41"/>
      <c r="N996" s="39" t="s">
        <v>2335</v>
      </c>
      <c r="O996" s="46" t="b">
        <f aca="false">FALSE()</f>
        <v>0</v>
      </c>
      <c r="P996" s="20" t="n">
        <v>0</v>
      </c>
      <c r="Q996" s="45" t="n">
        <v>0</v>
      </c>
      <c r="R996" s="43" t="n">
        <v>0</v>
      </c>
      <c r="S996" s="20" t="n">
        <v>0</v>
      </c>
    </row>
    <row r="997" customFormat="false" ht="15.75" hidden="false" customHeight="false" outlineLevel="0" collapsed="false">
      <c r="A997" s="39" t="n">
        <v>0</v>
      </c>
      <c r="B997" s="44" t="str">
        <v/>
      </c>
      <c r="C997" s="39" t="n">
        <v>0</v>
      </c>
      <c r="D997" s="39" t="n">
        <v>0</v>
      </c>
      <c r="E997" s="39" t="str">
        <v/>
      </c>
      <c r="F997" s="45" t="n">
        <v>0</v>
      </c>
      <c r="G997" s="40" t="n">
        <v>0</v>
      </c>
      <c r="H997" s="39" t="n">
        <v>0</v>
      </c>
      <c r="I997" s="49" t="b">
        <f aca="false">IF(ISBLANK(H997),"", IF($H$2:$H2496 = "Gohar Rehan","Overnight",IF($H$2:$H2496 = "Taufeeq Akhtar ","Overnight",IF($H$2:$H2496 = "Zeeshan Ali Malik","Audit",IF($H$2:$H2496 = "Ali Raza ","Receiving",IF($H$2:$H2496 = "Ali Ahmad","Full-In"))))))</f>
        <v>0</v>
      </c>
      <c r="J997" s="29"/>
      <c r="K997" s="40"/>
      <c r="L997" s="40"/>
      <c r="M997" s="41"/>
      <c r="N997" s="39" t="s">
        <v>2335</v>
      </c>
      <c r="O997" s="46" t="b">
        <f aca="false">FALSE()</f>
        <v>0</v>
      </c>
      <c r="P997" s="20" t="n">
        <v>0</v>
      </c>
      <c r="Q997" s="45" t="n">
        <v>0</v>
      </c>
      <c r="R997" s="43" t="n">
        <v>0</v>
      </c>
      <c r="S997" s="20" t="n">
        <v>0</v>
      </c>
    </row>
    <row r="998" customFormat="false" ht="15.75" hidden="false" customHeight="false" outlineLevel="0" collapsed="false">
      <c r="A998" s="39" t="n">
        <v>0</v>
      </c>
      <c r="B998" s="44" t="str">
        <v/>
      </c>
      <c r="C998" s="39" t="n">
        <v>0</v>
      </c>
      <c r="D998" s="39" t="n">
        <v>0</v>
      </c>
      <c r="E998" s="39" t="str">
        <v/>
      </c>
      <c r="F998" s="45" t="n">
        <v>0</v>
      </c>
      <c r="G998" s="40" t="n">
        <v>0</v>
      </c>
      <c r="H998" s="39" t="n">
        <v>0</v>
      </c>
      <c r="I998" s="49" t="b">
        <f aca="false">IF(ISBLANK(H998),"", IF($H$2:$H2497 = "Gohar Rehan","Overnight",IF($H$2:$H2497 = "Taufeeq Akhtar ","Overnight",IF($H$2:$H2497 = "Zeeshan Ali Malik","Audit",IF($H$2:$H2497 = "Ali Raza ","Receiving",IF($H$2:$H2497 = "Ali Ahmad","Full-In"))))))</f>
        <v>0</v>
      </c>
      <c r="J998" s="29"/>
      <c r="K998" s="40"/>
      <c r="L998" s="40"/>
      <c r="M998" s="41"/>
      <c r="N998" s="39" t="s">
        <v>2335</v>
      </c>
      <c r="O998" s="46" t="b">
        <f aca="false">FALSE()</f>
        <v>0</v>
      </c>
      <c r="P998" s="20" t="n">
        <v>0</v>
      </c>
      <c r="Q998" s="45" t="n">
        <v>0</v>
      </c>
      <c r="R998" s="43" t="n">
        <v>0</v>
      </c>
      <c r="S998" s="20" t="n">
        <v>0</v>
      </c>
    </row>
    <row r="999" customFormat="false" ht="15.75" hidden="false" customHeight="false" outlineLevel="0" collapsed="false">
      <c r="A999" s="39" t="n">
        <v>0</v>
      </c>
      <c r="B999" s="44" t="str">
        <v/>
      </c>
      <c r="C999" s="39" t="n">
        <v>0</v>
      </c>
      <c r="D999" s="39" t="n">
        <v>0</v>
      </c>
      <c r="E999" s="39" t="str">
        <v/>
      </c>
      <c r="F999" s="45" t="n">
        <v>0</v>
      </c>
      <c r="G999" s="40" t="n">
        <v>0</v>
      </c>
      <c r="H999" s="39" t="n">
        <v>0</v>
      </c>
      <c r="I999" s="49" t="b">
        <f aca="false">IF(ISBLANK(H999),"", IF($H$2:$H2498 = "Gohar Rehan","Overnight",IF($H$2:$H2498 = "Taufeeq Akhtar ","Overnight",IF($H$2:$H2498 = "Zeeshan Ali Malik","Audit",IF($H$2:$H2498 = "Ali Raza ","Receiving",IF($H$2:$H2498 = "Ali Ahmad","Full-In"))))))</f>
        <v>0</v>
      </c>
      <c r="J999" s="29"/>
      <c r="K999" s="40"/>
      <c r="L999" s="40"/>
      <c r="M999" s="41"/>
      <c r="N999" s="39" t="s">
        <v>2335</v>
      </c>
      <c r="O999" s="46" t="b">
        <f aca="false">FALSE()</f>
        <v>0</v>
      </c>
      <c r="P999" s="20" t="n">
        <v>0</v>
      </c>
      <c r="Q999" s="45" t="n">
        <v>0</v>
      </c>
      <c r="R999" s="43" t="n">
        <v>0</v>
      </c>
      <c r="S999" s="20" t="n">
        <v>0</v>
      </c>
    </row>
    <row r="1000" customFormat="false" ht="15.75" hidden="false" customHeight="false" outlineLevel="0" collapsed="false">
      <c r="A1000" s="39"/>
      <c r="B1000" s="44"/>
      <c r="C1000" s="39"/>
      <c r="D1000" s="39"/>
      <c r="E1000" s="39"/>
      <c r="F1000" s="45"/>
      <c r="G1000" s="40"/>
      <c r="H1000" s="39"/>
      <c r="I1000" s="39" t="str">
        <f aca="false">IF(ISBLANK(H1000),"", IF($H$2:$H2499 = "Gohar Rehan","Overnight",IF($H$2:$H2499 = "Taufeeq Akhtar ","Overnight",IF($H$2:$H2499 = "Zeeshan Ali Malik","Audit",IF($H$2:$H2499 = "Ali Raza ","Receiving",IF($H$2:$H2499 = "Ali Ahmad","Full-In"))))))</f>
        <v/>
      </c>
      <c r="J1000" s="29"/>
      <c r="K1000" s="40"/>
      <c r="L1000" s="40"/>
      <c r="M1000" s="41"/>
      <c r="N1000" s="39" t="s">
        <v>2335</v>
      </c>
      <c r="O1000" s="46" t="b">
        <f aca="false">FALSE()</f>
        <v>0</v>
      </c>
      <c r="P1000" s="20"/>
      <c r="Q1000" s="45" t="n">
        <v>0</v>
      </c>
      <c r="R1000" s="20"/>
      <c r="S1000" s="20"/>
    </row>
    <row r="1001" customFormat="false" ht="15.75" hidden="false" customHeight="false" outlineLevel="0" collapsed="false">
      <c r="A1001" s="39"/>
      <c r="B1001" s="44"/>
      <c r="C1001" s="39"/>
      <c r="D1001" s="39"/>
      <c r="E1001" s="39"/>
      <c r="F1001" s="45"/>
      <c r="G1001" s="40"/>
      <c r="H1001" s="39"/>
      <c r="I1001" s="39" t="str">
        <f aca="false">IF(ISBLANK(H1001),"", IF($H$2:$H2500 = "Gohar Rehan","Overnight",IF($H$2:$H2500 = "Taufeeq Akhtar ","Overnight",IF($H$2:$H2500 = "Zeeshan Ali Malik","Audit",IF($H$2:$H2500 = "Ali Raza ","Receiving",IF($H$2:$H2500 = "Ali Ahmad","Full-In"))))))</f>
        <v/>
      </c>
      <c r="J1001" s="29"/>
      <c r="K1001" s="40"/>
      <c r="L1001" s="40"/>
      <c r="M1001" s="41"/>
      <c r="N1001" s="39" t="s">
        <v>2335</v>
      </c>
      <c r="O1001" s="46" t="b">
        <f aca="false">FALSE()</f>
        <v>0</v>
      </c>
      <c r="P1001" s="20"/>
      <c r="Q1001" s="45" t="n">
        <v>0</v>
      </c>
      <c r="R1001" s="20"/>
      <c r="S1001" s="20"/>
    </row>
    <row r="1002" customFormat="false" ht="15.75" hidden="false" customHeight="false" outlineLevel="0" collapsed="false">
      <c r="A1002" s="39"/>
      <c r="B1002" s="44"/>
      <c r="C1002" s="39"/>
      <c r="D1002" s="39"/>
      <c r="E1002" s="39"/>
      <c r="F1002" s="45"/>
      <c r="G1002" s="40"/>
      <c r="H1002" s="39"/>
      <c r="I1002" s="39" t="str">
        <f aca="false">IF(ISBLANK(H1002),"", IF($H$2:$H2501 = "Gohar Rehan","Overnight",IF($H$2:$H2501 = "Taufeeq Akhtar ","Overnight",IF($H$2:$H2501 = "Zeeshan Ali Malik","Audit",IF($H$2:$H2501 = "Ali Raza ","Receiving",IF($H$2:$H2501 = "Ali Ahmad","Full-In"))))))</f>
        <v/>
      </c>
      <c r="J1002" s="29"/>
      <c r="K1002" s="40"/>
      <c r="L1002" s="40"/>
      <c r="M1002" s="41"/>
      <c r="N1002" s="39" t="s">
        <v>2335</v>
      </c>
      <c r="O1002" s="46" t="b">
        <f aca="false">FALSE()</f>
        <v>0</v>
      </c>
      <c r="P1002" s="20"/>
      <c r="Q1002" s="45" t="n">
        <v>0</v>
      </c>
      <c r="R1002" s="20"/>
      <c r="S1002" s="20"/>
    </row>
    <row r="1003" customFormat="false" ht="15.75" hidden="false" customHeight="false" outlineLevel="0" collapsed="false">
      <c r="A1003" s="39"/>
      <c r="B1003" s="44"/>
      <c r="C1003" s="39"/>
      <c r="D1003" s="39"/>
      <c r="E1003" s="39"/>
      <c r="F1003" s="45"/>
      <c r="G1003" s="40"/>
      <c r="H1003" s="39"/>
      <c r="I1003" s="39" t="str">
        <f aca="false">IF(ISBLANK(H1003),"", IF($H$2:$H2502 = "Gohar Rehan","Overnight",IF($H$2:$H2502 = "Taufeeq Akhtar ","Overnight",IF($H$2:$H2502 = "Zeeshan Ali Malik","Audit",IF($H$2:$H2502 = "Ali Raza ","Receiving",IF($H$2:$H2502 = "Ali Ahmad","Full-In"))))))</f>
        <v/>
      </c>
      <c r="J1003" s="29"/>
      <c r="K1003" s="40"/>
      <c r="L1003" s="40"/>
      <c r="M1003" s="41"/>
      <c r="N1003" s="39" t="s">
        <v>2335</v>
      </c>
      <c r="O1003" s="46" t="b">
        <f aca="false">FALSE()</f>
        <v>0</v>
      </c>
      <c r="P1003" s="20"/>
      <c r="Q1003" s="45" t="n">
        <v>0</v>
      </c>
      <c r="R1003" s="20"/>
      <c r="S1003" s="20"/>
    </row>
    <row r="1004" customFormat="false" ht="15.75" hidden="false" customHeight="false" outlineLevel="0" collapsed="false">
      <c r="A1004" s="39"/>
      <c r="B1004" s="44"/>
      <c r="C1004" s="39"/>
      <c r="D1004" s="39"/>
      <c r="E1004" s="39"/>
      <c r="F1004" s="45"/>
      <c r="G1004" s="40"/>
      <c r="H1004" s="39"/>
      <c r="I1004" s="39" t="str">
        <f aca="false">IF(ISBLANK(H1004),"", IF($H$2:$H2503 = "Gohar Rehan","Overnight",IF($H$2:$H2503 = "Taufeeq Akhtar ","Overnight",IF($H$2:$H2503 = "Zeeshan Ali Malik","Audit",IF($H$2:$H2503 = "Ali Raza ","Receiving",IF($H$2:$H2503 = "Ali Ahmad","Full-In"))))))</f>
        <v/>
      </c>
      <c r="J1004" s="29"/>
      <c r="K1004" s="40"/>
      <c r="L1004" s="40"/>
      <c r="M1004" s="41"/>
      <c r="N1004" s="39" t="s">
        <v>2335</v>
      </c>
      <c r="O1004" s="46" t="b">
        <f aca="false">FALSE()</f>
        <v>0</v>
      </c>
      <c r="P1004" s="20"/>
      <c r="Q1004" s="45" t="n">
        <v>0</v>
      </c>
      <c r="R1004" s="20"/>
      <c r="S1004" s="20"/>
    </row>
    <row r="1005" customFormat="false" ht="15.75" hidden="false" customHeight="false" outlineLevel="0" collapsed="false">
      <c r="A1005" s="39"/>
      <c r="B1005" s="44"/>
      <c r="C1005" s="39"/>
      <c r="D1005" s="39"/>
      <c r="E1005" s="39"/>
      <c r="F1005" s="45"/>
      <c r="G1005" s="40"/>
      <c r="H1005" s="39"/>
      <c r="I1005" s="39" t="str">
        <f aca="false">IF(ISBLANK(H1005),"", IF($H$2:$H2504 = "Gohar Rehan","Overnight",IF($H$2:$H2504 = "Taufeeq Akhtar ","Overnight",IF($H$2:$H2504 = "Zeeshan Ali Malik","Audit",IF($H$2:$H2504 = "Ali Raza ","Receiving",IF($H$2:$H2504 = "Ali Ahmad","Full-In"))))))</f>
        <v/>
      </c>
      <c r="J1005" s="29"/>
      <c r="K1005" s="40"/>
      <c r="L1005" s="40"/>
      <c r="M1005" s="41"/>
      <c r="N1005" s="39" t="s">
        <v>2335</v>
      </c>
      <c r="O1005" s="46" t="b">
        <f aca="false">FALSE()</f>
        <v>0</v>
      </c>
      <c r="P1005" s="20"/>
      <c r="Q1005" s="45" t="n">
        <v>0</v>
      </c>
      <c r="R1005" s="20"/>
      <c r="S1005" s="20"/>
    </row>
    <row r="1006" customFormat="false" ht="15.75" hidden="false" customHeight="false" outlineLevel="0" collapsed="false">
      <c r="A1006" s="39"/>
      <c r="B1006" s="44"/>
      <c r="C1006" s="39"/>
      <c r="D1006" s="39"/>
      <c r="E1006" s="39"/>
      <c r="F1006" s="45"/>
      <c r="G1006" s="40"/>
      <c r="H1006" s="39"/>
      <c r="I1006" s="39" t="str">
        <f aca="false">IF(ISBLANK(H1006),"", IF($H$2:$H2505 = "Gohar Rehan","Overnight",IF($H$2:$H2505 = "Taufeeq Akhtar ","Overnight",IF($H$2:$H2505 = "Zeeshan Ali Malik","Audit",IF($H$2:$H2505 = "Ali Raza ","Receiving",IF($H$2:$H2505 = "Ali Ahmad","Full-In"))))))</f>
        <v/>
      </c>
      <c r="J1006" s="29"/>
      <c r="K1006" s="40"/>
      <c r="L1006" s="40"/>
      <c r="M1006" s="41"/>
      <c r="N1006" s="39" t="s">
        <v>2335</v>
      </c>
      <c r="O1006" s="46" t="b">
        <f aca="false">FALSE()</f>
        <v>0</v>
      </c>
      <c r="P1006" s="20"/>
      <c r="Q1006" s="45" t="n">
        <v>0</v>
      </c>
      <c r="R1006" s="20"/>
      <c r="S1006" s="20"/>
    </row>
    <row r="1007" customFormat="false" ht="15.75" hidden="false" customHeight="false" outlineLevel="0" collapsed="false">
      <c r="A1007" s="39"/>
      <c r="B1007" s="44"/>
      <c r="C1007" s="39"/>
      <c r="D1007" s="39"/>
      <c r="E1007" s="39"/>
      <c r="F1007" s="45"/>
      <c r="G1007" s="40"/>
      <c r="H1007" s="39"/>
      <c r="I1007" s="39" t="str">
        <f aca="false">IF(ISBLANK(H1007),"", IF($H$2:$H2506 = "Gohar Rehan","Overnight",IF($H$2:$H2506 = "Taufeeq Akhtar ","Overnight",IF($H$2:$H2506 = "Zeeshan Ali Malik","Audit",IF($H$2:$H2506 = "Ali Raza ","Receiving",IF($H$2:$H2506 = "Ali Ahmad","Full-In"))))))</f>
        <v/>
      </c>
      <c r="J1007" s="29"/>
      <c r="K1007" s="40"/>
      <c r="L1007" s="40"/>
      <c r="M1007" s="41"/>
      <c r="N1007" s="39" t="s">
        <v>2335</v>
      </c>
      <c r="O1007" s="46" t="b">
        <f aca="false">FALSE()</f>
        <v>0</v>
      </c>
      <c r="P1007" s="20"/>
      <c r="Q1007" s="45" t="n">
        <v>0</v>
      </c>
      <c r="R1007" s="20"/>
      <c r="S1007" s="20"/>
    </row>
    <row r="1008" customFormat="false" ht="15.75" hidden="false" customHeight="false" outlineLevel="0" collapsed="false">
      <c r="A1008" s="39"/>
      <c r="B1008" s="44"/>
      <c r="C1008" s="39"/>
      <c r="D1008" s="39"/>
      <c r="E1008" s="39"/>
      <c r="F1008" s="45"/>
      <c r="G1008" s="40"/>
      <c r="H1008" s="39"/>
      <c r="I1008" s="39" t="str">
        <f aca="false">IF(ISBLANK(H1008),"", IF($H$2:$H2507 = "Gohar Rehan","Overnight",IF($H$2:$H2507 = "Taufeeq Akhtar ","Overnight",IF($H$2:$H2507 = "Zeeshan Ali Malik","Audit",IF($H$2:$H2507 = "Ali Raza ","Receiving",IF($H$2:$H2507 = "Ali Ahmad","Full-In"))))))</f>
        <v/>
      </c>
      <c r="J1008" s="29"/>
      <c r="K1008" s="40"/>
      <c r="L1008" s="40"/>
      <c r="M1008" s="41"/>
      <c r="N1008" s="39" t="s">
        <v>2335</v>
      </c>
      <c r="O1008" s="46" t="b">
        <f aca="false">FALSE()</f>
        <v>0</v>
      </c>
      <c r="P1008" s="20"/>
      <c r="Q1008" s="45" t="n">
        <v>0</v>
      </c>
      <c r="R1008" s="20"/>
      <c r="S1008" s="20"/>
    </row>
    <row r="1009" customFormat="false" ht="15.75" hidden="false" customHeight="false" outlineLevel="0" collapsed="false">
      <c r="A1009" s="39"/>
      <c r="B1009" s="44"/>
      <c r="C1009" s="39"/>
      <c r="D1009" s="39"/>
      <c r="E1009" s="39"/>
      <c r="F1009" s="45"/>
      <c r="G1009" s="40"/>
      <c r="H1009" s="39"/>
      <c r="I1009" s="39" t="str">
        <f aca="false">IF(ISBLANK(H1009),"", IF($H$2:$H2508 = "Gohar Rehan","Overnight",IF($H$2:$H2508 = "Taufeeq Akhtar ","Overnight",IF($H$2:$H2508 = "Zeeshan Ali Malik","Audit",IF($H$2:$H2508 = "Ali Raza ","Receiving",IF($H$2:$H2508 = "Ali Ahmad","Full-In"))))))</f>
        <v/>
      </c>
      <c r="J1009" s="29"/>
      <c r="K1009" s="40"/>
      <c r="L1009" s="40"/>
      <c r="M1009" s="41"/>
      <c r="N1009" s="39" t="s">
        <v>2335</v>
      </c>
      <c r="O1009" s="46" t="b">
        <f aca="false">FALSE()</f>
        <v>0</v>
      </c>
      <c r="P1009" s="20"/>
      <c r="Q1009" s="45" t="n">
        <v>0</v>
      </c>
      <c r="R1009" s="20"/>
      <c r="S1009" s="20"/>
    </row>
    <row r="1010" customFormat="false" ht="15.75" hidden="false" customHeight="false" outlineLevel="0" collapsed="false">
      <c r="A1010" s="39"/>
      <c r="B1010" s="44"/>
      <c r="C1010" s="39"/>
      <c r="D1010" s="39"/>
      <c r="E1010" s="39"/>
      <c r="F1010" s="45"/>
      <c r="G1010" s="40"/>
      <c r="H1010" s="39"/>
      <c r="I1010" s="39" t="str">
        <f aca="false">IF(ISBLANK(H1010),"", IF($H$2:$H2509 = "Gohar Rehan","Overnight",IF($H$2:$H2509 = "Taufeeq Akhtar ","Overnight",IF($H$2:$H2509 = "Zeeshan Ali Malik","Audit",IF($H$2:$H2509 = "Ali Raza ","Receiving",IF($H$2:$H2509 = "Ali Ahmad","Full-In"))))))</f>
        <v/>
      </c>
      <c r="J1010" s="29"/>
      <c r="K1010" s="40"/>
      <c r="L1010" s="40"/>
      <c r="M1010" s="41"/>
      <c r="N1010" s="39" t="s">
        <v>2335</v>
      </c>
      <c r="O1010" s="46" t="b">
        <f aca="false">FALSE()</f>
        <v>0</v>
      </c>
      <c r="P1010" s="20"/>
      <c r="Q1010" s="45" t="n">
        <v>0</v>
      </c>
      <c r="R1010" s="20"/>
      <c r="S1010" s="20"/>
    </row>
    <row r="1011" customFormat="false" ht="15.75" hidden="false" customHeight="false" outlineLevel="0" collapsed="false">
      <c r="A1011" s="39"/>
      <c r="B1011" s="44"/>
      <c r="C1011" s="39"/>
      <c r="D1011" s="39"/>
      <c r="E1011" s="39"/>
      <c r="F1011" s="45"/>
      <c r="G1011" s="40"/>
      <c r="H1011" s="39"/>
      <c r="I1011" s="39" t="str">
        <f aca="false">IF(ISBLANK(H1011),"", IF($H$2:$H2510 = "Gohar Rehan","Overnight",IF($H$2:$H2510 = "Taufeeq Akhtar ","Overnight",IF($H$2:$H2510 = "Zeeshan Ali Malik","Audit",IF($H$2:$H2510 = "Ali Raza ","Receiving",IF($H$2:$H2510 = "Ali Ahmad","Full-In"))))))</f>
        <v/>
      </c>
      <c r="J1011" s="29"/>
      <c r="K1011" s="40"/>
      <c r="L1011" s="40"/>
      <c r="M1011" s="41"/>
      <c r="N1011" s="39" t="s">
        <v>2335</v>
      </c>
      <c r="O1011" s="46" t="b">
        <f aca="false">FALSE()</f>
        <v>0</v>
      </c>
      <c r="P1011" s="20"/>
      <c r="Q1011" s="45" t="n">
        <v>0</v>
      </c>
      <c r="R1011" s="20"/>
      <c r="S1011" s="20"/>
    </row>
    <row r="1012" customFormat="false" ht="15.75" hidden="false" customHeight="false" outlineLevel="0" collapsed="false">
      <c r="A1012" s="39"/>
      <c r="B1012" s="44"/>
      <c r="C1012" s="39"/>
      <c r="D1012" s="39"/>
      <c r="E1012" s="39"/>
      <c r="F1012" s="45"/>
      <c r="G1012" s="40"/>
      <c r="H1012" s="39"/>
      <c r="I1012" s="39" t="str">
        <f aca="false">IF(ISBLANK(H1012),"", IF($H$2:$H2511 = "Gohar Rehan","Overnight",IF($H$2:$H2511 = "Taufeeq Akhtar ","Overnight",IF($H$2:$H2511 = "Zeeshan Ali Malik","Audit",IF($H$2:$H2511 = "Ali Raza ","Receiving",IF($H$2:$H2511 = "Ali Ahmad","Full-In"))))))</f>
        <v/>
      </c>
      <c r="J1012" s="29"/>
      <c r="K1012" s="40"/>
      <c r="L1012" s="40"/>
      <c r="M1012" s="41"/>
      <c r="N1012" s="39" t="s">
        <v>2335</v>
      </c>
      <c r="O1012" s="46" t="b">
        <f aca="false">FALSE()</f>
        <v>0</v>
      </c>
      <c r="P1012" s="20"/>
      <c r="Q1012" s="45" t="n">
        <v>0</v>
      </c>
      <c r="R1012" s="20"/>
      <c r="S1012" s="20"/>
    </row>
    <row r="1013" customFormat="false" ht="15.75" hidden="false" customHeight="false" outlineLevel="0" collapsed="false">
      <c r="A1013" s="39"/>
      <c r="B1013" s="44"/>
      <c r="C1013" s="39"/>
      <c r="D1013" s="39"/>
      <c r="E1013" s="39"/>
      <c r="F1013" s="45"/>
      <c r="G1013" s="40"/>
      <c r="H1013" s="39"/>
      <c r="I1013" s="39" t="str">
        <f aca="false">IF(ISBLANK(H1013),"", IF($H$2:$H2512 = "Gohar Rehan","Overnight",IF($H$2:$H2512 = "Taufeeq Akhtar ","Overnight",IF($H$2:$H2512 = "Zeeshan Ali Malik","Audit",IF($H$2:$H2512 = "Ali Raza ","Receiving",IF($H$2:$H2512 = "Ali Ahmad","Full-In"))))))</f>
        <v/>
      </c>
      <c r="J1013" s="29"/>
      <c r="K1013" s="40"/>
      <c r="L1013" s="40"/>
      <c r="M1013" s="41"/>
      <c r="N1013" s="39" t="s">
        <v>2335</v>
      </c>
      <c r="O1013" s="46" t="b">
        <f aca="false">FALSE()</f>
        <v>0</v>
      </c>
      <c r="P1013" s="20"/>
      <c r="Q1013" s="45" t="n">
        <v>0</v>
      </c>
      <c r="R1013" s="20"/>
      <c r="S1013" s="20"/>
    </row>
    <row r="1014" customFormat="false" ht="15.75" hidden="false" customHeight="false" outlineLevel="0" collapsed="false">
      <c r="A1014" s="39"/>
      <c r="B1014" s="44"/>
      <c r="C1014" s="39"/>
      <c r="D1014" s="39"/>
      <c r="E1014" s="39"/>
      <c r="F1014" s="45"/>
      <c r="G1014" s="40"/>
      <c r="H1014" s="39"/>
      <c r="I1014" s="39" t="str">
        <f aca="false">IF(ISBLANK(H1014),"", IF($H$2:$H2513 = "Gohar Rehan","Overnight",IF($H$2:$H2513 = "Taufeeq Akhtar ","Overnight",IF($H$2:$H2513 = "Zeeshan Ali Malik","Audit",IF($H$2:$H2513 = "Ali Raza ","Receiving",IF($H$2:$H2513 = "Ali Ahmad","Full-In"))))))</f>
        <v/>
      </c>
      <c r="J1014" s="29"/>
      <c r="K1014" s="40"/>
      <c r="L1014" s="40"/>
      <c r="M1014" s="41"/>
      <c r="N1014" s="39" t="s">
        <v>2335</v>
      </c>
      <c r="O1014" s="46" t="b">
        <f aca="false">FALSE()</f>
        <v>0</v>
      </c>
      <c r="P1014" s="20"/>
      <c r="Q1014" s="45" t="n">
        <v>0</v>
      </c>
      <c r="R1014" s="20"/>
      <c r="S1014" s="20"/>
    </row>
    <row r="1015" customFormat="false" ht="15.75" hidden="false" customHeight="false" outlineLevel="0" collapsed="false">
      <c r="A1015" s="39"/>
      <c r="B1015" s="44"/>
      <c r="C1015" s="39"/>
      <c r="D1015" s="39"/>
      <c r="E1015" s="39"/>
      <c r="F1015" s="45"/>
      <c r="G1015" s="40"/>
      <c r="H1015" s="39"/>
      <c r="I1015" s="39" t="str">
        <f aca="false">IF(ISBLANK(H1015),"", IF($H$2:$H2514 = "Gohar Rehan","Overnight",IF($H$2:$H2514 = "Taufeeq Akhtar ","Overnight",IF($H$2:$H2514 = "Zeeshan Ali Malik","Audit",IF($H$2:$H2514 = "Ali Raza ","Receiving",IF($H$2:$H2514 = "Ali Ahmad","Full-In"))))))</f>
        <v/>
      </c>
      <c r="J1015" s="29"/>
      <c r="K1015" s="40"/>
      <c r="L1015" s="40"/>
      <c r="M1015" s="41"/>
      <c r="N1015" s="39" t="s">
        <v>2335</v>
      </c>
      <c r="O1015" s="46" t="b">
        <f aca="false">FALSE()</f>
        <v>0</v>
      </c>
      <c r="P1015" s="20"/>
      <c r="Q1015" s="45" t="n">
        <v>0</v>
      </c>
      <c r="R1015" s="20"/>
      <c r="S1015" s="20"/>
    </row>
    <row r="1016" customFormat="false" ht="15.75" hidden="false" customHeight="false" outlineLevel="0" collapsed="false">
      <c r="A1016" s="39"/>
      <c r="B1016" s="44"/>
      <c r="C1016" s="39"/>
      <c r="D1016" s="39"/>
      <c r="E1016" s="39"/>
      <c r="F1016" s="45"/>
      <c r="G1016" s="40"/>
      <c r="H1016" s="39"/>
      <c r="I1016" s="39" t="str">
        <f aca="false">IF(ISBLANK(H1016),"", IF($H$2:$H2515 = "Gohar Rehan","Overnight",IF($H$2:$H2515 = "Taufeeq Akhtar ","Overnight",IF($H$2:$H2515 = "Zeeshan Ali Malik","Audit",IF($H$2:$H2515 = "Ali Raza ","Receiving",IF($H$2:$H2515 = "Ali Ahmad","Full-In"))))))</f>
        <v/>
      </c>
      <c r="J1016" s="29"/>
      <c r="K1016" s="40"/>
      <c r="L1016" s="40"/>
      <c r="M1016" s="41"/>
      <c r="N1016" s="39" t="s">
        <v>2335</v>
      </c>
      <c r="O1016" s="46" t="b">
        <f aca="false">FALSE()</f>
        <v>0</v>
      </c>
      <c r="P1016" s="20"/>
      <c r="Q1016" s="45" t="n">
        <v>0</v>
      </c>
      <c r="R1016" s="20"/>
      <c r="S1016" s="20"/>
    </row>
    <row r="1017" customFormat="false" ht="15.75" hidden="false" customHeight="false" outlineLevel="0" collapsed="false">
      <c r="A1017" s="39"/>
      <c r="B1017" s="44"/>
      <c r="C1017" s="39"/>
      <c r="D1017" s="39"/>
      <c r="E1017" s="39"/>
      <c r="F1017" s="45"/>
      <c r="G1017" s="40"/>
      <c r="H1017" s="39"/>
      <c r="I1017" s="39" t="str">
        <f aca="false">IF(ISBLANK(H1017),"", IF($H$2:$H2516 = "Gohar Rehan","Overnight",IF($H$2:$H2516 = "Taufeeq Akhtar ","Overnight",IF($H$2:$H2516 = "Zeeshan Ali Malik","Audit",IF($H$2:$H2516 = "Ali Raza ","Receiving",IF($H$2:$H2516 = "Ali Ahmad","Full-In"))))))</f>
        <v/>
      </c>
      <c r="J1017" s="29"/>
      <c r="K1017" s="40"/>
      <c r="L1017" s="40"/>
      <c r="M1017" s="41"/>
      <c r="N1017" s="39" t="s">
        <v>2335</v>
      </c>
      <c r="O1017" s="46" t="b">
        <f aca="false">FALSE()</f>
        <v>0</v>
      </c>
      <c r="P1017" s="20"/>
      <c r="Q1017" s="45" t="n">
        <v>0</v>
      </c>
      <c r="R1017" s="20"/>
      <c r="S1017" s="20"/>
    </row>
    <row r="1018" customFormat="false" ht="15.75" hidden="false" customHeight="false" outlineLevel="0" collapsed="false">
      <c r="A1018" s="39"/>
      <c r="B1018" s="44"/>
      <c r="C1018" s="39"/>
      <c r="D1018" s="39"/>
      <c r="E1018" s="39"/>
      <c r="F1018" s="45"/>
      <c r="G1018" s="40"/>
      <c r="H1018" s="39"/>
      <c r="I1018" s="39" t="str">
        <f aca="false">IF(ISBLANK(H1018),"", IF($H$2:$H2517 = "Gohar Rehan","Overnight",IF($H$2:$H2517 = "Taufeeq Akhtar ","Overnight",IF($H$2:$H2517 = "Zeeshan Ali Malik","Audit",IF($H$2:$H2517 = "Ali Raza ","Receiving",IF($H$2:$H2517 = "Ali Ahmad","Full-In"))))))</f>
        <v/>
      </c>
      <c r="J1018" s="29"/>
      <c r="K1018" s="40"/>
      <c r="L1018" s="40"/>
      <c r="M1018" s="41"/>
      <c r="N1018" s="39" t="s">
        <v>2335</v>
      </c>
      <c r="O1018" s="46" t="b">
        <f aca="false">FALSE()</f>
        <v>0</v>
      </c>
      <c r="P1018" s="20"/>
      <c r="Q1018" s="45" t="n">
        <v>0</v>
      </c>
      <c r="R1018" s="20"/>
      <c r="S1018" s="20"/>
    </row>
    <row r="1019" customFormat="false" ht="15.75" hidden="false" customHeight="false" outlineLevel="0" collapsed="false">
      <c r="A1019" s="39"/>
      <c r="B1019" s="44"/>
      <c r="C1019" s="39"/>
      <c r="D1019" s="39"/>
      <c r="E1019" s="39"/>
      <c r="F1019" s="45"/>
      <c r="G1019" s="40"/>
      <c r="H1019" s="39"/>
      <c r="I1019" s="39" t="str">
        <f aca="false">IF(ISBLANK(H1019),"", IF($H$2:$H2518 = "Gohar Rehan","Overnight",IF($H$2:$H2518 = "Taufeeq Akhtar ","Overnight",IF($H$2:$H2518 = "Zeeshan Ali Malik","Audit",IF($H$2:$H2518 = "Ali Raza ","Receiving",IF($H$2:$H2518 = "Ali Ahmad","Full-In"))))))</f>
        <v/>
      </c>
      <c r="J1019" s="29"/>
      <c r="K1019" s="40"/>
      <c r="L1019" s="40"/>
      <c r="M1019" s="41"/>
      <c r="N1019" s="39" t="s">
        <v>2335</v>
      </c>
      <c r="O1019" s="46" t="b">
        <f aca="false">FALSE()</f>
        <v>0</v>
      </c>
      <c r="P1019" s="20"/>
      <c r="Q1019" s="45" t="n">
        <v>0</v>
      </c>
      <c r="R1019" s="20"/>
      <c r="S1019" s="20"/>
    </row>
    <row r="1020" customFormat="false" ht="15.75" hidden="false" customHeight="false" outlineLevel="0" collapsed="false">
      <c r="A1020" s="39"/>
      <c r="B1020" s="44"/>
      <c r="C1020" s="39"/>
      <c r="D1020" s="39"/>
      <c r="E1020" s="39"/>
      <c r="F1020" s="45"/>
      <c r="G1020" s="40"/>
      <c r="H1020" s="39"/>
      <c r="I1020" s="39" t="str">
        <f aca="false">IF(ISBLANK(H1020),"", IF($H$2:$H2519 = "Gohar Rehan","Overnight",IF($H$2:$H2519 = "Taufeeq Akhtar ","Overnight",IF($H$2:$H2519 = "Zeeshan Ali Malik","Audit",IF($H$2:$H2519 = "Ali Raza ","Receiving",IF($H$2:$H2519 = "Ali Ahmad","Full-In"))))))</f>
        <v/>
      </c>
      <c r="J1020" s="29"/>
      <c r="K1020" s="40"/>
      <c r="L1020" s="40"/>
      <c r="M1020" s="41"/>
      <c r="N1020" s="39" t="s">
        <v>2335</v>
      </c>
      <c r="O1020" s="46" t="b">
        <f aca="false">FALSE()</f>
        <v>0</v>
      </c>
      <c r="P1020" s="20"/>
      <c r="Q1020" s="45" t="n">
        <v>0</v>
      </c>
      <c r="R1020" s="20"/>
      <c r="S1020" s="20"/>
    </row>
    <row r="1021" customFormat="false" ht="15.75" hidden="false" customHeight="false" outlineLevel="0" collapsed="false">
      <c r="A1021" s="39"/>
      <c r="B1021" s="44"/>
      <c r="C1021" s="39"/>
      <c r="D1021" s="39"/>
      <c r="E1021" s="39"/>
      <c r="F1021" s="45"/>
      <c r="G1021" s="40"/>
      <c r="H1021" s="39"/>
      <c r="I1021" s="39" t="str">
        <f aca="false">IF(ISBLANK(H1021),"", IF($H$2:$H2520 = "Gohar Rehan","Overnight",IF($H$2:$H2520 = "Taufeeq Akhtar ","Overnight",IF($H$2:$H2520 = "Zeeshan Ali Malik","Audit",IF($H$2:$H2520 = "Ali Raza ","Receiving",IF($H$2:$H2520 = "Ali Ahmad","Full-In"))))))</f>
        <v/>
      </c>
      <c r="J1021" s="29"/>
      <c r="K1021" s="40"/>
      <c r="L1021" s="40"/>
      <c r="M1021" s="41"/>
      <c r="N1021" s="39" t="s">
        <v>2335</v>
      </c>
      <c r="O1021" s="46" t="b">
        <f aca="false">FALSE()</f>
        <v>0</v>
      </c>
      <c r="P1021" s="20"/>
      <c r="Q1021" s="45" t="n">
        <v>0</v>
      </c>
      <c r="R1021" s="20"/>
      <c r="S1021" s="20"/>
    </row>
    <row r="1022" customFormat="false" ht="15.75" hidden="false" customHeight="false" outlineLevel="0" collapsed="false">
      <c r="A1022" s="39"/>
      <c r="B1022" s="44"/>
      <c r="C1022" s="39"/>
      <c r="D1022" s="39"/>
      <c r="E1022" s="39"/>
      <c r="F1022" s="45"/>
      <c r="G1022" s="40"/>
      <c r="H1022" s="39"/>
      <c r="I1022" s="39" t="str">
        <f aca="false">IF(ISBLANK(H1022),"", IF($H$2:$H2521 = "Gohar Rehan","Overnight",IF($H$2:$H2521 = "Taufeeq Akhtar ","Overnight",IF($H$2:$H2521 = "Zeeshan Ali Malik","Audit",IF($H$2:$H2521 = "Ali Raza ","Receiving",IF($H$2:$H2521 = "Ali Ahmad","Full-In"))))))</f>
        <v/>
      </c>
      <c r="J1022" s="29"/>
      <c r="K1022" s="40"/>
      <c r="L1022" s="40"/>
      <c r="M1022" s="41"/>
      <c r="N1022" s="39" t="s">
        <v>2335</v>
      </c>
      <c r="O1022" s="46" t="b">
        <f aca="false">FALSE()</f>
        <v>0</v>
      </c>
      <c r="P1022" s="20"/>
      <c r="Q1022" s="45" t="n">
        <v>0</v>
      </c>
      <c r="R1022" s="20"/>
      <c r="S1022" s="20"/>
    </row>
    <row r="1023" customFormat="false" ht="15.75" hidden="false" customHeight="false" outlineLevel="0" collapsed="false">
      <c r="A1023" s="39"/>
      <c r="B1023" s="44"/>
      <c r="C1023" s="39"/>
      <c r="D1023" s="39"/>
      <c r="E1023" s="39"/>
      <c r="F1023" s="45"/>
      <c r="G1023" s="40"/>
      <c r="H1023" s="39"/>
      <c r="I1023" s="39" t="str">
        <f aca="false">IF(ISBLANK(H1023),"", IF($H$2:$H2522 = "Gohar Rehan","Overnight",IF($H$2:$H2522 = "Taufeeq Akhtar ","Overnight",IF($H$2:$H2522 = "Zeeshan Ali Malik","Audit",IF($H$2:$H2522 = "Ali Raza ","Receiving",IF($H$2:$H2522 = "Ali Ahmad","Full-In"))))))</f>
        <v/>
      </c>
      <c r="J1023" s="29"/>
      <c r="K1023" s="40"/>
      <c r="L1023" s="40"/>
      <c r="M1023" s="41"/>
      <c r="N1023" s="39" t="s">
        <v>2335</v>
      </c>
      <c r="O1023" s="46" t="b">
        <f aca="false">FALSE()</f>
        <v>0</v>
      </c>
      <c r="P1023" s="20"/>
      <c r="Q1023" s="45" t="n">
        <v>0</v>
      </c>
      <c r="R1023" s="20"/>
      <c r="S1023" s="20"/>
    </row>
    <row r="1024" customFormat="false" ht="15.75" hidden="false" customHeight="false" outlineLevel="0" collapsed="false">
      <c r="A1024" s="39"/>
      <c r="B1024" s="44"/>
      <c r="C1024" s="39"/>
      <c r="D1024" s="39"/>
      <c r="E1024" s="39"/>
      <c r="F1024" s="45"/>
      <c r="G1024" s="40"/>
      <c r="H1024" s="39"/>
      <c r="I1024" s="39" t="str">
        <f aca="false">IF(ISBLANK(H1024),"", IF($H$2:$H2523 = "Gohar Rehan","Overnight",IF($H$2:$H2523 = "Taufeeq Akhtar ","Overnight",IF($H$2:$H2523 = "Zeeshan Ali Malik","Audit",IF($H$2:$H2523 = "Ali Raza ","Receiving",IF($H$2:$H2523 = "Ali Ahmad","Full-In"))))))</f>
        <v/>
      </c>
      <c r="J1024" s="29"/>
      <c r="K1024" s="40"/>
      <c r="L1024" s="40"/>
      <c r="M1024" s="41"/>
      <c r="N1024" s="39" t="s">
        <v>2335</v>
      </c>
      <c r="O1024" s="46" t="b">
        <f aca="false">FALSE()</f>
        <v>0</v>
      </c>
      <c r="P1024" s="20"/>
      <c r="Q1024" s="45" t="n">
        <v>0</v>
      </c>
      <c r="R1024" s="20"/>
      <c r="S1024" s="20"/>
    </row>
    <row r="1025" customFormat="false" ht="15.75" hidden="false" customHeight="false" outlineLevel="0" collapsed="false">
      <c r="A1025" s="39"/>
      <c r="B1025" s="44"/>
      <c r="C1025" s="39"/>
      <c r="D1025" s="39"/>
      <c r="E1025" s="39"/>
      <c r="F1025" s="45"/>
      <c r="G1025" s="40"/>
      <c r="H1025" s="39"/>
      <c r="I1025" s="39" t="str">
        <f aca="false">IF(ISBLANK(H1025),"", IF($H$2:$H2524 = "Gohar Rehan","Overnight",IF($H$2:$H2524 = "Taufeeq Akhtar ","Overnight",IF($H$2:$H2524 = "Zeeshan Ali Malik","Audit",IF($H$2:$H2524 = "Ali Raza ","Receiving",IF($H$2:$H2524 = "Ali Ahmad","Full-In"))))))</f>
        <v/>
      </c>
      <c r="J1025" s="29"/>
      <c r="K1025" s="40"/>
      <c r="L1025" s="40"/>
      <c r="M1025" s="41"/>
      <c r="N1025" s="39" t="s">
        <v>2335</v>
      </c>
      <c r="O1025" s="46" t="b">
        <f aca="false">FALSE()</f>
        <v>0</v>
      </c>
      <c r="P1025" s="20"/>
      <c r="Q1025" s="45" t="n">
        <v>0</v>
      </c>
      <c r="R1025" s="20"/>
      <c r="S1025" s="20"/>
    </row>
    <row r="1026" customFormat="false" ht="15.75" hidden="false" customHeight="false" outlineLevel="0" collapsed="false">
      <c r="A1026" s="39"/>
      <c r="B1026" s="44"/>
      <c r="C1026" s="39"/>
      <c r="D1026" s="39"/>
      <c r="E1026" s="39"/>
      <c r="F1026" s="45"/>
      <c r="G1026" s="40"/>
      <c r="H1026" s="39"/>
      <c r="I1026" s="39" t="str">
        <f aca="false">IF(ISBLANK(H1026),"", IF($H$2:$H2525 = "Gohar Rehan","Overnight",IF($H$2:$H2525 = "Taufeeq Akhtar ","Overnight",IF($H$2:$H2525 = "Zeeshan Ali Malik","Audit",IF($H$2:$H2525 = "Ali Raza ","Receiving",IF($H$2:$H2525 = "Ali Ahmad","Full-In"))))))</f>
        <v/>
      </c>
      <c r="J1026" s="29"/>
      <c r="K1026" s="40"/>
      <c r="L1026" s="40"/>
      <c r="M1026" s="41"/>
      <c r="N1026" s="39" t="s">
        <v>2335</v>
      </c>
      <c r="O1026" s="46" t="b">
        <f aca="false">FALSE()</f>
        <v>0</v>
      </c>
      <c r="P1026" s="20"/>
      <c r="Q1026" s="45" t="n">
        <v>0</v>
      </c>
      <c r="R1026" s="20"/>
      <c r="S1026" s="20"/>
    </row>
    <row r="1027" customFormat="false" ht="15.75" hidden="false" customHeight="false" outlineLevel="0" collapsed="false">
      <c r="A1027" s="39"/>
      <c r="B1027" s="44"/>
      <c r="C1027" s="39"/>
      <c r="D1027" s="39"/>
      <c r="E1027" s="39"/>
      <c r="F1027" s="45"/>
      <c r="G1027" s="40"/>
      <c r="H1027" s="39"/>
      <c r="I1027" s="39" t="str">
        <f aca="false">IF(ISBLANK(H1027),"", IF($H$2:$H2526 = "Gohar Rehan","Overnight",IF($H$2:$H2526 = "Taufeeq Akhtar ","Overnight",IF($H$2:$H2526 = "Zeeshan Ali Malik","Audit",IF($H$2:$H2526 = "Ali Raza ","Receiving",IF($H$2:$H2526 = "Ali Ahmad","Full-In"))))))</f>
        <v/>
      </c>
      <c r="J1027" s="29"/>
      <c r="K1027" s="40"/>
      <c r="L1027" s="40"/>
      <c r="M1027" s="41"/>
      <c r="N1027" s="39" t="s">
        <v>2335</v>
      </c>
      <c r="O1027" s="46" t="b">
        <f aca="false">FALSE()</f>
        <v>0</v>
      </c>
      <c r="P1027" s="20"/>
      <c r="Q1027" s="45" t="n">
        <v>0</v>
      </c>
      <c r="R1027" s="20"/>
      <c r="S1027" s="20"/>
    </row>
    <row r="1028" customFormat="false" ht="15.75" hidden="false" customHeight="false" outlineLevel="0" collapsed="false">
      <c r="A1028" s="39"/>
      <c r="B1028" s="44"/>
      <c r="C1028" s="39"/>
      <c r="D1028" s="39"/>
      <c r="E1028" s="39"/>
      <c r="F1028" s="45"/>
      <c r="G1028" s="40"/>
      <c r="H1028" s="39"/>
      <c r="I1028" s="39" t="str">
        <f aca="false">IF(ISBLANK(H1028),"", IF($H$2:$H2527 = "Gohar Rehan","Overnight",IF($H$2:$H2527 = "Taufeeq Akhtar ","Overnight",IF($H$2:$H2527 = "Zeeshan Ali Malik","Audit",IF($H$2:$H2527 = "Ali Raza ","Receiving",IF($H$2:$H2527 = "Ali Ahmad","Full-In"))))))</f>
        <v/>
      </c>
      <c r="J1028" s="29"/>
      <c r="K1028" s="40"/>
      <c r="L1028" s="40"/>
      <c r="M1028" s="41"/>
      <c r="N1028" s="39" t="s">
        <v>2335</v>
      </c>
      <c r="O1028" s="46" t="b">
        <f aca="false">FALSE()</f>
        <v>0</v>
      </c>
      <c r="P1028" s="20"/>
      <c r="Q1028" s="45" t="n">
        <v>0</v>
      </c>
      <c r="R1028" s="20"/>
      <c r="S1028" s="20"/>
    </row>
    <row r="1029" customFormat="false" ht="15.75" hidden="false" customHeight="false" outlineLevel="0" collapsed="false">
      <c r="A1029" s="39"/>
      <c r="B1029" s="44"/>
      <c r="C1029" s="39"/>
      <c r="D1029" s="39"/>
      <c r="E1029" s="39"/>
      <c r="F1029" s="45"/>
      <c r="G1029" s="40"/>
      <c r="H1029" s="39"/>
      <c r="I1029" s="39" t="str">
        <f aca="false">IF(ISBLANK(H1029),"", IF($H$2:$H2528 = "Gohar Rehan","Overnight",IF($H$2:$H2528 = "Taufeeq Akhtar ","Overnight",IF($H$2:$H2528 = "Zeeshan Ali Malik","Audit",IF($H$2:$H2528 = "Ali Raza ","Receiving",IF($H$2:$H2528 = "Ali Ahmad","Full-In"))))))</f>
        <v/>
      </c>
      <c r="J1029" s="29"/>
      <c r="K1029" s="40"/>
      <c r="L1029" s="40"/>
      <c r="M1029" s="41"/>
      <c r="N1029" s="39" t="s">
        <v>2335</v>
      </c>
      <c r="O1029" s="46" t="b">
        <f aca="false">FALSE()</f>
        <v>0</v>
      </c>
      <c r="P1029" s="20"/>
      <c r="Q1029" s="45" t="n">
        <v>0</v>
      </c>
      <c r="R1029" s="20"/>
      <c r="S1029" s="20"/>
    </row>
    <row r="1030" customFormat="false" ht="15.75" hidden="false" customHeight="false" outlineLevel="0" collapsed="false">
      <c r="A1030" s="39"/>
      <c r="B1030" s="44"/>
      <c r="C1030" s="39"/>
      <c r="D1030" s="39"/>
      <c r="E1030" s="39"/>
      <c r="F1030" s="45"/>
      <c r="G1030" s="40"/>
      <c r="H1030" s="39"/>
      <c r="I1030" s="39" t="str">
        <f aca="false">IF(ISBLANK(H1030),"", IF($H$2:$H2529 = "Gohar Rehan","Overnight",IF($H$2:$H2529 = "Taufeeq Akhtar ","Overnight",IF($H$2:$H2529 = "Zeeshan Ali Malik","Audit",IF($H$2:$H2529 = "Ali Raza ","Receiving",IF($H$2:$H2529 = "Ali Ahmad","Full-In"))))))</f>
        <v/>
      </c>
      <c r="J1030" s="29"/>
      <c r="K1030" s="40"/>
      <c r="L1030" s="40"/>
      <c r="M1030" s="41"/>
      <c r="N1030" s="39" t="s">
        <v>2335</v>
      </c>
      <c r="O1030" s="46" t="b">
        <f aca="false">FALSE()</f>
        <v>0</v>
      </c>
      <c r="P1030" s="20"/>
      <c r="Q1030" s="45" t="n">
        <v>0</v>
      </c>
      <c r="R1030" s="20"/>
      <c r="S1030" s="20"/>
    </row>
    <row r="1031" customFormat="false" ht="15.75" hidden="false" customHeight="false" outlineLevel="0" collapsed="false">
      <c r="A1031" s="39"/>
      <c r="B1031" s="44"/>
      <c r="C1031" s="39"/>
      <c r="D1031" s="39"/>
      <c r="E1031" s="39"/>
      <c r="F1031" s="45"/>
      <c r="G1031" s="40"/>
      <c r="H1031" s="39"/>
      <c r="I1031" s="39" t="str">
        <f aca="false">IF(ISBLANK(H1031),"", IF($H$2:$H2530 = "Gohar Rehan","Overnight",IF($H$2:$H2530 = "Taufeeq Akhtar ","Overnight",IF($H$2:$H2530 = "Zeeshan Ali Malik","Audit",IF($H$2:$H2530 = "Ali Raza ","Receiving",IF($H$2:$H2530 = "Ali Ahmad","Full-In"))))))</f>
        <v/>
      </c>
      <c r="J1031" s="29"/>
      <c r="K1031" s="40"/>
      <c r="L1031" s="40"/>
      <c r="M1031" s="41"/>
      <c r="N1031" s="39" t="s">
        <v>2335</v>
      </c>
      <c r="O1031" s="46" t="b">
        <f aca="false">FALSE()</f>
        <v>0</v>
      </c>
      <c r="P1031" s="20"/>
      <c r="Q1031" s="45" t="n">
        <v>0</v>
      </c>
      <c r="R1031" s="20"/>
      <c r="S1031" s="20"/>
    </row>
    <row r="1032" customFormat="false" ht="15.75" hidden="false" customHeight="false" outlineLevel="0" collapsed="false">
      <c r="A1032" s="39"/>
      <c r="B1032" s="44"/>
      <c r="C1032" s="39"/>
      <c r="D1032" s="39"/>
      <c r="E1032" s="39"/>
      <c r="F1032" s="45"/>
      <c r="G1032" s="40"/>
      <c r="H1032" s="39"/>
      <c r="I1032" s="39" t="str">
        <f aca="false">IF(ISBLANK(H1032),"", IF($H$2:$H2531 = "Gohar Rehan","Overnight",IF($H$2:$H2531 = "Taufeeq Akhtar ","Overnight",IF($H$2:$H2531 = "Zeeshan Ali Malik","Audit",IF($H$2:$H2531 = "Ali Raza ","Receiving",IF($H$2:$H2531 = "Ali Ahmad","Full-In"))))))</f>
        <v/>
      </c>
      <c r="J1032" s="29"/>
      <c r="K1032" s="40"/>
      <c r="L1032" s="40"/>
      <c r="M1032" s="41"/>
      <c r="N1032" s="39" t="s">
        <v>2335</v>
      </c>
      <c r="O1032" s="46" t="b">
        <f aca="false">FALSE()</f>
        <v>0</v>
      </c>
      <c r="P1032" s="20"/>
      <c r="Q1032" s="45" t="n">
        <v>0</v>
      </c>
      <c r="R1032" s="20"/>
      <c r="S1032" s="20"/>
    </row>
    <row r="1033" customFormat="false" ht="15.75" hidden="false" customHeight="false" outlineLevel="0" collapsed="false">
      <c r="A1033" s="39"/>
      <c r="B1033" s="44"/>
      <c r="C1033" s="39"/>
      <c r="D1033" s="39"/>
      <c r="E1033" s="39"/>
      <c r="F1033" s="45"/>
      <c r="G1033" s="40"/>
      <c r="H1033" s="39"/>
      <c r="I1033" s="39" t="str">
        <f aca="false">IF(ISBLANK(H1033),"", IF($H$2:$H2532 = "Gohar Rehan","Overnight",IF($H$2:$H2532 = "Taufeeq Akhtar ","Overnight",IF($H$2:$H2532 = "Zeeshan Ali Malik","Audit",IF($H$2:$H2532 = "Ali Raza ","Receiving",IF($H$2:$H2532 = "Ali Ahmad","Full-In"))))))</f>
        <v/>
      </c>
      <c r="J1033" s="29"/>
      <c r="K1033" s="40"/>
      <c r="L1033" s="40"/>
      <c r="M1033" s="41"/>
      <c r="N1033" s="39" t="s">
        <v>2335</v>
      </c>
      <c r="O1033" s="46" t="b">
        <f aca="false">FALSE()</f>
        <v>0</v>
      </c>
      <c r="P1033" s="20"/>
      <c r="Q1033" s="45" t="n">
        <v>0</v>
      </c>
      <c r="R1033" s="20"/>
      <c r="S1033" s="20"/>
    </row>
    <row r="1034" customFormat="false" ht="15.75" hidden="false" customHeight="false" outlineLevel="0" collapsed="false">
      <c r="A1034" s="39"/>
      <c r="B1034" s="44"/>
      <c r="C1034" s="39"/>
      <c r="D1034" s="39"/>
      <c r="E1034" s="39"/>
      <c r="F1034" s="45"/>
      <c r="G1034" s="40"/>
      <c r="H1034" s="39"/>
      <c r="I1034" s="39" t="str">
        <f aca="false">IF(ISBLANK(H1034),"", IF($H$2:$H2533 = "Gohar Rehan","Overnight",IF($H$2:$H2533 = "Taufeeq Akhtar ","Overnight",IF($H$2:$H2533 = "Zeeshan Ali Malik","Audit",IF($H$2:$H2533 = "Ali Raza ","Receiving",IF($H$2:$H2533 = "Ali Ahmad","Full-In"))))))</f>
        <v/>
      </c>
      <c r="J1034" s="29"/>
      <c r="K1034" s="40"/>
      <c r="L1034" s="40"/>
      <c r="M1034" s="41"/>
      <c r="N1034" s="39" t="s">
        <v>2335</v>
      </c>
      <c r="O1034" s="46" t="b">
        <f aca="false">FALSE()</f>
        <v>0</v>
      </c>
      <c r="P1034" s="20"/>
      <c r="Q1034" s="45" t="n">
        <v>0</v>
      </c>
      <c r="R1034" s="20"/>
      <c r="S1034" s="20"/>
    </row>
    <row r="1035" customFormat="false" ht="15.75" hidden="false" customHeight="false" outlineLevel="0" collapsed="false">
      <c r="A1035" s="39"/>
      <c r="B1035" s="44"/>
      <c r="C1035" s="39"/>
      <c r="D1035" s="39"/>
      <c r="E1035" s="39"/>
      <c r="F1035" s="45"/>
      <c r="G1035" s="40"/>
      <c r="H1035" s="39"/>
      <c r="I1035" s="39" t="str">
        <f aca="false">IF(ISBLANK(H1035),"", IF($H$2:$H2534 = "Gohar Rehan","Overnight",IF($H$2:$H2534 = "Taufeeq Akhtar ","Overnight",IF($H$2:$H2534 = "Zeeshan Ali Malik","Audit",IF($H$2:$H2534 = "Ali Raza ","Receiving",IF($H$2:$H2534 = "Ali Ahmad","Full-In"))))))</f>
        <v/>
      </c>
      <c r="J1035" s="29"/>
      <c r="K1035" s="40"/>
      <c r="L1035" s="40"/>
      <c r="M1035" s="41"/>
      <c r="N1035" s="39" t="s">
        <v>2335</v>
      </c>
      <c r="O1035" s="46" t="b">
        <f aca="false">FALSE()</f>
        <v>0</v>
      </c>
      <c r="P1035" s="20"/>
      <c r="Q1035" s="45" t="n">
        <v>0</v>
      </c>
      <c r="R1035" s="20"/>
      <c r="S1035" s="20"/>
    </row>
    <row r="1036" customFormat="false" ht="15.75" hidden="false" customHeight="false" outlineLevel="0" collapsed="false">
      <c r="A1036" s="39"/>
      <c r="B1036" s="44"/>
      <c r="C1036" s="39"/>
      <c r="D1036" s="39"/>
      <c r="E1036" s="39"/>
      <c r="F1036" s="45"/>
      <c r="G1036" s="40"/>
      <c r="H1036" s="39"/>
      <c r="I1036" s="39" t="str">
        <f aca="false">IF(ISBLANK(H1036),"", IF($H$2:$H2535 = "Gohar Rehan","Overnight",IF($H$2:$H2535 = "Taufeeq Akhtar ","Overnight",IF($H$2:$H2535 = "Zeeshan Ali Malik","Audit",IF($H$2:$H2535 = "Ali Raza ","Receiving",IF($H$2:$H2535 = "Ali Ahmad","Full-In"))))))</f>
        <v/>
      </c>
      <c r="J1036" s="29"/>
      <c r="K1036" s="40"/>
      <c r="L1036" s="40"/>
      <c r="M1036" s="41"/>
      <c r="N1036" s="39" t="s">
        <v>2335</v>
      </c>
      <c r="O1036" s="46" t="b">
        <f aca="false">FALSE()</f>
        <v>0</v>
      </c>
      <c r="P1036" s="20"/>
      <c r="Q1036" s="45" t="n">
        <v>0</v>
      </c>
      <c r="R1036" s="20"/>
      <c r="S1036" s="20"/>
    </row>
    <row r="1037" customFormat="false" ht="15.75" hidden="false" customHeight="false" outlineLevel="0" collapsed="false">
      <c r="A1037" s="39"/>
      <c r="B1037" s="44"/>
      <c r="C1037" s="39"/>
      <c r="D1037" s="39"/>
      <c r="E1037" s="39"/>
      <c r="F1037" s="45"/>
      <c r="G1037" s="40"/>
      <c r="H1037" s="39"/>
      <c r="I1037" s="39" t="str">
        <f aca="false">IF(ISBLANK(H1037),"", IF($H$2:$H2536 = "Gohar Rehan","Overnight",IF($H$2:$H2536 = "Taufeeq Akhtar ","Overnight",IF($H$2:$H2536 = "Zeeshan Ali Malik","Audit",IF($H$2:$H2536 = "Ali Raza ","Receiving",IF($H$2:$H2536 = "Ali Ahmad","Full-In"))))))</f>
        <v/>
      </c>
      <c r="J1037" s="29"/>
      <c r="K1037" s="40"/>
      <c r="L1037" s="40"/>
      <c r="M1037" s="41"/>
      <c r="N1037" s="39" t="s">
        <v>2335</v>
      </c>
      <c r="O1037" s="46" t="b">
        <f aca="false">FALSE()</f>
        <v>0</v>
      </c>
      <c r="P1037" s="20"/>
      <c r="Q1037" s="45" t="n">
        <v>0</v>
      </c>
      <c r="R1037" s="20"/>
      <c r="S1037" s="20"/>
    </row>
    <row r="1038" customFormat="false" ht="15.75" hidden="false" customHeight="false" outlineLevel="0" collapsed="false">
      <c r="A1038" s="39"/>
      <c r="B1038" s="44"/>
      <c r="C1038" s="39"/>
      <c r="D1038" s="39"/>
      <c r="E1038" s="39"/>
      <c r="F1038" s="45"/>
      <c r="G1038" s="40"/>
      <c r="H1038" s="39"/>
      <c r="I1038" s="39" t="str">
        <f aca="false">IF(ISBLANK(H1038),"", IF($H$2:$H2537 = "Gohar Rehan","Overnight",IF($H$2:$H2537 = "Taufeeq Akhtar ","Overnight",IF($H$2:$H2537 = "Zeeshan Ali Malik","Audit",IF($H$2:$H2537 = "Ali Raza ","Receiving",IF($H$2:$H2537 = "Ali Ahmad","Full-In"))))))</f>
        <v/>
      </c>
      <c r="J1038" s="29"/>
      <c r="K1038" s="40"/>
      <c r="L1038" s="40"/>
      <c r="M1038" s="41"/>
      <c r="N1038" s="39" t="s">
        <v>2335</v>
      </c>
      <c r="O1038" s="46" t="b">
        <f aca="false">FALSE()</f>
        <v>0</v>
      </c>
      <c r="P1038" s="20"/>
      <c r="Q1038" s="45" t="n">
        <v>0</v>
      </c>
      <c r="R1038" s="20"/>
      <c r="S1038" s="20"/>
    </row>
    <row r="1039" customFormat="false" ht="15.75" hidden="false" customHeight="false" outlineLevel="0" collapsed="false">
      <c r="A1039" s="39"/>
      <c r="B1039" s="44"/>
      <c r="C1039" s="39"/>
      <c r="D1039" s="39"/>
      <c r="E1039" s="39"/>
      <c r="F1039" s="45"/>
      <c r="G1039" s="40"/>
      <c r="H1039" s="39"/>
      <c r="I1039" s="39" t="str">
        <f aca="false">IF(ISBLANK(H1039),"", IF($H$2:$H2538 = "Gohar Rehan","Overnight",IF($H$2:$H2538 = "Taufeeq Akhtar ","Overnight",IF($H$2:$H2538 = "Zeeshan Ali Malik","Audit",IF($H$2:$H2538 = "Ali Raza ","Receiving",IF($H$2:$H2538 = "Ali Ahmad","Full-In"))))))</f>
        <v/>
      </c>
      <c r="J1039" s="29"/>
      <c r="K1039" s="40"/>
      <c r="L1039" s="40"/>
      <c r="M1039" s="41"/>
      <c r="N1039" s="39" t="s">
        <v>2335</v>
      </c>
      <c r="O1039" s="46" t="b">
        <f aca="false">FALSE()</f>
        <v>0</v>
      </c>
      <c r="P1039" s="20"/>
      <c r="Q1039" s="45" t="n">
        <v>0</v>
      </c>
      <c r="R1039" s="20"/>
      <c r="S1039" s="20"/>
    </row>
    <row r="1040" customFormat="false" ht="15.75" hidden="false" customHeight="false" outlineLevel="0" collapsed="false">
      <c r="A1040" s="39"/>
      <c r="B1040" s="44"/>
      <c r="C1040" s="39"/>
      <c r="D1040" s="39"/>
      <c r="E1040" s="39"/>
      <c r="F1040" s="45"/>
      <c r="G1040" s="40"/>
      <c r="H1040" s="39"/>
      <c r="I1040" s="39" t="str">
        <f aca="false">IF(ISBLANK(H1040),"", IF($H$2:$H2539 = "Gohar Rehan","Overnight",IF($H$2:$H2539 = "Taufeeq Akhtar ","Overnight",IF($H$2:$H2539 = "Zeeshan Ali Malik","Audit",IF($H$2:$H2539 = "Ali Raza ","Receiving",IF($H$2:$H2539 = "Ali Ahmad","Full-In"))))))</f>
        <v/>
      </c>
      <c r="J1040" s="29"/>
      <c r="K1040" s="40"/>
      <c r="L1040" s="40"/>
      <c r="M1040" s="41"/>
      <c r="N1040" s="39" t="s">
        <v>2335</v>
      </c>
      <c r="O1040" s="46" t="b">
        <f aca="false">FALSE()</f>
        <v>0</v>
      </c>
      <c r="P1040" s="20"/>
      <c r="Q1040" s="45" t="n">
        <v>0</v>
      </c>
      <c r="R1040" s="20"/>
      <c r="S1040" s="20"/>
    </row>
    <row r="1041" customFormat="false" ht="15.75" hidden="false" customHeight="false" outlineLevel="0" collapsed="false">
      <c r="A1041" s="39"/>
      <c r="B1041" s="44"/>
      <c r="C1041" s="39"/>
      <c r="D1041" s="39"/>
      <c r="E1041" s="39"/>
      <c r="F1041" s="45"/>
      <c r="G1041" s="40"/>
      <c r="H1041" s="39"/>
      <c r="I1041" s="39" t="str">
        <f aca="false">IF(ISBLANK(H1041),"", IF($H$2:$H2540 = "Gohar Rehan","Overnight",IF($H$2:$H2540 = "Taufeeq Akhtar ","Overnight",IF($H$2:$H2540 = "Zeeshan Ali Malik","Audit",IF($H$2:$H2540 = "Ali Raza ","Receiving",IF($H$2:$H2540 = "Ali Ahmad","Full-In"))))))</f>
        <v/>
      </c>
      <c r="J1041" s="29"/>
      <c r="K1041" s="40"/>
      <c r="L1041" s="40"/>
      <c r="M1041" s="41"/>
      <c r="N1041" s="39" t="s">
        <v>2335</v>
      </c>
      <c r="O1041" s="46" t="b">
        <f aca="false">FALSE()</f>
        <v>0</v>
      </c>
      <c r="P1041" s="20"/>
      <c r="Q1041" s="45" t="n">
        <v>0</v>
      </c>
      <c r="R1041" s="20"/>
      <c r="S1041" s="20"/>
    </row>
    <row r="1042" customFormat="false" ht="15.75" hidden="false" customHeight="false" outlineLevel="0" collapsed="false">
      <c r="A1042" s="39"/>
      <c r="B1042" s="44"/>
      <c r="C1042" s="39"/>
      <c r="D1042" s="39"/>
      <c r="E1042" s="39"/>
      <c r="F1042" s="45"/>
      <c r="G1042" s="40"/>
      <c r="H1042" s="39"/>
      <c r="I1042" s="39" t="str">
        <f aca="false">IF(ISBLANK(H1042),"", IF($H$2:$H2541 = "Gohar Rehan","Overnight",IF($H$2:$H2541 = "Taufeeq Akhtar ","Overnight",IF($H$2:$H2541 = "Zeeshan Ali Malik","Audit",IF($H$2:$H2541 = "Ali Raza ","Receiving",IF($H$2:$H2541 = "Ali Ahmad","Full-In"))))))</f>
        <v/>
      </c>
      <c r="J1042" s="29"/>
      <c r="K1042" s="40"/>
      <c r="L1042" s="40"/>
      <c r="M1042" s="41"/>
      <c r="N1042" s="39" t="s">
        <v>2335</v>
      </c>
      <c r="O1042" s="46" t="b">
        <f aca="false">FALSE()</f>
        <v>0</v>
      </c>
      <c r="P1042" s="20"/>
      <c r="Q1042" s="45" t="n">
        <v>0</v>
      </c>
      <c r="R1042" s="20"/>
      <c r="S1042" s="20"/>
    </row>
    <row r="1043" customFormat="false" ht="15.75" hidden="false" customHeight="false" outlineLevel="0" collapsed="false">
      <c r="A1043" s="39"/>
      <c r="B1043" s="44"/>
      <c r="C1043" s="39"/>
      <c r="D1043" s="39"/>
      <c r="E1043" s="39"/>
      <c r="F1043" s="45"/>
      <c r="G1043" s="40"/>
      <c r="H1043" s="39"/>
      <c r="I1043" s="39" t="str">
        <f aca="false">IF(ISBLANK(H1043),"", IF($H$2:$H2542 = "Gohar Rehan","Overnight",IF($H$2:$H2542 = "Taufeeq Akhtar ","Overnight",IF($H$2:$H2542 = "Zeeshan Ali Malik","Audit",IF($H$2:$H2542 = "Ali Raza ","Receiving",IF($H$2:$H2542 = "Ali Ahmad","Full-In"))))))</f>
        <v/>
      </c>
      <c r="J1043" s="29"/>
      <c r="K1043" s="40"/>
      <c r="L1043" s="40"/>
      <c r="M1043" s="41"/>
      <c r="N1043" s="39" t="s">
        <v>2335</v>
      </c>
      <c r="O1043" s="46" t="b">
        <f aca="false">FALSE()</f>
        <v>0</v>
      </c>
      <c r="P1043" s="20"/>
      <c r="Q1043" s="45" t="n">
        <v>0</v>
      </c>
      <c r="R1043" s="20"/>
      <c r="S1043" s="20"/>
    </row>
    <row r="1044" customFormat="false" ht="15.75" hidden="false" customHeight="false" outlineLevel="0" collapsed="false">
      <c r="A1044" s="39"/>
      <c r="B1044" s="44"/>
      <c r="C1044" s="39"/>
      <c r="D1044" s="39"/>
      <c r="E1044" s="39"/>
      <c r="F1044" s="45"/>
      <c r="G1044" s="40"/>
      <c r="H1044" s="39"/>
      <c r="I1044" s="39" t="str">
        <f aca="false">IF(ISBLANK(H1044),"", IF($H$2:$H2543 = "Gohar Rehan","Overnight",IF($H$2:$H2543 = "Taufeeq Akhtar ","Overnight",IF($H$2:$H2543 = "Zeeshan Ali Malik","Audit",IF($H$2:$H2543 = "Ali Raza ","Receiving",IF($H$2:$H2543 = "Ali Ahmad","Full-In"))))))</f>
        <v/>
      </c>
      <c r="J1044" s="29"/>
      <c r="K1044" s="40"/>
      <c r="L1044" s="40"/>
      <c r="M1044" s="41"/>
      <c r="N1044" s="39" t="s">
        <v>2335</v>
      </c>
      <c r="O1044" s="46" t="b">
        <f aca="false">FALSE()</f>
        <v>0</v>
      </c>
      <c r="P1044" s="20"/>
      <c r="Q1044" s="45" t="n">
        <v>0</v>
      </c>
      <c r="R1044" s="20"/>
      <c r="S1044" s="20"/>
    </row>
    <row r="1045" customFormat="false" ht="15.75" hidden="false" customHeight="false" outlineLevel="0" collapsed="false">
      <c r="A1045" s="39"/>
      <c r="B1045" s="44"/>
      <c r="C1045" s="39"/>
      <c r="D1045" s="39"/>
      <c r="E1045" s="39"/>
      <c r="F1045" s="45"/>
      <c r="G1045" s="40"/>
      <c r="H1045" s="39"/>
      <c r="I1045" s="39" t="str">
        <f aca="false">IF(ISBLANK(H1045),"", IF($H$2:$H2544 = "Gohar Rehan","Overnight",IF($H$2:$H2544 = "Taufeeq Akhtar ","Overnight",IF($H$2:$H2544 = "Zeeshan Ali Malik","Audit",IF($H$2:$H2544 = "Ali Raza ","Receiving",IF($H$2:$H2544 = "Ali Ahmad","Full-In"))))))</f>
        <v/>
      </c>
      <c r="J1045" s="29"/>
      <c r="K1045" s="40"/>
      <c r="L1045" s="40"/>
      <c r="M1045" s="41"/>
      <c r="N1045" s="39" t="s">
        <v>2335</v>
      </c>
      <c r="O1045" s="46" t="b">
        <f aca="false">FALSE()</f>
        <v>0</v>
      </c>
      <c r="P1045" s="20"/>
      <c r="Q1045" s="45" t="n">
        <v>0</v>
      </c>
      <c r="R1045" s="20"/>
      <c r="S1045" s="20"/>
    </row>
    <row r="1046" customFormat="false" ht="15.75" hidden="false" customHeight="false" outlineLevel="0" collapsed="false">
      <c r="A1046" s="39"/>
      <c r="B1046" s="44"/>
      <c r="C1046" s="39"/>
      <c r="D1046" s="39"/>
      <c r="E1046" s="39"/>
      <c r="F1046" s="45"/>
      <c r="G1046" s="40"/>
      <c r="H1046" s="39"/>
      <c r="I1046" s="39" t="str">
        <f aca="false">IF(ISBLANK(H1046),"", IF($H$2:$H2545 = "Gohar Rehan","Overnight",IF($H$2:$H2545 = "Taufeeq Akhtar ","Overnight",IF($H$2:$H2545 = "Zeeshan Ali Malik","Audit",IF($H$2:$H2545 = "Ali Raza ","Receiving",IF($H$2:$H2545 = "Ali Ahmad","Full-In"))))))</f>
        <v/>
      </c>
      <c r="J1046" s="29"/>
      <c r="K1046" s="40"/>
      <c r="L1046" s="40"/>
      <c r="M1046" s="41"/>
      <c r="N1046" s="39" t="s">
        <v>2335</v>
      </c>
      <c r="O1046" s="46" t="b">
        <f aca="false">FALSE()</f>
        <v>0</v>
      </c>
      <c r="P1046" s="20"/>
      <c r="Q1046" s="45" t="n">
        <v>0</v>
      </c>
      <c r="R1046" s="20"/>
      <c r="S1046" s="20"/>
    </row>
    <row r="1047" customFormat="false" ht="15.75" hidden="false" customHeight="false" outlineLevel="0" collapsed="false">
      <c r="A1047" s="39"/>
      <c r="B1047" s="44"/>
      <c r="C1047" s="39"/>
      <c r="D1047" s="39"/>
      <c r="E1047" s="39"/>
      <c r="F1047" s="45"/>
      <c r="G1047" s="40"/>
      <c r="H1047" s="39"/>
      <c r="I1047" s="39" t="str">
        <f aca="false">IF(ISBLANK(H1047),"", IF($H$2:$H2546 = "Gohar Rehan","Overnight",IF($H$2:$H2546 = "Taufeeq Akhtar ","Overnight",IF($H$2:$H2546 = "Zeeshan Ali Malik","Audit",IF($H$2:$H2546 = "Ali Raza ","Receiving",IF($H$2:$H2546 = "Ali Ahmad","Full-In"))))))</f>
        <v/>
      </c>
      <c r="J1047" s="29"/>
      <c r="K1047" s="40"/>
      <c r="L1047" s="40"/>
      <c r="M1047" s="41"/>
      <c r="N1047" s="39" t="s">
        <v>2335</v>
      </c>
      <c r="O1047" s="46" t="b">
        <f aca="false">FALSE()</f>
        <v>0</v>
      </c>
      <c r="P1047" s="20"/>
      <c r="Q1047" s="45" t="n">
        <v>0</v>
      </c>
      <c r="R1047" s="20"/>
      <c r="S1047" s="20"/>
    </row>
    <row r="1048" customFormat="false" ht="15.75" hidden="false" customHeight="false" outlineLevel="0" collapsed="false">
      <c r="A1048" s="39"/>
      <c r="B1048" s="44"/>
      <c r="C1048" s="39"/>
      <c r="D1048" s="39"/>
      <c r="E1048" s="39"/>
      <c r="F1048" s="45"/>
      <c r="G1048" s="40"/>
      <c r="H1048" s="39"/>
      <c r="I1048" s="39" t="str">
        <f aca="false">IF(ISBLANK(H1048),"", IF($H$2:$H2547 = "Gohar Rehan","Overnight",IF($H$2:$H2547 = "Taufeeq Akhtar ","Overnight",IF($H$2:$H2547 = "Zeeshan Ali Malik","Audit",IF($H$2:$H2547 = "Ali Raza ","Receiving",IF($H$2:$H2547 = "Ali Ahmad","Full-In"))))))</f>
        <v/>
      </c>
      <c r="J1048" s="29"/>
      <c r="K1048" s="40"/>
      <c r="L1048" s="40"/>
      <c r="M1048" s="41"/>
      <c r="N1048" s="39" t="s">
        <v>2335</v>
      </c>
      <c r="O1048" s="46" t="b">
        <f aca="false">FALSE()</f>
        <v>0</v>
      </c>
      <c r="P1048" s="20"/>
      <c r="Q1048" s="45" t="n">
        <v>0</v>
      </c>
      <c r="R1048" s="20"/>
      <c r="S1048" s="20"/>
    </row>
    <row r="1049" customFormat="false" ht="15.75" hidden="false" customHeight="false" outlineLevel="0" collapsed="false">
      <c r="A1049" s="39"/>
      <c r="B1049" s="44"/>
      <c r="C1049" s="39"/>
      <c r="D1049" s="39"/>
      <c r="E1049" s="39"/>
      <c r="F1049" s="45"/>
      <c r="G1049" s="40"/>
      <c r="H1049" s="39"/>
      <c r="I1049" s="39" t="str">
        <f aca="false">IF(ISBLANK(H1049),"", IF($H$2:$H2548 = "Gohar Rehan","Overnight",IF($H$2:$H2548 = "Taufeeq Akhtar ","Overnight",IF($H$2:$H2548 = "Zeeshan Ali Malik","Audit",IF($H$2:$H2548 = "Ali Raza ","Receiving",IF($H$2:$H2548 = "Ali Ahmad","Full-In"))))))</f>
        <v/>
      </c>
      <c r="J1049" s="29"/>
      <c r="K1049" s="40"/>
      <c r="L1049" s="40"/>
      <c r="M1049" s="41"/>
      <c r="N1049" s="39" t="s">
        <v>2335</v>
      </c>
      <c r="O1049" s="46" t="b">
        <f aca="false">FALSE()</f>
        <v>0</v>
      </c>
      <c r="P1049" s="20"/>
      <c r="Q1049" s="45" t="n">
        <v>0</v>
      </c>
      <c r="R1049" s="20"/>
      <c r="S1049" s="20"/>
    </row>
    <row r="1050" customFormat="false" ht="15.75" hidden="false" customHeight="false" outlineLevel="0" collapsed="false">
      <c r="A1050" s="39"/>
      <c r="B1050" s="44"/>
      <c r="C1050" s="39"/>
      <c r="D1050" s="39"/>
      <c r="E1050" s="39"/>
      <c r="F1050" s="45"/>
      <c r="G1050" s="40"/>
      <c r="H1050" s="39"/>
      <c r="I1050" s="39" t="str">
        <f aca="false">IF(ISBLANK(H1050),"", IF($H$2:$H2549 = "Gohar Rehan","Overnight",IF($H$2:$H2549 = "Taufeeq Akhtar ","Overnight",IF($H$2:$H2549 = "Zeeshan Ali Malik","Audit",IF($H$2:$H2549 = "Ali Raza ","Receiving",IF($H$2:$H2549 = "Ali Ahmad","Full-In"))))))</f>
        <v/>
      </c>
      <c r="J1050" s="29"/>
      <c r="K1050" s="40"/>
      <c r="L1050" s="40"/>
      <c r="M1050" s="41"/>
      <c r="N1050" s="39" t="s">
        <v>2335</v>
      </c>
      <c r="O1050" s="46" t="b">
        <f aca="false">FALSE()</f>
        <v>0</v>
      </c>
      <c r="P1050" s="20"/>
      <c r="Q1050" s="45" t="n">
        <v>0</v>
      </c>
      <c r="R1050" s="20"/>
      <c r="S1050" s="20"/>
    </row>
    <row r="1051" customFormat="false" ht="15.75" hidden="false" customHeight="false" outlineLevel="0" collapsed="false">
      <c r="A1051" s="39"/>
      <c r="B1051" s="44"/>
      <c r="C1051" s="39"/>
      <c r="D1051" s="39"/>
      <c r="E1051" s="39"/>
      <c r="F1051" s="45"/>
      <c r="G1051" s="40"/>
      <c r="H1051" s="39"/>
      <c r="I1051" s="39" t="str">
        <f aca="false">IF(ISBLANK(H1051),"", IF($H$2:$H2550 = "Gohar Rehan","Overnight",IF($H$2:$H2550 = "Taufeeq Akhtar ","Overnight",IF($H$2:$H2550 = "Zeeshan Ali Malik","Audit",IF($H$2:$H2550 = "Ali Raza ","Receiving",IF($H$2:$H2550 = "Ali Ahmad","Full-In"))))))</f>
        <v/>
      </c>
      <c r="J1051" s="29"/>
      <c r="K1051" s="40"/>
      <c r="L1051" s="40"/>
      <c r="M1051" s="41"/>
      <c r="N1051" s="39" t="s">
        <v>2335</v>
      </c>
      <c r="O1051" s="46" t="b">
        <f aca="false">FALSE()</f>
        <v>0</v>
      </c>
      <c r="P1051" s="20"/>
      <c r="Q1051" s="45" t="n">
        <v>0</v>
      </c>
      <c r="R1051" s="20"/>
      <c r="S1051" s="20"/>
    </row>
    <row r="1052" customFormat="false" ht="15.75" hidden="false" customHeight="false" outlineLevel="0" collapsed="false">
      <c r="A1052" s="39"/>
      <c r="B1052" s="44"/>
      <c r="C1052" s="39"/>
      <c r="D1052" s="39"/>
      <c r="E1052" s="39"/>
      <c r="F1052" s="45"/>
      <c r="G1052" s="40"/>
      <c r="H1052" s="39"/>
      <c r="I1052" s="39" t="str">
        <f aca="false">IF(ISBLANK(H1052),"", IF($H$2:$H2551 = "Gohar Rehan","Overnight",IF($H$2:$H2551 = "Taufeeq Akhtar ","Overnight",IF($H$2:$H2551 = "Zeeshan Ali Malik","Audit",IF($H$2:$H2551 = "Ali Raza ","Receiving",IF($H$2:$H2551 = "Ali Ahmad","Full-In"))))))</f>
        <v/>
      </c>
      <c r="J1052" s="29"/>
      <c r="K1052" s="40"/>
      <c r="L1052" s="40"/>
      <c r="M1052" s="41"/>
      <c r="N1052" s="39" t="s">
        <v>2335</v>
      </c>
      <c r="O1052" s="46" t="b">
        <f aca="false">FALSE()</f>
        <v>0</v>
      </c>
      <c r="P1052" s="20"/>
      <c r="Q1052" s="45" t="n">
        <v>0</v>
      </c>
      <c r="R1052" s="20"/>
      <c r="S1052" s="20"/>
    </row>
    <row r="1053" customFormat="false" ht="15.75" hidden="false" customHeight="false" outlineLevel="0" collapsed="false">
      <c r="A1053" s="39"/>
      <c r="B1053" s="44"/>
      <c r="C1053" s="39"/>
      <c r="D1053" s="39"/>
      <c r="E1053" s="39"/>
      <c r="F1053" s="45"/>
      <c r="G1053" s="40"/>
      <c r="H1053" s="39"/>
      <c r="I1053" s="39" t="str">
        <f aca="false">IF(ISBLANK(H1053),"", IF($H$2:$H2552 = "Gohar Rehan","Overnight",IF($H$2:$H2552 = "Taufeeq Akhtar ","Overnight",IF($H$2:$H2552 = "Zeeshan Ali Malik","Audit",IF($H$2:$H2552 = "Ali Raza ","Receiving",IF($H$2:$H2552 = "Ali Ahmad","Full-In"))))))</f>
        <v/>
      </c>
      <c r="J1053" s="29"/>
      <c r="K1053" s="40"/>
      <c r="L1053" s="40"/>
      <c r="M1053" s="41"/>
      <c r="N1053" s="39" t="s">
        <v>2335</v>
      </c>
      <c r="O1053" s="46" t="b">
        <f aca="false">FALSE()</f>
        <v>0</v>
      </c>
      <c r="P1053" s="20"/>
      <c r="Q1053" s="45" t="n">
        <v>0</v>
      </c>
      <c r="R1053" s="20"/>
      <c r="S1053" s="20"/>
    </row>
    <row r="1054" customFormat="false" ht="15.75" hidden="false" customHeight="false" outlineLevel="0" collapsed="false">
      <c r="A1054" s="39"/>
      <c r="B1054" s="44"/>
      <c r="C1054" s="39"/>
      <c r="D1054" s="39"/>
      <c r="E1054" s="39"/>
      <c r="F1054" s="45"/>
      <c r="G1054" s="40"/>
      <c r="H1054" s="39"/>
      <c r="I1054" s="39" t="str">
        <f aca="false">IF(ISBLANK(H1054),"", IF($H$2:$H2553 = "Gohar Rehan","Overnight",IF($H$2:$H2553 = "Taufeeq Akhtar ","Overnight",IF($H$2:$H2553 = "Zeeshan Ali Malik","Audit",IF($H$2:$H2553 = "Ali Raza ","Receiving",IF($H$2:$H2553 = "Ali Ahmad","Full-In"))))))</f>
        <v/>
      </c>
      <c r="J1054" s="29"/>
      <c r="K1054" s="40"/>
      <c r="L1054" s="40"/>
      <c r="M1054" s="41"/>
      <c r="N1054" s="39" t="s">
        <v>2335</v>
      </c>
      <c r="O1054" s="46" t="b">
        <f aca="false">FALSE()</f>
        <v>0</v>
      </c>
      <c r="P1054" s="20"/>
      <c r="Q1054" s="45" t="n">
        <v>0</v>
      </c>
      <c r="R1054" s="20"/>
      <c r="S1054" s="20"/>
    </row>
    <row r="1055" customFormat="false" ht="15.75" hidden="false" customHeight="false" outlineLevel="0" collapsed="false">
      <c r="A1055" s="39"/>
      <c r="B1055" s="44"/>
      <c r="C1055" s="39"/>
      <c r="D1055" s="39"/>
      <c r="E1055" s="39"/>
      <c r="F1055" s="45"/>
      <c r="G1055" s="40"/>
      <c r="H1055" s="39"/>
      <c r="I1055" s="39" t="str">
        <f aca="false">IF(ISBLANK(H1055),"", IF($H$2:$H2554 = "Gohar Rehan","Overnight",IF($H$2:$H2554 = "Taufeeq Akhtar ","Overnight",IF($H$2:$H2554 = "Zeeshan Ali Malik","Audit",IF($H$2:$H2554 = "Ali Raza ","Receiving",IF($H$2:$H2554 = "Ali Ahmad","Full-In"))))))</f>
        <v/>
      </c>
      <c r="J1055" s="29"/>
      <c r="K1055" s="40"/>
      <c r="L1055" s="40"/>
      <c r="M1055" s="41"/>
      <c r="N1055" s="39" t="s">
        <v>2335</v>
      </c>
      <c r="O1055" s="46" t="b">
        <f aca="false">FALSE()</f>
        <v>0</v>
      </c>
      <c r="P1055" s="20"/>
      <c r="Q1055" s="45" t="n">
        <v>0</v>
      </c>
      <c r="R1055" s="20"/>
      <c r="S1055" s="20"/>
    </row>
    <row r="1056" customFormat="false" ht="15.75" hidden="false" customHeight="false" outlineLevel="0" collapsed="false">
      <c r="A1056" s="39"/>
      <c r="B1056" s="44"/>
      <c r="C1056" s="39"/>
      <c r="D1056" s="39"/>
      <c r="E1056" s="39"/>
      <c r="F1056" s="45"/>
      <c r="G1056" s="40"/>
      <c r="H1056" s="39"/>
      <c r="I1056" s="39" t="str">
        <f aca="false">IF(ISBLANK(H1056),"", IF($H$2:$H2555 = "Gohar Rehan","Overnight",IF($H$2:$H2555 = "Taufeeq Akhtar ","Overnight",IF($H$2:$H2555 = "Zeeshan Ali Malik","Audit",IF($H$2:$H2555 = "Ali Raza ","Receiving",IF($H$2:$H2555 = "Ali Ahmad","Full-In"))))))</f>
        <v/>
      </c>
      <c r="J1056" s="29"/>
      <c r="K1056" s="40"/>
      <c r="L1056" s="40"/>
      <c r="M1056" s="41"/>
      <c r="N1056" s="39" t="s">
        <v>2335</v>
      </c>
      <c r="O1056" s="46" t="b">
        <f aca="false">FALSE()</f>
        <v>0</v>
      </c>
      <c r="P1056" s="20"/>
      <c r="Q1056" s="45" t="n">
        <v>0</v>
      </c>
      <c r="R1056" s="20"/>
      <c r="S1056" s="20"/>
    </row>
    <row r="1057" customFormat="false" ht="15.75" hidden="false" customHeight="false" outlineLevel="0" collapsed="false">
      <c r="A1057" s="39"/>
      <c r="B1057" s="44"/>
      <c r="C1057" s="39"/>
      <c r="D1057" s="39"/>
      <c r="E1057" s="39"/>
      <c r="F1057" s="45"/>
      <c r="G1057" s="40"/>
      <c r="H1057" s="39"/>
      <c r="I1057" s="39" t="str">
        <f aca="false">IF(ISBLANK(H1057),"", IF($H$2:$H2556 = "Gohar Rehan","Overnight",IF($H$2:$H2556 = "Taufeeq Akhtar ","Overnight",IF($H$2:$H2556 = "Zeeshan Ali Malik","Audit",IF($H$2:$H2556 = "Ali Raza ","Receiving",IF($H$2:$H2556 = "Ali Ahmad","Full-In"))))))</f>
        <v/>
      </c>
      <c r="J1057" s="29"/>
      <c r="K1057" s="40"/>
      <c r="L1057" s="40"/>
      <c r="M1057" s="41"/>
      <c r="N1057" s="39" t="s">
        <v>2335</v>
      </c>
      <c r="O1057" s="46" t="b">
        <f aca="false">FALSE()</f>
        <v>0</v>
      </c>
      <c r="P1057" s="20"/>
      <c r="Q1057" s="45" t="n">
        <v>0</v>
      </c>
      <c r="R1057" s="20"/>
      <c r="S1057" s="20"/>
    </row>
    <row r="1058" customFormat="false" ht="15.75" hidden="false" customHeight="false" outlineLevel="0" collapsed="false">
      <c r="A1058" s="39"/>
      <c r="B1058" s="44"/>
      <c r="C1058" s="39"/>
      <c r="D1058" s="39"/>
      <c r="E1058" s="39"/>
      <c r="F1058" s="45"/>
      <c r="G1058" s="40"/>
      <c r="H1058" s="39"/>
      <c r="I1058" s="39" t="str">
        <f aca="false">IF(ISBLANK(H1058),"", IF($H$2:$H2557 = "Gohar Rehan","Overnight",IF($H$2:$H2557 = "Taufeeq Akhtar ","Overnight",IF($H$2:$H2557 = "Zeeshan Ali Malik","Audit",IF($H$2:$H2557 = "Ali Raza ","Receiving",IF($H$2:$H2557 = "Ali Ahmad","Full-In"))))))</f>
        <v/>
      </c>
      <c r="J1058" s="29"/>
      <c r="K1058" s="40"/>
      <c r="L1058" s="40"/>
      <c r="M1058" s="41"/>
      <c r="N1058" s="39" t="s">
        <v>2335</v>
      </c>
      <c r="O1058" s="46" t="b">
        <f aca="false">FALSE()</f>
        <v>0</v>
      </c>
      <c r="P1058" s="20"/>
      <c r="Q1058" s="45" t="n">
        <v>0</v>
      </c>
      <c r="R1058" s="20"/>
      <c r="S1058" s="20"/>
    </row>
    <row r="1059" customFormat="false" ht="15.75" hidden="false" customHeight="false" outlineLevel="0" collapsed="false">
      <c r="A1059" s="39"/>
      <c r="B1059" s="44"/>
      <c r="C1059" s="39"/>
      <c r="D1059" s="39"/>
      <c r="E1059" s="39"/>
      <c r="F1059" s="45"/>
      <c r="G1059" s="40"/>
      <c r="H1059" s="39"/>
      <c r="I1059" s="39" t="str">
        <f aca="false">IF(ISBLANK(H1059),"", IF($H$2:$H2558 = "Gohar Rehan","Overnight",IF($H$2:$H2558 = "Taufeeq Akhtar ","Overnight",IF($H$2:$H2558 = "Zeeshan Ali Malik","Audit",IF($H$2:$H2558 = "Ali Raza ","Receiving",IF($H$2:$H2558 = "Ali Ahmad","Full-In"))))))</f>
        <v/>
      </c>
      <c r="J1059" s="29"/>
      <c r="K1059" s="40"/>
      <c r="L1059" s="40"/>
      <c r="M1059" s="41"/>
      <c r="N1059" s="39" t="s">
        <v>2335</v>
      </c>
      <c r="O1059" s="46" t="b">
        <f aca="false">FALSE()</f>
        <v>0</v>
      </c>
      <c r="P1059" s="20"/>
      <c r="Q1059" s="45" t="n">
        <v>0</v>
      </c>
      <c r="R1059" s="20"/>
      <c r="S1059" s="20"/>
    </row>
    <row r="1060" customFormat="false" ht="15.75" hidden="false" customHeight="false" outlineLevel="0" collapsed="false">
      <c r="A1060" s="39"/>
      <c r="B1060" s="44"/>
      <c r="C1060" s="39"/>
      <c r="D1060" s="39"/>
      <c r="E1060" s="39"/>
      <c r="F1060" s="45"/>
      <c r="G1060" s="40"/>
      <c r="H1060" s="39"/>
      <c r="I1060" s="39" t="str">
        <f aca="false">IF(ISBLANK(H1060),"", IF($H$2:$H2559 = "Gohar Rehan","Overnight",IF($H$2:$H2559 = "Taufeeq Akhtar ","Overnight",IF($H$2:$H2559 = "Zeeshan Ali Malik","Audit",IF($H$2:$H2559 = "Ali Raza ","Receiving",IF($H$2:$H2559 = "Ali Ahmad","Full-In"))))))</f>
        <v/>
      </c>
      <c r="J1060" s="29"/>
      <c r="K1060" s="40"/>
      <c r="L1060" s="40"/>
      <c r="M1060" s="41"/>
      <c r="N1060" s="39" t="s">
        <v>2335</v>
      </c>
      <c r="O1060" s="46" t="b">
        <f aca="false">FALSE()</f>
        <v>0</v>
      </c>
      <c r="P1060" s="20"/>
      <c r="Q1060" s="45" t="n">
        <v>0</v>
      </c>
      <c r="R1060" s="20"/>
      <c r="S1060" s="20"/>
    </row>
    <row r="1061" customFormat="false" ht="15.75" hidden="false" customHeight="false" outlineLevel="0" collapsed="false">
      <c r="A1061" s="39"/>
      <c r="B1061" s="44"/>
      <c r="C1061" s="39"/>
      <c r="D1061" s="39"/>
      <c r="E1061" s="39"/>
      <c r="F1061" s="45"/>
      <c r="G1061" s="40"/>
      <c r="H1061" s="39"/>
      <c r="I1061" s="39" t="str">
        <f aca="false">IF(ISBLANK(H1061),"", IF($H$2:$H2560 = "Gohar Rehan","Overnight",IF($H$2:$H2560 = "Taufeeq Akhtar ","Overnight",IF($H$2:$H2560 = "Zeeshan Ali Malik","Audit",IF($H$2:$H2560 = "Ali Raza ","Receiving",IF($H$2:$H2560 = "Ali Ahmad","Full-In"))))))</f>
        <v/>
      </c>
      <c r="J1061" s="29"/>
      <c r="K1061" s="40"/>
      <c r="L1061" s="40"/>
      <c r="M1061" s="41"/>
      <c r="N1061" s="39" t="s">
        <v>2335</v>
      </c>
      <c r="O1061" s="46" t="b">
        <f aca="false">FALSE()</f>
        <v>0</v>
      </c>
      <c r="P1061" s="20"/>
      <c r="Q1061" s="45" t="n">
        <v>0</v>
      </c>
      <c r="R1061" s="20"/>
      <c r="S1061" s="20"/>
    </row>
    <row r="1062" customFormat="false" ht="15.75" hidden="false" customHeight="false" outlineLevel="0" collapsed="false">
      <c r="A1062" s="39"/>
      <c r="B1062" s="44"/>
      <c r="C1062" s="39"/>
      <c r="D1062" s="39"/>
      <c r="E1062" s="39"/>
      <c r="F1062" s="45"/>
      <c r="G1062" s="40"/>
      <c r="H1062" s="39"/>
      <c r="I1062" s="39" t="str">
        <f aca="false">IF(ISBLANK(H1062),"", IF($H$2:$H2561 = "Gohar Rehan","Overnight",IF($H$2:$H2561 = "Taufeeq Akhtar ","Overnight",IF($H$2:$H2561 = "Zeeshan Ali Malik","Audit",IF($H$2:$H2561 = "Ali Raza ","Receiving",IF($H$2:$H2561 = "Ali Ahmad","Full-In"))))))</f>
        <v/>
      </c>
      <c r="J1062" s="29"/>
      <c r="K1062" s="40"/>
      <c r="L1062" s="40"/>
      <c r="M1062" s="41"/>
      <c r="N1062" s="39" t="s">
        <v>2335</v>
      </c>
      <c r="O1062" s="46" t="b">
        <f aca="false">FALSE()</f>
        <v>0</v>
      </c>
      <c r="P1062" s="20"/>
      <c r="Q1062" s="45" t="n">
        <v>0</v>
      </c>
      <c r="R1062" s="20"/>
      <c r="S1062" s="20"/>
    </row>
    <row r="1063" customFormat="false" ht="15.75" hidden="false" customHeight="false" outlineLevel="0" collapsed="false">
      <c r="A1063" s="39"/>
      <c r="B1063" s="44"/>
      <c r="C1063" s="39"/>
      <c r="D1063" s="39"/>
      <c r="E1063" s="39"/>
      <c r="F1063" s="45"/>
      <c r="G1063" s="40"/>
      <c r="H1063" s="39"/>
      <c r="I1063" s="39" t="str">
        <f aca="false">IF(ISBLANK(H1063),"", IF($H$2:$H2562 = "Gohar Rehan","Overnight",IF($H$2:$H2562 = "Taufeeq Akhtar ","Overnight",IF($H$2:$H2562 = "Zeeshan Ali Malik","Audit",IF($H$2:$H2562 = "Ali Raza ","Receiving",IF($H$2:$H2562 = "Ali Ahmad","Full-In"))))))</f>
        <v/>
      </c>
      <c r="J1063" s="29"/>
      <c r="K1063" s="40"/>
      <c r="L1063" s="40"/>
      <c r="M1063" s="41"/>
      <c r="N1063" s="39" t="s">
        <v>2335</v>
      </c>
      <c r="O1063" s="46" t="b">
        <f aca="false">FALSE()</f>
        <v>0</v>
      </c>
      <c r="P1063" s="20"/>
      <c r="Q1063" s="45" t="n">
        <v>0</v>
      </c>
      <c r="R1063" s="20"/>
      <c r="S1063" s="20"/>
    </row>
    <row r="1064" customFormat="false" ht="15.75" hidden="false" customHeight="false" outlineLevel="0" collapsed="false">
      <c r="A1064" s="39"/>
      <c r="B1064" s="44"/>
      <c r="C1064" s="39"/>
      <c r="D1064" s="39"/>
      <c r="E1064" s="39"/>
      <c r="F1064" s="45"/>
      <c r="G1064" s="40"/>
      <c r="H1064" s="39"/>
      <c r="I1064" s="39" t="str">
        <f aca="false">IF(ISBLANK(H1064),"", IF($H$2:$H2563 = "Gohar Rehan","Overnight",IF($H$2:$H2563 = "Taufeeq Akhtar ","Overnight",IF($H$2:$H2563 = "Zeeshan Ali Malik","Audit",IF($H$2:$H2563 = "Ali Raza ","Receiving",IF($H$2:$H2563 = "Ali Ahmad","Full-In"))))))</f>
        <v/>
      </c>
      <c r="J1064" s="29"/>
      <c r="K1064" s="40"/>
      <c r="L1064" s="40"/>
      <c r="M1064" s="41"/>
      <c r="N1064" s="39" t="s">
        <v>2335</v>
      </c>
      <c r="O1064" s="46" t="b">
        <f aca="false">FALSE()</f>
        <v>0</v>
      </c>
      <c r="P1064" s="20"/>
      <c r="Q1064" s="45" t="n">
        <v>0</v>
      </c>
      <c r="R1064" s="20"/>
      <c r="S1064" s="20"/>
    </row>
    <row r="1065" customFormat="false" ht="15.75" hidden="false" customHeight="false" outlineLevel="0" collapsed="false">
      <c r="A1065" s="39"/>
      <c r="B1065" s="44"/>
      <c r="C1065" s="39"/>
      <c r="D1065" s="39"/>
      <c r="E1065" s="39"/>
      <c r="F1065" s="45"/>
      <c r="G1065" s="40"/>
      <c r="H1065" s="39"/>
      <c r="I1065" s="39" t="str">
        <f aca="false">IF(ISBLANK(H1065),"", IF($H$2:$H2564 = "Gohar Rehan","Overnight",IF($H$2:$H2564 = "Taufeeq Akhtar ","Overnight",IF($H$2:$H2564 = "Zeeshan Ali Malik","Audit",IF($H$2:$H2564 = "Ali Raza ","Receiving",IF($H$2:$H2564 = "Ali Ahmad","Full-In"))))))</f>
        <v/>
      </c>
      <c r="J1065" s="29"/>
      <c r="K1065" s="40"/>
      <c r="L1065" s="40"/>
      <c r="M1065" s="41"/>
      <c r="N1065" s="39" t="s">
        <v>2335</v>
      </c>
      <c r="O1065" s="46" t="b">
        <f aca="false">FALSE()</f>
        <v>0</v>
      </c>
      <c r="P1065" s="20"/>
      <c r="Q1065" s="45" t="n">
        <v>0</v>
      </c>
      <c r="R1065" s="20"/>
      <c r="S1065" s="20"/>
    </row>
    <row r="1066" customFormat="false" ht="15.75" hidden="false" customHeight="false" outlineLevel="0" collapsed="false">
      <c r="A1066" s="39"/>
      <c r="B1066" s="44"/>
      <c r="C1066" s="39"/>
      <c r="D1066" s="39"/>
      <c r="E1066" s="39"/>
      <c r="F1066" s="45"/>
      <c r="G1066" s="40"/>
      <c r="H1066" s="39"/>
      <c r="I1066" s="39" t="str">
        <f aca="false">IF(ISBLANK(H1066),"", IF($H$2:$H2565 = "Gohar Rehan","Overnight",IF($H$2:$H2565 = "Taufeeq Akhtar ","Overnight",IF($H$2:$H2565 = "Zeeshan Ali Malik","Audit",IF($H$2:$H2565 = "Ali Raza ","Receiving",IF($H$2:$H2565 = "Ali Ahmad","Full-In"))))))</f>
        <v/>
      </c>
      <c r="J1066" s="29"/>
      <c r="K1066" s="40"/>
      <c r="L1066" s="40"/>
      <c r="M1066" s="41"/>
      <c r="N1066" s="39" t="s">
        <v>2335</v>
      </c>
      <c r="O1066" s="46" t="b">
        <f aca="false">FALSE()</f>
        <v>0</v>
      </c>
      <c r="P1066" s="20"/>
      <c r="Q1066" s="45" t="n">
        <v>0</v>
      </c>
      <c r="R1066" s="20"/>
      <c r="S1066" s="20"/>
    </row>
    <row r="1067" customFormat="false" ht="15.75" hidden="false" customHeight="false" outlineLevel="0" collapsed="false">
      <c r="A1067" s="39"/>
      <c r="B1067" s="44"/>
      <c r="C1067" s="39"/>
      <c r="D1067" s="39"/>
      <c r="E1067" s="39"/>
      <c r="F1067" s="45"/>
      <c r="G1067" s="40"/>
      <c r="H1067" s="39"/>
      <c r="I1067" s="39" t="str">
        <f aca="false">IF(ISBLANK(H1067),"", IF($H$2:$H2566 = "Gohar Rehan","Overnight",IF($H$2:$H2566 = "Taufeeq Akhtar ","Overnight",IF($H$2:$H2566 = "Zeeshan Ali Malik","Audit",IF($H$2:$H2566 = "Ali Raza ","Receiving",IF($H$2:$H2566 = "Ali Ahmad","Full-In"))))))</f>
        <v/>
      </c>
      <c r="J1067" s="29"/>
      <c r="K1067" s="40"/>
      <c r="L1067" s="40"/>
      <c r="M1067" s="41"/>
      <c r="N1067" s="39" t="s">
        <v>2335</v>
      </c>
      <c r="O1067" s="46" t="b">
        <f aca="false">FALSE()</f>
        <v>0</v>
      </c>
      <c r="P1067" s="20"/>
      <c r="Q1067" s="45" t="n">
        <v>0</v>
      </c>
      <c r="R1067" s="20"/>
      <c r="S1067" s="20"/>
    </row>
    <row r="1068" customFormat="false" ht="15.75" hidden="false" customHeight="false" outlineLevel="0" collapsed="false">
      <c r="A1068" s="39"/>
      <c r="B1068" s="44"/>
      <c r="C1068" s="39"/>
      <c r="D1068" s="39"/>
      <c r="E1068" s="39"/>
      <c r="F1068" s="45"/>
      <c r="G1068" s="40"/>
      <c r="H1068" s="39"/>
      <c r="I1068" s="39" t="str">
        <f aca="false">IF(ISBLANK(H1068),"", IF($H$2:$H2567 = "Gohar Rehan","Overnight",IF($H$2:$H2567 = "Taufeeq Akhtar ","Overnight",IF($H$2:$H2567 = "Zeeshan Ali Malik","Audit",IF($H$2:$H2567 = "Ali Raza ","Receiving",IF($H$2:$H2567 = "Ali Ahmad","Full-In"))))))</f>
        <v/>
      </c>
      <c r="J1068" s="29"/>
      <c r="K1068" s="40"/>
      <c r="L1068" s="40"/>
      <c r="M1068" s="41"/>
      <c r="N1068" s="39" t="s">
        <v>2335</v>
      </c>
      <c r="O1068" s="46" t="b">
        <f aca="false">FALSE()</f>
        <v>0</v>
      </c>
      <c r="P1068" s="20"/>
      <c r="Q1068" s="45" t="n">
        <v>0</v>
      </c>
      <c r="R1068" s="20"/>
      <c r="S1068" s="20"/>
    </row>
    <row r="1069" customFormat="false" ht="15.75" hidden="false" customHeight="false" outlineLevel="0" collapsed="false">
      <c r="A1069" s="39"/>
      <c r="B1069" s="44"/>
      <c r="C1069" s="39"/>
      <c r="D1069" s="39"/>
      <c r="E1069" s="39"/>
      <c r="F1069" s="45"/>
      <c r="G1069" s="40"/>
      <c r="H1069" s="39"/>
      <c r="I1069" s="39" t="str">
        <f aca="false">IF(ISBLANK(H1069),"", IF($H$2:$H2568 = "Gohar Rehan","Overnight",IF($H$2:$H2568 = "Taufeeq Akhtar ","Overnight",IF($H$2:$H2568 = "Zeeshan Ali Malik","Audit",IF($H$2:$H2568 = "Ali Raza ","Receiving",IF($H$2:$H2568 = "Ali Ahmad","Full-In"))))))</f>
        <v/>
      </c>
      <c r="J1069" s="29"/>
      <c r="K1069" s="40"/>
      <c r="L1069" s="40"/>
      <c r="M1069" s="41"/>
      <c r="N1069" s="39" t="s">
        <v>2335</v>
      </c>
      <c r="O1069" s="46" t="b">
        <f aca="false">FALSE()</f>
        <v>0</v>
      </c>
      <c r="P1069" s="20"/>
      <c r="Q1069" s="45" t="n">
        <v>0</v>
      </c>
      <c r="R1069" s="20"/>
      <c r="S1069" s="20"/>
    </row>
    <row r="1070" customFormat="false" ht="15.75" hidden="false" customHeight="false" outlineLevel="0" collapsed="false">
      <c r="A1070" s="39"/>
      <c r="B1070" s="44"/>
      <c r="C1070" s="39"/>
      <c r="D1070" s="39"/>
      <c r="E1070" s="39"/>
      <c r="F1070" s="45"/>
      <c r="G1070" s="40"/>
      <c r="H1070" s="39"/>
      <c r="I1070" s="39" t="str">
        <f aca="false">IF(ISBLANK(H1070),"", IF($H$2:$H2569 = "Gohar Rehan","Overnight",IF($H$2:$H2569 = "Taufeeq Akhtar ","Overnight",IF($H$2:$H2569 = "Zeeshan Ali Malik","Audit",IF($H$2:$H2569 = "Ali Raza ","Receiving",IF($H$2:$H2569 = "Ali Ahmad","Full-In"))))))</f>
        <v/>
      </c>
      <c r="J1070" s="29"/>
      <c r="K1070" s="40"/>
      <c r="L1070" s="40"/>
      <c r="M1070" s="41"/>
      <c r="N1070" s="39" t="s">
        <v>2335</v>
      </c>
      <c r="O1070" s="46" t="b">
        <f aca="false">FALSE()</f>
        <v>0</v>
      </c>
      <c r="P1070" s="20"/>
      <c r="Q1070" s="45" t="n">
        <v>0</v>
      </c>
      <c r="R1070" s="20"/>
      <c r="S1070" s="20"/>
    </row>
    <row r="1071" customFormat="false" ht="15.75" hidden="false" customHeight="false" outlineLevel="0" collapsed="false">
      <c r="A1071" s="39"/>
      <c r="B1071" s="44"/>
      <c r="C1071" s="39"/>
      <c r="D1071" s="39"/>
      <c r="E1071" s="39"/>
      <c r="F1071" s="45"/>
      <c r="G1071" s="40"/>
      <c r="H1071" s="39"/>
      <c r="I1071" s="39" t="str">
        <f aca="false">IF(ISBLANK(H1071),"", IF($H$2:$H2570 = "Gohar Rehan","Overnight",IF($H$2:$H2570 = "Taufeeq Akhtar ","Overnight",IF($H$2:$H2570 = "Zeeshan Ali Malik","Audit",IF($H$2:$H2570 = "Ali Raza ","Receiving",IF($H$2:$H2570 = "Ali Ahmad","Full-In"))))))</f>
        <v/>
      </c>
      <c r="J1071" s="29"/>
      <c r="K1071" s="40"/>
      <c r="L1071" s="40"/>
      <c r="M1071" s="41"/>
      <c r="N1071" s="39" t="s">
        <v>2335</v>
      </c>
      <c r="O1071" s="46" t="b">
        <f aca="false">FALSE()</f>
        <v>0</v>
      </c>
      <c r="P1071" s="20"/>
      <c r="Q1071" s="45" t="n">
        <v>0</v>
      </c>
      <c r="R1071" s="20"/>
      <c r="S1071" s="20"/>
    </row>
    <row r="1072" customFormat="false" ht="15.75" hidden="false" customHeight="false" outlineLevel="0" collapsed="false">
      <c r="A1072" s="39"/>
      <c r="B1072" s="44"/>
      <c r="C1072" s="39"/>
      <c r="D1072" s="39"/>
      <c r="E1072" s="39"/>
      <c r="F1072" s="45"/>
      <c r="G1072" s="40"/>
      <c r="H1072" s="39"/>
      <c r="I1072" s="39" t="str">
        <f aca="false">IF(ISBLANK(H1072),"", IF($H$2:$H2571 = "Gohar Rehan","Overnight",IF($H$2:$H2571 = "Taufeeq Akhtar ","Overnight",IF($H$2:$H2571 = "Zeeshan Ali Malik","Audit",IF($H$2:$H2571 = "Ali Raza ","Receiving",IF($H$2:$H2571 = "Ali Ahmad","Full-In"))))))</f>
        <v/>
      </c>
      <c r="J1072" s="29"/>
      <c r="K1072" s="40"/>
      <c r="L1072" s="40"/>
      <c r="M1072" s="41"/>
      <c r="N1072" s="39" t="s">
        <v>2335</v>
      </c>
      <c r="O1072" s="46" t="b">
        <f aca="false">FALSE()</f>
        <v>0</v>
      </c>
      <c r="P1072" s="20"/>
      <c r="Q1072" s="45" t="n">
        <v>0</v>
      </c>
      <c r="R1072" s="20"/>
      <c r="S1072" s="20"/>
    </row>
    <row r="1073" customFormat="false" ht="15.75" hidden="false" customHeight="false" outlineLevel="0" collapsed="false">
      <c r="A1073" s="39"/>
      <c r="B1073" s="44"/>
      <c r="C1073" s="39"/>
      <c r="D1073" s="39"/>
      <c r="E1073" s="39"/>
      <c r="F1073" s="45"/>
      <c r="G1073" s="40"/>
      <c r="H1073" s="39"/>
      <c r="I1073" s="39" t="str">
        <f aca="false">IF(ISBLANK(H1073),"", IF($H$2:$H2572 = "Gohar Rehan","Overnight",IF($H$2:$H2572 = "Taufeeq Akhtar ","Overnight",IF($H$2:$H2572 = "Zeeshan Ali Malik","Audit",IF($H$2:$H2572 = "Ali Raza ","Receiving",IF($H$2:$H2572 = "Ali Ahmad","Full-In"))))))</f>
        <v/>
      </c>
      <c r="J1073" s="29"/>
      <c r="K1073" s="40"/>
      <c r="L1073" s="40"/>
      <c r="M1073" s="41"/>
      <c r="N1073" s="39" t="s">
        <v>2335</v>
      </c>
      <c r="O1073" s="46" t="b">
        <f aca="false">FALSE()</f>
        <v>0</v>
      </c>
      <c r="P1073" s="20"/>
      <c r="Q1073" s="45" t="n">
        <v>0</v>
      </c>
      <c r="R1073" s="20"/>
      <c r="S1073" s="20"/>
    </row>
    <row r="1074" customFormat="false" ht="15.75" hidden="false" customHeight="false" outlineLevel="0" collapsed="false">
      <c r="A1074" s="39"/>
      <c r="B1074" s="44"/>
      <c r="C1074" s="39"/>
      <c r="D1074" s="39"/>
      <c r="E1074" s="39"/>
      <c r="F1074" s="45"/>
      <c r="G1074" s="40"/>
      <c r="H1074" s="39"/>
      <c r="I1074" s="39" t="str">
        <f aca="false">IF(ISBLANK(H1074),"", IF($H$2:$H2573 = "Gohar Rehan","Overnight",IF($H$2:$H2573 = "Taufeeq Akhtar ","Overnight",IF($H$2:$H2573 = "Zeeshan Ali Malik","Audit",IF($H$2:$H2573 = "Ali Raza ","Receiving",IF($H$2:$H2573 = "Ali Ahmad","Full-In"))))))</f>
        <v/>
      </c>
      <c r="J1074" s="29"/>
      <c r="K1074" s="40"/>
      <c r="L1074" s="40"/>
      <c r="M1074" s="41"/>
      <c r="N1074" s="39" t="s">
        <v>2335</v>
      </c>
      <c r="O1074" s="46" t="b">
        <f aca="false">FALSE()</f>
        <v>0</v>
      </c>
      <c r="P1074" s="20"/>
      <c r="Q1074" s="45" t="n">
        <v>0</v>
      </c>
      <c r="R1074" s="20"/>
      <c r="S1074" s="20"/>
    </row>
    <row r="1075" customFormat="false" ht="15.75" hidden="false" customHeight="false" outlineLevel="0" collapsed="false">
      <c r="A1075" s="39"/>
      <c r="B1075" s="44"/>
      <c r="C1075" s="39"/>
      <c r="D1075" s="39"/>
      <c r="E1075" s="39"/>
      <c r="F1075" s="45"/>
      <c r="G1075" s="40"/>
      <c r="H1075" s="39"/>
      <c r="I1075" s="39" t="str">
        <f aca="false">IF(ISBLANK(H1075),"", IF($H$2:$H2574 = "Gohar Rehan","Overnight",IF($H$2:$H2574 = "Taufeeq Akhtar ","Overnight",IF($H$2:$H2574 = "Zeeshan Ali Malik","Audit",IF($H$2:$H2574 = "Ali Raza ","Receiving",IF($H$2:$H2574 = "Ali Ahmad","Full-In"))))))</f>
        <v/>
      </c>
      <c r="J1075" s="29"/>
      <c r="K1075" s="40"/>
      <c r="L1075" s="40"/>
      <c r="M1075" s="41"/>
      <c r="N1075" s="39" t="s">
        <v>2335</v>
      </c>
      <c r="O1075" s="46" t="b">
        <f aca="false">FALSE()</f>
        <v>0</v>
      </c>
      <c r="P1075" s="20"/>
      <c r="Q1075" s="45" t="n">
        <v>0</v>
      </c>
      <c r="R1075" s="20"/>
      <c r="S1075" s="20"/>
    </row>
    <row r="1076" customFormat="false" ht="15.75" hidden="false" customHeight="false" outlineLevel="0" collapsed="false">
      <c r="A1076" s="39"/>
      <c r="B1076" s="44"/>
      <c r="C1076" s="39"/>
      <c r="D1076" s="39"/>
      <c r="E1076" s="39"/>
      <c r="F1076" s="45"/>
      <c r="G1076" s="40"/>
      <c r="H1076" s="39"/>
      <c r="I1076" s="39" t="str">
        <f aca="false">IF(ISBLANK(H1076),"", IF($H$2:$H2575 = "Gohar Rehan","Overnight",IF($H$2:$H2575 = "Taufeeq Akhtar ","Overnight",IF($H$2:$H2575 = "Zeeshan Ali Malik","Audit",IF($H$2:$H2575 = "Ali Raza ","Receiving",IF($H$2:$H2575 = "Ali Ahmad","Full-In"))))))</f>
        <v/>
      </c>
      <c r="J1076" s="29"/>
      <c r="K1076" s="40"/>
      <c r="L1076" s="40"/>
      <c r="M1076" s="41"/>
      <c r="N1076" s="39" t="s">
        <v>2335</v>
      </c>
      <c r="O1076" s="46" t="b">
        <f aca="false">FALSE()</f>
        <v>0</v>
      </c>
      <c r="P1076" s="20"/>
      <c r="Q1076" s="45" t="n">
        <v>0</v>
      </c>
      <c r="R1076" s="20"/>
      <c r="S1076" s="20"/>
    </row>
    <row r="1077" customFormat="false" ht="15.75" hidden="false" customHeight="false" outlineLevel="0" collapsed="false">
      <c r="A1077" s="39"/>
      <c r="B1077" s="44"/>
      <c r="C1077" s="39"/>
      <c r="D1077" s="39"/>
      <c r="E1077" s="39"/>
      <c r="F1077" s="45"/>
      <c r="G1077" s="40"/>
      <c r="H1077" s="39"/>
      <c r="I1077" s="39" t="str">
        <f aca="false">IF(ISBLANK(H1077),"", IF($H$2:$H2576 = "Gohar Rehan","Overnight",IF($H$2:$H2576 = "Taufeeq Akhtar ","Overnight",IF($H$2:$H2576 = "Zeeshan Ali Malik","Audit",IF($H$2:$H2576 = "Ali Raza ","Receiving",IF($H$2:$H2576 = "Ali Ahmad","Full-In"))))))</f>
        <v/>
      </c>
      <c r="J1077" s="29"/>
      <c r="K1077" s="40"/>
      <c r="L1077" s="40"/>
      <c r="M1077" s="41"/>
      <c r="N1077" s="39" t="s">
        <v>2335</v>
      </c>
      <c r="O1077" s="46" t="b">
        <f aca="false">FALSE()</f>
        <v>0</v>
      </c>
      <c r="P1077" s="20"/>
      <c r="Q1077" s="45" t="n">
        <v>0</v>
      </c>
      <c r="R1077" s="20"/>
      <c r="S1077" s="20"/>
    </row>
    <row r="1078" customFormat="false" ht="15.75" hidden="false" customHeight="false" outlineLevel="0" collapsed="false">
      <c r="A1078" s="39"/>
      <c r="B1078" s="44"/>
      <c r="C1078" s="39"/>
      <c r="D1078" s="39"/>
      <c r="E1078" s="39"/>
      <c r="F1078" s="45"/>
      <c r="G1078" s="40"/>
      <c r="H1078" s="39"/>
      <c r="I1078" s="39" t="str">
        <f aca="false">IF(ISBLANK(H1078),"", IF($H$2:$H2577 = "Gohar Rehan","Overnight",IF($H$2:$H2577 = "Taufeeq Akhtar ","Overnight",IF($H$2:$H2577 = "Zeeshan Ali Malik","Audit",IF($H$2:$H2577 = "Ali Raza ","Receiving",IF($H$2:$H2577 = "Ali Ahmad","Full-In"))))))</f>
        <v/>
      </c>
      <c r="J1078" s="29"/>
      <c r="K1078" s="40"/>
      <c r="L1078" s="40"/>
      <c r="M1078" s="41"/>
      <c r="N1078" s="39" t="s">
        <v>2335</v>
      </c>
      <c r="O1078" s="46" t="b">
        <f aca="false">FALSE()</f>
        <v>0</v>
      </c>
      <c r="P1078" s="20"/>
      <c r="Q1078" s="45" t="n">
        <v>0</v>
      </c>
      <c r="R1078" s="20"/>
      <c r="S1078" s="20"/>
    </row>
    <row r="1079" customFormat="false" ht="15.75" hidden="false" customHeight="false" outlineLevel="0" collapsed="false">
      <c r="A1079" s="39"/>
      <c r="B1079" s="44"/>
      <c r="C1079" s="39"/>
      <c r="D1079" s="39"/>
      <c r="E1079" s="39"/>
      <c r="F1079" s="45"/>
      <c r="G1079" s="40"/>
      <c r="H1079" s="39"/>
      <c r="I1079" s="39" t="str">
        <f aca="false">IF(ISBLANK(H1079),"", IF($H$2:$H2578 = "Gohar Rehan","Overnight",IF($H$2:$H2578 = "Taufeeq Akhtar ","Overnight",IF($H$2:$H2578 = "Zeeshan Ali Malik","Audit",IF($H$2:$H2578 = "Ali Raza ","Receiving",IF($H$2:$H2578 = "Ali Ahmad","Full-In"))))))</f>
        <v/>
      </c>
      <c r="J1079" s="29"/>
      <c r="K1079" s="40"/>
      <c r="L1079" s="40"/>
      <c r="M1079" s="41"/>
      <c r="N1079" s="39" t="s">
        <v>2335</v>
      </c>
      <c r="O1079" s="46" t="b">
        <f aca="false">FALSE()</f>
        <v>0</v>
      </c>
      <c r="P1079" s="20"/>
      <c r="Q1079" s="45" t="n">
        <v>0</v>
      </c>
      <c r="R1079" s="20"/>
      <c r="S1079" s="20"/>
    </row>
    <row r="1080" customFormat="false" ht="15.75" hidden="false" customHeight="false" outlineLevel="0" collapsed="false">
      <c r="A1080" s="39"/>
      <c r="B1080" s="44"/>
      <c r="C1080" s="39"/>
      <c r="D1080" s="39"/>
      <c r="E1080" s="39"/>
      <c r="F1080" s="45"/>
      <c r="G1080" s="40"/>
      <c r="H1080" s="39"/>
      <c r="I1080" s="39" t="str">
        <f aca="false">IF(ISBLANK(H1080),"", IF($H$2:$H2579 = "Gohar Rehan","Overnight",IF($H$2:$H2579 = "Taufeeq Akhtar ","Overnight",IF($H$2:$H2579 = "Zeeshan Ali Malik","Audit",IF($H$2:$H2579 = "Ali Raza ","Receiving",IF($H$2:$H2579 = "Ali Ahmad","Full-In"))))))</f>
        <v/>
      </c>
      <c r="J1080" s="29"/>
      <c r="K1080" s="40"/>
      <c r="L1080" s="40"/>
      <c r="M1080" s="41"/>
      <c r="N1080" s="39" t="s">
        <v>2335</v>
      </c>
      <c r="O1080" s="46" t="b">
        <f aca="false">FALSE()</f>
        <v>0</v>
      </c>
      <c r="P1080" s="20"/>
      <c r="Q1080" s="45" t="n">
        <v>0</v>
      </c>
      <c r="R1080" s="20"/>
      <c r="S1080" s="20"/>
    </row>
    <row r="1081" customFormat="false" ht="15.75" hidden="false" customHeight="false" outlineLevel="0" collapsed="false">
      <c r="A1081" s="39"/>
      <c r="B1081" s="44"/>
      <c r="C1081" s="39"/>
      <c r="D1081" s="39"/>
      <c r="E1081" s="39"/>
      <c r="F1081" s="45"/>
      <c r="G1081" s="40"/>
      <c r="H1081" s="39"/>
      <c r="I1081" s="39" t="str">
        <f aca="false">IF(ISBLANK(H1081),"", IF($H$2:$H2580 = "Gohar Rehan","Overnight",IF($H$2:$H2580 = "Taufeeq Akhtar ","Overnight",IF($H$2:$H2580 = "Zeeshan Ali Malik","Audit",IF($H$2:$H2580 = "Ali Raza ","Receiving",IF($H$2:$H2580 = "Ali Ahmad","Full-In"))))))</f>
        <v/>
      </c>
      <c r="J1081" s="29"/>
      <c r="K1081" s="40"/>
      <c r="L1081" s="40"/>
      <c r="M1081" s="41"/>
      <c r="N1081" s="39" t="s">
        <v>2335</v>
      </c>
      <c r="O1081" s="46" t="b">
        <f aca="false">FALSE()</f>
        <v>0</v>
      </c>
      <c r="P1081" s="20"/>
      <c r="Q1081" s="45" t="n">
        <v>0</v>
      </c>
      <c r="R1081" s="20"/>
      <c r="S1081" s="20"/>
    </row>
    <row r="1082" customFormat="false" ht="15.75" hidden="false" customHeight="false" outlineLevel="0" collapsed="false">
      <c r="A1082" s="39"/>
      <c r="B1082" s="44"/>
      <c r="C1082" s="39"/>
      <c r="D1082" s="39"/>
      <c r="E1082" s="39"/>
      <c r="F1082" s="45"/>
      <c r="G1082" s="40"/>
      <c r="H1082" s="39"/>
      <c r="I1082" s="39" t="str">
        <f aca="false">IF(ISBLANK(H1082),"", IF($H$2:$H2581 = "Gohar Rehan","Overnight",IF($H$2:$H2581 = "Taufeeq Akhtar ","Overnight",IF($H$2:$H2581 = "Zeeshan Ali Malik","Audit",IF($H$2:$H2581 = "Ali Raza ","Receiving",IF($H$2:$H2581 = "Ali Ahmad","Full-In"))))))</f>
        <v/>
      </c>
      <c r="J1082" s="29"/>
      <c r="K1082" s="40"/>
      <c r="L1082" s="40"/>
      <c r="M1082" s="41"/>
      <c r="N1082" s="39" t="s">
        <v>2335</v>
      </c>
      <c r="O1082" s="46" t="b">
        <f aca="false">FALSE()</f>
        <v>0</v>
      </c>
      <c r="P1082" s="20"/>
      <c r="Q1082" s="45" t="n">
        <v>0</v>
      </c>
      <c r="R1082" s="20"/>
      <c r="S1082" s="20"/>
    </row>
    <row r="1083" customFormat="false" ht="15.75" hidden="false" customHeight="false" outlineLevel="0" collapsed="false">
      <c r="A1083" s="39"/>
      <c r="B1083" s="44"/>
      <c r="C1083" s="39"/>
      <c r="D1083" s="39"/>
      <c r="E1083" s="39"/>
      <c r="F1083" s="45"/>
      <c r="G1083" s="40"/>
      <c r="H1083" s="39"/>
      <c r="I1083" s="39" t="str">
        <f aca="false">IF(ISBLANK(H1083),"", IF($H$2:$H2582 = "Gohar Rehan","Overnight",IF($H$2:$H2582 = "Taufeeq Akhtar ","Overnight",IF($H$2:$H2582 = "Zeeshan Ali Malik","Audit",IF($H$2:$H2582 = "Ali Raza ","Receiving",IF($H$2:$H2582 = "Ali Ahmad","Full-In"))))))</f>
        <v/>
      </c>
      <c r="J1083" s="29"/>
      <c r="K1083" s="40"/>
      <c r="L1083" s="40"/>
      <c r="M1083" s="41"/>
      <c r="N1083" s="39" t="s">
        <v>2335</v>
      </c>
      <c r="O1083" s="46" t="b">
        <f aca="false">FALSE()</f>
        <v>0</v>
      </c>
      <c r="P1083" s="20"/>
      <c r="Q1083" s="45" t="n">
        <v>0</v>
      </c>
      <c r="R1083" s="20"/>
      <c r="S1083" s="20"/>
    </row>
    <row r="1084" customFormat="false" ht="15.75" hidden="false" customHeight="false" outlineLevel="0" collapsed="false">
      <c r="A1084" s="39"/>
      <c r="B1084" s="44"/>
      <c r="C1084" s="39"/>
      <c r="D1084" s="39"/>
      <c r="E1084" s="39"/>
      <c r="F1084" s="45"/>
      <c r="G1084" s="40"/>
      <c r="H1084" s="39"/>
      <c r="I1084" s="39" t="str">
        <f aca="false">IF(ISBLANK(H1084),"", IF($H$2:$H2583 = "Gohar Rehan","Overnight",IF($H$2:$H2583 = "Taufeeq Akhtar ","Overnight",IF($H$2:$H2583 = "Zeeshan Ali Malik","Audit",IF($H$2:$H2583 = "Ali Raza ","Receiving",IF($H$2:$H2583 = "Ali Ahmad","Full-In"))))))</f>
        <v/>
      </c>
      <c r="J1084" s="29"/>
      <c r="K1084" s="40"/>
      <c r="L1084" s="40"/>
      <c r="M1084" s="41"/>
      <c r="N1084" s="39" t="s">
        <v>2335</v>
      </c>
      <c r="O1084" s="46" t="b">
        <f aca="false">FALSE()</f>
        <v>0</v>
      </c>
      <c r="P1084" s="20"/>
      <c r="Q1084" s="45" t="n">
        <v>0</v>
      </c>
      <c r="R1084" s="20"/>
      <c r="S1084" s="20"/>
    </row>
    <row r="1085" customFormat="false" ht="15.75" hidden="false" customHeight="false" outlineLevel="0" collapsed="false">
      <c r="A1085" s="39"/>
      <c r="B1085" s="44"/>
      <c r="C1085" s="39"/>
      <c r="D1085" s="39"/>
      <c r="E1085" s="39"/>
      <c r="F1085" s="45"/>
      <c r="G1085" s="40"/>
      <c r="H1085" s="39"/>
      <c r="I1085" s="39" t="str">
        <f aca="false">IF(ISBLANK(H1085),"", IF($H$2:$H2584 = "Gohar Rehan","Overnight",IF($H$2:$H2584 = "Taufeeq Akhtar ","Overnight",IF($H$2:$H2584 = "Zeeshan Ali Malik","Audit",IF($H$2:$H2584 = "Ali Raza ","Receiving",IF($H$2:$H2584 = "Ali Ahmad","Full-In"))))))</f>
        <v/>
      </c>
      <c r="J1085" s="29"/>
      <c r="K1085" s="40"/>
      <c r="L1085" s="40"/>
      <c r="M1085" s="41"/>
      <c r="N1085" s="39" t="s">
        <v>2335</v>
      </c>
      <c r="O1085" s="46" t="b">
        <f aca="false">FALSE()</f>
        <v>0</v>
      </c>
      <c r="P1085" s="20"/>
      <c r="Q1085" s="45" t="n">
        <v>0</v>
      </c>
      <c r="R1085" s="20"/>
      <c r="S1085" s="20"/>
    </row>
    <row r="1086" customFormat="false" ht="15.75" hidden="false" customHeight="false" outlineLevel="0" collapsed="false">
      <c r="A1086" s="39"/>
      <c r="B1086" s="44"/>
      <c r="C1086" s="39"/>
      <c r="D1086" s="39"/>
      <c r="E1086" s="39"/>
      <c r="F1086" s="45"/>
      <c r="G1086" s="40"/>
      <c r="H1086" s="39"/>
      <c r="I1086" s="39" t="str">
        <f aca="false">IF(ISBLANK(H1086),"", IF($H$2:$H2585 = "Gohar Rehan","Overnight",IF($H$2:$H2585 = "Taufeeq Akhtar ","Overnight",IF($H$2:$H2585 = "Zeeshan Ali Malik","Audit",IF($H$2:$H2585 = "Ali Raza ","Receiving",IF($H$2:$H2585 = "Ali Ahmad","Full-In"))))))</f>
        <v/>
      </c>
      <c r="J1086" s="29"/>
      <c r="K1086" s="40"/>
      <c r="L1086" s="40"/>
      <c r="M1086" s="41"/>
      <c r="N1086" s="39" t="s">
        <v>2335</v>
      </c>
      <c r="O1086" s="46" t="b">
        <f aca="false">FALSE()</f>
        <v>0</v>
      </c>
      <c r="P1086" s="20"/>
      <c r="Q1086" s="45" t="n">
        <v>0</v>
      </c>
      <c r="R1086" s="20"/>
      <c r="S1086" s="20"/>
    </row>
    <row r="1087" customFormat="false" ht="15.75" hidden="false" customHeight="false" outlineLevel="0" collapsed="false">
      <c r="A1087" s="39"/>
      <c r="B1087" s="44"/>
      <c r="C1087" s="39"/>
      <c r="D1087" s="39"/>
      <c r="E1087" s="39"/>
      <c r="F1087" s="45"/>
      <c r="G1087" s="40"/>
      <c r="H1087" s="39"/>
      <c r="I1087" s="39" t="str">
        <f aca="false">IF(ISBLANK(H1087),"", IF($H$2:$H2586 = "Gohar Rehan","Overnight",IF($H$2:$H2586 = "Taufeeq Akhtar ","Overnight",IF($H$2:$H2586 = "Zeeshan Ali Malik","Audit",IF($H$2:$H2586 = "Ali Raza ","Receiving",IF($H$2:$H2586 = "Ali Ahmad","Full-In"))))))</f>
        <v/>
      </c>
      <c r="J1087" s="29"/>
      <c r="K1087" s="40"/>
      <c r="L1087" s="40"/>
      <c r="M1087" s="41"/>
      <c r="N1087" s="39" t="s">
        <v>2335</v>
      </c>
      <c r="O1087" s="46" t="b">
        <f aca="false">FALSE()</f>
        <v>0</v>
      </c>
      <c r="P1087" s="20"/>
      <c r="Q1087" s="45" t="n">
        <v>0</v>
      </c>
      <c r="R1087" s="20"/>
      <c r="S1087" s="20"/>
    </row>
    <row r="1088" customFormat="false" ht="15.75" hidden="false" customHeight="false" outlineLevel="0" collapsed="false">
      <c r="A1088" s="39"/>
      <c r="B1088" s="44"/>
      <c r="C1088" s="39"/>
      <c r="D1088" s="39"/>
      <c r="E1088" s="39"/>
      <c r="F1088" s="45"/>
      <c r="G1088" s="40"/>
      <c r="H1088" s="39"/>
      <c r="I1088" s="39" t="str">
        <f aca="false">IF(ISBLANK(H1088),"", IF($H$2:$H2587 = "Gohar Rehan","Overnight",IF($H$2:$H2587 = "Taufeeq Akhtar ","Overnight",IF($H$2:$H2587 = "Zeeshan Ali Malik","Audit",IF($H$2:$H2587 = "Ali Raza ","Receiving",IF($H$2:$H2587 = "Ali Ahmad","Full-In"))))))</f>
        <v/>
      </c>
      <c r="J1088" s="29"/>
      <c r="K1088" s="40"/>
      <c r="L1088" s="40"/>
      <c r="M1088" s="41"/>
      <c r="N1088" s="39" t="s">
        <v>2335</v>
      </c>
      <c r="O1088" s="46" t="b">
        <f aca="false">FALSE()</f>
        <v>0</v>
      </c>
      <c r="P1088" s="20"/>
      <c r="Q1088" s="45" t="n">
        <v>0</v>
      </c>
      <c r="R1088" s="20"/>
      <c r="S1088" s="20"/>
    </row>
    <row r="1089" customFormat="false" ht="15.75" hidden="false" customHeight="false" outlineLevel="0" collapsed="false">
      <c r="A1089" s="39"/>
      <c r="B1089" s="44"/>
      <c r="C1089" s="39"/>
      <c r="D1089" s="39"/>
      <c r="E1089" s="39"/>
      <c r="F1089" s="45"/>
      <c r="G1089" s="40"/>
      <c r="H1089" s="39"/>
      <c r="I1089" s="39" t="str">
        <f aca="false">IF(ISBLANK(H1089),"", IF($H$2:$H2588 = "Gohar Rehan","Overnight",IF($H$2:$H2588 = "Taufeeq Akhtar ","Overnight",IF($H$2:$H2588 = "Zeeshan Ali Malik","Audit",IF($H$2:$H2588 = "Ali Raza ","Receiving",IF($H$2:$H2588 = "Ali Ahmad","Full-In"))))))</f>
        <v/>
      </c>
      <c r="J1089" s="29"/>
      <c r="K1089" s="40"/>
      <c r="L1089" s="40"/>
      <c r="M1089" s="41"/>
      <c r="N1089" s="39" t="s">
        <v>2335</v>
      </c>
      <c r="O1089" s="46" t="b">
        <f aca="false">FALSE()</f>
        <v>0</v>
      </c>
      <c r="P1089" s="20"/>
      <c r="Q1089" s="45" t="n">
        <v>0</v>
      </c>
      <c r="R1089" s="20"/>
      <c r="S1089" s="20"/>
    </row>
    <row r="1090" customFormat="false" ht="15.75" hidden="false" customHeight="false" outlineLevel="0" collapsed="false">
      <c r="A1090" s="39"/>
      <c r="B1090" s="44"/>
      <c r="C1090" s="39"/>
      <c r="D1090" s="39"/>
      <c r="E1090" s="39"/>
      <c r="F1090" s="45"/>
      <c r="G1090" s="40"/>
      <c r="H1090" s="39"/>
      <c r="I1090" s="39" t="str">
        <f aca="false">IF(ISBLANK(H1090),"", IF($H$2:$H2589 = "Gohar Rehan","Overnight",IF($H$2:$H2589 = "Taufeeq Akhtar ","Overnight",IF($H$2:$H2589 = "Zeeshan Ali Malik","Audit",IF($H$2:$H2589 = "Ali Raza ","Receiving",IF($H$2:$H2589 = "Ali Ahmad","Full-In"))))))</f>
        <v/>
      </c>
      <c r="J1090" s="29"/>
      <c r="K1090" s="40"/>
      <c r="L1090" s="40"/>
      <c r="M1090" s="41"/>
      <c r="N1090" s="39" t="s">
        <v>2335</v>
      </c>
      <c r="O1090" s="46" t="b">
        <f aca="false">FALSE()</f>
        <v>0</v>
      </c>
      <c r="P1090" s="20"/>
      <c r="Q1090" s="45" t="n">
        <v>0</v>
      </c>
      <c r="R1090" s="20"/>
      <c r="S1090" s="20"/>
    </row>
    <row r="1091" customFormat="false" ht="15.75" hidden="false" customHeight="false" outlineLevel="0" collapsed="false">
      <c r="A1091" s="39"/>
      <c r="B1091" s="44"/>
      <c r="C1091" s="39"/>
      <c r="D1091" s="39"/>
      <c r="E1091" s="39"/>
      <c r="F1091" s="45"/>
      <c r="G1091" s="40"/>
      <c r="H1091" s="39"/>
      <c r="I1091" s="39" t="str">
        <f aca="false">IF(ISBLANK(H1091),"", IF($H$2:$H2590 = "Gohar Rehan","Overnight",IF($H$2:$H2590 = "Taufeeq Akhtar ","Overnight",IF($H$2:$H2590 = "Zeeshan Ali Malik","Audit",IF($H$2:$H2590 = "Ali Raza ","Receiving",IF($H$2:$H2590 = "Ali Ahmad","Full-In"))))))</f>
        <v/>
      </c>
      <c r="J1091" s="29"/>
      <c r="K1091" s="40"/>
      <c r="L1091" s="40"/>
      <c r="M1091" s="41"/>
      <c r="N1091" s="39" t="s">
        <v>2335</v>
      </c>
      <c r="O1091" s="46" t="b">
        <f aca="false">FALSE()</f>
        <v>0</v>
      </c>
      <c r="P1091" s="20"/>
      <c r="Q1091" s="45" t="n">
        <v>0</v>
      </c>
      <c r="R1091" s="20"/>
      <c r="S1091" s="20"/>
    </row>
    <row r="1092" customFormat="false" ht="15.75" hidden="false" customHeight="false" outlineLevel="0" collapsed="false">
      <c r="A1092" s="39"/>
      <c r="B1092" s="44"/>
      <c r="C1092" s="39"/>
      <c r="D1092" s="39"/>
      <c r="E1092" s="39"/>
      <c r="F1092" s="45"/>
      <c r="G1092" s="40"/>
      <c r="H1092" s="39"/>
      <c r="I1092" s="39" t="str">
        <f aca="false">IF(ISBLANK(H1092),"", IF($H$2:$H2591 = "Gohar Rehan","Overnight",IF($H$2:$H2591 = "Taufeeq Akhtar ","Overnight",IF($H$2:$H2591 = "Zeeshan Ali Malik","Audit",IF($H$2:$H2591 = "Ali Raza ","Receiving",IF($H$2:$H2591 = "Ali Ahmad","Full-In"))))))</f>
        <v/>
      </c>
      <c r="J1092" s="29"/>
      <c r="K1092" s="40"/>
      <c r="L1092" s="40"/>
      <c r="M1092" s="41"/>
      <c r="N1092" s="39" t="s">
        <v>2335</v>
      </c>
      <c r="O1092" s="46" t="b">
        <f aca="false">FALSE()</f>
        <v>0</v>
      </c>
      <c r="P1092" s="20"/>
      <c r="Q1092" s="45" t="n">
        <v>0</v>
      </c>
      <c r="R1092" s="20"/>
      <c r="S1092" s="20"/>
    </row>
    <row r="1093" customFormat="false" ht="15.75" hidden="false" customHeight="false" outlineLevel="0" collapsed="false">
      <c r="A1093" s="39"/>
      <c r="B1093" s="44"/>
      <c r="C1093" s="39"/>
      <c r="D1093" s="39"/>
      <c r="E1093" s="39"/>
      <c r="F1093" s="45"/>
      <c r="G1093" s="40"/>
      <c r="H1093" s="39"/>
      <c r="I1093" s="39" t="str">
        <f aca="false">IF(ISBLANK(H1093),"", IF($H$2:$H2592 = "Gohar Rehan","Overnight",IF($H$2:$H2592 = "Taufeeq Akhtar ","Overnight",IF($H$2:$H2592 = "Zeeshan Ali Malik","Audit",IF($H$2:$H2592 = "Ali Raza ","Receiving",IF($H$2:$H2592 = "Ali Ahmad","Full-In"))))))</f>
        <v/>
      </c>
      <c r="J1093" s="29"/>
      <c r="K1093" s="40"/>
      <c r="L1093" s="40"/>
      <c r="M1093" s="41"/>
      <c r="N1093" s="39" t="s">
        <v>2335</v>
      </c>
      <c r="O1093" s="46" t="b">
        <f aca="false">FALSE()</f>
        <v>0</v>
      </c>
      <c r="P1093" s="20"/>
      <c r="Q1093" s="45" t="n">
        <v>0</v>
      </c>
      <c r="R1093" s="20"/>
      <c r="S1093" s="20"/>
    </row>
    <row r="1094" customFormat="false" ht="15.75" hidden="false" customHeight="false" outlineLevel="0" collapsed="false">
      <c r="A1094" s="39"/>
      <c r="B1094" s="44"/>
      <c r="C1094" s="39"/>
      <c r="D1094" s="39"/>
      <c r="E1094" s="39"/>
      <c r="F1094" s="45"/>
      <c r="G1094" s="40"/>
      <c r="H1094" s="39"/>
      <c r="I1094" s="39" t="str">
        <f aca="false">IF(ISBLANK(H1094),"", IF($H$2:$H2593 = "Gohar Rehan","Overnight",IF($H$2:$H2593 = "Taufeeq Akhtar ","Overnight",IF($H$2:$H2593 = "Zeeshan Ali Malik","Audit",IF($H$2:$H2593 = "Ali Raza ","Receiving",IF($H$2:$H2593 = "Ali Ahmad","Full-In"))))))</f>
        <v/>
      </c>
      <c r="J1094" s="29"/>
      <c r="K1094" s="40"/>
      <c r="L1094" s="40"/>
      <c r="M1094" s="41"/>
      <c r="N1094" s="39" t="s">
        <v>2335</v>
      </c>
      <c r="O1094" s="46" t="b">
        <f aca="false">FALSE()</f>
        <v>0</v>
      </c>
      <c r="P1094" s="20"/>
      <c r="Q1094" s="45" t="n">
        <v>0</v>
      </c>
      <c r="R1094" s="20"/>
      <c r="S1094" s="20"/>
    </row>
    <row r="1095" customFormat="false" ht="15.75" hidden="false" customHeight="false" outlineLevel="0" collapsed="false">
      <c r="A1095" s="39"/>
      <c r="B1095" s="44"/>
      <c r="C1095" s="39"/>
      <c r="D1095" s="39"/>
      <c r="E1095" s="39"/>
      <c r="F1095" s="45"/>
      <c r="G1095" s="40"/>
      <c r="H1095" s="39"/>
      <c r="I1095" s="39" t="str">
        <f aca="false">IF(ISBLANK(H1095),"", IF($H$2:$H2594 = "Gohar Rehan","Overnight",IF($H$2:$H2594 = "Taufeeq Akhtar ","Overnight",IF($H$2:$H2594 = "Zeeshan Ali Malik","Audit",IF($H$2:$H2594 = "Ali Raza ","Receiving",IF($H$2:$H2594 = "Ali Ahmad","Full-In"))))))</f>
        <v/>
      </c>
      <c r="J1095" s="29"/>
      <c r="K1095" s="40"/>
      <c r="L1095" s="40"/>
      <c r="M1095" s="41"/>
      <c r="N1095" s="39" t="s">
        <v>2335</v>
      </c>
      <c r="O1095" s="46" t="b">
        <f aca="false">FALSE()</f>
        <v>0</v>
      </c>
      <c r="P1095" s="20"/>
      <c r="Q1095" s="45" t="n">
        <v>0</v>
      </c>
      <c r="R1095" s="20"/>
      <c r="S1095" s="20"/>
    </row>
    <row r="1096" customFormat="false" ht="15.75" hidden="false" customHeight="false" outlineLevel="0" collapsed="false">
      <c r="A1096" s="39"/>
      <c r="B1096" s="44"/>
      <c r="C1096" s="39"/>
      <c r="D1096" s="39"/>
      <c r="E1096" s="39"/>
      <c r="F1096" s="45"/>
      <c r="G1096" s="40"/>
      <c r="H1096" s="39"/>
      <c r="I1096" s="39" t="str">
        <f aca="false">IF(ISBLANK(H1096),"", IF($H$2:$H2595 = "Gohar Rehan","Overnight",IF($H$2:$H2595 = "Taufeeq Akhtar ","Overnight",IF($H$2:$H2595 = "Zeeshan Ali Malik","Audit",IF($H$2:$H2595 = "Ali Raza ","Receiving",IF($H$2:$H2595 = "Ali Ahmad","Full-In"))))))</f>
        <v/>
      </c>
      <c r="J1096" s="29"/>
      <c r="K1096" s="40"/>
      <c r="L1096" s="40"/>
      <c r="M1096" s="41"/>
      <c r="N1096" s="39" t="s">
        <v>2335</v>
      </c>
      <c r="O1096" s="46" t="b">
        <f aca="false">FALSE()</f>
        <v>0</v>
      </c>
      <c r="P1096" s="20"/>
      <c r="Q1096" s="45" t="n">
        <v>0</v>
      </c>
      <c r="R1096" s="20"/>
      <c r="S1096" s="20"/>
    </row>
    <row r="1097" customFormat="false" ht="15.75" hidden="false" customHeight="false" outlineLevel="0" collapsed="false">
      <c r="A1097" s="39"/>
      <c r="B1097" s="44"/>
      <c r="C1097" s="39"/>
      <c r="D1097" s="39"/>
      <c r="E1097" s="39"/>
      <c r="F1097" s="45"/>
      <c r="G1097" s="40"/>
      <c r="H1097" s="39"/>
      <c r="I1097" s="39" t="str">
        <f aca="false">IF(ISBLANK(H1097),"", IF($H$2:$H2596 = "Gohar Rehan","Overnight",IF($H$2:$H2596 = "Taufeeq Akhtar ","Overnight",IF($H$2:$H2596 = "Zeeshan Ali Malik","Audit",IF($H$2:$H2596 = "Ali Raza ","Receiving",IF($H$2:$H2596 = "Ali Ahmad","Full-In"))))))</f>
        <v/>
      </c>
      <c r="J1097" s="29"/>
      <c r="K1097" s="40"/>
      <c r="L1097" s="40"/>
      <c r="M1097" s="41"/>
      <c r="N1097" s="39" t="s">
        <v>2335</v>
      </c>
      <c r="O1097" s="46" t="b">
        <f aca="false">FALSE()</f>
        <v>0</v>
      </c>
      <c r="P1097" s="20"/>
      <c r="Q1097" s="45" t="n">
        <v>0</v>
      </c>
      <c r="R1097" s="20"/>
      <c r="S1097" s="20"/>
    </row>
    <row r="1098" customFormat="false" ht="15.75" hidden="false" customHeight="false" outlineLevel="0" collapsed="false">
      <c r="A1098" s="39"/>
      <c r="B1098" s="44"/>
      <c r="C1098" s="39"/>
      <c r="D1098" s="39"/>
      <c r="E1098" s="39"/>
      <c r="F1098" s="45"/>
      <c r="G1098" s="40"/>
      <c r="H1098" s="39"/>
      <c r="I1098" s="39" t="str">
        <f aca="false">IF(ISBLANK(H1098),"", IF($H$2:$H2597 = "Gohar Rehan","Overnight",IF($H$2:$H2597 = "Taufeeq Akhtar ","Overnight",IF($H$2:$H2597 = "Zeeshan Ali Malik","Audit",IF($H$2:$H2597 = "Ali Raza ","Receiving",IF($H$2:$H2597 = "Ali Ahmad","Full-In"))))))</f>
        <v/>
      </c>
      <c r="J1098" s="29"/>
      <c r="K1098" s="40"/>
      <c r="L1098" s="40"/>
      <c r="M1098" s="41"/>
      <c r="N1098" s="39" t="s">
        <v>2335</v>
      </c>
      <c r="O1098" s="46" t="b">
        <f aca="false">FALSE()</f>
        <v>0</v>
      </c>
      <c r="P1098" s="20"/>
      <c r="Q1098" s="45" t="n">
        <v>0</v>
      </c>
      <c r="R1098" s="20"/>
      <c r="S1098" s="20"/>
    </row>
    <row r="1099" customFormat="false" ht="15.75" hidden="false" customHeight="false" outlineLevel="0" collapsed="false">
      <c r="A1099" s="39"/>
      <c r="B1099" s="44"/>
      <c r="C1099" s="39"/>
      <c r="D1099" s="39"/>
      <c r="E1099" s="39"/>
      <c r="F1099" s="45"/>
      <c r="G1099" s="40"/>
      <c r="H1099" s="39"/>
      <c r="I1099" s="39" t="str">
        <f aca="false">IF(ISBLANK(H1099),"", IF($H$2:$H2598 = "Gohar Rehan","Overnight",IF($H$2:$H2598 = "Taufeeq Akhtar ","Overnight",IF($H$2:$H2598 = "Zeeshan Ali Malik","Audit",IF($H$2:$H2598 = "Ali Raza ","Receiving",IF($H$2:$H2598 = "Ali Ahmad","Full-In"))))))</f>
        <v/>
      </c>
      <c r="J1099" s="29"/>
      <c r="K1099" s="40"/>
      <c r="L1099" s="40"/>
      <c r="M1099" s="41"/>
      <c r="N1099" s="39" t="s">
        <v>2335</v>
      </c>
      <c r="O1099" s="46" t="b">
        <f aca="false">FALSE()</f>
        <v>0</v>
      </c>
      <c r="P1099" s="20"/>
      <c r="Q1099" s="45" t="n">
        <v>0</v>
      </c>
      <c r="R1099" s="20"/>
      <c r="S1099" s="20"/>
    </row>
    <row r="1100" customFormat="false" ht="15.75" hidden="false" customHeight="false" outlineLevel="0" collapsed="false">
      <c r="A1100" s="39"/>
      <c r="B1100" s="44"/>
      <c r="C1100" s="39"/>
      <c r="D1100" s="39"/>
      <c r="E1100" s="39"/>
      <c r="F1100" s="45"/>
      <c r="G1100" s="40"/>
      <c r="H1100" s="39"/>
      <c r="I1100" s="39" t="str">
        <f aca="false">IF(ISBLANK(H1100),"", IF($H$2:$H2599 = "Gohar Rehan","Overnight",IF($H$2:$H2599 = "Taufeeq Akhtar ","Overnight",IF($H$2:$H2599 = "Zeeshan Ali Malik","Audit",IF($H$2:$H2599 = "Ali Raza ","Receiving",IF($H$2:$H2599 = "Ali Ahmad","Full-In"))))))</f>
        <v/>
      </c>
      <c r="J1100" s="29"/>
      <c r="K1100" s="40"/>
      <c r="L1100" s="40"/>
      <c r="M1100" s="41"/>
      <c r="N1100" s="39" t="s">
        <v>2335</v>
      </c>
      <c r="O1100" s="46" t="b">
        <f aca="false">FALSE()</f>
        <v>0</v>
      </c>
      <c r="P1100" s="20"/>
      <c r="Q1100" s="45" t="n">
        <v>0</v>
      </c>
      <c r="R1100" s="20"/>
      <c r="S1100" s="20"/>
    </row>
    <row r="1101" customFormat="false" ht="15.75" hidden="false" customHeight="false" outlineLevel="0" collapsed="false">
      <c r="A1101" s="39"/>
      <c r="B1101" s="44"/>
      <c r="C1101" s="39"/>
      <c r="D1101" s="39"/>
      <c r="E1101" s="39"/>
      <c r="F1101" s="45"/>
      <c r="G1101" s="40"/>
      <c r="H1101" s="39"/>
      <c r="I1101" s="39" t="str">
        <f aca="false">IF(ISBLANK(H1101),"", IF($H$2:$H2600 = "Gohar Rehan","Overnight",IF($H$2:$H2600 = "Taufeeq Akhtar ","Overnight",IF($H$2:$H2600 = "Zeeshan Ali Malik","Audit",IF($H$2:$H2600 = "Ali Raza ","Receiving",IF($H$2:$H2600 = "Ali Ahmad","Full-In"))))))</f>
        <v/>
      </c>
      <c r="J1101" s="29"/>
      <c r="K1101" s="40"/>
      <c r="L1101" s="40"/>
      <c r="M1101" s="41"/>
      <c r="N1101" s="39" t="s">
        <v>2335</v>
      </c>
      <c r="O1101" s="46" t="b">
        <f aca="false">FALSE()</f>
        <v>0</v>
      </c>
      <c r="P1101" s="20"/>
      <c r="Q1101" s="45" t="n">
        <v>0</v>
      </c>
      <c r="R1101" s="20"/>
      <c r="S1101" s="20"/>
    </row>
    <row r="1102" customFormat="false" ht="15.75" hidden="false" customHeight="false" outlineLevel="0" collapsed="false">
      <c r="A1102" s="39"/>
      <c r="B1102" s="44"/>
      <c r="C1102" s="39"/>
      <c r="D1102" s="39"/>
      <c r="E1102" s="39"/>
      <c r="F1102" s="45"/>
      <c r="G1102" s="40"/>
      <c r="H1102" s="39"/>
      <c r="I1102" s="39" t="str">
        <f aca="false">IF(ISBLANK(H1102),"", IF($H$2:$H2601 = "Gohar Rehan","Overnight",IF($H$2:$H2601 = "Taufeeq Akhtar ","Overnight",IF($H$2:$H2601 = "Zeeshan Ali Malik","Audit",IF($H$2:$H2601 = "Ali Raza ","Receiving",IF($H$2:$H2601 = "Ali Ahmad","Full-In"))))))</f>
        <v/>
      </c>
      <c r="J1102" s="29"/>
      <c r="K1102" s="40"/>
      <c r="L1102" s="40"/>
      <c r="M1102" s="41"/>
      <c r="N1102" s="39" t="s">
        <v>2335</v>
      </c>
      <c r="O1102" s="46" t="b">
        <f aca="false">FALSE()</f>
        <v>0</v>
      </c>
      <c r="P1102" s="20"/>
      <c r="Q1102" s="45" t="n">
        <v>0</v>
      </c>
      <c r="R1102" s="20"/>
      <c r="S1102" s="20"/>
    </row>
    <row r="1103" customFormat="false" ht="15.75" hidden="false" customHeight="false" outlineLevel="0" collapsed="false">
      <c r="A1103" s="39"/>
      <c r="B1103" s="44"/>
      <c r="C1103" s="39"/>
      <c r="D1103" s="39"/>
      <c r="E1103" s="39"/>
      <c r="F1103" s="45"/>
      <c r="G1103" s="40"/>
      <c r="H1103" s="39"/>
      <c r="I1103" s="39" t="str">
        <f aca="false">IF(ISBLANK(H1103),"", IF($H$2:$H2602 = "Gohar Rehan","Overnight",IF($H$2:$H2602 = "Taufeeq Akhtar ","Overnight",IF($H$2:$H2602 = "Zeeshan Ali Malik","Audit",IF($H$2:$H2602 = "Ali Raza ","Receiving",IF($H$2:$H2602 = "Ali Ahmad","Full-In"))))))</f>
        <v/>
      </c>
      <c r="J1103" s="29"/>
      <c r="K1103" s="40"/>
      <c r="L1103" s="40"/>
      <c r="M1103" s="41"/>
      <c r="N1103" s="39" t="s">
        <v>2335</v>
      </c>
      <c r="O1103" s="46" t="b">
        <f aca="false">FALSE()</f>
        <v>0</v>
      </c>
      <c r="P1103" s="20"/>
      <c r="Q1103" s="45" t="n">
        <v>0</v>
      </c>
      <c r="R1103" s="20"/>
      <c r="S1103" s="20"/>
    </row>
    <row r="1104" customFormat="false" ht="15.75" hidden="false" customHeight="false" outlineLevel="0" collapsed="false">
      <c r="A1104" s="39"/>
      <c r="B1104" s="44"/>
      <c r="C1104" s="39"/>
      <c r="D1104" s="39"/>
      <c r="E1104" s="39"/>
      <c r="F1104" s="45"/>
      <c r="G1104" s="40"/>
      <c r="H1104" s="39"/>
      <c r="I1104" s="39" t="str">
        <f aca="false">IF(ISBLANK(H1104),"", IF($H$2:$H2603 = "Gohar Rehan","Overnight",IF($H$2:$H2603 = "Taufeeq Akhtar ","Overnight",IF($H$2:$H2603 = "Zeeshan Ali Malik","Audit",IF($H$2:$H2603 = "Ali Raza ","Receiving",IF($H$2:$H2603 = "Ali Ahmad","Full-In"))))))</f>
        <v/>
      </c>
      <c r="J1104" s="29"/>
      <c r="K1104" s="40"/>
      <c r="L1104" s="40"/>
      <c r="M1104" s="41"/>
      <c r="N1104" s="39" t="s">
        <v>2335</v>
      </c>
      <c r="O1104" s="46" t="b">
        <f aca="false">FALSE()</f>
        <v>0</v>
      </c>
      <c r="P1104" s="20"/>
      <c r="Q1104" s="45" t="n">
        <v>0</v>
      </c>
      <c r="R1104" s="20"/>
      <c r="S1104" s="20"/>
    </row>
    <row r="1105" customFormat="false" ht="15.75" hidden="false" customHeight="false" outlineLevel="0" collapsed="false">
      <c r="A1105" s="39"/>
      <c r="B1105" s="44"/>
      <c r="C1105" s="39"/>
      <c r="D1105" s="39"/>
      <c r="E1105" s="39"/>
      <c r="F1105" s="45"/>
      <c r="G1105" s="40"/>
      <c r="H1105" s="39"/>
      <c r="I1105" s="39" t="str">
        <f aca="false">IF(ISBLANK(H1105),"", IF($H$2:$H2604 = "Gohar Rehan","Overnight",IF($H$2:$H2604 = "Taufeeq Akhtar ","Overnight",IF($H$2:$H2604 = "Zeeshan Ali Malik","Audit",IF($H$2:$H2604 = "Ali Raza ","Receiving",IF($H$2:$H2604 = "Ali Ahmad","Full-In"))))))</f>
        <v/>
      </c>
      <c r="J1105" s="29"/>
      <c r="K1105" s="40"/>
      <c r="L1105" s="40"/>
      <c r="M1105" s="41"/>
      <c r="N1105" s="39" t="s">
        <v>2335</v>
      </c>
      <c r="O1105" s="46" t="b">
        <f aca="false">FALSE()</f>
        <v>0</v>
      </c>
      <c r="P1105" s="20"/>
      <c r="Q1105" s="45" t="n">
        <v>0</v>
      </c>
      <c r="R1105" s="20"/>
      <c r="S1105" s="20"/>
    </row>
    <row r="1106" customFormat="false" ht="15.75" hidden="false" customHeight="false" outlineLevel="0" collapsed="false">
      <c r="A1106" s="39"/>
      <c r="B1106" s="44"/>
      <c r="C1106" s="39"/>
      <c r="D1106" s="39"/>
      <c r="E1106" s="39"/>
      <c r="F1106" s="45"/>
      <c r="G1106" s="40"/>
      <c r="H1106" s="39"/>
      <c r="I1106" s="39" t="str">
        <f aca="false">IF(ISBLANK(H1106),"", IF($H$2:$H2605 = "Gohar Rehan","Overnight",IF($H$2:$H2605 = "Taufeeq Akhtar ","Overnight",IF($H$2:$H2605 = "Zeeshan Ali Malik","Audit",IF($H$2:$H2605 = "Ali Raza ","Receiving",IF($H$2:$H2605 = "Ali Ahmad","Full-In"))))))</f>
        <v/>
      </c>
      <c r="J1106" s="29"/>
      <c r="K1106" s="40"/>
      <c r="L1106" s="40"/>
      <c r="M1106" s="41"/>
      <c r="N1106" s="39" t="s">
        <v>2335</v>
      </c>
      <c r="O1106" s="46" t="b">
        <f aca="false">FALSE()</f>
        <v>0</v>
      </c>
      <c r="P1106" s="20"/>
      <c r="Q1106" s="45" t="n">
        <v>0</v>
      </c>
      <c r="R1106" s="20"/>
      <c r="S1106" s="20"/>
    </row>
    <row r="1107" customFormat="false" ht="15.75" hidden="false" customHeight="false" outlineLevel="0" collapsed="false">
      <c r="A1107" s="39"/>
      <c r="B1107" s="44"/>
      <c r="C1107" s="39"/>
      <c r="D1107" s="39"/>
      <c r="E1107" s="39"/>
      <c r="F1107" s="45"/>
      <c r="G1107" s="40"/>
      <c r="H1107" s="39"/>
      <c r="I1107" s="39" t="str">
        <f aca="false">IF(ISBLANK(H1107),"", IF($H$2:$H2606 = "Gohar Rehan","Overnight",IF($H$2:$H2606 = "Taufeeq Akhtar ","Overnight",IF($H$2:$H2606 = "Zeeshan Ali Malik","Audit",IF($H$2:$H2606 = "Ali Raza ","Receiving",IF($H$2:$H2606 = "Ali Ahmad","Full-In"))))))</f>
        <v/>
      </c>
      <c r="J1107" s="29"/>
      <c r="K1107" s="40"/>
      <c r="L1107" s="40"/>
      <c r="M1107" s="41"/>
      <c r="N1107" s="39" t="s">
        <v>2335</v>
      </c>
      <c r="O1107" s="46" t="b">
        <f aca="false">FALSE()</f>
        <v>0</v>
      </c>
      <c r="P1107" s="20"/>
      <c r="Q1107" s="45" t="n">
        <v>0</v>
      </c>
      <c r="R1107" s="20"/>
      <c r="S1107" s="20"/>
    </row>
    <row r="1108" customFormat="false" ht="15.75" hidden="false" customHeight="false" outlineLevel="0" collapsed="false">
      <c r="A1108" s="39"/>
      <c r="B1108" s="44"/>
      <c r="C1108" s="39"/>
      <c r="D1108" s="39"/>
      <c r="E1108" s="39"/>
      <c r="F1108" s="45"/>
      <c r="G1108" s="40"/>
      <c r="H1108" s="39"/>
      <c r="I1108" s="39" t="str">
        <f aca="false">IF(ISBLANK(H1108),"", IF($H$2:$H2607 = "Gohar Rehan","Overnight",IF($H$2:$H2607 = "Taufeeq Akhtar ","Overnight",IF($H$2:$H2607 = "Zeeshan Ali Malik","Audit",IF($H$2:$H2607 = "Ali Raza ","Receiving",IF($H$2:$H2607 = "Ali Ahmad","Full-In"))))))</f>
        <v/>
      </c>
      <c r="J1108" s="29"/>
      <c r="K1108" s="40"/>
      <c r="L1108" s="40"/>
      <c r="M1108" s="41"/>
      <c r="N1108" s="39" t="s">
        <v>2335</v>
      </c>
      <c r="O1108" s="46" t="b">
        <f aca="false">FALSE()</f>
        <v>0</v>
      </c>
      <c r="P1108" s="20"/>
      <c r="Q1108" s="45" t="n">
        <v>0</v>
      </c>
      <c r="R1108" s="20"/>
      <c r="S1108" s="20"/>
    </row>
    <row r="1109" customFormat="false" ht="15.75" hidden="false" customHeight="false" outlineLevel="0" collapsed="false">
      <c r="A1109" s="39"/>
      <c r="B1109" s="44"/>
      <c r="C1109" s="39"/>
      <c r="D1109" s="39"/>
      <c r="E1109" s="39"/>
      <c r="F1109" s="45"/>
      <c r="G1109" s="40"/>
      <c r="H1109" s="39"/>
      <c r="I1109" s="39" t="str">
        <f aca="false">IF(ISBLANK(H1109),"", IF($H$2:$H2608 = "Gohar Rehan","Overnight",IF($H$2:$H2608 = "Taufeeq Akhtar ","Overnight",IF($H$2:$H2608 = "Zeeshan Ali Malik","Audit",IF($H$2:$H2608 = "Ali Raza ","Receiving",IF($H$2:$H2608 = "Ali Ahmad","Full-In"))))))</f>
        <v/>
      </c>
      <c r="J1109" s="29"/>
      <c r="K1109" s="40"/>
      <c r="L1109" s="40"/>
      <c r="M1109" s="41"/>
      <c r="N1109" s="39" t="s">
        <v>2335</v>
      </c>
      <c r="O1109" s="46" t="b">
        <f aca="false">FALSE()</f>
        <v>0</v>
      </c>
      <c r="P1109" s="20"/>
      <c r="Q1109" s="45" t="n">
        <v>0</v>
      </c>
      <c r="R1109" s="20"/>
      <c r="S1109" s="20"/>
    </row>
    <row r="1110" customFormat="false" ht="15.75" hidden="false" customHeight="false" outlineLevel="0" collapsed="false">
      <c r="A1110" s="39"/>
      <c r="B1110" s="44"/>
      <c r="C1110" s="39"/>
      <c r="D1110" s="39"/>
      <c r="E1110" s="39"/>
      <c r="F1110" s="45"/>
      <c r="G1110" s="40"/>
      <c r="H1110" s="39"/>
      <c r="I1110" s="39" t="str">
        <f aca="false">IF(ISBLANK(H1110),"", IF($H$2:$H2609 = "Gohar Rehan","Overnight",IF($H$2:$H2609 = "Taufeeq Akhtar ","Overnight",IF($H$2:$H2609 = "Zeeshan Ali Malik","Audit",IF($H$2:$H2609 = "Ali Raza ","Receiving",IF($H$2:$H2609 = "Ali Ahmad","Full-In"))))))</f>
        <v/>
      </c>
      <c r="J1110" s="29"/>
      <c r="K1110" s="40"/>
      <c r="L1110" s="40"/>
      <c r="M1110" s="41"/>
      <c r="N1110" s="39" t="s">
        <v>2335</v>
      </c>
      <c r="O1110" s="46" t="b">
        <f aca="false">FALSE()</f>
        <v>0</v>
      </c>
      <c r="P1110" s="20"/>
      <c r="Q1110" s="45" t="n">
        <v>0</v>
      </c>
      <c r="R1110" s="20"/>
      <c r="S1110" s="20"/>
    </row>
    <row r="1111" customFormat="false" ht="15.75" hidden="false" customHeight="false" outlineLevel="0" collapsed="false">
      <c r="A1111" s="39"/>
      <c r="B1111" s="44"/>
      <c r="C1111" s="39"/>
      <c r="D1111" s="39"/>
      <c r="E1111" s="39"/>
      <c r="F1111" s="45"/>
      <c r="G1111" s="40"/>
      <c r="H1111" s="39"/>
      <c r="I1111" s="39" t="str">
        <f aca="false">IF(ISBLANK(H1111),"", IF($H$2:$H2610 = "Gohar Rehan","Overnight",IF($H$2:$H2610 = "Taufeeq Akhtar ","Overnight",IF($H$2:$H2610 = "Zeeshan Ali Malik","Audit",IF($H$2:$H2610 = "Ali Raza ","Receiving",IF($H$2:$H2610 = "Ali Ahmad","Full-In"))))))</f>
        <v/>
      </c>
      <c r="J1111" s="29"/>
      <c r="K1111" s="40"/>
      <c r="L1111" s="40"/>
      <c r="M1111" s="41"/>
      <c r="N1111" s="39" t="s">
        <v>2335</v>
      </c>
      <c r="O1111" s="46" t="b">
        <f aca="false">FALSE()</f>
        <v>0</v>
      </c>
      <c r="P1111" s="20"/>
      <c r="Q1111" s="45" t="n">
        <v>0</v>
      </c>
      <c r="R1111" s="20"/>
      <c r="S1111" s="20"/>
    </row>
    <row r="1112" customFormat="false" ht="15.75" hidden="false" customHeight="false" outlineLevel="0" collapsed="false">
      <c r="A1112" s="39"/>
      <c r="B1112" s="44"/>
      <c r="C1112" s="39"/>
      <c r="D1112" s="39"/>
      <c r="E1112" s="39"/>
      <c r="F1112" s="45"/>
      <c r="G1112" s="40"/>
      <c r="H1112" s="39"/>
      <c r="I1112" s="39" t="str">
        <f aca="false">IF(ISBLANK(H1112),"", IF($H$2:$H2611 = "Gohar Rehan","Overnight",IF($H$2:$H2611 = "Taufeeq Akhtar ","Overnight",IF($H$2:$H2611 = "Zeeshan Ali Malik","Audit",IF($H$2:$H2611 = "Ali Raza ","Receiving",IF($H$2:$H2611 = "Ali Ahmad","Full-In"))))))</f>
        <v/>
      </c>
      <c r="J1112" s="29"/>
      <c r="K1112" s="40"/>
      <c r="L1112" s="40"/>
      <c r="M1112" s="41"/>
      <c r="N1112" s="39" t="s">
        <v>2335</v>
      </c>
      <c r="O1112" s="46" t="b">
        <f aca="false">FALSE()</f>
        <v>0</v>
      </c>
      <c r="P1112" s="20"/>
      <c r="Q1112" s="45" t="n">
        <v>0</v>
      </c>
      <c r="R1112" s="20"/>
      <c r="S1112" s="20"/>
    </row>
    <row r="1113" customFormat="false" ht="15.75" hidden="false" customHeight="false" outlineLevel="0" collapsed="false">
      <c r="A1113" s="39"/>
      <c r="B1113" s="44"/>
      <c r="C1113" s="39"/>
      <c r="D1113" s="39"/>
      <c r="E1113" s="39"/>
      <c r="F1113" s="45"/>
      <c r="G1113" s="40"/>
      <c r="H1113" s="39"/>
      <c r="I1113" s="39" t="str">
        <f aca="false">IF(ISBLANK(H1113),"", IF($H$2:$H2612 = "Gohar Rehan","Overnight",IF($H$2:$H2612 = "Taufeeq Akhtar ","Overnight",IF($H$2:$H2612 = "Zeeshan Ali Malik","Audit",IF($H$2:$H2612 = "Ali Raza ","Receiving",IF($H$2:$H2612 = "Ali Ahmad","Full-In"))))))</f>
        <v/>
      </c>
      <c r="J1113" s="29"/>
      <c r="K1113" s="40"/>
      <c r="L1113" s="40"/>
      <c r="M1113" s="41"/>
      <c r="N1113" s="39" t="s">
        <v>2335</v>
      </c>
      <c r="O1113" s="46" t="b">
        <f aca="false">FALSE()</f>
        <v>0</v>
      </c>
      <c r="P1113" s="20"/>
      <c r="Q1113" s="45" t="n">
        <v>0</v>
      </c>
      <c r="R1113" s="20"/>
      <c r="S1113" s="20"/>
    </row>
    <row r="1114" customFormat="false" ht="15.75" hidden="false" customHeight="false" outlineLevel="0" collapsed="false">
      <c r="A1114" s="39"/>
      <c r="B1114" s="44"/>
      <c r="C1114" s="39"/>
      <c r="D1114" s="39"/>
      <c r="E1114" s="39"/>
      <c r="F1114" s="45"/>
      <c r="G1114" s="40"/>
      <c r="H1114" s="39"/>
      <c r="I1114" s="39" t="str">
        <f aca="false">IF(ISBLANK(H1114),"", IF($H$2:$H2613 = "Gohar Rehan","Overnight",IF($H$2:$H2613 = "Taufeeq Akhtar ","Overnight",IF($H$2:$H2613 = "Zeeshan Ali Malik","Audit",IF($H$2:$H2613 = "Ali Raza ","Receiving",IF($H$2:$H2613 = "Ali Ahmad","Full-In"))))))</f>
        <v/>
      </c>
      <c r="J1114" s="29"/>
      <c r="K1114" s="40"/>
      <c r="L1114" s="40"/>
      <c r="M1114" s="41"/>
      <c r="N1114" s="39" t="s">
        <v>2335</v>
      </c>
      <c r="O1114" s="46" t="b">
        <f aca="false">FALSE()</f>
        <v>0</v>
      </c>
      <c r="P1114" s="20"/>
      <c r="Q1114" s="45" t="n">
        <v>0</v>
      </c>
      <c r="R1114" s="20"/>
      <c r="S1114" s="20"/>
    </row>
    <row r="1115" customFormat="false" ht="15.75" hidden="false" customHeight="false" outlineLevel="0" collapsed="false">
      <c r="A1115" s="39"/>
      <c r="B1115" s="44"/>
      <c r="C1115" s="39"/>
      <c r="D1115" s="39"/>
      <c r="E1115" s="39"/>
      <c r="F1115" s="45"/>
      <c r="G1115" s="40"/>
      <c r="H1115" s="39"/>
      <c r="I1115" s="39" t="str">
        <f aca="false">IF(ISBLANK(H1115),"", IF($H$2:$H2614 = "Gohar Rehan","Overnight",IF($H$2:$H2614 = "Taufeeq Akhtar ","Overnight",IF($H$2:$H2614 = "Zeeshan Ali Malik","Audit",IF($H$2:$H2614 = "Ali Raza ","Receiving",IF($H$2:$H2614 = "Ali Ahmad","Full-In"))))))</f>
        <v/>
      </c>
      <c r="J1115" s="29"/>
      <c r="K1115" s="40"/>
      <c r="L1115" s="40"/>
      <c r="M1115" s="41"/>
      <c r="N1115" s="39" t="s">
        <v>2335</v>
      </c>
      <c r="O1115" s="46" t="b">
        <f aca="false">FALSE()</f>
        <v>0</v>
      </c>
      <c r="P1115" s="20"/>
      <c r="Q1115" s="45" t="n">
        <v>0</v>
      </c>
      <c r="R1115" s="20"/>
      <c r="S1115" s="20"/>
    </row>
    <row r="1116" customFormat="false" ht="15.75" hidden="false" customHeight="false" outlineLevel="0" collapsed="false">
      <c r="A1116" s="39"/>
      <c r="B1116" s="44"/>
      <c r="C1116" s="39"/>
      <c r="D1116" s="39"/>
      <c r="E1116" s="39"/>
      <c r="F1116" s="45"/>
      <c r="G1116" s="40"/>
      <c r="H1116" s="39"/>
      <c r="I1116" s="39" t="str">
        <f aca="false">IF(ISBLANK(H1116),"", IF($H$2:$H2615 = "Gohar Rehan","Overnight",IF($H$2:$H2615 = "Taufeeq Akhtar ","Overnight",IF($H$2:$H2615 = "Zeeshan Ali Malik","Audit",IF($H$2:$H2615 = "Ali Raza ","Receiving",IF($H$2:$H2615 = "Ali Ahmad","Full-In"))))))</f>
        <v/>
      </c>
      <c r="J1116" s="29"/>
      <c r="K1116" s="40"/>
      <c r="L1116" s="40"/>
      <c r="M1116" s="41"/>
      <c r="N1116" s="39" t="s">
        <v>2335</v>
      </c>
      <c r="O1116" s="46" t="b">
        <f aca="false">FALSE()</f>
        <v>0</v>
      </c>
      <c r="P1116" s="20"/>
      <c r="Q1116" s="45" t="n">
        <v>0</v>
      </c>
      <c r="R1116" s="20"/>
      <c r="S1116" s="20"/>
    </row>
    <row r="1117" customFormat="false" ht="15.75" hidden="false" customHeight="false" outlineLevel="0" collapsed="false">
      <c r="A1117" s="39"/>
      <c r="B1117" s="44"/>
      <c r="C1117" s="39"/>
      <c r="D1117" s="39"/>
      <c r="E1117" s="39"/>
      <c r="F1117" s="45"/>
      <c r="G1117" s="40"/>
      <c r="H1117" s="39"/>
      <c r="I1117" s="39" t="str">
        <f aca="false">IF(ISBLANK(H1117),"", IF($H$2:$H2616 = "Gohar Rehan","Overnight",IF($H$2:$H2616 = "Taufeeq Akhtar ","Overnight",IF($H$2:$H2616 = "Zeeshan Ali Malik","Audit",IF($H$2:$H2616 = "Ali Raza ","Receiving",IF($H$2:$H2616 = "Ali Ahmad","Full-In"))))))</f>
        <v/>
      </c>
      <c r="J1117" s="29"/>
      <c r="K1117" s="40"/>
      <c r="L1117" s="40"/>
      <c r="M1117" s="41"/>
      <c r="N1117" s="39" t="s">
        <v>2335</v>
      </c>
      <c r="O1117" s="46" t="b">
        <f aca="false">FALSE()</f>
        <v>0</v>
      </c>
      <c r="P1117" s="20"/>
      <c r="Q1117" s="45" t="n">
        <v>0</v>
      </c>
      <c r="R1117" s="20"/>
      <c r="S1117" s="20"/>
    </row>
    <row r="1118" customFormat="false" ht="15.75" hidden="false" customHeight="false" outlineLevel="0" collapsed="false">
      <c r="A1118" s="39"/>
      <c r="B1118" s="44"/>
      <c r="C1118" s="39"/>
      <c r="D1118" s="39"/>
      <c r="E1118" s="39"/>
      <c r="F1118" s="45"/>
      <c r="G1118" s="40"/>
      <c r="H1118" s="39"/>
      <c r="I1118" s="39" t="str">
        <f aca="false">IF(ISBLANK(H1118),"", IF($H$2:$H2617 = "Gohar Rehan","Overnight",IF($H$2:$H2617 = "Taufeeq Akhtar ","Overnight",IF($H$2:$H2617 = "Zeeshan Ali Malik","Audit",IF($H$2:$H2617 = "Ali Raza ","Receiving",IF($H$2:$H2617 = "Ali Ahmad","Full-In"))))))</f>
        <v/>
      </c>
      <c r="J1118" s="29"/>
      <c r="K1118" s="40"/>
      <c r="L1118" s="40"/>
      <c r="M1118" s="41"/>
      <c r="N1118" s="39" t="s">
        <v>2335</v>
      </c>
      <c r="O1118" s="46" t="b">
        <f aca="false">FALSE()</f>
        <v>0</v>
      </c>
      <c r="P1118" s="20"/>
      <c r="Q1118" s="45" t="n">
        <v>0</v>
      </c>
      <c r="R1118" s="20"/>
      <c r="S1118" s="20"/>
    </row>
    <row r="1119" customFormat="false" ht="15.75" hidden="false" customHeight="false" outlineLevel="0" collapsed="false">
      <c r="A1119" s="39"/>
      <c r="B1119" s="44"/>
      <c r="C1119" s="39"/>
      <c r="D1119" s="39"/>
      <c r="E1119" s="39"/>
      <c r="F1119" s="45"/>
      <c r="G1119" s="40"/>
      <c r="H1119" s="39"/>
      <c r="I1119" s="39" t="str">
        <f aca="false">IF(ISBLANK(H1119),"", IF($H$2:$H2618 = "Gohar Rehan","Overnight",IF($H$2:$H2618 = "Taufeeq Akhtar ","Overnight",IF($H$2:$H2618 = "Zeeshan Ali Malik","Audit",IF($H$2:$H2618 = "Ali Raza ","Receiving",IF($H$2:$H2618 = "Ali Ahmad","Full-In"))))))</f>
        <v/>
      </c>
      <c r="J1119" s="29"/>
      <c r="K1119" s="40"/>
      <c r="L1119" s="40"/>
      <c r="M1119" s="41"/>
      <c r="N1119" s="39" t="s">
        <v>2335</v>
      </c>
      <c r="O1119" s="46" t="b">
        <f aca="false">FALSE()</f>
        <v>0</v>
      </c>
      <c r="P1119" s="20"/>
      <c r="Q1119" s="45" t="n">
        <v>0</v>
      </c>
      <c r="R1119" s="20"/>
      <c r="S1119" s="20"/>
    </row>
    <row r="1120" customFormat="false" ht="15.75" hidden="false" customHeight="false" outlineLevel="0" collapsed="false">
      <c r="A1120" s="39"/>
      <c r="B1120" s="44"/>
      <c r="C1120" s="39"/>
      <c r="D1120" s="39"/>
      <c r="E1120" s="39"/>
      <c r="F1120" s="45"/>
      <c r="G1120" s="40"/>
      <c r="H1120" s="39"/>
      <c r="I1120" s="39" t="str">
        <f aca="false">IF(ISBLANK(H1120),"", IF($H$2:$H2619 = "Gohar Rehan","Overnight",IF($H$2:$H2619 = "Taufeeq Akhtar ","Overnight",IF($H$2:$H2619 = "Zeeshan Ali Malik","Audit",IF($H$2:$H2619 = "Ali Raza ","Receiving",IF($H$2:$H2619 = "Ali Ahmad","Full-In"))))))</f>
        <v/>
      </c>
      <c r="J1120" s="29"/>
      <c r="K1120" s="40"/>
      <c r="L1120" s="40"/>
      <c r="M1120" s="41"/>
      <c r="N1120" s="39" t="s">
        <v>2335</v>
      </c>
      <c r="O1120" s="46" t="b">
        <f aca="false">FALSE()</f>
        <v>0</v>
      </c>
      <c r="P1120" s="20"/>
      <c r="Q1120" s="45" t="n">
        <v>0</v>
      </c>
      <c r="R1120" s="20"/>
      <c r="S1120" s="20"/>
    </row>
    <row r="1121" customFormat="false" ht="15.75" hidden="false" customHeight="false" outlineLevel="0" collapsed="false">
      <c r="A1121" s="39"/>
      <c r="B1121" s="44"/>
      <c r="C1121" s="39"/>
      <c r="D1121" s="39"/>
      <c r="E1121" s="39"/>
      <c r="F1121" s="45"/>
      <c r="G1121" s="40"/>
      <c r="H1121" s="39"/>
      <c r="I1121" s="39" t="str">
        <f aca="false">IF(ISBLANK(H1121),"", IF($H$2:$H2620 = "Gohar Rehan","Overnight",IF($H$2:$H2620 = "Taufeeq Akhtar ","Overnight",IF($H$2:$H2620 = "Zeeshan Ali Malik","Audit",IF($H$2:$H2620 = "Ali Raza ","Receiving",IF($H$2:$H2620 = "Ali Ahmad","Full-In"))))))</f>
        <v/>
      </c>
      <c r="J1121" s="29"/>
      <c r="K1121" s="40"/>
      <c r="L1121" s="40"/>
      <c r="M1121" s="41"/>
      <c r="N1121" s="39" t="s">
        <v>2335</v>
      </c>
      <c r="O1121" s="46" t="b">
        <f aca="false">FALSE()</f>
        <v>0</v>
      </c>
      <c r="P1121" s="20"/>
      <c r="Q1121" s="45" t="n">
        <v>0</v>
      </c>
      <c r="R1121" s="20"/>
      <c r="S1121" s="20"/>
    </row>
    <row r="1122" customFormat="false" ht="15.75" hidden="false" customHeight="false" outlineLevel="0" collapsed="false">
      <c r="A1122" s="39"/>
      <c r="B1122" s="44"/>
      <c r="C1122" s="39"/>
      <c r="D1122" s="39"/>
      <c r="E1122" s="39"/>
      <c r="F1122" s="45"/>
      <c r="G1122" s="40"/>
      <c r="H1122" s="39"/>
      <c r="I1122" s="39" t="str">
        <f aca="false">IF(ISBLANK(H1122),"", IF($H$2:$H2621 = "Gohar Rehan","Overnight",IF($H$2:$H2621 = "Taufeeq Akhtar ","Overnight",IF($H$2:$H2621 = "Zeeshan Ali Malik","Audit",IF($H$2:$H2621 = "Ali Raza ","Receiving",IF($H$2:$H2621 = "Ali Ahmad","Full-In"))))))</f>
        <v/>
      </c>
      <c r="J1122" s="29"/>
      <c r="K1122" s="40"/>
      <c r="L1122" s="40"/>
      <c r="M1122" s="41"/>
      <c r="N1122" s="39" t="s">
        <v>2335</v>
      </c>
      <c r="O1122" s="46" t="b">
        <f aca="false">FALSE()</f>
        <v>0</v>
      </c>
      <c r="P1122" s="20"/>
      <c r="Q1122" s="45" t="n">
        <v>0</v>
      </c>
      <c r="R1122" s="20"/>
      <c r="S1122" s="20"/>
    </row>
    <row r="1123" customFormat="false" ht="15.75" hidden="false" customHeight="false" outlineLevel="0" collapsed="false">
      <c r="A1123" s="39"/>
      <c r="B1123" s="44"/>
      <c r="C1123" s="39"/>
      <c r="D1123" s="39"/>
      <c r="E1123" s="39"/>
      <c r="F1123" s="45"/>
      <c r="G1123" s="40"/>
      <c r="H1123" s="39"/>
      <c r="I1123" s="39" t="str">
        <f aca="false">IF(ISBLANK(H1123),"", IF($H$2:$H2622 = "Gohar Rehan","Overnight",IF($H$2:$H2622 = "Taufeeq Akhtar ","Overnight",IF($H$2:$H2622 = "Zeeshan Ali Malik","Audit",IF($H$2:$H2622 = "Ali Raza ","Receiving",IF($H$2:$H2622 = "Ali Ahmad","Full-In"))))))</f>
        <v/>
      </c>
      <c r="J1123" s="29"/>
      <c r="K1123" s="40"/>
      <c r="L1123" s="40"/>
      <c r="M1123" s="41"/>
      <c r="N1123" s="39" t="s">
        <v>2335</v>
      </c>
      <c r="O1123" s="46" t="b">
        <f aca="false">FALSE()</f>
        <v>0</v>
      </c>
      <c r="P1123" s="20"/>
      <c r="Q1123" s="45" t="n">
        <v>0</v>
      </c>
      <c r="R1123" s="20"/>
      <c r="S1123" s="20"/>
    </row>
    <row r="1124" customFormat="false" ht="15.75" hidden="false" customHeight="false" outlineLevel="0" collapsed="false">
      <c r="A1124" s="39"/>
      <c r="B1124" s="44"/>
      <c r="C1124" s="39"/>
      <c r="D1124" s="39"/>
      <c r="E1124" s="39"/>
      <c r="F1124" s="45"/>
      <c r="G1124" s="40"/>
      <c r="H1124" s="39"/>
      <c r="I1124" s="39" t="str">
        <f aca="false">IF(ISBLANK(H1124),"", IF($H$2:$H2623 = "Gohar Rehan","Overnight",IF($H$2:$H2623 = "Taufeeq Akhtar ","Overnight",IF($H$2:$H2623 = "Zeeshan Ali Malik","Audit",IF($H$2:$H2623 = "Ali Raza ","Receiving",IF($H$2:$H2623 = "Ali Ahmad","Full-In"))))))</f>
        <v/>
      </c>
      <c r="J1124" s="29"/>
      <c r="K1124" s="40"/>
      <c r="L1124" s="40"/>
      <c r="M1124" s="41"/>
      <c r="N1124" s="39" t="s">
        <v>2335</v>
      </c>
      <c r="O1124" s="46" t="b">
        <f aca="false">FALSE()</f>
        <v>0</v>
      </c>
      <c r="P1124" s="20"/>
      <c r="Q1124" s="45" t="n">
        <v>0</v>
      </c>
      <c r="R1124" s="20"/>
      <c r="S1124" s="20"/>
    </row>
    <row r="1125" customFormat="false" ht="15.75" hidden="false" customHeight="false" outlineLevel="0" collapsed="false">
      <c r="A1125" s="39"/>
      <c r="B1125" s="44"/>
      <c r="C1125" s="39"/>
      <c r="D1125" s="39"/>
      <c r="E1125" s="39"/>
      <c r="F1125" s="45"/>
      <c r="G1125" s="40"/>
      <c r="H1125" s="39"/>
      <c r="I1125" s="39" t="str">
        <f aca="false">IF(ISBLANK(H1125),"", IF($H$2:$H2624 = "Gohar Rehan","Overnight",IF($H$2:$H2624 = "Taufeeq Akhtar ","Overnight",IF($H$2:$H2624 = "Zeeshan Ali Malik","Audit",IF($H$2:$H2624 = "Ali Raza ","Receiving",IF($H$2:$H2624 = "Ali Ahmad","Full-In"))))))</f>
        <v/>
      </c>
      <c r="J1125" s="29"/>
      <c r="K1125" s="40"/>
      <c r="L1125" s="40"/>
      <c r="M1125" s="41"/>
      <c r="N1125" s="39" t="s">
        <v>2335</v>
      </c>
      <c r="O1125" s="46" t="b">
        <f aca="false">FALSE()</f>
        <v>0</v>
      </c>
      <c r="P1125" s="20"/>
      <c r="Q1125" s="45" t="n">
        <v>0</v>
      </c>
      <c r="R1125" s="20"/>
      <c r="S1125" s="20"/>
    </row>
    <row r="1126" customFormat="false" ht="15.75" hidden="false" customHeight="false" outlineLevel="0" collapsed="false">
      <c r="A1126" s="39"/>
      <c r="B1126" s="44"/>
      <c r="C1126" s="39"/>
      <c r="D1126" s="39"/>
      <c r="E1126" s="39"/>
      <c r="F1126" s="45"/>
      <c r="G1126" s="40"/>
      <c r="H1126" s="39"/>
      <c r="I1126" s="39" t="str">
        <f aca="false">IF(ISBLANK(H1126),"", IF($H$2:$H2625 = "Gohar Rehan","Overnight",IF($H$2:$H2625 = "Taufeeq Akhtar ","Overnight",IF($H$2:$H2625 = "Zeeshan Ali Malik","Audit",IF($H$2:$H2625 = "Ali Raza ","Receiving",IF($H$2:$H2625 = "Ali Ahmad","Full-In"))))))</f>
        <v/>
      </c>
      <c r="J1126" s="29"/>
      <c r="K1126" s="40"/>
      <c r="L1126" s="40"/>
      <c r="M1126" s="41"/>
      <c r="N1126" s="39" t="s">
        <v>2335</v>
      </c>
      <c r="O1126" s="46" t="b">
        <f aca="false">FALSE()</f>
        <v>0</v>
      </c>
      <c r="P1126" s="20"/>
      <c r="Q1126" s="45" t="n">
        <v>0</v>
      </c>
      <c r="R1126" s="20"/>
      <c r="S1126" s="20"/>
    </row>
    <row r="1127" customFormat="false" ht="15.75" hidden="false" customHeight="false" outlineLevel="0" collapsed="false">
      <c r="A1127" s="39"/>
      <c r="B1127" s="44"/>
      <c r="C1127" s="39"/>
      <c r="D1127" s="39"/>
      <c r="E1127" s="39"/>
      <c r="F1127" s="45"/>
      <c r="G1127" s="40"/>
      <c r="H1127" s="39"/>
      <c r="I1127" s="39" t="str">
        <f aca="false">IF(ISBLANK(H1127),"", IF($H$2:$H2626 = "Gohar Rehan","Overnight",IF($H$2:$H2626 = "Taufeeq Akhtar ","Overnight",IF($H$2:$H2626 = "Zeeshan Ali Malik","Audit",IF($H$2:$H2626 = "Ali Raza ","Receiving",IF($H$2:$H2626 = "Ali Ahmad","Full-In"))))))</f>
        <v/>
      </c>
      <c r="J1127" s="29"/>
      <c r="K1127" s="40"/>
      <c r="L1127" s="40"/>
      <c r="M1127" s="41"/>
      <c r="N1127" s="39" t="s">
        <v>2335</v>
      </c>
      <c r="O1127" s="46" t="b">
        <f aca="false">FALSE()</f>
        <v>0</v>
      </c>
      <c r="P1127" s="20"/>
      <c r="Q1127" s="45" t="n">
        <v>0</v>
      </c>
      <c r="R1127" s="20"/>
      <c r="S1127" s="20"/>
    </row>
    <row r="1128" customFormat="false" ht="15.75" hidden="false" customHeight="false" outlineLevel="0" collapsed="false">
      <c r="A1128" s="39"/>
      <c r="B1128" s="44"/>
      <c r="C1128" s="39"/>
      <c r="D1128" s="39"/>
      <c r="E1128" s="39"/>
      <c r="F1128" s="45"/>
      <c r="G1128" s="40"/>
      <c r="H1128" s="39"/>
      <c r="I1128" s="39" t="str">
        <f aca="false">IF(ISBLANK(H1128),"", IF($H$2:$H2627 = "Gohar Rehan","Overnight",IF($H$2:$H2627 = "Taufeeq Akhtar ","Overnight",IF($H$2:$H2627 = "Zeeshan Ali Malik","Audit",IF($H$2:$H2627 = "Ali Raza ","Receiving",IF($H$2:$H2627 = "Ali Ahmad","Full-In"))))))</f>
        <v/>
      </c>
      <c r="J1128" s="29"/>
      <c r="K1128" s="40"/>
      <c r="L1128" s="40"/>
      <c r="M1128" s="41"/>
      <c r="N1128" s="39" t="s">
        <v>2335</v>
      </c>
      <c r="O1128" s="46" t="b">
        <f aca="false">FALSE()</f>
        <v>0</v>
      </c>
      <c r="P1128" s="20"/>
      <c r="Q1128" s="45" t="n">
        <v>0</v>
      </c>
      <c r="R1128" s="20"/>
      <c r="S1128" s="20"/>
    </row>
    <row r="1129" customFormat="false" ht="15.75" hidden="false" customHeight="false" outlineLevel="0" collapsed="false">
      <c r="A1129" s="39"/>
      <c r="B1129" s="44"/>
      <c r="C1129" s="39"/>
      <c r="D1129" s="39"/>
      <c r="E1129" s="39"/>
      <c r="F1129" s="45"/>
      <c r="G1129" s="40"/>
      <c r="H1129" s="39"/>
      <c r="I1129" s="39" t="str">
        <f aca="false">IF(ISBLANK(H1129),"", IF($H$2:$H2628 = "Gohar Rehan","Overnight",IF($H$2:$H2628 = "Taufeeq Akhtar ","Overnight",IF($H$2:$H2628 = "Zeeshan Ali Malik","Audit",IF($H$2:$H2628 = "Ali Raza ","Receiving",IF($H$2:$H2628 = "Ali Ahmad","Full-In"))))))</f>
        <v/>
      </c>
      <c r="J1129" s="29"/>
      <c r="K1129" s="40"/>
      <c r="L1129" s="40"/>
      <c r="M1129" s="41"/>
      <c r="N1129" s="39" t="s">
        <v>2335</v>
      </c>
      <c r="O1129" s="46" t="b">
        <f aca="false">FALSE()</f>
        <v>0</v>
      </c>
      <c r="P1129" s="20"/>
      <c r="Q1129" s="45" t="n">
        <v>0</v>
      </c>
      <c r="R1129" s="20"/>
      <c r="S1129" s="20"/>
    </row>
    <row r="1130" customFormat="false" ht="15.75" hidden="false" customHeight="false" outlineLevel="0" collapsed="false">
      <c r="A1130" s="39"/>
      <c r="B1130" s="44"/>
      <c r="C1130" s="39"/>
      <c r="D1130" s="39"/>
      <c r="E1130" s="39"/>
      <c r="F1130" s="45"/>
      <c r="G1130" s="40"/>
      <c r="H1130" s="39"/>
      <c r="I1130" s="39" t="str">
        <f aca="false">IF(ISBLANK(H1130),"", IF($H$2:$H2629 = "Gohar Rehan","Overnight",IF($H$2:$H2629 = "Taufeeq Akhtar ","Overnight",IF($H$2:$H2629 = "Zeeshan Ali Malik","Audit",IF($H$2:$H2629 = "Ali Raza ","Receiving",IF($H$2:$H2629 = "Ali Ahmad","Full-In"))))))</f>
        <v/>
      </c>
      <c r="J1130" s="29"/>
      <c r="K1130" s="40"/>
      <c r="L1130" s="40"/>
      <c r="M1130" s="41"/>
      <c r="N1130" s="39" t="s">
        <v>2335</v>
      </c>
      <c r="O1130" s="46" t="b">
        <f aca="false">FALSE()</f>
        <v>0</v>
      </c>
      <c r="P1130" s="20"/>
      <c r="Q1130" s="45" t="n">
        <v>0</v>
      </c>
      <c r="R1130" s="20"/>
      <c r="S1130" s="20"/>
    </row>
    <row r="1131" customFormat="false" ht="15.75" hidden="false" customHeight="false" outlineLevel="0" collapsed="false">
      <c r="A1131" s="39"/>
      <c r="B1131" s="44"/>
      <c r="C1131" s="39"/>
      <c r="D1131" s="39"/>
      <c r="E1131" s="39"/>
      <c r="F1131" s="45"/>
      <c r="G1131" s="40"/>
      <c r="H1131" s="39"/>
      <c r="I1131" s="39" t="str">
        <f aca="false">IF(ISBLANK(H1131),"", IF($H$2:$H2630 = "Gohar Rehan","Overnight",IF($H$2:$H2630 = "Taufeeq Akhtar ","Overnight",IF($H$2:$H2630 = "Zeeshan Ali Malik","Audit",IF($H$2:$H2630 = "Ali Raza ","Receiving",IF($H$2:$H2630 = "Ali Ahmad","Full-In"))))))</f>
        <v/>
      </c>
      <c r="J1131" s="29"/>
      <c r="K1131" s="40"/>
      <c r="L1131" s="40"/>
      <c r="M1131" s="41"/>
      <c r="N1131" s="39" t="s">
        <v>2335</v>
      </c>
      <c r="O1131" s="46" t="b">
        <f aca="false">FALSE()</f>
        <v>0</v>
      </c>
      <c r="P1131" s="20"/>
      <c r="Q1131" s="45" t="n">
        <v>0</v>
      </c>
      <c r="R1131" s="20"/>
      <c r="S1131" s="20"/>
    </row>
    <row r="1132" customFormat="false" ht="15.75" hidden="false" customHeight="false" outlineLevel="0" collapsed="false">
      <c r="A1132" s="39"/>
      <c r="B1132" s="44"/>
      <c r="C1132" s="39"/>
      <c r="D1132" s="39"/>
      <c r="E1132" s="39"/>
      <c r="F1132" s="45"/>
      <c r="G1132" s="40"/>
      <c r="H1132" s="39"/>
      <c r="I1132" s="39" t="str">
        <f aca="false">IF(ISBLANK(H1132),"", IF($H$2:$H2631 = "Gohar Rehan","Overnight",IF($H$2:$H2631 = "Taufeeq Akhtar ","Overnight",IF($H$2:$H2631 = "Zeeshan Ali Malik","Audit",IF($H$2:$H2631 = "Ali Raza ","Receiving",IF($H$2:$H2631 = "Ali Ahmad","Full-In"))))))</f>
        <v/>
      </c>
      <c r="J1132" s="29"/>
      <c r="K1132" s="40"/>
      <c r="L1132" s="40"/>
      <c r="M1132" s="41"/>
      <c r="N1132" s="39" t="s">
        <v>2335</v>
      </c>
      <c r="O1132" s="46" t="b">
        <f aca="false">FALSE()</f>
        <v>0</v>
      </c>
      <c r="P1132" s="20"/>
      <c r="Q1132" s="45" t="n">
        <v>0</v>
      </c>
      <c r="R1132" s="20"/>
      <c r="S1132" s="20"/>
    </row>
    <row r="1133" customFormat="false" ht="15.75" hidden="false" customHeight="false" outlineLevel="0" collapsed="false">
      <c r="A1133" s="39"/>
      <c r="B1133" s="44"/>
      <c r="C1133" s="39"/>
      <c r="D1133" s="39"/>
      <c r="E1133" s="39"/>
      <c r="F1133" s="45"/>
      <c r="G1133" s="40"/>
      <c r="H1133" s="39"/>
      <c r="I1133" s="39" t="str">
        <f aca="false">IF(ISBLANK(H1133),"", IF($H$2:$H2632 = "Gohar Rehan","Overnight",IF($H$2:$H2632 = "Taufeeq Akhtar ","Overnight",IF($H$2:$H2632 = "Zeeshan Ali Malik","Audit",IF($H$2:$H2632 = "Ali Raza ","Receiving",IF($H$2:$H2632 = "Ali Ahmad","Full-In"))))))</f>
        <v/>
      </c>
      <c r="J1133" s="29"/>
      <c r="K1133" s="40"/>
      <c r="L1133" s="40"/>
      <c r="M1133" s="41"/>
      <c r="N1133" s="39" t="s">
        <v>2335</v>
      </c>
      <c r="O1133" s="46" t="b">
        <f aca="false">FALSE()</f>
        <v>0</v>
      </c>
      <c r="P1133" s="20"/>
      <c r="Q1133" s="45" t="n">
        <v>0</v>
      </c>
      <c r="R1133" s="20"/>
      <c r="S1133" s="20"/>
    </row>
    <row r="1134" customFormat="false" ht="15.75" hidden="false" customHeight="false" outlineLevel="0" collapsed="false">
      <c r="A1134" s="39"/>
      <c r="B1134" s="44"/>
      <c r="C1134" s="39"/>
      <c r="D1134" s="39"/>
      <c r="E1134" s="39"/>
      <c r="F1134" s="45"/>
      <c r="G1134" s="40"/>
      <c r="H1134" s="39"/>
      <c r="I1134" s="39" t="str">
        <f aca="false">IF(ISBLANK(H1134),"", IF($H$2:$H2633 = "Gohar Rehan","Overnight",IF($H$2:$H2633 = "Taufeeq Akhtar ","Overnight",IF($H$2:$H2633 = "Zeeshan Ali Malik","Audit",IF($H$2:$H2633 = "Ali Raza ","Receiving",IF($H$2:$H2633 = "Ali Ahmad","Full-In"))))))</f>
        <v/>
      </c>
      <c r="J1134" s="29"/>
      <c r="K1134" s="40"/>
      <c r="L1134" s="40"/>
      <c r="M1134" s="41"/>
      <c r="N1134" s="39" t="s">
        <v>2335</v>
      </c>
      <c r="O1134" s="46" t="b">
        <f aca="false">FALSE()</f>
        <v>0</v>
      </c>
      <c r="P1134" s="20"/>
      <c r="Q1134" s="45" t="n">
        <v>0</v>
      </c>
      <c r="R1134" s="20"/>
      <c r="S1134" s="20"/>
    </row>
    <row r="1135" customFormat="false" ht="15.75" hidden="false" customHeight="false" outlineLevel="0" collapsed="false">
      <c r="A1135" s="39"/>
      <c r="B1135" s="44"/>
      <c r="C1135" s="39"/>
      <c r="D1135" s="39"/>
      <c r="E1135" s="39"/>
      <c r="F1135" s="45"/>
      <c r="G1135" s="40"/>
      <c r="H1135" s="39"/>
      <c r="I1135" s="39" t="str">
        <f aca="false">IF(ISBLANK(H1135),"", IF($H$2:$H2634 = "Gohar Rehan","Overnight",IF($H$2:$H2634 = "Taufeeq Akhtar ","Overnight",IF($H$2:$H2634 = "Zeeshan Ali Malik","Audit",IF($H$2:$H2634 = "Ali Raza ","Receiving",IF($H$2:$H2634 = "Ali Ahmad","Full-In"))))))</f>
        <v/>
      </c>
      <c r="J1135" s="29"/>
      <c r="K1135" s="40"/>
      <c r="L1135" s="40"/>
      <c r="M1135" s="41"/>
      <c r="N1135" s="39" t="s">
        <v>2335</v>
      </c>
      <c r="O1135" s="46" t="b">
        <f aca="false">FALSE()</f>
        <v>0</v>
      </c>
      <c r="P1135" s="20"/>
      <c r="Q1135" s="45" t="n">
        <v>0</v>
      </c>
      <c r="R1135" s="20"/>
      <c r="S1135" s="20"/>
    </row>
    <row r="1136" customFormat="false" ht="15.75" hidden="false" customHeight="false" outlineLevel="0" collapsed="false">
      <c r="A1136" s="39"/>
      <c r="B1136" s="44"/>
      <c r="C1136" s="39"/>
      <c r="D1136" s="39"/>
      <c r="E1136" s="39"/>
      <c r="F1136" s="45"/>
      <c r="G1136" s="40"/>
      <c r="H1136" s="39"/>
      <c r="I1136" s="39" t="str">
        <f aca="false">IF(ISBLANK(H1136),"", IF($H$2:$H2635 = "Gohar Rehan","Overnight",IF($H$2:$H2635 = "Taufeeq Akhtar ","Overnight",IF($H$2:$H2635 = "Zeeshan Ali Malik","Audit",IF($H$2:$H2635 = "Ali Raza ","Receiving",IF($H$2:$H2635 = "Ali Ahmad","Full-In"))))))</f>
        <v/>
      </c>
      <c r="J1136" s="29"/>
      <c r="K1136" s="40"/>
      <c r="L1136" s="40"/>
      <c r="M1136" s="41"/>
      <c r="N1136" s="39" t="s">
        <v>2335</v>
      </c>
      <c r="O1136" s="46" t="b">
        <f aca="false">FALSE()</f>
        <v>0</v>
      </c>
      <c r="P1136" s="20"/>
      <c r="Q1136" s="45" t="n">
        <v>0</v>
      </c>
      <c r="R1136" s="20"/>
      <c r="S1136" s="20"/>
    </row>
    <row r="1137" customFormat="false" ht="15.75" hidden="false" customHeight="false" outlineLevel="0" collapsed="false">
      <c r="A1137" s="39"/>
      <c r="B1137" s="44"/>
      <c r="C1137" s="39"/>
      <c r="D1137" s="39"/>
      <c r="E1137" s="39"/>
      <c r="F1137" s="45"/>
      <c r="G1137" s="40"/>
      <c r="H1137" s="39"/>
      <c r="I1137" s="39" t="str">
        <f aca="false">IF(ISBLANK(H1137),"", IF($H$2:$H2636 = "Gohar Rehan","Overnight",IF($H$2:$H2636 = "Taufeeq Akhtar ","Overnight",IF($H$2:$H2636 = "Zeeshan Ali Malik","Audit",IF($H$2:$H2636 = "Ali Raza ","Receiving",IF($H$2:$H2636 = "Ali Ahmad","Full-In"))))))</f>
        <v/>
      </c>
      <c r="J1137" s="29"/>
      <c r="K1137" s="40"/>
      <c r="L1137" s="40"/>
      <c r="M1137" s="41"/>
      <c r="N1137" s="39" t="s">
        <v>2335</v>
      </c>
      <c r="O1137" s="46" t="b">
        <f aca="false">FALSE()</f>
        <v>0</v>
      </c>
      <c r="P1137" s="20"/>
      <c r="Q1137" s="45" t="n">
        <v>0</v>
      </c>
      <c r="R1137" s="20"/>
      <c r="S1137" s="20"/>
    </row>
    <row r="1138" customFormat="false" ht="15.75" hidden="false" customHeight="false" outlineLevel="0" collapsed="false">
      <c r="A1138" s="39"/>
      <c r="B1138" s="44"/>
      <c r="C1138" s="39"/>
      <c r="D1138" s="39"/>
      <c r="E1138" s="39"/>
      <c r="F1138" s="45"/>
      <c r="G1138" s="40"/>
      <c r="H1138" s="39"/>
      <c r="I1138" s="39" t="str">
        <f aca="false">IF(ISBLANK(H1138),"", IF($H$2:$H2637 = "Gohar Rehan","Overnight",IF($H$2:$H2637 = "Taufeeq Akhtar ","Overnight",IF($H$2:$H2637 = "Zeeshan Ali Malik","Audit",IF($H$2:$H2637 = "Ali Raza ","Receiving",IF($H$2:$H2637 = "Ali Ahmad","Full-In"))))))</f>
        <v/>
      </c>
      <c r="J1138" s="29"/>
      <c r="K1138" s="40"/>
      <c r="L1138" s="40"/>
      <c r="M1138" s="41"/>
      <c r="N1138" s="39" t="s">
        <v>2335</v>
      </c>
      <c r="O1138" s="46" t="b">
        <f aca="false">FALSE()</f>
        <v>0</v>
      </c>
      <c r="P1138" s="20"/>
      <c r="Q1138" s="45" t="n">
        <v>0</v>
      </c>
      <c r="R1138" s="20"/>
      <c r="S1138" s="20"/>
    </row>
    <row r="1139" customFormat="false" ht="15.75" hidden="false" customHeight="false" outlineLevel="0" collapsed="false">
      <c r="A1139" s="39"/>
      <c r="B1139" s="44"/>
      <c r="C1139" s="39"/>
      <c r="D1139" s="39"/>
      <c r="E1139" s="39"/>
      <c r="F1139" s="45"/>
      <c r="G1139" s="40"/>
      <c r="H1139" s="39"/>
      <c r="I1139" s="39" t="str">
        <f aca="false">IF(ISBLANK(H1139),"", IF($H$2:$H2638 = "Gohar Rehan","Overnight",IF($H$2:$H2638 = "Taufeeq Akhtar ","Overnight",IF($H$2:$H2638 = "Zeeshan Ali Malik","Audit",IF($H$2:$H2638 = "Ali Raza ","Receiving",IF($H$2:$H2638 = "Ali Ahmad","Full-In"))))))</f>
        <v/>
      </c>
      <c r="J1139" s="29"/>
      <c r="K1139" s="40"/>
      <c r="L1139" s="40"/>
      <c r="M1139" s="41"/>
      <c r="N1139" s="39" t="s">
        <v>2335</v>
      </c>
      <c r="O1139" s="46" t="b">
        <f aca="false">FALSE()</f>
        <v>0</v>
      </c>
      <c r="P1139" s="20"/>
      <c r="Q1139" s="45" t="n">
        <v>0</v>
      </c>
      <c r="R1139" s="20"/>
      <c r="S1139" s="20"/>
    </row>
    <row r="1140" customFormat="false" ht="15.75" hidden="false" customHeight="false" outlineLevel="0" collapsed="false">
      <c r="A1140" s="39"/>
      <c r="B1140" s="44"/>
      <c r="C1140" s="39"/>
      <c r="D1140" s="39"/>
      <c r="E1140" s="39"/>
      <c r="F1140" s="45"/>
      <c r="G1140" s="40"/>
      <c r="H1140" s="39"/>
      <c r="I1140" s="39" t="str">
        <f aca="false">IF(ISBLANK(H1140),"", IF($H$2:$H2639 = "Gohar Rehan","Overnight",IF($H$2:$H2639 = "Taufeeq Akhtar ","Overnight",IF($H$2:$H2639 = "Zeeshan Ali Malik","Audit",IF($H$2:$H2639 = "Ali Raza ","Receiving",IF($H$2:$H2639 = "Ali Ahmad","Full-In"))))))</f>
        <v/>
      </c>
      <c r="J1140" s="29"/>
      <c r="K1140" s="40"/>
      <c r="L1140" s="40"/>
      <c r="M1140" s="41"/>
      <c r="N1140" s="39" t="s">
        <v>2335</v>
      </c>
      <c r="O1140" s="46" t="b">
        <f aca="false">FALSE()</f>
        <v>0</v>
      </c>
      <c r="P1140" s="20"/>
      <c r="Q1140" s="45" t="n">
        <v>0</v>
      </c>
      <c r="R1140" s="20"/>
      <c r="S1140" s="20"/>
    </row>
    <row r="1141" customFormat="false" ht="15.75" hidden="false" customHeight="false" outlineLevel="0" collapsed="false">
      <c r="A1141" s="39"/>
      <c r="B1141" s="44"/>
      <c r="C1141" s="39"/>
      <c r="D1141" s="39"/>
      <c r="E1141" s="39"/>
      <c r="F1141" s="45"/>
      <c r="G1141" s="40"/>
      <c r="H1141" s="39"/>
      <c r="I1141" s="39" t="str">
        <f aca="false">IF(ISBLANK(H1141),"", IF($H$2:$H2640 = "Gohar Rehan","Overnight",IF($H$2:$H2640 = "Taufeeq Akhtar ","Overnight",IF($H$2:$H2640 = "Zeeshan Ali Malik","Audit",IF($H$2:$H2640 = "Ali Raza ","Receiving",IF($H$2:$H2640 = "Ali Ahmad","Full-In"))))))</f>
        <v/>
      </c>
      <c r="J1141" s="29"/>
      <c r="K1141" s="40"/>
      <c r="L1141" s="40"/>
      <c r="M1141" s="41"/>
      <c r="N1141" s="39" t="s">
        <v>2335</v>
      </c>
      <c r="O1141" s="46" t="b">
        <f aca="false">FALSE()</f>
        <v>0</v>
      </c>
      <c r="P1141" s="20"/>
      <c r="Q1141" s="45" t="n">
        <v>0</v>
      </c>
      <c r="R1141" s="20"/>
      <c r="S1141" s="20"/>
    </row>
    <row r="1142" customFormat="false" ht="15.75" hidden="false" customHeight="false" outlineLevel="0" collapsed="false">
      <c r="A1142" s="39"/>
      <c r="B1142" s="44"/>
      <c r="C1142" s="39"/>
      <c r="D1142" s="39"/>
      <c r="E1142" s="39"/>
      <c r="F1142" s="45"/>
      <c r="G1142" s="40"/>
      <c r="H1142" s="39"/>
      <c r="I1142" s="39" t="str">
        <f aca="false">IF(ISBLANK(H1142),"", IF($H$2:$H2641 = "Gohar Rehan","Overnight",IF($H$2:$H2641 = "Taufeeq Akhtar ","Overnight",IF($H$2:$H2641 = "Zeeshan Ali Malik","Audit",IF($H$2:$H2641 = "Ali Raza ","Receiving",IF($H$2:$H2641 = "Ali Ahmad","Full-In"))))))</f>
        <v/>
      </c>
      <c r="J1142" s="29"/>
      <c r="K1142" s="40"/>
      <c r="L1142" s="40"/>
      <c r="M1142" s="41"/>
      <c r="N1142" s="39" t="s">
        <v>2335</v>
      </c>
      <c r="O1142" s="46" t="b">
        <f aca="false">FALSE()</f>
        <v>0</v>
      </c>
      <c r="P1142" s="20"/>
      <c r="Q1142" s="45" t="n">
        <v>0</v>
      </c>
      <c r="R1142" s="20"/>
      <c r="S1142" s="20"/>
    </row>
    <row r="1143" customFormat="false" ht="15.75" hidden="false" customHeight="false" outlineLevel="0" collapsed="false">
      <c r="A1143" s="39"/>
      <c r="B1143" s="44"/>
      <c r="C1143" s="39"/>
      <c r="D1143" s="39"/>
      <c r="E1143" s="39"/>
      <c r="F1143" s="45"/>
      <c r="G1143" s="40"/>
      <c r="H1143" s="39"/>
      <c r="I1143" s="39" t="str">
        <f aca="false">IF(ISBLANK(H1143),"", IF($H$2:$H2642 = "Gohar Rehan","Overnight",IF($H$2:$H2642 = "Taufeeq Akhtar ","Overnight",IF($H$2:$H2642 = "Zeeshan Ali Malik","Audit",IF($H$2:$H2642 = "Ali Raza ","Receiving",IF($H$2:$H2642 = "Ali Ahmad","Full-In"))))))</f>
        <v/>
      </c>
      <c r="J1143" s="29"/>
      <c r="K1143" s="40"/>
      <c r="L1143" s="40"/>
      <c r="M1143" s="41"/>
      <c r="N1143" s="39" t="s">
        <v>2335</v>
      </c>
      <c r="O1143" s="46" t="b">
        <f aca="false">FALSE()</f>
        <v>0</v>
      </c>
      <c r="P1143" s="20"/>
      <c r="Q1143" s="45" t="n">
        <v>0</v>
      </c>
      <c r="R1143" s="20"/>
      <c r="S1143" s="20"/>
    </row>
    <row r="1144" customFormat="false" ht="15.75" hidden="false" customHeight="false" outlineLevel="0" collapsed="false">
      <c r="A1144" s="39"/>
      <c r="B1144" s="44"/>
      <c r="C1144" s="39"/>
      <c r="D1144" s="39"/>
      <c r="E1144" s="39"/>
      <c r="F1144" s="45"/>
      <c r="G1144" s="40"/>
      <c r="H1144" s="39"/>
      <c r="I1144" s="39" t="str">
        <f aca="false">IF(ISBLANK(H1144),"", IF($H$2:$H2643 = "Gohar Rehan","Overnight",IF($H$2:$H2643 = "Taufeeq Akhtar ","Overnight",IF($H$2:$H2643 = "Zeeshan Ali Malik","Audit",IF($H$2:$H2643 = "Ali Raza ","Receiving",IF($H$2:$H2643 = "Ali Ahmad","Full-In"))))))</f>
        <v/>
      </c>
      <c r="J1144" s="29"/>
      <c r="K1144" s="40"/>
      <c r="L1144" s="40"/>
      <c r="M1144" s="41"/>
      <c r="N1144" s="39" t="s">
        <v>2335</v>
      </c>
      <c r="O1144" s="46" t="b">
        <f aca="false">FALSE()</f>
        <v>0</v>
      </c>
      <c r="P1144" s="20"/>
      <c r="Q1144" s="45" t="n">
        <v>0</v>
      </c>
      <c r="R1144" s="20"/>
      <c r="S1144" s="20"/>
    </row>
    <row r="1145" customFormat="false" ht="15.75" hidden="false" customHeight="false" outlineLevel="0" collapsed="false">
      <c r="A1145" s="39"/>
      <c r="B1145" s="44"/>
      <c r="C1145" s="39"/>
      <c r="D1145" s="39"/>
      <c r="E1145" s="39"/>
      <c r="F1145" s="45"/>
      <c r="G1145" s="40"/>
      <c r="H1145" s="39"/>
      <c r="I1145" s="39" t="str">
        <f aca="false">IF(ISBLANK(H1145),"", IF($H$2:$H2644 = "Gohar Rehan","Overnight",IF($H$2:$H2644 = "Taufeeq Akhtar ","Overnight",IF($H$2:$H2644 = "Zeeshan Ali Malik","Audit",IF($H$2:$H2644 = "Ali Raza ","Receiving",IF($H$2:$H2644 = "Ali Ahmad","Full-In"))))))</f>
        <v/>
      </c>
      <c r="J1145" s="29"/>
      <c r="K1145" s="40"/>
      <c r="L1145" s="40"/>
      <c r="M1145" s="41"/>
      <c r="N1145" s="39" t="s">
        <v>2335</v>
      </c>
      <c r="O1145" s="46" t="b">
        <f aca="false">FALSE()</f>
        <v>0</v>
      </c>
      <c r="P1145" s="20"/>
      <c r="Q1145" s="45" t="n">
        <v>0</v>
      </c>
      <c r="R1145" s="20"/>
      <c r="S1145" s="20"/>
    </row>
    <row r="1146" customFormat="false" ht="15.75" hidden="false" customHeight="false" outlineLevel="0" collapsed="false">
      <c r="A1146" s="39"/>
      <c r="B1146" s="44"/>
      <c r="C1146" s="39"/>
      <c r="D1146" s="39"/>
      <c r="E1146" s="39"/>
      <c r="F1146" s="45"/>
      <c r="G1146" s="40"/>
      <c r="H1146" s="39"/>
      <c r="I1146" s="39" t="str">
        <f aca="false">IF(ISBLANK(H1146),"", IF($H$2:$H2645 = "Gohar Rehan","Overnight",IF($H$2:$H2645 = "Taufeeq Akhtar ","Overnight",IF($H$2:$H2645 = "Zeeshan Ali Malik","Audit",IF($H$2:$H2645 = "Ali Raza ","Receiving",IF($H$2:$H2645 = "Ali Ahmad","Full-In"))))))</f>
        <v/>
      </c>
      <c r="J1146" s="29"/>
      <c r="K1146" s="40"/>
      <c r="L1146" s="40"/>
      <c r="M1146" s="41"/>
      <c r="N1146" s="39" t="s">
        <v>2335</v>
      </c>
      <c r="O1146" s="46" t="b">
        <f aca="false">FALSE()</f>
        <v>0</v>
      </c>
      <c r="P1146" s="20"/>
      <c r="Q1146" s="45" t="n">
        <v>0</v>
      </c>
      <c r="R1146" s="20"/>
      <c r="S1146" s="20"/>
    </row>
    <row r="1147" customFormat="false" ht="15.75" hidden="false" customHeight="false" outlineLevel="0" collapsed="false">
      <c r="A1147" s="39"/>
      <c r="B1147" s="44"/>
      <c r="C1147" s="39"/>
      <c r="D1147" s="39"/>
      <c r="E1147" s="39"/>
      <c r="F1147" s="45"/>
      <c r="G1147" s="40"/>
      <c r="H1147" s="39"/>
      <c r="I1147" s="39" t="str">
        <f aca="false">IF(ISBLANK(H1147),"", IF($H$2:$H2646 = "Gohar Rehan","Overnight",IF($H$2:$H2646 = "Taufeeq Akhtar ","Overnight",IF($H$2:$H2646 = "Zeeshan Ali Malik","Audit",IF($H$2:$H2646 = "Ali Raza ","Receiving",IF($H$2:$H2646 = "Ali Ahmad","Full-In"))))))</f>
        <v/>
      </c>
      <c r="J1147" s="29"/>
      <c r="K1147" s="40"/>
      <c r="L1147" s="40"/>
      <c r="M1147" s="41"/>
      <c r="N1147" s="39" t="s">
        <v>2335</v>
      </c>
      <c r="O1147" s="46" t="b">
        <f aca="false">FALSE()</f>
        <v>0</v>
      </c>
      <c r="P1147" s="20"/>
      <c r="Q1147" s="45" t="n">
        <v>0</v>
      </c>
      <c r="R1147" s="20"/>
      <c r="S1147" s="20"/>
    </row>
    <row r="1148" customFormat="false" ht="15.75" hidden="false" customHeight="false" outlineLevel="0" collapsed="false">
      <c r="A1148" s="39"/>
      <c r="B1148" s="44"/>
      <c r="C1148" s="39"/>
      <c r="D1148" s="39"/>
      <c r="E1148" s="39"/>
      <c r="F1148" s="45"/>
      <c r="G1148" s="40"/>
      <c r="H1148" s="39"/>
      <c r="I1148" s="39" t="str">
        <f aca="false">IF(ISBLANK(H1148),"", IF($H$2:$H2647 = "Gohar Rehan","Overnight",IF($H$2:$H2647 = "Taufeeq Akhtar ","Overnight",IF($H$2:$H2647 = "Zeeshan Ali Malik","Audit",IF($H$2:$H2647 = "Ali Raza ","Receiving",IF($H$2:$H2647 = "Ali Ahmad","Full-In"))))))</f>
        <v/>
      </c>
      <c r="J1148" s="29"/>
      <c r="K1148" s="40"/>
      <c r="L1148" s="40"/>
      <c r="M1148" s="41"/>
      <c r="N1148" s="39" t="s">
        <v>2335</v>
      </c>
      <c r="O1148" s="46" t="b">
        <f aca="false">FALSE()</f>
        <v>0</v>
      </c>
      <c r="P1148" s="20"/>
      <c r="Q1148" s="45" t="n">
        <v>0</v>
      </c>
      <c r="R1148" s="20"/>
      <c r="S1148" s="20"/>
    </row>
    <row r="1149" customFormat="false" ht="15.75" hidden="false" customHeight="false" outlineLevel="0" collapsed="false">
      <c r="A1149" s="39"/>
      <c r="B1149" s="44"/>
      <c r="C1149" s="39"/>
      <c r="D1149" s="39"/>
      <c r="E1149" s="39"/>
      <c r="F1149" s="45"/>
      <c r="G1149" s="40"/>
      <c r="H1149" s="39"/>
      <c r="I1149" s="39" t="str">
        <f aca="false">IF(ISBLANK(H1149),"", IF($H$2:$H2648 = "Gohar Rehan","Overnight",IF($H$2:$H2648 = "Taufeeq Akhtar ","Overnight",IF($H$2:$H2648 = "Zeeshan Ali Malik","Audit",IF($H$2:$H2648 = "Ali Raza ","Receiving",IF($H$2:$H2648 = "Ali Ahmad","Full-In"))))))</f>
        <v/>
      </c>
      <c r="J1149" s="29"/>
      <c r="K1149" s="40"/>
      <c r="L1149" s="40"/>
      <c r="M1149" s="41"/>
      <c r="N1149" s="39" t="s">
        <v>2335</v>
      </c>
      <c r="O1149" s="46" t="b">
        <f aca="false">FALSE()</f>
        <v>0</v>
      </c>
      <c r="P1149" s="20"/>
      <c r="Q1149" s="45" t="n">
        <v>0</v>
      </c>
      <c r="R1149" s="20"/>
      <c r="S1149" s="20"/>
    </row>
    <row r="1150" customFormat="false" ht="15.75" hidden="false" customHeight="false" outlineLevel="0" collapsed="false">
      <c r="A1150" s="39"/>
      <c r="B1150" s="44"/>
      <c r="C1150" s="39"/>
      <c r="D1150" s="39"/>
      <c r="E1150" s="39"/>
      <c r="F1150" s="45"/>
      <c r="G1150" s="40"/>
      <c r="H1150" s="39"/>
      <c r="I1150" s="39" t="str">
        <f aca="false">IF(ISBLANK(H1150),"", IF($H$2:$H2649 = "Gohar Rehan","Overnight",IF($H$2:$H2649 = "Taufeeq Akhtar ","Overnight",IF($H$2:$H2649 = "Zeeshan Ali Malik","Audit",IF($H$2:$H2649 = "Ali Raza ","Receiving",IF($H$2:$H2649 = "Ali Ahmad","Full-In"))))))</f>
        <v/>
      </c>
      <c r="J1150" s="29"/>
      <c r="K1150" s="40"/>
      <c r="L1150" s="40"/>
      <c r="M1150" s="41"/>
      <c r="N1150" s="39" t="s">
        <v>2335</v>
      </c>
      <c r="O1150" s="46" t="b">
        <f aca="false">FALSE()</f>
        <v>0</v>
      </c>
      <c r="P1150" s="20"/>
      <c r="Q1150" s="45" t="n">
        <v>0</v>
      </c>
      <c r="R1150" s="20"/>
      <c r="S1150" s="20"/>
    </row>
    <row r="1151" customFormat="false" ht="15.75" hidden="false" customHeight="false" outlineLevel="0" collapsed="false">
      <c r="A1151" s="39"/>
      <c r="B1151" s="44"/>
      <c r="C1151" s="39"/>
      <c r="D1151" s="39"/>
      <c r="E1151" s="39"/>
      <c r="F1151" s="45"/>
      <c r="G1151" s="40"/>
      <c r="H1151" s="39"/>
      <c r="I1151" s="39" t="str">
        <f aca="false">IF(ISBLANK(H1151),"", IF($H$2:$H2650 = "Gohar Rehan","Overnight",IF($H$2:$H2650 = "Taufeeq Akhtar ","Overnight",IF($H$2:$H2650 = "Zeeshan Ali Malik","Audit",IF($H$2:$H2650 = "Ali Raza ","Receiving",IF($H$2:$H2650 = "Ali Ahmad","Full-In"))))))</f>
        <v/>
      </c>
      <c r="J1151" s="29"/>
      <c r="K1151" s="40"/>
      <c r="L1151" s="40"/>
      <c r="M1151" s="41"/>
      <c r="N1151" s="39" t="s">
        <v>2335</v>
      </c>
      <c r="O1151" s="46" t="b">
        <f aca="false">FALSE()</f>
        <v>0</v>
      </c>
      <c r="P1151" s="20"/>
      <c r="Q1151" s="45" t="n">
        <v>0</v>
      </c>
      <c r="R1151" s="20"/>
      <c r="S1151" s="20"/>
    </row>
    <row r="1152" customFormat="false" ht="15.75" hidden="false" customHeight="false" outlineLevel="0" collapsed="false">
      <c r="A1152" s="39"/>
      <c r="B1152" s="44"/>
      <c r="C1152" s="39"/>
      <c r="D1152" s="39"/>
      <c r="E1152" s="39"/>
      <c r="F1152" s="45"/>
      <c r="G1152" s="40"/>
      <c r="H1152" s="39"/>
      <c r="I1152" s="39" t="str">
        <f aca="false">IF(ISBLANK(H1152),"", IF($H$2:$H2651 = "Gohar Rehan","Overnight",IF($H$2:$H2651 = "Taufeeq Akhtar ","Overnight",IF($H$2:$H2651 = "Zeeshan Ali Malik","Audit",IF($H$2:$H2651 = "Ali Raza ","Receiving",IF($H$2:$H2651 = "Ali Ahmad","Full-In"))))))</f>
        <v/>
      </c>
      <c r="J1152" s="29"/>
      <c r="K1152" s="40"/>
      <c r="L1152" s="40"/>
      <c r="M1152" s="41"/>
      <c r="N1152" s="39" t="s">
        <v>2335</v>
      </c>
      <c r="O1152" s="46" t="b">
        <f aca="false">FALSE()</f>
        <v>0</v>
      </c>
      <c r="P1152" s="20"/>
      <c r="Q1152" s="45" t="n">
        <v>0</v>
      </c>
      <c r="R1152" s="20"/>
      <c r="S1152" s="20"/>
    </row>
    <row r="1153" customFormat="false" ht="15.75" hidden="false" customHeight="false" outlineLevel="0" collapsed="false">
      <c r="A1153" s="39"/>
      <c r="B1153" s="44"/>
      <c r="C1153" s="39"/>
      <c r="D1153" s="39"/>
      <c r="E1153" s="39"/>
      <c r="F1153" s="45"/>
      <c r="G1153" s="40"/>
      <c r="H1153" s="39"/>
      <c r="I1153" s="39" t="str">
        <f aca="false">IF(ISBLANK(H1153),"", IF($H$2:$H2652 = "Gohar Rehan","Overnight",IF($H$2:$H2652 = "Taufeeq Akhtar ","Overnight",IF($H$2:$H2652 = "Zeeshan Ali Malik","Audit",IF($H$2:$H2652 = "Ali Raza ","Receiving",IF($H$2:$H2652 = "Ali Ahmad","Full-In"))))))</f>
        <v/>
      </c>
      <c r="J1153" s="29"/>
      <c r="K1153" s="40"/>
      <c r="L1153" s="40"/>
      <c r="M1153" s="41"/>
      <c r="N1153" s="39" t="s">
        <v>2335</v>
      </c>
      <c r="O1153" s="46" t="b">
        <f aca="false">FALSE()</f>
        <v>0</v>
      </c>
      <c r="P1153" s="20"/>
      <c r="Q1153" s="45" t="n">
        <v>0</v>
      </c>
      <c r="R1153" s="20"/>
      <c r="S1153" s="20"/>
    </row>
    <row r="1154" customFormat="false" ht="15.75" hidden="false" customHeight="false" outlineLevel="0" collapsed="false">
      <c r="A1154" s="39"/>
      <c r="B1154" s="44"/>
      <c r="C1154" s="39"/>
      <c r="D1154" s="39"/>
      <c r="E1154" s="39"/>
      <c r="F1154" s="45"/>
      <c r="G1154" s="40"/>
      <c r="H1154" s="39"/>
      <c r="I1154" s="39" t="str">
        <f aca="false">IF(ISBLANK(H1154),"", IF($H$2:$H2653 = "Gohar Rehan","Overnight",IF($H$2:$H2653 = "Taufeeq Akhtar ","Overnight",IF($H$2:$H2653 = "Zeeshan Ali Malik","Audit",IF($H$2:$H2653 = "Ali Raza ","Receiving",IF($H$2:$H2653 = "Ali Ahmad","Full-In"))))))</f>
        <v/>
      </c>
      <c r="J1154" s="29"/>
      <c r="K1154" s="40"/>
      <c r="L1154" s="40"/>
      <c r="M1154" s="41"/>
      <c r="N1154" s="39" t="s">
        <v>2335</v>
      </c>
      <c r="O1154" s="46" t="b">
        <f aca="false">FALSE()</f>
        <v>0</v>
      </c>
      <c r="P1154" s="20"/>
      <c r="Q1154" s="45" t="n">
        <v>0</v>
      </c>
      <c r="R1154" s="20"/>
      <c r="S1154" s="20"/>
    </row>
    <row r="1155" customFormat="false" ht="15.75" hidden="false" customHeight="false" outlineLevel="0" collapsed="false">
      <c r="A1155" s="39"/>
      <c r="B1155" s="44"/>
      <c r="C1155" s="39"/>
      <c r="D1155" s="39"/>
      <c r="E1155" s="39"/>
      <c r="F1155" s="45"/>
      <c r="G1155" s="40"/>
      <c r="H1155" s="39"/>
      <c r="I1155" s="39" t="str">
        <f aca="false">IF(ISBLANK(H1155),"", IF($H$2:$H2654 = "Gohar Rehan","Overnight",IF($H$2:$H2654 = "Taufeeq Akhtar ","Overnight",IF($H$2:$H2654 = "Zeeshan Ali Malik","Audit",IF($H$2:$H2654 = "Ali Raza ","Receiving",IF($H$2:$H2654 = "Ali Ahmad","Full-In"))))))</f>
        <v/>
      </c>
      <c r="J1155" s="29"/>
      <c r="K1155" s="40"/>
      <c r="L1155" s="40"/>
      <c r="M1155" s="41"/>
      <c r="N1155" s="39" t="s">
        <v>2335</v>
      </c>
      <c r="O1155" s="46" t="b">
        <f aca="false">FALSE()</f>
        <v>0</v>
      </c>
      <c r="P1155" s="20"/>
      <c r="Q1155" s="45" t="n">
        <v>0</v>
      </c>
      <c r="R1155" s="20"/>
      <c r="S1155" s="20"/>
    </row>
    <row r="1156" customFormat="false" ht="15.75" hidden="false" customHeight="false" outlineLevel="0" collapsed="false">
      <c r="A1156" s="39"/>
      <c r="B1156" s="44"/>
      <c r="C1156" s="39"/>
      <c r="D1156" s="39"/>
      <c r="E1156" s="39"/>
      <c r="F1156" s="45"/>
      <c r="G1156" s="40"/>
      <c r="H1156" s="39"/>
      <c r="I1156" s="39" t="str">
        <f aca="false">IF(ISBLANK(H1156),"", IF($H$2:$H2655 = "Gohar Rehan","Overnight",IF($H$2:$H2655 = "Taufeeq Akhtar ","Overnight",IF($H$2:$H2655 = "Zeeshan Ali Malik","Audit",IF($H$2:$H2655 = "Ali Raza ","Receiving",IF($H$2:$H2655 = "Ali Ahmad","Full-In"))))))</f>
        <v/>
      </c>
      <c r="J1156" s="29"/>
      <c r="K1156" s="40"/>
      <c r="L1156" s="40"/>
      <c r="M1156" s="41"/>
      <c r="N1156" s="39" t="s">
        <v>2335</v>
      </c>
      <c r="O1156" s="46" t="b">
        <f aca="false">FALSE()</f>
        <v>0</v>
      </c>
      <c r="P1156" s="20"/>
      <c r="Q1156" s="45" t="n">
        <v>0</v>
      </c>
      <c r="R1156" s="20"/>
      <c r="S1156" s="20"/>
    </row>
    <row r="1157" customFormat="false" ht="15.75" hidden="false" customHeight="false" outlineLevel="0" collapsed="false">
      <c r="A1157" s="39"/>
      <c r="B1157" s="44"/>
      <c r="C1157" s="39"/>
      <c r="D1157" s="39"/>
      <c r="E1157" s="39"/>
      <c r="F1157" s="45"/>
      <c r="G1157" s="40"/>
      <c r="H1157" s="39"/>
      <c r="I1157" s="39" t="str">
        <f aca="false">IF(ISBLANK(H1157),"", IF($H$2:$H2656 = "Gohar Rehan","Overnight",IF($H$2:$H2656 = "Taufeeq Akhtar ","Overnight",IF($H$2:$H2656 = "Zeeshan Ali Malik","Audit",IF($H$2:$H2656 = "Ali Raza ","Receiving",IF($H$2:$H2656 = "Ali Ahmad","Full-In"))))))</f>
        <v/>
      </c>
      <c r="J1157" s="29"/>
      <c r="K1157" s="40"/>
      <c r="L1157" s="40"/>
      <c r="M1157" s="41"/>
      <c r="N1157" s="39" t="s">
        <v>2335</v>
      </c>
      <c r="O1157" s="46" t="b">
        <f aca="false">FALSE()</f>
        <v>0</v>
      </c>
      <c r="P1157" s="20"/>
      <c r="Q1157" s="45" t="n">
        <v>0</v>
      </c>
      <c r="R1157" s="20"/>
      <c r="S1157" s="20"/>
    </row>
    <row r="1158" customFormat="false" ht="15.75" hidden="false" customHeight="false" outlineLevel="0" collapsed="false">
      <c r="A1158" s="39"/>
      <c r="B1158" s="44"/>
      <c r="C1158" s="39"/>
      <c r="D1158" s="39"/>
      <c r="E1158" s="39"/>
      <c r="F1158" s="45"/>
      <c r="G1158" s="40"/>
      <c r="H1158" s="39"/>
      <c r="I1158" s="39" t="str">
        <f aca="false">IF(ISBLANK(H1158),"", IF($H$2:$H2657 = "Gohar Rehan","Overnight",IF($H$2:$H2657 = "Taufeeq Akhtar ","Overnight",IF($H$2:$H2657 = "Zeeshan Ali Malik","Audit",IF($H$2:$H2657 = "Ali Raza ","Receiving",IF($H$2:$H2657 = "Ali Ahmad","Full-In"))))))</f>
        <v/>
      </c>
      <c r="J1158" s="29"/>
      <c r="K1158" s="40"/>
      <c r="L1158" s="40"/>
      <c r="M1158" s="41"/>
      <c r="N1158" s="39" t="s">
        <v>2335</v>
      </c>
      <c r="O1158" s="46" t="b">
        <f aca="false">FALSE()</f>
        <v>0</v>
      </c>
      <c r="P1158" s="20"/>
      <c r="Q1158" s="45" t="n">
        <v>0</v>
      </c>
      <c r="R1158" s="20"/>
      <c r="S1158" s="20"/>
    </row>
    <row r="1159" customFormat="false" ht="15.75" hidden="false" customHeight="false" outlineLevel="0" collapsed="false">
      <c r="A1159" s="39"/>
      <c r="B1159" s="44"/>
      <c r="C1159" s="39"/>
      <c r="D1159" s="39"/>
      <c r="E1159" s="39"/>
      <c r="F1159" s="45"/>
      <c r="G1159" s="40"/>
      <c r="H1159" s="39"/>
      <c r="I1159" s="39" t="str">
        <f aca="false">IF(ISBLANK(H1159),"", IF($H$2:$H2658 = "Gohar Rehan","Overnight",IF($H$2:$H2658 = "Taufeeq Akhtar ","Overnight",IF($H$2:$H2658 = "Zeeshan Ali Malik","Audit",IF($H$2:$H2658 = "Ali Raza ","Receiving",IF($H$2:$H2658 = "Ali Ahmad","Full-In"))))))</f>
        <v/>
      </c>
      <c r="J1159" s="29"/>
      <c r="K1159" s="40"/>
      <c r="L1159" s="40"/>
      <c r="M1159" s="41"/>
      <c r="N1159" s="39" t="s">
        <v>2335</v>
      </c>
      <c r="O1159" s="46" t="b">
        <f aca="false">FALSE()</f>
        <v>0</v>
      </c>
      <c r="P1159" s="20"/>
      <c r="Q1159" s="45" t="n">
        <v>0</v>
      </c>
      <c r="R1159" s="20"/>
      <c r="S1159" s="20"/>
    </row>
    <row r="1160" customFormat="false" ht="15.75" hidden="false" customHeight="false" outlineLevel="0" collapsed="false">
      <c r="A1160" s="39"/>
      <c r="B1160" s="44"/>
      <c r="C1160" s="39"/>
      <c r="D1160" s="39"/>
      <c r="E1160" s="39"/>
      <c r="F1160" s="45"/>
      <c r="G1160" s="40"/>
      <c r="H1160" s="39"/>
      <c r="I1160" s="39" t="str">
        <f aca="false">IF(ISBLANK(H1160),"", IF($H$2:$H2659 = "Gohar Rehan","Overnight",IF($H$2:$H2659 = "Taufeeq Akhtar ","Overnight",IF($H$2:$H2659 = "Zeeshan Ali Malik","Audit",IF($H$2:$H2659 = "Ali Raza ","Receiving",IF($H$2:$H2659 = "Ali Ahmad","Full-In"))))))</f>
        <v/>
      </c>
      <c r="J1160" s="29"/>
      <c r="K1160" s="40"/>
      <c r="L1160" s="40"/>
      <c r="M1160" s="41"/>
      <c r="N1160" s="39" t="s">
        <v>2335</v>
      </c>
      <c r="O1160" s="46" t="b">
        <f aca="false">FALSE()</f>
        <v>0</v>
      </c>
      <c r="P1160" s="20"/>
      <c r="Q1160" s="45" t="n">
        <v>0</v>
      </c>
      <c r="R1160" s="20"/>
      <c r="S1160" s="20"/>
    </row>
    <row r="1161" customFormat="false" ht="15.75" hidden="false" customHeight="false" outlineLevel="0" collapsed="false">
      <c r="A1161" s="39"/>
      <c r="B1161" s="44"/>
      <c r="C1161" s="39"/>
      <c r="D1161" s="39"/>
      <c r="E1161" s="39"/>
      <c r="F1161" s="45"/>
      <c r="G1161" s="40"/>
      <c r="H1161" s="39"/>
      <c r="I1161" s="39" t="str">
        <f aca="false">IF(ISBLANK(H1161),"", IF($H$2:$H2660 = "Gohar Rehan","Overnight",IF($H$2:$H2660 = "Taufeeq Akhtar ","Overnight",IF($H$2:$H2660 = "Zeeshan Ali Malik","Audit",IF($H$2:$H2660 = "Ali Raza ","Receiving",IF($H$2:$H2660 = "Ali Ahmad","Full-In"))))))</f>
        <v/>
      </c>
      <c r="J1161" s="29"/>
      <c r="K1161" s="40"/>
      <c r="L1161" s="40"/>
      <c r="M1161" s="41"/>
      <c r="N1161" s="39" t="s">
        <v>2335</v>
      </c>
      <c r="O1161" s="46" t="b">
        <f aca="false">FALSE()</f>
        <v>0</v>
      </c>
      <c r="P1161" s="20"/>
      <c r="Q1161" s="45" t="n">
        <v>0</v>
      </c>
      <c r="R1161" s="20"/>
      <c r="S1161" s="20"/>
    </row>
    <row r="1162" customFormat="false" ht="15.75" hidden="false" customHeight="false" outlineLevel="0" collapsed="false">
      <c r="A1162" s="39"/>
      <c r="B1162" s="44"/>
      <c r="C1162" s="39"/>
      <c r="D1162" s="39"/>
      <c r="E1162" s="39"/>
      <c r="F1162" s="45"/>
      <c r="G1162" s="40"/>
      <c r="H1162" s="39"/>
      <c r="I1162" s="39" t="str">
        <f aca="false">IF(ISBLANK(H1162),"", IF($H$2:$H2661 = "Gohar Rehan","Overnight",IF($H$2:$H2661 = "Taufeeq Akhtar ","Overnight",IF($H$2:$H2661 = "Zeeshan Ali Malik","Audit",IF($H$2:$H2661 = "Ali Raza ","Receiving",IF($H$2:$H2661 = "Ali Ahmad","Full-In"))))))</f>
        <v/>
      </c>
      <c r="J1162" s="29"/>
      <c r="K1162" s="40"/>
      <c r="L1162" s="40"/>
      <c r="M1162" s="41"/>
      <c r="N1162" s="39" t="s">
        <v>2335</v>
      </c>
      <c r="O1162" s="46" t="b">
        <f aca="false">FALSE()</f>
        <v>0</v>
      </c>
      <c r="P1162" s="20"/>
      <c r="Q1162" s="45" t="n">
        <v>0</v>
      </c>
      <c r="R1162" s="20"/>
      <c r="S1162" s="20"/>
    </row>
    <row r="1163" customFormat="false" ht="15.75" hidden="false" customHeight="false" outlineLevel="0" collapsed="false">
      <c r="A1163" s="39"/>
      <c r="B1163" s="44"/>
      <c r="C1163" s="39"/>
      <c r="D1163" s="39"/>
      <c r="E1163" s="39"/>
      <c r="F1163" s="45"/>
      <c r="G1163" s="40"/>
      <c r="H1163" s="39"/>
      <c r="I1163" s="39" t="str">
        <f aca="false">IF(ISBLANK(H1163),"", IF($H$2:$H2662 = "Gohar Rehan","Overnight",IF($H$2:$H2662 = "Taufeeq Akhtar ","Overnight",IF($H$2:$H2662 = "Zeeshan Ali Malik","Audit",IF($H$2:$H2662 = "Ali Raza ","Receiving",IF($H$2:$H2662 = "Ali Ahmad","Full-In"))))))</f>
        <v/>
      </c>
      <c r="J1163" s="29"/>
      <c r="K1163" s="40"/>
      <c r="L1163" s="40"/>
      <c r="M1163" s="41"/>
      <c r="N1163" s="39" t="s">
        <v>2335</v>
      </c>
      <c r="O1163" s="46" t="b">
        <f aca="false">FALSE()</f>
        <v>0</v>
      </c>
      <c r="P1163" s="20"/>
      <c r="Q1163" s="45" t="n">
        <v>0</v>
      </c>
      <c r="R1163" s="20"/>
      <c r="S1163" s="20"/>
    </row>
    <row r="1164" customFormat="false" ht="15.75" hidden="false" customHeight="false" outlineLevel="0" collapsed="false">
      <c r="A1164" s="39"/>
      <c r="B1164" s="44"/>
      <c r="C1164" s="39"/>
      <c r="D1164" s="39"/>
      <c r="E1164" s="39"/>
      <c r="F1164" s="45"/>
      <c r="G1164" s="40"/>
      <c r="H1164" s="39"/>
      <c r="I1164" s="39" t="str">
        <f aca="false">IF(ISBLANK(H1164),"", IF($H$2:$H2663 = "Gohar Rehan","Overnight",IF($H$2:$H2663 = "Taufeeq Akhtar ","Overnight",IF($H$2:$H2663 = "Zeeshan Ali Malik","Audit",IF($H$2:$H2663 = "Ali Raza ","Receiving",IF($H$2:$H2663 = "Ali Ahmad","Full-In"))))))</f>
        <v/>
      </c>
      <c r="J1164" s="29"/>
      <c r="K1164" s="40"/>
      <c r="L1164" s="40"/>
      <c r="M1164" s="41"/>
      <c r="N1164" s="39" t="s">
        <v>2335</v>
      </c>
      <c r="O1164" s="46" t="b">
        <f aca="false">FALSE()</f>
        <v>0</v>
      </c>
      <c r="P1164" s="20"/>
      <c r="Q1164" s="45" t="n">
        <v>0</v>
      </c>
      <c r="R1164" s="20"/>
      <c r="S1164" s="20"/>
    </row>
    <row r="1165" customFormat="false" ht="15.75" hidden="false" customHeight="false" outlineLevel="0" collapsed="false">
      <c r="A1165" s="39"/>
      <c r="B1165" s="44"/>
      <c r="C1165" s="39"/>
      <c r="D1165" s="39"/>
      <c r="E1165" s="39"/>
      <c r="F1165" s="45"/>
      <c r="G1165" s="40"/>
      <c r="H1165" s="39"/>
      <c r="I1165" s="39" t="str">
        <f aca="false">IF(ISBLANK(H1165),"", IF($H$2:$H2664 = "Gohar Rehan","Overnight",IF($H$2:$H2664 = "Taufeeq Akhtar ","Overnight",IF($H$2:$H2664 = "Zeeshan Ali Malik","Audit",IF($H$2:$H2664 = "Ali Raza ","Receiving",IF($H$2:$H2664 = "Ali Ahmad","Full-In"))))))</f>
        <v/>
      </c>
      <c r="J1165" s="29"/>
      <c r="K1165" s="40"/>
      <c r="L1165" s="40"/>
      <c r="M1165" s="41"/>
      <c r="N1165" s="39" t="s">
        <v>2335</v>
      </c>
      <c r="O1165" s="46" t="b">
        <f aca="false">FALSE()</f>
        <v>0</v>
      </c>
      <c r="P1165" s="20"/>
      <c r="Q1165" s="45" t="n">
        <v>0</v>
      </c>
      <c r="R1165" s="20"/>
      <c r="S1165" s="20"/>
    </row>
    <row r="1166" customFormat="false" ht="15.75" hidden="false" customHeight="false" outlineLevel="0" collapsed="false">
      <c r="A1166" s="39"/>
      <c r="B1166" s="44"/>
      <c r="C1166" s="39"/>
      <c r="D1166" s="39"/>
      <c r="E1166" s="39"/>
      <c r="F1166" s="45"/>
      <c r="G1166" s="40"/>
      <c r="H1166" s="39"/>
      <c r="I1166" s="39" t="str">
        <f aca="false">IF(ISBLANK(H1166),"", IF($H$2:$H2665 = "Gohar Rehan","Overnight",IF($H$2:$H2665 = "Taufeeq Akhtar ","Overnight",IF($H$2:$H2665 = "Zeeshan Ali Malik","Audit",IF($H$2:$H2665 = "Ali Raza ","Receiving",IF($H$2:$H2665 = "Ali Ahmad","Full-In"))))))</f>
        <v/>
      </c>
      <c r="J1166" s="29"/>
      <c r="K1166" s="40"/>
      <c r="L1166" s="40"/>
      <c r="M1166" s="41"/>
      <c r="N1166" s="39" t="s">
        <v>2335</v>
      </c>
      <c r="O1166" s="46" t="b">
        <f aca="false">FALSE()</f>
        <v>0</v>
      </c>
      <c r="P1166" s="20"/>
      <c r="Q1166" s="45" t="n">
        <v>0</v>
      </c>
      <c r="R1166" s="20"/>
      <c r="S1166" s="20"/>
    </row>
    <row r="1167" customFormat="false" ht="15.75" hidden="false" customHeight="false" outlineLevel="0" collapsed="false">
      <c r="A1167" s="39"/>
      <c r="B1167" s="44"/>
      <c r="C1167" s="39"/>
      <c r="D1167" s="39"/>
      <c r="E1167" s="39"/>
      <c r="F1167" s="45"/>
      <c r="G1167" s="40"/>
      <c r="H1167" s="39"/>
      <c r="I1167" s="39" t="str">
        <f aca="false">IF(ISBLANK(H1167),"", IF($H$2:$H2666 = "Gohar Rehan","Overnight",IF($H$2:$H2666 = "Taufeeq Akhtar ","Overnight",IF($H$2:$H2666 = "Zeeshan Ali Malik","Audit",IF($H$2:$H2666 = "Ali Raza ","Receiving",IF($H$2:$H2666 = "Ali Ahmad","Full-In"))))))</f>
        <v/>
      </c>
      <c r="J1167" s="29"/>
      <c r="K1167" s="40"/>
      <c r="L1167" s="40"/>
      <c r="M1167" s="41"/>
      <c r="N1167" s="39" t="s">
        <v>2335</v>
      </c>
      <c r="O1167" s="46" t="b">
        <f aca="false">FALSE()</f>
        <v>0</v>
      </c>
      <c r="P1167" s="20"/>
      <c r="Q1167" s="45" t="n">
        <v>0</v>
      </c>
      <c r="R1167" s="20"/>
      <c r="S1167" s="20"/>
    </row>
    <row r="1168" customFormat="false" ht="15.75" hidden="false" customHeight="false" outlineLevel="0" collapsed="false">
      <c r="A1168" s="39"/>
      <c r="B1168" s="44"/>
      <c r="C1168" s="39"/>
      <c r="D1168" s="39"/>
      <c r="E1168" s="39"/>
      <c r="F1168" s="45"/>
      <c r="G1168" s="40"/>
      <c r="H1168" s="39"/>
      <c r="I1168" s="39" t="str">
        <f aca="false">IF(ISBLANK(H1168),"", IF($H$2:$H2667 = "Gohar Rehan","Overnight",IF($H$2:$H2667 = "Taufeeq Akhtar ","Overnight",IF($H$2:$H2667 = "Zeeshan Ali Malik","Audit",IF($H$2:$H2667 = "Ali Raza ","Receiving",IF($H$2:$H2667 = "Ali Ahmad","Full-In"))))))</f>
        <v/>
      </c>
      <c r="J1168" s="29"/>
      <c r="K1168" s="40"/>
      <c r="L1168" s="40"/>
      <c r="M1168" s="41"/>
      <c r="N1168" s="39" t="s">
        <v>2335</v>
      </c>
      <c r="O1168" s="46" t="b">
        <f aca="false">FALSE()</f>
        <v>0</v>
      </c>
      <c r="P1168" s="20"/>
      <c r="Q1168" s="45" t="n">
        <v>0</v>
      </c>
      <c r="R1168" s="20"/>
      <c r="S1168" s="20"/>
    </row>
    <row r="1169" customFormat="false" ht="15.75" hidden="false" customHeight="false" outlineLevel="0" collapsed="false">
      <c r="A1169" s="39"/>
      <c r="B1169" s="44"/>
      <c r="C1169" s="39"/>
      <c r="D1169" s="39"/>
      <c r="E1169" s="39"/>
      <c r="F1169" s="45"/>
      <c r="G1169" s="40"/>
      <c r="H1169" s="39"/>
      <c r="I1169" s="39" t="str">
        <f aca="false">IF(ISBLANK(H1169),"", IF($H$2:$H2668 = "Gohar Rehan","Overnight",IF($H$2:$H2668 = "Taufeeq Akhtar ","Overnight",IF($H$2:$H2668 = "Zeeshan Ali Malik","Audit",IF($H$2:$H2668 = "Ali Raza ","Receiving",IF($H$2:$H2668 = "Ali Ahmad","Full-In"))))))</f>
        <v/>
      </c>
      <c r="J1169" s="29"/>
      <c r="K1169" s="40"/>
      <c r="L1169" s="40"/>
      <c r="M1169" s="41"/>
      <c r="N1169" s="39" t="s">
        <v>2335</v>
      </c>
      <c r="O1169" s="46" t="b">
        <f aca="false">FALSE()</f>
        <v>0</v>
      </c>
      <c r="P1169" s="20"/>
      <c r="Q1169" s="45" t="n">
        <v>0</v>
      </c>
      <c r="R1169" s="20"/>
      <c r="S1169" s="20"/>
    </row>
    <row r="1170" customFormat="false" ht="15.75" hidden="false" customHeight="false" outlineLevel="0" collapsed="false">
      <c r="A1170" s="39"/>
      <c r="B1170" s="44"/>
      <c r="C1170" s="39"/>
      <c r="D1170" s="39"/>
      <c r="E1170" s="39"/>
      <c r="F1170" s="45"/>
      <c r="G1170" s="40"/>
      <c r="H1170" s="39"/>
      <c r="I1170" s="39" t="str">
        <f aca="false">IF(ISBLANK(H1170),"", IF($H$2:$H2669 = "Gohar Rehan","Overnight",IF($H$2:$H2669 = "Taufeeq Akhtar ","Overnight",IF($H$2:$H2669 = "Zeeshan Ali Malik","Audit",IF($H$2:$H2669 = "Ali Raza ","Receiving",IF($H$2:$H2669 = "Ali Ahmad","Full-In"))))))</f>
        <v/>
      </c>
      <c r="J1170" s="29"/>
      <c r="K1170" s="40"/>
      <c r="L1170" s="40"/>
      <c r="M1170" s="41"/>
      <c r="N1170" s="39" t="s">
        <v>2335</v>
      </c>
      <c r="O1170" s="46" t="b">
        <f aca="false">FALSE()</f>
        <v>0</v>
      </c>
      <c r="P1170" s="20"/>
      <c r="Q1170" s="45" t="n">
        <v>0</v>
      </c>
      <c r="R1170" s="20"/>
      <c r="S1170" s="20"/>
    </row>
    <row r="1171" customFormat="false" ht="15.75" hidden="false" customHeight="false" outlineLevel="0" collapsed="false">
      <c r="A1171" s="39"/>
      <c r="B1171" s="44"/>
      <c r="C1171" s="39"/>
      <c r="D1171" s="39"/>
      <c r="E1171" s="39"/>
      <c r="F1171" s="45"/>
      <c r="G1171" s="40"/>
      <c r="H1171" s="39"/>
      <c r="I1171" s="39" t="str">
        <f aca="false">IF(ISBLANK(H1171),"", IF($H$2:$H2670 = "Gohar Rehan","Overnight",IF($H$2:$H2670 = "Taufeeq Akhtar ","Overnight",IF($H$2:$H2670 = "Zeeshan Ali Malik","Audit",IF($H$2:$H2670 = "Ali Raza ","Receiving",IF($H$2:$H2670 = "Ali Ahmad","Full-In"))))))</f>
        <v/>
      </c>
      <c r="J1171" s="29"/>
      <c r="K1171" s="40"/>
      <c r="L1171" s="40"/>
      <c r="M1171" s="41"/>
      <c r="N1171" s="39" t="s">
        <v>2335</v>
      </c>
      <c r="O1171" s="46" t="b">
        <f aca="false">FALSE()</f>
        <v>0</v>
      </c>
      <c r="P1171" s="20"/>
      <c r="Q1171" s="45" t="n">
        <v>0</v>
      </c>
      <c r="R1171" s="20"/>
      <c r="S1171" s="20"/>
    </row>
    <row r="1172" customFormat="false" ht="15.75" hidden="false" customHeight="false" outlineLevel="0" collapsed="false">
      <c r="A1172" s="39"/>
      <c r="B1172" s="44"/>
      <c r="C1172" s="39"/>
      <c r="D1172" s="39"/>
      <c r="E1172" s="39"/>
      <c r="F1172" s="45"/>
      <c r="G1172" s="40"/>
      <c r="H1172" s="39"/>
      <c r="I1172" s="39" t="str">
        <f aca="false">IF(ISBLANK(H1172),"", IF($H$2:$H2671 = "Gohar Rehan","Overnight",IF($H$2:$H2671 = "Taufeeq Akhtar ","Overnight",IF($H$2:$H2671 = "Zeeshan Ali Malik","Audit",IF($H$2:$H2671 = "Ali Raza ","Receiving",IF($H$2:$H2671 = "Ali Ahmad","Full-In"))))))</f>
        <v/>
      </c>
      <c r="J1172" s="29"/>
      <c r="K1172" s="40"/>
      <c r="L1172" s="40"/>
      <c r="M1172" s="41"/>
      <c r="N1172" s="39" t="s">
        <v>2335</v>
      </c>
      <c r="O1172" s="46" t="b">
        <f aca="false">FALSE()</f>
        <v>0</v>
      </c>
      <c r="P1172" s="20"/>
      <c r="Q1172" s="45" t="n">
        <v>0</v>
      </c>
      <c r="R1172" s="20"/>
      <c r="S1172" s="20"/>
    </row>
    <row r="1173" customFormat="false" ht="15.75" hidden="false" customHeight="false" outlineLevel="0" collapsed="false">
      <c r="A1173" s="39"/>
      <c r="B1173" s="44"/>
      <c r="C1173" s="39"/>
      <c r="D1173" s="39"/>
      <c r="E1173" s="39"/>
      <c r="F1173" s="45"/>
      <c r="G1173" s="40"/>
      <c r="H1173" s="39"/>
      <c r="I1173" s="39" t="str">
        <f aca="false">IF(ISBLANK(H1173),"", IF($H$2:$H2672 = "Gohar Rehan","Overnight",IF($H$2:$H2672 = "Taufeeq Akhtar ","Overnight",IF($H$2:$H2672 = "Zeeshan Ali Malik","Audit",IF($H$2:$H2672 = "Ali Raza ","Receiving",IF($H$2:$H2672 = "Ali Ahmad","Full-In"))))))</f>
        <v/>
      </c>
      <c r="J1173" s="29"/>
      <c r="K1173" s="40"/>
      <c r="L1173" s="40"/>
      <c r="M1173" s="41"/>
      <c r="N1173" s="39" t="s">
        <v>2335</v>
      </c>
      <c r="O1173" s="46" t="b">
        <f aca="false">FALSE()</f>
        <v>0</v>
      </c>
      <c r="P1173" s="20"/>
      <c r="Q1173" s="45" t="n">
        <v>0</v>
      </c>
      <c r="R1173" s="20"/>
      <c r="S1173" s="20"/>
    </row>
    <row r="1174" customFormat="false" ht="15.75" hidden="false" customHeight="false" outlineLevel="0" collapsed="false">
      <c r="A1174" s="39"/>
      <c r="B1174" s="44"/>
      <c r="C1174" s="39"/>
      <c r="D1174" s="39"/>
      <c r="E1174" s="39"/>
      <c r="F1174" s="45"/>
      <c r="G1174" s="40"/>
      <c r="H1174" s="39"/>
      <c r="I1174" s="39" t="str">
        <f aca="false">IF(ISBLANK(H1174),"", IF($H$2:$H2673 = "Gohar Rehan","Overnight",IF($H$2:$H2673 = "Taufeeq Akhtar ","Overnight",IF($H$2:$H2673 = "Zeeshan Ali Malik","Audit",IF($H$2:$H2673 = "Ali Raza ","Receiving",IF($H$2:$H2673 = "Ali Ahmad","Full-In"))))))</f>
        <v/>
      </c>
      <c r="J1174" s="29"/>
      <c r="K1174" s="40"/>
      <c r="L1174" s="40"/>
      <c r="M1174" s="41"/>
      <c r="N1174" s="39" t="s">
        <v>2335</v>
      </c>
      <c r="O1174" s="46" t="b">
        <f aca="false">FALSE()</f>
        <v>0</v>
      </c>
      <c r="P1174" s="20"/>
      <c r="Q1174" s="45" t="n">
        <v>0</v>
      </c>
      <c r="R1174" s="20"/>
      <c r="S1174" s="20"/>
    </row>
    <row r="1175" customFormat="false" ht="15.75" hidden="false" customHeight="false" outlineLevel="0" collapsed="false">
      <c r="A1175" s="39"/>
      <c r="B1175" s="44"/>
      <c r="C1175" s="39"/>
      <c r="D1175" s="39"/>
      <c r="E1175" s="39"/>
      <c r="F1175" s="45"/>
      <c r="G1175" s="40"/>
      <c r="H1175" s="39"/>
      <c r="I1175" s="39" t="str">
        <f aca="false">IF(ISBLANK(H1175),"", IF($H$2:$H2674 = "Gohar Rehan","Overnight",IF($H$2:$H2674 = "Taufeeq Akhtar ","Overnight",IF($H$2:$H2674 = "Zeeshan Ali Malik","Audit",IF($H$2:$H2674 = "Ali Raza ","Receiving",IF($H$2:$H2674 = "Ali Ahmad","Full-In"))))))</f>
        <v/>
      </c>
      <c r="J1175" s="29"/>
      <c r="K1175" s="40"/>
      <c r="L1175" s="40"/>
      <c r="M1175" s="41"/>
      <c r="N1175" s="39" t="s">
        <v>2335</v>
      </c>
      <c r="O1175" s="46" t="b">
        <f aca="false">FALSE()</f>
        <v>0</v>
      </c>
      <c r="P1175" s="20"/>
      <c r="Q1175" s="45" t="n">
        <v>0</v>
      </c>
      <c r="R1175" s="20"/>
      <c r="S1175" s="20"/>
    </row>
    <row r="1176" customFormat="false" ht="15.75" hidden="false" customHeight="false" outlineLevel="0" collapsed="false">
      <c r="A1176" s="39"/>
      <c r="B1176" s="44"/>
      <c r="C1176" s="39"/>
      <c r="D1176" s="39"/>
      <c r="E1176" s="39"/>
      <c r="F1176" s="45"/>
      <c r="G1176" s="40"/>
      <c r="H1176" s="39"/>
      <c r="I1176" s="39" t="str">
        <f aca="false">IF(ISBLANK(H1176),"", IF($H$2:$H2675 = "Gohar Rehan","Overnight",IF($H$2:$H2675 = "Taufeeq Akhtar ","Overnight",IF($H$2:$H2675 = "Zeeshan Ali Malik","Audit",IF($H$2:$H2675 = "Ali Raza ","Receiving",IF($H$2:$H2675 = "Ali Ahmad","Full-In"))))))</f>
        <v/>
      </c>
      <c r="J1176" s="29"/>
      <c r="K1176" s="40"/>
      <c r="L1176" s="40"/>
      <c r="M1176" s="41"/>
      <c r="N1176" s="39" t="s">
        <v>2335</v>
      </c>
      <c r="O1176" s="46" t="b">
        <f aca="false">FALSE()</f>
        <v>0</v>
      </c>
      <c r="P1176" s="20"/>
      <c r="Q1176" s="45" t="n">
        <v>0</v>
      </c>
      <c r="R1176" s="20"/>
      <c r="S1176" s="20"/>
    </row>
    <row r="1177" customFormat="false" ht="15.75" hidden="false" customHeight="false" outlineLevel="0" collapsed="false">
      <c r="A1177" s="39"/>
      <c r="B1177" s="44"/>
      <c r="C1177" s="39"/>
      <c r="D1177" s="39"/>
      <c r="E1177" s="39"/>
      <c r="F1177" s="45"/>
      <c r="G1177" s="40"/>
      <c r="H1177" s="39"/>
      <c r="I1177" s="39" t="str">
        <f aca="false">IF(ISBLANK(H1177),"", IF($H$2:$H2676 = "Gohar Rehan","Overnight",IF($H$2:$H2676 = "Taufeeq Akhtar ","Overnight",IF($H$2:$H2676 = "Zeeshan Ali Malik","Audit",IF($H$2:$H2676 = "Ali Raza ","Receiving",IF($H$2:$H2676 = "Ali Ahmad","Full-In"))))))</f>
        <v/>
      </c>
      <c r="J1177" s="29"/>
      <c r="K1177" s="40"/>
      <c r="L1177" s="40"/>
      <c r="M1177" s="41"/>
      <c r="N1177" s="39" t="s">
        <v>2335</v>
      </c>
      <c r="O1177" s="46" t="b">
        <f aca="false">FALSE()</f>
        <v>0</v>
      </c>
      <c r="P1177" s="20"/>
      <c r="Q1177" s="45" t="n">
        <v>0</v>
      </c>
      <c r="R1177" s="20"/>
      <c r="S1177" s="20"/>
    </row>
    <row r="1178" customFormat="false" ht="15.75" hidden="false" customHeight="false" outlineLevel="0" collapsed="false">
      <c r="A1178" s="39"/>
      <c r="B1178" s="44"/>
      <c r="C1178" s="39"/>
      <c r="D1178" s="39"/>
      <c r="E1178" s="39"/>
      <c r="F1178" s="45"/>
      <c r="G1178" s="40"/>
      <c r="H1178" s="39"/>
      <c r="I1178" s="39" t="str">
        <f aca="false">IF(ISBLANK(H1178),"", IF($H$2:$H2677 = "Gohar Rehan","Overnight",IF($H$2:$H2677 = "Taufeeq Akhtar ","Overnight",IF($H$2:$H2677 = "Zeeshan Ali Malik","Audit",IF($H$2:$H2677 = "Ali Raza ","Receiving",IF($H$2:$H2677 = "Ali Ahmad","Full-In"))))))</f>
        <v/>
      </c>
      <c r="J1178" s="29"/>
      <c r="K1178" s="40"/>
      <c r="L1178" s="40"/>
      <c r="M1178" s="41"/>
      <c r="N1178" s="39" t="s">
        <v>2335</v>
      </c>
      <c r="O1178" s="46" t="b">
        <f aca="false">FALSE()</f>
        <v>0</v>
      </c>
      <c r="P1178" s="20"/>
      <c r="Q1178" s="45" t="n">
        <v>0</v>
      </c>
      <c r="R1178" s="20"/>
      <c r="S1178" s="20"/>
    </row>
    <row r="1179" customFormat="false" ht="15.75" hidden="false" customHeight="false" outlineLevel="0" collapsed="false">
      <c r="A1179" s="39"/>
      <c r="B1179" s="44"/>
      <c r="C1179" s="39"/>
      <c r="D1179" s="39"/>
      <c r="E1179" s="39"/>
      <c r="F1179" s="45"/>
      <c r="G1179" s="40"/>
      <c r="H1179" s="39"/>
      <c r="I1179" s="39" t="str">
        <f aca="false">IF(ISBLANK(H1179),"", IF($H$2:$H2678 = "Gohar Rehan","Overnight",IF($H$2:$H2678 = "Taufeeq Akhtar ","Overnight",IF($H$2:$H2678 = "Zeeshan Ali Malik","Audit",IF($H$2:$H2678 = "Ali Raza ","Receiving",IF($H$2:$H2678 = "Ali Ahmad","Full-In"))))))</f>
        <v/>
      </c>
      <c r="J1179" s="29"/>
      <c r="K1179" s="40"/>
      <c r="L1179" s="40"/>
      <c r="M1179" s="41"/>
      <c r="N1179" s="39" t="s">
        <v>2335</v>
      </c>
      <c r="O1179" s="46" t="b">
        <f aca="false">FALSE()</f>
        <v>0</v>
      </c>
      <c r="P1179" s="20"/>
      <c r="Q1179" s="45" t="n">
        <v>0</v>
      </c>
      <c r="R1179" s="20"/>
      <c r="S1179" s="20"/>
    </row>
    <row r="1180" customFormat="false" ht="15.75" hidden="false" customHeight="false" outlineLevel="0" collapsed="false">
      <c r="A1180" s="39"/>
      <c r="B1180" s="44"/>
      <c r="C1180" s="39"/>
      <c r="D1180" s="39"/>
      <c r="E1180" s="39"/>
      <c r="F1180" s="45"/>
      <c r="G1180" s="40"/>
      <c r="H1180" s="39"/>
      <c r="I1180" s="39" t="str">
        <f aca="false">IF(ISBLANK(H1180),"", IF($H$2:$H2679 = "Gohar Rehan","Overnight",IF($H$2:$H2679 = "Taufeeq Akhtar ","Overnight",IF($H$2:$H2679 = "Zeeshan Ali Malik","Audit",IF($H$2:$H2679 = "Ali Raza ","Receiving",IF($H$2:$H2679 = "Ali Ahmad","Full-In"))))))</f>
        <v/>
      </c>
      <c r="J1180" s="29"/>
      <c r="K1180" s="40"/>
      <c r="L1180" s="40"/>
      <c r="M1180" s="41"/>
      <c r="N1180" s="39" t="s">
        <v>2335</v>
      </c>
      <c r="O1180" s="46" t="b">
        <f aca="false">FALSE()</f>
        <v>0</v>
      </c>
      <c r="P1180" s="20"/>
      <c r="Q1180" s="45" t="n">
        <v>0</v>
      </c>
      <c r="R1180" s="20"/>
      <c r="S1180" s="20"/>
    </row>
    <row r="1181" customFormat="false" ht="15.75" hidden="false" customHeight="false" outlineLevel="0" collapsed="false">
      <c r="A1181" s="39"/>
      <c r="B1181" s="44"/>
      <c r="C1181" s="39"/>
      <c r="D1181" s="39"/>
      <c r="E1181" s="39"/>
      <c r="F1181" s="45"/>
      <c r="G1181" s="40"/>
      <c r="H1181" s="39"/>
      <c r="I1181" s="39" t="str">
        <f aca="false">IF(ISBLANK(H1181),"", IF($H$2:$H2680 = "Gohar Rehan","Overnight",IF($H$2:$H2680 = "Taufeeq Akhtar ","Overnight",IF($H$2:$H2680 = "Zeeshan Ali Malik","Audit",IF($H$2:$H2680 = "Ali Raza ","Receiving",IF($H$2:$H2680 = "Ali Ahmad","Full-In"))))))</f>
        <v/>
      </c>
      <c r="J1181" s="29"/>
      <c r="K1181" s="40"/>
      <c r="L1181" s="40"/>
      <c r="M1181" s="41"/>
      <c r="N1181" s="39" t="s">
        <v>2335</v>
      </c>
      <c r="O1181" s="46" t="b">
        <f aca="false">FALSE()</f>
        <v>0</v>
      </c>
      <c r="P1181" s="20"/>
      <c r="Q1181" s="45" t="n">
        <v>0</v>
      </c>
      <c r="R1181" s="20"/>
      <c r="S1181" s="20"/>
    </row>
    <row r="1182" customFormat="false" ht="15.75" hidden="false" customHeight="false" outlineLevel="0" collapsed="false">
      <c r="A1182" s="39"/>
      <c r="B1182" s="44"/>
      <c r="C1182" s="39"/>
      <c r="D1182" s="39"/>
      <c r="E1182" s="39"/>
      <c r="F1182" s="45"/>
      <c r="G1182" s="40"/>
      <c r="H1182" s="39"/>
      <c r="I1182" s="39" t="str">
        <f aca="false">IF(ISBLANK(H1182),"", IF($H$2:$H2681 = "Gohar Rehan","Overnight",IF($H$2:$H2681 = "Taufeeq Akhtar ","Overnight",IF($H$2:$H2681 = "Zeeshan Ali Malik","Audit",IF($H$2:$H2681 = "Ali Raza ","Receiving",IF($H$2:$H2681 = "Ali Ahmad","Full-In"))))))</f>
        <v/>
      </c>
      <c r="J1182" s="29"/>
      <c r="K1182" s="40"/>
      <c r="L1182" s="40"/>
      <c r="M1182" s="41"/>
      <c r="N1182" s="39" t="s">
        <v>2335</v>
      </c>
      <c r="O1182" s="46" t="b">
        <f aca="false">FALSE()</f>
        <v>0</v>
      </c>
      <c r="P1182" s="20"/>
      <c r="Q1182" s="45" t="n">
        <v>0</v>
      </c>
      <c r="R1182" s="20"/>
      <c r="S1182" s="20"/>
    </row>
    <row r="1183" customFormat="false" ht="15.75" hidden="false" customHeight="false" outlineLevel="0" collapsed="false">
      <c r="A1183" s="39"/>
      <c r="B1183" s="44"/>
      <c r="C1183" s="39"/>
      <c r="D1183" s="39"/>
      <c r="E1183" s="39"/>
      <c r="F1183" s="45"/>
      <c r="G1183" s="40"/>
      <c r="H1183" s="39"/>
      <c r="I1183" s="39" t="str">
        <f aca="false">IF(ISBLANK(H1183),"", IF($H$2:$H2682 = "Gohar Rehan","Overnight",IF($H$2:$H2682 = "Taufeeq Akhtar ","Overnight",IF($H$2:$H2682 = "Zeeshan Ali Malik","Audit",IF($H$2:$H2682 = "Ali Raza ","Receiving",IF($H$2:$H2682 = "Ali Ahmad","Full-In"))))))</f>
        <v/>
      </c>
      <c r="J1183" s="29"/>
      <c r="K1183" s="40"/>
      <c r="L1183" s="40"/>
      <c r="M1183" s="41"/>
      <c r="N1183" s="39" t="s">
        <v>2335</v>
      </c>
      <c r="O1183" s="46" t="b">
        <f aca="false">FALSE()</f>
        <v>0</v>
      </c>
      <c r="P1183" s="20"/>
      <c r="Q1183" s="45" t="n">
        <v>0</v>
      </c>
      <c r="R1183" s="20"/>
      <c r="S1183" s="20"/>
    </row>
    <row r="1184" customFormat="false" ht="15.75" hidden="false" customHeight="false" outlineLevel="0" collapsed="false">
      <c r="A1184" s="39"/>
      <c r="B1184" s="44"/>
      <c r="C1184" s="39"/>
      <c r="D1184" s="39"/>
      <c r="E1184" s="39"/>
      <c r="F1184" s="45"/>
      <c r="G1184" s="40"/>
      <c r="H1184" s="39"/>
      <c r="I1184" s="39" t="str">
        <f aca="false">IF(ISBLANK(H1184),"", IF($H$2:$H2683 = "Gohar Rehan","Overnight",IF($H$2:$H2683 = "Taufeeq Akhtar ","Overnight",IF($H$2:$H2683 = "Zeeshan Ali Malik","Audit",IF($H$2:$H2683 = "Ali Raza ","Receiving",IF($H$2:$H2683 = "Ali Ahmad","Full-In"))))))</f>
        <v/>
      </c>
      <c r="J1184" s="29"/>
      <c r="K1184" s="40"/>
      <c r="L1184" s="40"/>
      <c r="M1184" s="41"/>
      <c r="N1184" s="39" t="s">
        <v>2335</v>
      </c>
      <c r="O1184" s="46" t="b">
        <f aca="false">FALSE()</f>
        <v>0</v>
      </c>
      <c r="P1184" s="20"/>
      <c r="Q1184" s="45" t="n">
        <v>0</v>
      </c>
      <c r="R1184" s="20"/>
      <c r="S1184" s="20"/>
    </row>
    <row r="1185" customFormat="false" ht="15.75" hidden="false" customHeight="false" outlineLevel="0" collapsed="false">
      <c r="A1185" s="39"/>
      <c r="B1185" s="44"/>
      <c r="C1185" s="39"/>
      <c r="D1185" s="39"/>
      <c r="E1185" s="39"/>
      <c r="F1185" s="45"/>
      <c r="G1185" s="40"/>
      <c r="H1185" s="39"/>
      <c r="I1185" s="39" t="str">
        <f aca="false">IF(ISBLANK(H1185),"", IF($H$2:$H2684 = "Gohar Rehan","Overnight",IF($H$2:$H2684 = "Taufeeq Akhtar ","Overnight",IF($H$2:$H2684 = "Zeeshan Ali Malik","Audit",IF($H$2:$H2684 = "Ali Raza ","Receiving",IF($H$2:$H2684 = "Ali Ahmad","Full-In"))))))</f>
        <v/>
      </c>
      <c r="J1185" s="29"/>
      <c r="K1185" s="40"/>
      <c r="L1185" s="40"/>
      <c r="M1185" s="41"/>
      <c r="N1185" s="39" t="s">
        <v>2335</v>
      </c>
      <c r="O1185" s="46" t="b">
        <f aca="false">FALSE()</f>
        <v>0</v>
      </c>
      <c r="P1185" s="20"/>
      <c r="Q1185" s="45" t="n">
        <v>0</v>
      </c>
      <c r="R1185" s="20"/>
      <c r="S1185" s="20"/>
    </row>
    <row r="1186" customFormat="false" ht="15.75" hidden="false" customHeight="false" outlineLevel="0" collapsed="false">
      <c r="A1186" s="39"/>
      <c r="B1186" s="44"/>
      <c r="C1186" s="39"/>
      <c r="D1186" s="39"/>
      <c r="E1186" s="39"/>
      <c r="F1186" s="45"/>
      <c r="G1186" s="40"/>
      <c r="H1186" s="39"/>
      <c r="I1186" s="39" t="str">
        <f aca="false">IF(ISBLANK(H1186),"", IF($H$2:$H2685 = "Gohar Rehan","Overnight",IF($H$2:$H2685 = "Taufeeq Akhtar ","Overnight",IF($H$2:$H2685 = "Zeeshan Ali Malik","Audit",IF($H$2:$H2685 = "Ali Raza ","Receiving",IF($H$2:$H2685 = "Ali Ahmad","Full-In"))))))</f>
        <v/>
      </c>
      <c r="J1186" s="29"/>
      <c r="K1186" s="40"/>
      <c r="L1186" s="40"/>
      <c r="M1186" s="41"/>
      <c r="N1186" s="39" t="s">
        <v>2335</v>
      </c>
      <c r="O1186" s="46" t="b">
        <f aca="false">FALSE()</f>
        <v>0</v>
      </c>
      <c r="P1186" s="20"/>
      <c r="Q1186" s="45" t="n">
        <v>0</v>
      </c>
      <c r="R1186" s="20"/>
      <c r="S1186" s="20"/>
    </row>
    <row r="1187" customFormat="false" ht="15.75" hidden="false" customHeight="false" outlineLevel="0" collapsed="false">
      <c r="A1187" s="39"/>
      <c r="B1187" s="44"/>
      <c r="C1187" s="39"/>
      <c r="D1187" s="39"/>
      <c r="E1187" s="39"/>
      <c r="F1187" s="45"/>
      <c r="G1187" s="40"/>
      <c r="H1187" s="39"/>
      <c r="I1187" s="39" t="str">
        <f aca="false">IF(ISBLANK(H1187),"", IF($H$2:$H2686 = "Gohar Rehan","Overnight",IF($H$2:$H2686 = "Taufeeq Akhtar ","Overnight",IF($H$2:$H2686 = "Zeeshan Ali Malik","Audit",IF($H$2:$H2686 = "Ali Raza ","Receiving",IF($H$2:$H2686 = "Ali Ahmad","Full-In"))))))</f>
        <v/>
      </c>
      <c r="J1187" s="29"/>
      <c r="K1187" s="40"/>
      <c r="L1187" s="40"/>
      <c r="M1187" s="41"/>
      <c r="N1187" s="39" t="s">
        <v>2335</v>
      </c>
      <c r="O1187" s="46" t="b">
        <f aca="false">FALSE()</f>
        <v>0</v>
      </c>
      <c r="P1187" s="20"/>
      <c r="Q1187" s="45" t="n">
        <v>0</v>
      </c>
      <c r="R1187" s="20"/>
      <c r="S1187" s="20"/>
    </row>
    <row r="1188" customFormat="false" ht="15.75" hidden="false" customHeight="false" outlineLevel="0" collapsed="false">
      <c r="A1188" s="39"/>
      <c r="B1188" s="44"/>
      <c r="C1188" s="39"/>
      <c r="D1188" s="39"/>
      <c r="E1188" s="39"/>
      <c r="F1188" s="45"/>
      <c r="G1188" s="40"/>
      <c r="H1188" s="39"/>
      <c r="I1188" s="39" t="str">
        <f aca="false">IF(ISBLANK(H1188),"", IF($H$2:$H2687 = "Gohar Rehan","Overnight",IF($H$2:$H2687 = "Taufeeq Akhtar ","Overnight",IF($H$2:$H2687 = "Zeeshan Ali Malik","Audit",IF($H$2:$H2687 = "Ali Raza ","Receiving",IF($H$2:$H2687 = "Ali Ahmad","Full-In"))))))</f>
        <v/>
      </c>
      <c r="J1188" s="29"/>
      <c r="K1188" s="40"/>
      <c r="L1188" s="40"/>
      <c r="M1188" s="41"/>
      <c r="N1188" s="39" t="s">
        <v>2335</v>
      </c>
      <c r="O1188" s="46" t="b">
        <f aca="false">FALSE()</f>
        <v>0</v>
      </c>
      <c r="P1188" s="20"/>
      <c r="Q1188" s="45" t="n">
        <v>0</v>
      </c>
      <c r="R1188" s="20"/>
      <c r="S1188" s="20"/>
    </row>
    <row r="1189" customFormat="false" ht="15.75" hidden="false" customHeight="false" outlineLevel="0" collapsed="false">
      <c r="A1189" s="39"/>
      <c r="B1189" s="44"/>
      <c r="C1189" s="39"/>
      <c r="D1189" s="39"/>
      <c r="E1189" s="39"/>
      <c r="F1189" s="45"/>
      <c r="G1189" s="40"/>
      <c r="H1189" s="39"/>
      <c r="I1189" s="39" t="str">
        <f aca="false">IF(ISBLANK(H1189),"", IF($H$2:$H2688 = "Gohar Rehan","Overnight",IF($H$2:$H2688 = "Taufeeq Akhtar ","Overnight",IF($H$2:$H2688 = "Zeeshan Ali Malik","Audit",IF($H$2:$H2688 = "Ali Raza ","Receiving",IF($H$2:$H2688 = "Ali Ahmad","Full-In"))))))</f>
        <v/>
      </c>
      <c r="J1189" s="29"/>
      <c r="K1189" s="40"/>
      <c r="L1189" s="40"/>
      <c r="M1189" s="41"/>
      <c r="N1189" s="39" t="s">
        <v>2335</v>
      </c>
      <c r="O1189" s="46" t="b">
        <f aca="false">FALSE()</f>
        <v>0</v>
      </c>
      <c r="P1189" s="20"/>
      <c r="Q1189" s="45" t="n">
        <v>0</v>
      </c>
      <c r="R1189" s="20"/>
      <c r="S1189" s="20"/>
    </row>
    <row r="1190" customFormat="false" ht="15.75" hidden="false" customHeight="false" outlineLevel="0" collapsed="false">
      <c r="A1190" s="39"/>
      <c r="B1190" s="44"/>
      <c r="C1190" s="39"/>
      <c r="D1190" s="39"/>
      <c r="E1190" s="39"/>
      <c r="F1190" s="45"/>
      <c r="G1190" s="40"/>
      <c r="H1190" s="39"/>
      <c r="I1190" s="39" t="str">
        <f aca="false">IF(ISBLANK(H1190),"", IF($H$2:$H2689 = "Gohar Rehan","Overnight",IF($H$2:$H2689 = "Taufeeq Akhtar ","Overnight",IF($H$2:$H2689 = "Zeeshan Ali Malik","Audit",IF($H$2:$H2689 = "Ali Raza ","Receiving",IF($H$2:$H2689 = "Ali Ahmad","Full-In"))))))</f>
        <v/>
      </c>
      <c r="J1190" s="29"/>
      <c r="K1190" s="40"/>
      <c r="L1190" s="40"/>
      <c r="M1190" s="41"/>
      <c r="N1190" s="39" t="s">
        <v>2335</v>
      </c>
      <c r="O1190" s="46" t="b">
        <f aca="false">FALSE()</f>
        <v>0</v>
      </c>
      <c r="P1190" s="20"/>
      <c r="Q1190" s="45" t="n">
        <v>0</v>
      </c>
      <c r="R1190" s="20"/>
      <c r="S1190" s="20"/>
    </row>
    <row r="1191" customFormat="false" ht="15.75" hidden="false" customHeight="false" outlineLevel="0" collapsed="false">
      <c r="A1191" s="39"/>
      <c r="B1191" s="44"/>
      <c r="C1191" s="39"/>
      <c r="D1191" s="39"/>
      <c r="E1191" s="39"/>
      <c r="F1191" s="45"/>
      <c r="G1191" s="40"/>
      <c r="H1191" s="39"/>
      <c r="I1191" s="39" t="str">
        <f aca="false">IF(ISBLANK(H1191),"", IF($H$2:$H2690 = "Gohar Rehan","Overnight",IF($H$2:$H2690 = "Taufeeq Akhtar ","Overnight",IF($H$2:$H2690 = "Zeeshan Ali Malik","Audit",IF($H$2:$H2690 = "Ali Raza ","Receiving",IF($H$2:$H2690 = "Ali Ahmad","Full-In"))))))</f>
        <v/>
      </c>
      <c r="J1191" s="29"/>
      <c r="K1191" s="40"/>
      <c r="L1191" s="40"/>
      <c r="M1191" s="41"/>
      <c r="N1191" s="39" t="s">
        <v>2335</v>
      </c>
      <c r="O1191" s="46" t="b">
        <f aca="false">FALSE()</f>
        <v>0</v>
      </c>
      <c r="P1191" s="20"/>
      <c r="Q1191" s="45" t="n">
        <v>0</v>
      </c>
      <c r="R1191" s="20"/>
      <c r="S1191" s="20"/>
    </row>
    <row r="1192" customFormat="false" ht="15.75" hidden="false" customHeight="false" outlineLevel="0" collapsed="false">
      <c r="A1192" s="39"/>
      <c r="B1192" s="44"/>
      <c r="C1192" s="39"/>
      <c r="D1192" s="39"/>
      <c r="E1192" s="39"/>
      <c r="F1192" s="45"/>
      <c r="G1192" s="40"/>
      <c r="H1192" s="39"/>
      <c r="I1192" s="39" t="str">
        <f aca="false">IF(ISBLANK(H1192),"", IF($H$2:$H2691 = "Gohar Rehan","Overnight",IF($H$2:$H2691 = "Taufeeq Akhtar ","Overnight",IF($H$2:$H2691 = "Zeeshan Ali Malik","Audit",IF($H$2:$H2691 = "Ali Raza ","Receiving",IF($H$2:$H2691 = "Ali Ahmad","Full-In"))))))</f>
        <v/>
      </c>
      <c r="J1192" s="29"/>
      <c r="K1192" s="40"/>
      <c r="L1192" s="40"/>
      <c r="M1192" s="41"/>
      <c r="N1192" s="39" t="s">
        <v>2335</v>
      </c>
      <c r="O1192" s="46" t="b">
        <f aca="false">FALSE()</f>
        <v>0</v>
      </c>
      <c r="P1192" s="20"/>
      <c r="Q1192" s="45" t="n">
        <v>0</v>
      </c>
      <c r="R1192" s="20"/>
      <c r="S1192" s="20"/>
    </row>
    <row r="1193" customFormat="false" ht="15.75" hidden="false" customHeight="false" outlineLevel="0" collapsed="false">
      <c r="A1193" s="39"/>
      <c r="B1193" s="44"/>
      <c r="C1193" s="39"/>
      <c r="D1193" s="39"/>
      <c r="E1193" s="39"/>
      <c r="F1193" s="45"/>
      <c r="G1193" s="40"/>
      <c r="H1193" s="39"/>
      <c r="I1193" s="39" t="str">
        <f aca="false">IF(ISBLANK(H1193),"", IF($H$2:$H2692 = "Gohar Rehan","Overnight",IF($H$2:$H2692 = "Taufeeq Akhtar ","Overnight",IF($H$2:$H2692 = "Zeeshan Ali Malik","Audit",IF($H$2:$H2692 = "Ali Raza ","Receiving",IF($H$2:$H2692 = "Ali Ahmad","Full-In"))))))</f>
        <v/>
      </c>
      <c r="J1193" s="29"/>
      <c r="K1193" s="40"/>
      <c r="L1193" s="40"/>
      <c r="M1193" s="41"/>
      <c r="N1193" s="39" t="s">
        <v>2335</v>
      </c>
      <c r="O1193" s="46" t="b">
        <f aca="false">FALSE()</f>
        <v>0</v>
      </c>
      <c r="P1193" s="20"/>
      <c r="Q1193" s="45" t="n">
        <v>0</v>
      </c>
      <c r="R1193" s="20"/>
      <c r="S1193" s="20"/>
    </row>
    <row r="1194" customFormat="false" ht="15.75" hidden="false" customHeight="false" outlineLevel="0" collapsed="false">
      <c r="A1194" s="39"/>
      <c r="B1194" s="44"/>
      <c r="C1194" s="39"/>
      <c r="D1194" s="39"/>
      <c r="E1194" s="39"/>
      <c r="F1194" s="45"/>
      <c r="G1194" s="40"/>
      <c r="H1194" s="39"/>
      <c r="I1194" s="39" t="str">
        <f aca="false">IF(ISBLANK(H1194),"", IF($H$2:$H2693 = "Gohar Rehan","Overnight",IF($H$2:$H2693 = "Taufeeq Akhtar ","Overnight",IF($H$2:$H2693 = "Zeeshan Ali Malik","Audit",IF($H$2:$H2693 = "Ali Raza ","Receiving",IF($H$2:$H2693 = "Ali Ahmad","Full-In"))))))</f>
        <v/>
      </c>
      <c r="J1194" s="29"/>
      <c r="K1194" s="40"/>
      <c r="L1194" s="40"/>
      <c r="M1194" s="41"/>
      <c r="N1194" s="39" t="s">
        <v>2335</v>
      </c>
      <c r="O1194" s="46" t="b">
        <f aca="false">FALSE()</f>
        <v>0</v>
      </c>
      <c r="P1194" s="20"/>
      <c r="Q1194" s="45" t="n">
        <v>0</v>
      </c>
      <c r="R1194" s="20"/>
      <c r="S1194" s="20"/>
    </row>
    <row r="1195" customFormat="false" ht="15.75" hidden="false" customHeight="false" outlineLevel="0" collapsed="false">
      <c r="A1195" s="39"/>
      <c r="B1195" s="44"/>
      <c r="C1195" s="39"/>
      <c r="D1195" s="39"/>
      <c r="E1195" s="39"/>
      <c r="F1195" s="45"/>
      <c r="G1195" s="40"/>
      <c r="H1195" s="39"/>
      <c r="I1195" s="39" t="str">
        <f aca="false">IF(ISBLANK(H1195),"", IF($H$2:$H2694 = "Gohar Rehan","Overnight",IF($H$2:$H2694 = "Taufeeq Akhtar ","Overnight",IF($H$2:$H2694 = "Zeeshan Ali Malik","Audit",IF($H$2:$H2694 = "Ali Raza ","Receiving",IF($H$2:$H2694 = "Ali Ahmad","Full-In"))))))</f>
        <v/>
      </c>
      <c r="J1195" s="29"/>
      <c r="K1195" s="40"/>
      <c r="L1195" s="40"/>
      <c r="M1195" s="41"/>
      <c r="N1195" s="39" t="s">
        <v>2335</v>
      </c>
      <c r="O1195" s="46" t="b">
        <f aca="false">FALSE()</f>
        <v>0</v>
      </c>
      <c r="P1195" s="20"/>
      <c r="Q1195" s="45" t="n">
        <v>0</v>
      </c>
      <c r="R1195" s="20"/>
      <c r="S1195" s="20"/>
    </row>
    <row r="1196" customFormat="false" ht="15.75" hidden="false" customHeight="false" outlineLevel="0" collapsed="false">
      <c r="A1196" s="39"/>
      <c r="B1196" s="44"/>
      <c r="C1196" s="39"/>
      <c r="D1196" s="39"/>
      <c r="E1196" s="39"/>
      <c r="F1196" s="45"/>
      <c r="G1196" s="40"/>
      <c r="H1196" s="39"/>
      <c r="I1196" s="39" t="str">
        <f aca="false">IF(ISBLANK(H1196),"", IF($H$2:$H2695 = "Gohar Rehan","Overnight",IF($H$2:$H2695 = "Taufeeq Akhtar ","Overnight",IF($H$2:$H2695 = "Zeeshan Ali Malik","Audit",IF($H$2:$H2695 = "Ali Raza ","Receiving",IF($H$2:$H2695 = "Ali Ahmad","Full-In"))))))</f>
        <v/>
      </c>
      <c r="J1196" s="29"/>
      <c r="K1196" s="40"/>
      <c r="L1196" s="40"/>
      <c r="M1196" s="41"/>
      <c r="N1196" s="39" t="s">
        <v>2335</v>
      </c>
      <c r="O1196" s="46" t="b">
        <f aca="false">FALSE()</f>
        <v>0</v>
      </c>
      <c r="P1196" s="20"/>
      <c r="Q1196" s="45" t="n">
        <v>0</v>
      </c>
      <c r="R1196" s="20"/>
      <c r="S1196" s="20"/>
    </row>
    <row r="1197" customFormat="false" ht="15.75" hidden="false" customHeight="false" outlineLevel="0" collapsed="false">
      <c r="A1197" s="39"/>
      <c r="B1197" s="44"/>
      <c r="C1197" s="39"/>
      <c r="D1197" s="39"/>
      <c r="E1197" s="39"/>
      <c r="F1197" s="45"/>
      <c r="G1197" s="40"/>
      <c r="H1197" s="39"/>
      <c r="I1197" s="39" t="str">
        <f aca="false">IF(ISBLANK(H1197),"", IF($H$2:$H2696 = "Gohar Rehan","Overnight",IF($H$2:$H2696 = "Taufeeq Akhtar ","Overnight",IF($H$2:$H2696 = "Zeeshan Ali Malik","Audit",IF($H$2:$H2696 = "Ali Raza ","Receiving",IF($H$2:$H2696 = "Ali Ahmad","Full-In"))))))</f>
        <v/>
      </c>
      <c r="J1197" s="29"/>
      <c r="K1197" s="40"/>
      <c r="L1197" s="40"/>
      <c r="M1197" s="41"/>
      <c r="N1197" s="39" t="s">
        <v>2335</v>
      </c>
      <c r="O1197" s="46" t="b">
        <f aca="false">FALSE()</f>
        <v>0</v>
      </c>
      <c r="P1197" s="20"/>
      <c r="Q1197" s="45" t="n">
        <v>0</v>
      </c>
      <c r="R1197" s="20"/>
      <c r="S1197" s="20"/>
    </row>
    <row r="1198" customFormat="false" ht="15.75" hidden="false" customHeight="false" outlineLevel="0" collapsed="false">
      <c r="A1198" s="39"/>
      <c r="B1198" s="44"/>
      <c r="C1198" s="39"/>
      <c r="D1198" s="39"/>
      <c r="E1198" s="39"/>
      <c r="F1198" s="45"/>
      <c r="G1198" s="40"/>
      <c r="H1198" s="39"/>
      <c r="I1198" s="39" t="str">
        <f aca="false">IF(ISBLANK(H1198),"", IF($H$2:$H2697 = "Gohar Rehan","Overnight",IF($H$2:$H2697 = "Taufeeq Akhtar ","Overnight",IF($H$2:$H2697 = "Zeeshan Ali Malik","Audit",IF($H$2:$H2697 = "Ali Raza ","Receiving",IF($H$2:$H2697 = "Ali Ahmad","Full-In"))))))</f>
        <v/>
      </c>
      <c r="J1198" s="29"/>
      <c r="K1198" s="40"/>
      <c r="L1198" s="40"/>
      <c r="M1198" s="41"/>
      <c r="N1198" s="39" t="s">
        <v>2335</v>
      </c>
      <c r="O1198" s="46" t="b">
        <f aca="false">FALSE()</f>
        <v>0</v>
      </c>
      <c r="P1198" s="20"/>
      <c r="Q1198" s="45" t="n">
        <v>0</v>
      </c>
      <c r="R1198" s="20"/>
      <c r="S1198" s="20"/>
    </row>
    <row r="1199" customFormat="false" ht="15.75" hidden="false" customHeight="false" outlineLevel="0" collapsed="false">
      <c r="A1199" s="39"/>
      <c r="B1199" s="44"/>
      <c r="C1199" s="39"/>
      <c r="D1199" s="39"/>
      <c r="E1199" s="39"/>
      <c r="F1199" s="45"/>
      <c r="G1199" s="40"/>
      <c r="H1199" s="39"/>
      <c r="I1199" s="39" t="str">
        <f aca="false">IF(ISBLANK(H1199),"", IF($H$2:$H2698 = "Gohar Rehan","Overnight",IF($H$2:$H2698 = "Taufeeq Akhtar ","Overnight",IF($H$2:$H2698 = "Zeeshan Ali Malik","Audit",IF($H$2:$H2698 = "Ali Raza ","Receiving",IF($H$2:$H2698 = "Ali Ahmad","Full-In"))))))</f>
        <v/>
      </c>
      <c r="J1199" s="29"/>
      <c r="K1199" s="40"/>
      <c r="L1199" s="40"/>
      <c r="M1199" s="41"/>
      <c r="N1199" s="39" t="s">
        <v>2335</v>
      </c>
      <c r="O1199" s="46" t="b">
        <f aca="false">FALSE()</f>
        <v>0</v>
      </c>
      <c r="P1199" s="20"/>
      <c r="Q1199" s="45" t="n">
        <v>0</v>
      </c>
      <c r="R1199" s="20"/>
      <c r="S1199" s="20"/>
    </row>
    <row r="1200" customFormat="false" ht="15.75" hidden="false" customHeight="false" outlineLevel="0" collapsed="false">
      <c r="A1200" s="39"/>
      <c r="B1200" s="44"/>
      <c r="C1200" s="39"/>
      <c r="D1200" s="39"/>
      <c r="E1200" s="39"/>
      <c r="F1200" s="45"/>
      <c r="G1200" s="40"/>
      <c r="H1200" s="39"/>
      <c r="I1200" s="39" t="str">
        <f aca="false">IF(ISBLANK(H1200),"", IF($H$2:$H2699 = "Gohar Rehan","Overnight",IF($H$2:$H2699 = "Taufeeq Akhtar ","Overnight",IF($H$2:$H2699 = "Zeeshan Ali Malik","Audit",IF($H$2:$H2699 = "Ali Raza ","Receiving",IF($H$2:$H2699 = "Ali Ahmad","Full-In"))))))</f>
        <v/>
      </c>
      <c r="J1200" s="29"/>
      <c r="K1200" s="40"/>
      <c r="L1200" s="40"/>
      <c r="M1200" s="41"/>
      <c r="N1200" s="39" t="s">
        <v>2335</v>
      </c>
      <c r="O1200" s="46" t="b">
        <f aca="false">FALSE()</f>
        <v>0</v>
      </c>
      <c r="P1200" s="20"/>
      <c r="Q1200" s="45" t="n">
        <v>0</v>
      </c>
      <c r="R1200" s="20"/>
      <c r="S1200" s="20"/>
    </row>
    <row r="1201" customFormat="false" ht="15.75" hidden="false" customHeight="false" outlineLevel="0" collapsed="false">
      <c r="A1201" s="39"/>
      <c r="B1201" s="44"/>
      <c r="C1201" s="39"/>
      <c r="D1201" s="39"/>
      <c r="E1201" s="39"/>
      <c r="F1201" s="45"/>
      <c r="G1201" s="40"/>
      <c r="H1201" s="39"/>
      <c r="I1201" s="39" t="str">
        <f aca="false">IF(ISBLANK(H1201),"", IF($H$2:$H2700 = "Gohar Rehan","Overnight",IF($H$2:$H2700 = "Taufeeq Akhtar ","Overnight",IF($H$2:$H2700 = "Zeeshan Ali Malik","Audit",IF($H$2:$H2700 = "Ali Raza ","Receiving",IF($H$2:$H2700 = "Ali Ahmad","Full-In"))))))</f>
        <v/>
      </c>
      <c r="J1201" s="29"/>
      <c r="K1201" s="40"/>
      <c r="L1201" s="40"/>
      <c r="M1201" s="41"/>
      <c r="N1201" s="39" t="s">
        <v>2335</v>
      </c>
      <c r="O1201" s="46" t="b">
        <f aca="false">FALSE()</f>
        <v>0</v>
      </c>
      <c r="P1201" s="20"/>
      <c r="Q1201" s="45" t="n">
        <v>0</v>
      </c>
      <c r="R1201" s="20"/>
      <c r="S1201" s="20"/>
    </row>
    <row r="1202" customFormat="false" ht="15.75" hidden="false" customHeight="false" outlineLevel="0" collapsed="false">
      <c r="A1202" s="39"/>
      <c r="B1202" s="44"/>
      <c r="C1202" s="39"/>
      <c r="D1202" s="39"/>
      <c r="E1202" s="39"/>
      <c r="F1202" s="45"/>
      <c r="G1202" s="40"/>
      <c r="H1202" s="39"/>
      <c r="I1202" s="39" t="str">
        <f aca="false">IF(ISBLANK(H1202),"", IF($H$2:$H2701 = "Gohar Rehan","Overnight",IF($H$2:$H2701 = "Taufeeq Akhtar ","Overnight",IF($H$2:$H2701 = "Zeeshan Ali Malik","Audit",IF($H$2:$H2701 = "Ali Raza ","Receiving",IF($H$2:$H2701 = "Ali Ahmad","Full-In"))))))</f>
        <v/>
      </c>
      <c r="J1202" s="29"/>
      <c r="K1202" s="40"/>
      <c r="L1202" s="40"/>
      <c r="M1202" s="41"/>
      <c r="N1202" s="39" t="s">
        <v>2335</v>
      </c>
      <c r="O1202" s="46" t="b">
        <f aca="false">FALSE()</f>
        <v>0</v>
      </c>
      <c r="P1202" s="20"/>
      <c r="Q1202" s="45" t="n">
        <v>0</v>
      </c>
      <c r="R1202" s="20"/>
      <c r="S1202" s="20"/>
    </row>
    <row r="1203" customFormat="false" ht="15.75" hidden="false" customHeight="false" outlineLevel="0" collapsed="false">
      <c r="A1203" s="39"/>
      <c r="B1203" s="44"/>
      <c r="C1203" s="39"/>
      <c r="D1203" s="39"/>
      <c r="E1203" s="39"/>
      <c r="F1203" s="45"/>
      <c r="G1203" s="40"/>
      <c r="H1203" s="39"/>
      <c r="I1203" s="39" t="str">
        <f aca="false">IF(ISBLANK(H1203),"", IF($H$2:$H2702 = "Gohar Rehan","Overnight",IF($H$2:$H2702 = "Taufeeq Akhtar ","Overnight",IF($H$2:$H2702 = "Zeeshan Ali Malik","Audit",IF($H$2:$H2702 = "Ali Raza ","Receiving",IF($H$2:$H2702 = "Ali Ahmad","Full-In"))))))</f>
        <v/>
      </c>
      <c r="J1203" s="29"/>
      <c r="K1203" s="40"/>
      <c r="L1203" s="40"/>
      <c r="M1203" s="41"/>
      <c r="N1203" s="39" t="s">
        <v>2335</v>
      </c>
      <c r="O1203" s="46" t="b">
        <f aca="false">FALSE()</f>
        <v>0</v>
      </c>
      <c r="P1203" s="20"/>
      <c r="Q1203" s="45" t="n">
        <v>0</v>
      </c>
      <c r="R1203" s="20"/>
      <c r="S1203" s="20"/>
    </row>
    <row r="1204" customFormat="false" ht="15.75" hidden="false" customHeight="false" outlineLevel="0" collapsed="false">
      <c r="A1204" s="39"/>
      <c r="B1204" s="44"/>
      <c r="C1204" s="39"/>
      <c r="D1204" s="39"/>
      <c r="E1204" s="39"/>
      <c r="F1204" s="45"/>
      <c r="G1204" s="40"/>
      <c r="H1204" s="39"/>
      <c r="I1204" s="39" t="str">
        <f aca="false">IF(ISBLANK(H1204),"", IF($H$2:$H2703 = "Gohar Rehan","Overnight",IF($H$2:$H2703 = "Taufeeq Akhtar ","Overnight",IF($H$2:$H2703 = "Zeeshan Ali Malik","Audit",IF($H$2:$H2703 = "Ali Raza ","Receiving",IF($H$2:$H2703 = "Ali Ahmad","Full-In"))))))</f>
        <v/>
      </c>
      <c r="J1204" s="29"/>
      <c r="K1204" s="40"/>
      <c r="L1204" s="40"/>
      <c r="M1204" s="41"/>
      <c r="N1204" s="39" t="s">
        <v>2335</v>
      </c>
      <c r="O1204" s="46" t="b">
        <f aca="false">FALSE()</f>
        <v>0</v>
      </c>
      <c r="P1204" s="20"/>
      <c r="Q1204" s="45" t="n">
        <v>0</v>
      </c>
      <c r="R1204" s="20"/>
      <c r="S1204" s="20"/>
    </row>
    <row r="1205" customFormat="false" ht="15.75" hidden="false" customHeight="false" outlineLevel="0" collapsed="false">
      <c r="A1205" s="39"/>
      <c r="B1205" s="44"/>
      <c r="C1205" s="39"/>
      <c r="D1205" s="39"/>
      <c r="E1205" s="39"/>
      <c r="F1205" s="45"/>
      <c r="G1205" s="40"/>
      <c r="H1205" s="39"/>
      <c r="I1205" s="39" t="str">
        <f aca="false">IF(ISBLANK(H1205),"", IF($H$2:$H2704 = "Gohar Rehan","Overnight",IF($H$2:$H2704 = "Taufeeq Akhtar ","Overnight",IF($H$2:$H2704 = "Zeeshan Ali Malik","Audit",IF($H$2:$H2704 = "Ali Raza ","Receiving",IF($H$2:$H2704 = "Ali Ahmad","Full-In"))))))</f>
        <v/>
      </c>
      <c r="J1205" s="29"/>
      <c r="K1205" s="40"/>
      <c r="L1205" s="40"/>
      <c r="M1205" s="41"/>
      <c r="N1205" s="39" t="s">
        <v>2335</v>
      </c>
      <c r="O1205" s="46" t="b">
        <f aca="false">FALSE()</f>
        <v>0</v>
      </c>
      <c r="P1205" s="20"/>
      <c r="Q1205" s="45" t="n">
        <v>0</v>
      </c>
      <c r="R1205" s="20"/>
      <c r="S1205" s="20"/>
    </row>
    <row r="1206" customFormat="false" ht="15.75" hidden="false" customHeight="false" outlineLevel="0" collapsed="false">
      <c r="A1206" s="39"/>
      <c r="B1206" s="44"/>
      <c r="C1206" s="39"/>
      <c r="D1206" s="39"/>
      <c r="E1206" s="39"/>
      <c r="F1206" s="45"/>
      <c r="G1206" s="40"/>
      <c r="H1206" s="39"/>
      <c r="I1206" s="39" t="str">
        <f aca="false">IF(ISBLANK(H1206),"", IF($H$2:$H2705 = "Gohar Rehan","Overnight",IF($H$2:$H2705 = "Taufeeq Akhtar ","Overnight",IF($H$2:$H2705 = "Zeeshan Ali Malik","Audit",IF($H$2:$H2705 = "Ali Raza ","Receiving",IF($H$2:$H2705 = "Ali Ahmad","Full-In"))))))</f>
        <v/>
      </c>
      <c r="J1206" s="29"/>
      <c r="K1206" s="40"/>
      <c r="L1206" s="40"/>
      <c r="M1206" s="41"/>
      <c r="N1206" s="39" t="s">
        <v>2335</v>
      </c>
      <c r="O1206" s="46" t="b">
        <f aca="false">FALSE()</f>
        <v>0</v>
      </c>
      <c r="P1206" s="20"/>
      <c r="Q1206" s="45" t="n">
        <v>0</v>
      </c>
      <c r="R1206" s="20"/>
      <c r="S1206" s="20"/>
    </row>
    <row r="1207" customFormat="false" ht="15.75" hidden="false" customHeight="false" outlineLevel="0" collapsed="false">
      <c r="A1207" s="39"/>
      <c r="B1207" s="44"/>
      <c r="C1207" s="39"/>
      <c r="D1207" s="39"/>
      <c r="E1207" s="39"/>
      <c r="F1207" s="45"/>
      <c r="G1207" s="40"/>
      <c r="H1207" s="39"/>
      <c r="I1207" s="39" t="str">
        <f aca="false">IF(ISBLANK(H1207),"", IF($H$2:$H2706 = "Gohar Rehan","Overnight",IF($H$2:$H2706 = "Taufeeq Akhtar ","Overnight",IF($H$2:$H2706 = "Zeeshan Ali Malik","Audit",IF($H$2:$H2706 = "Ali Raza ","Receiving",IF($H$2:$H2706 = "Ali Ahmad","Full-In"))))))</f>
        <v/>
      </c>
      <c r="J1207" s="29"/>
      <c r="K1207" s="40"/>
      <c r="L1207" s="40"/>
      <c r="M1207" s="41"/>
      <c r="N1207" s="39" t="s">
        <v>2335</v>
      </c>
      <c r="O1207" s="46" t="b">
        <f aca="false">FALSE()</f>
        <v>0</v>
      </c>
      <c r="P1207" s="20"/>
      <c r="Q1207" s="45" t="n">
        <v>0</v>
      </c>
      <c r="R1207" s="20"/>
      <c r="S1207" s="20"/>
    </row>
    <row r="1208" customFormat="false" ht="15.75" hidden="false" customHeight="false" outlineLevel="0" collapsed="false">
      <c r="A1208" s="39"/>
      <c r="B1208" s="44"/>
      <c r="C1208" s="39"/>
      <c r="D1208" s="39"/>
      <c r="E1208" s="39"/>
      <c r="F1208" s="45"/>
      <c r="G1208" s="40"/>
      <c r="H1208" s="39"/>
      <c r="I1208" s="39" t="str">
        <f aca="false">IF(ISBLANK(H1208),"", IF($H$2:$H2707 = "Gohar Rehan","Overnight",IF($H$2:$H2707 = "Taufeeq Akhtar ","Overnight",IF($H$2:$H2707 = "Zeeshan Ali Malik","Audit",IF($H$2:$H2707 = "Ali Raza ","Receiving",IF($H$2:$H2707 = "Ali Ahmad","Full-In"))))))</f>
        <v/>
      </c>
      <c r="J1208" s="29"/>
      <c r="K1208" s="40"/>
      <c r="L1208" s="40"/>
      <c r="M1208" s="41"/>
      <c r="N1208" s="39" t="s">
        <v>2335</v>
      </c>
      <c r="O1208" s="46" t="b">
        <f aca="false">FALSE()</f>
        <v>0</v>
      </c>
      <c r="P1208" s="20"/>
      <c r="Q1208" s="45" t="n">
        <v>0</v>
      </c>
      <c r="R1208" s="20"/>
      <c r="S1208" s="20"/>
    </row>
    <row r="1209" customFormat="false" ht="15.75" hidden="false" customHeight="false" outlineLevel="0" collapsed="false">
      <c r="A1209" s="39"/>
      <c r="B1209" s="44"/>
      <c r="C1209" s="39"/>
      <c r="D1209" s="39"/>
      <c r="E1209" s="39"/>
      <c r="F1209" s="45"/>
      <c r="G1209" s="40"/>
      <c r="H1209" s="39"/>
      <c r="I1209" s="39" t="str">
        <f aca="false">IF(ISBLANK(H1209),"", IF($H$2:$H2708 = "Gohar Rehan","Overnight",IF($H$2:$H2708 = "Taufeeq Akhtar ","Overnight",IF($H$2:$H2708 = "Zeeshan Ali Malik","Audit",IF($H$2:$H2708 = "Ali Raza ","Receiving",IF($H$2:$H2708 = "Ali Ahmad","Full-In"))))))</f>
        <v/>
      </c>
      <c r="J1209" s="29"/>
      <c r="K1209" s="40"/>
      <c r="L1209" s="40"/>
      <c r="M1209" s="41"/>
      <c r="N1209" s="39" t="s">
        <v>2335</v>
      </c>
      <c r="O1209" s="46" t="b">
        <f aca="false">FALSE()</f>
        <v>0</v>
      </c>
      <c r="P1209" s="20"/>
      <c r="Q1209" s="45" t="n">
        <v>0</v>
      </c>
      <c r="R1209" s="20"/>
      <c r="S1209" s="20"/>
    </row>
    <row r="1210" customFormat="false" ht="15.75" hidden="false" customHeight="false" outlineLevel="0" collapsed="false">
      <c r="A1210" s="39"/>
      <c r="B1210" s="44"/>
      <c r="C1210" s="39"/>
      <c r="D1210" s="39"/>
      <c r="E1210" s="39"/>
      <c r="F1210" s="45"/>
      <c r="G1210" s="40"/>
      <c r="H1210" s="39"/>
      <c r="I1210" s="39" t="str">
        <f aca="false">IF(ISBLANK(H1210),"", IF($H$2:$H2709 = "Gohar Rehan","Overnight",IF($H$2:$H2709 = "Taufeeq Akhtar ","Overnight",IF($H$2:$H2709 = "Zeeshan Ali Malik","Audit",IF($H$2:$H2709 = "Ali Raza ","Receiving",IF($H$2:$H2709 = "Ali Ahmad","Full-In"))))))</f>
        <v/>
      </c>
      <c r="J1210" s="29"/>
      <c r="K1210" s="40"/>
      <c r="L1210" s="40"/>
      <c r="M1210" s="41"/>
      <c r="N1210" s="39" t="s">
        <v>2335</v>
      </c>
      <c r="O1210" s="46" t="b">
        <f aca="false">FALSE()</f>
        <v>0</v>
      </c>
      <c r="P1210" s="20"/>
      <c r="Q1210" s="45" t="n">
        <v>0</v>
      </c>
      <c r="R1210" s="20"/>
      <c r="S1210" s="20"/>
    </row>
    <row r="1211" customFormat="false" ht="15.75" hidden="false" customHeight="false" outlineLevel="0" collapsed="false">
      <c r="A1211" s="39"/>
      <c r="B1211" s="44"/>
      <c r="C1211" s="39"/>
      <c r="D1211" s="39"/>
      <c r="E1211" s="39"/>
      <c r="F1211" s="45"/>
      <c r="G1211" s="40"/>
      <c r="H1211" s="39"/>
      <c r="I1211" s="39" t="str">
        <f aca="false">IF(ISBLANK(H1211),"", IF($H$2:$H2710 = "Gohar Rehan","Overnight",IF($H$2:$H2710 = "Taufeeq Akhtar ","Overnight",IF($H$2:$H2710 = "Zeeshan Ali Malik","Audit",IF($H$2:$H2710 = "Ali Raza ","Receiving",IF($H$2:$H2710 = "Ali Ahmad","Full-In"))))))</f>
        <v/>
      </c>
      <c r="J1211" s="29"/>
      <c r="K1211" s="40"/>
      <c r="L1211" s="40"/>
      <c r="M1211" s="41"/>
      <c r="N1211" s="39" t="s">
        <v>2335</v>
      </c>
      <c r="O1211" s="46" t="b">
        <f aca="false">FALSE()</f>
        <v>0</v>
      </c>
      <c r="P1211" s="20"/>
      <c r="Q1211" s="45" t="n">
        <v>0</v>
      </c>
      <c r="R1211" s="20"/>
      <c r="S1211" s="20"/>
    </row>
    <row r="1212" customFormat="false" ht="15.75" hidden="false" customHeight="false" outlineLevel="0" collapsed="false">
      <c r="A1212" s="39"/>
      <c r="B1212" s="44"/>
      <c r="C1212" s="39"/>
      <c r="D1212" s="39"/>
      <c r="E1212" s="39"/>
      <c r="F1212" s="45"/>
      <c r="G1212" s="40"/>
      <c r="H1212" s="39"/>
      <c r="I1212" s="39" t="str">
        <f aca="false">IF(ISBLANK(H1212),"", IF($H$2:$H2711 = "Gohar Rehan","Overnight",IF($H$2:$H2711 = "Taufeeq Akhtar ","Overnight",IF($H$2:$H2711 = "Zeeshan Ali Malik","Audit",IF($H$2:$H2711 = "Ali Raza ","Receiving",IF($H$2:$H2711 = "Ali Ahmad","Full-In"))))))</f>
        <v/>
      </c>
      <c r="J1212" s="29"/>
      <c r="K1212" s="40"/>
      <c r="L1212" s="40"/>
      <c r="M1212" s="41"/>
      <c r="N1212" s="39" t="s">
        <v>2335</v>
      </c>
      <c r="O1212" s="46" t="b">
        <f aca="false">FALSE()</f>
        <v>0</v>
      </c>
      <c r="P1212" s="20"/>
      <c r="Q1212" s="45" t="n">
        <v>0</v>
      </c>
      <c r="R1212" s="20"/>
      <c r="S1212" s="20"/>
    </row>
    <row r="1213" customFormat="false" ht="15.75" hidden="false" customHeight="false" outlineLevel="0" collapsed="false">
      <c r="A1213" s="39"/>
      <c r="B1213" s="44"/>
      <c r="C1213" s="39"/>
      <c r="D1213" s="39"/>
      <c r="E1213" s="39"/>
      <c r="F1213" s="45"/>
      <c r="G1213" s="40"/>
      <c r="H1213" s="39"/>
      <c r="I1213" s="39" t="str">
        <f aca="false">IF(ISBLANK(H1213),"", IF($H$2:$H2712 = "Gohar Rehan","Overnight",IF($H$2:$H2712 = "Taufeeq Akhtar ","Overnight",IF($H$2:$H2712 = "Zeeshan Ali Malik","Audit",IF($H$2:$H2712 = "Ali Raza ","Receiving",IF($H$2:$H2712 = "Ali Ahmad","Full-In"))))))</f>
        <v/>
      </c>
      <c r="J1213" s="29"/>
      <c r="K1213" s="40"/>
      <c r="L1213" s="40"/>
      <c r="M1213" s="41"/>
      <c r="N1213" s="39" t="s">
        <v>2335</v>
      </c>
      <c r="O1213" s="46" t="b">
        <f aca="false">FALSE()</f>
        <v>0</v>
      </c>
      <c r="P1213" s="20"/>
      <c r="Q1213" s="45" t="n">
        <v>0</v>
      </c>
      <c r="R1213" s="20"/>
      <c r="S1213" s="20"/>
    </row>
    <row r="1214" customFormat="false" ht="15.75" hidden="false" customHeight="false" outlineLevel="0" collapsed="false">
      <c r="A1214" s="39"/>
      <c r="B1214" s="44"/>
      <c r="C1214" s="39"/>
      <c r="D1214" s="39"/>
      <c r="E1214" s="39"/>
      <c r="F1214" s="45"/>
      <c r="G1214" s="40"/>
      <c r="H1214" s="39"/>
      <c r="I1214" s="39" t="str">
        <f aca="false">IF(ISBLANK(H1214),"", IF($H$2:$H2713 = "Gohar Rehan","Overnight",IF($H$2:$H2713 = "Taufeeq Akhtar ","Overnight",IF($H$2:$H2713 = "Zeeshan Ali Malik","Audit",IF($H$2:$H2713 = "Ali Raza ","Receiving",IF($H$2:$H2713 = "Ali Ahmad","Full-In"))))))</f>
        <v/>
      </c>
      <c r="J1214" s="29"/>
      <c r="K1214" s="40"/>
      <c r="L1214" s="40"/>
      <c r="M1214" s="41"/>
      <c r="N1214" s="39" t="s">
        <v>2335</v>
      </c>
      <c r="O1214" s="46" t="b">
        <f aca="false">FALSE()</f>
        <v>0</v>
      </c>
      <c r="P1214" s="20"/>
      <c r="Q1214" s="45" t="n">
        <v>0</v>
      </c>
      <c r="R1214" s="20"/>
      <c r="S1214" s="20"/>
    </row>
    <row r="1215" customFormat="false" ht="15.75" hidden="false" customHeight="false" outlineLevel="0" collapsed="false">
      <c r="A1215" s="39"/>
      <c r="B1215" s="44"/>
      <c r="C1215" s="39"/>
      <c r="D1215" s="39"/>
      <c r="E1215" s="39"/>
      <c r="F1215" s="45"/>
      <c r="G1215" s="40"/>
      <c r="H1215" s="39"/>
      <c r="I1215" s="39" t="str">
        <f aca="false">IF(ISBLANK(H1215),"", IF($H$2:$H2714 = "Gohar Rehan","Overnight",IF($H$2:$H2714 = "Taufeeq Akhtar ","Overnight",IF($H$2:$H2714 = "Zeeshan Ali Malik","Audit",IF($H$2:$H2714 = "Ali Raza ","Receiving",IF($H$2:$H2714 = "Ali Ahmad","Full-In"))))))</f>
        <v/>
      </c>
      <c r="J1215" s="29"/>
      <c r="K1215" s="40"/>
      <c r="L1215" s="40"/>
      <c r="M1215" s="41"/>
      <c r="N1215" s="39" t="s">
        <v>2335</v>
      </c>
      <c r="O1215" s="46" t="b">
        <f aca="false">FALSE()</f>
        <v>0</v>
      </c>
      <c r="P1215" s="20"/>
      <c r="Q1215" s="45" t="n">
        <v>0</v>
      </c>
      <c r="R1215" s="20"/>
      <c r="S1215" s="20"/>
    </row>
    <row r="1216" customFormat="false" ht="15.75" hidden="false" customHeight="false" outlineLevel="0" collapsed="false">
      <c r="A1216" s="39"/>
      <c r="B1216" s="44"/>
      <c r="C1216" s="39"/>
      <c r="D1216" s="39"/>
      <c r="E1216" s="39"/>
      <c r="F1216" s="45"/>
      <c r="G1216" s="40"/>
      <c r="H1216" s="39"/>
      <c r="I1216" s="39" t="str">
        <f aca="false">IF(ISBLANK(H1216),"", IF($H$2:$H2715 = "Gohar Rehan","Overnight",IF($H$2:$H2715 = "Taufeeq Akhtar ","Overnight",IF($H$2:$H2715 = "Zeeshan Ali Malik","Audit",IF($H$2:$H2715 = "Ali Raza ","Receiving",IF($H$2:$H2715 = "Ali Ahmad","Full-In"))))))</f>
        <v/>
      </c>
      <c r="J1216" s="29"/>
      <c r="K1216" s="40"/>
      <c r="L1216" s="40"/>
      <c r="M1216" s="41"/>
      <c r="N1216" s="39" t="s">
        <v>2335</v>
      </c>
      <c r="O1216" s="46" t="b">
        <f aca="false">FALSE()</f>
        <v>0</v>
      </c>
      <c r="P1216" s="20"/>
      <c r="Q1216" s="45" t="n">
        <v>0</v>
      </c>
      <c r="R1216" s="20"/>
      <c r="S1216" s="20"/>
    </row>
    <row r="1217" customFormat="false" ht="15.75" hidden="false" customHeight="false" outlineLevel="0" collapsed="false">
      <c r="A1217" s="39"/>
      <c r="B1217" s="44"/>
      <c r="C1217" s="39"/>
      <c r="D1217" s="39"/>
      <c r="E1217" s="39"/>
      <c r="F1217" s="45"/>
      <c r="G1217" s="40"/>
      <c r="H1217" s="39"/>
      <c r="I1217" s="39" t="str">
        <f aca="false">IF(ISBLANK(H1217),"", IF($H$2:$H2716 = "Gohar Rehan","Overnight",IF($H$2:$H2716 = "Taufeeq Akhtar ","Overnight",IF($H$2:$H2716 = "Zeeshan Ali Malik","Audit",IF($H$2:$H2716 = "Ali Raza ","Receiving",IF($H$2:$H2716 = "Ali Ahmad","Full-In"))))))</f>
        <v/>
      </c>
      <c r="J1217" s="29"/>
      <c r="K1217" s="40"/>
      <c r="L1217" s="40"/>
      <c r="M1217" s="41"/>
      <c r="N1217" s="39" t="s">
        <v>2335</v>
      </c>
      <c r="O1217" s="46" t="b">
        <f aca="false">FALSE()</f>
        <v>0</v>
      </c>
      <c r="P1217" s="20"/>
      <c r="Q1217" s="45" t="n">
        <v>0</v>
      </c>
      <c r="R1217" s="20"/>
      <c r="S1217" s="20"/>
    </row>
    <row r="1218" customFormat="false" ht="15.75" hidden="false" customHeight="false" outlineLevel="0" collapsed="false">
      <c r="A1218" s="39"/>
      <c r="B1218" s="44"/>
      <c r="C1218" s="39"/>
      <c r="D1218" s="39"/>
      <c r="E1218" s="39"/>
      <c r="F1218" s="45"/>
      <c r="G1218" s="40"/>
      <c r="H1218" s="39"/>
      <c r="I1218" s="39" t="str">
        <f aca="false">IF(ISBLANK(H1218),"", IF($H$2:$H2717 = "Gohar Rehan","Overnight",IF($H$2:$H2717 = "Taufeeq Akhtar ","Overnight",IF($H$2:$H2717 = "Zeeshan Ali Malik","Audit",IF($H$2:$H2717 = "Ali Raza ","Receiving",IF($H$2:$H2717 = "Ali Ahmad","Full-In"))))))</f>
        <v/>
      </c>
      <c r="J1218" s="29"/>
      <c r="K1218" s="40"/>
      <c r="L1218" s="40"/>
      <c r="M1218" s="41"/>
      <c r="N1218" s="39" t="s">
        <v>2335</v>
      </c>
      <c r="O1218" s="46" t="b">
        <f aca="false">FALSE()</f>
        <v>0</v>
      </c>
      <c r="P1218" s="20"/>
      <c r="Q1218" s="45" t="n">
        <v>0</v>
      </c>
      <c r="R1218" s="20"/>
      <c r="S1218" s="20"/>
    </row>
    <row r="1219" customFormat="false" ht="15.75" hidden="false" customHeight="false" outlineLevel="0" collapsed="false">
      <c r="A1219" s="39"/>
      <c r="B1219" s="44"/>
      <c r="C1219" s="39"/>
      <c r="D1219" s="39"/>
      <c r="E1219" s="39"/>
      <c r="F1219" s="45"/>
      <c r="G1219" s="40"/>
      <c r="H1219" s="39"/>
      <c r="I1219" s="39" t="str">
        <f aca="false">IF(ISBLANK(H1219),"", IF($H$2:$H2718 = "Gohar Rehan","Overnight",IF($H$2:$H2718 = "Taufeeq Akhtar ","Overnight",IF($H$2:$H2718 = "Zeeshan Ali Malik","Audit",IF($H$2:$H2718 = "Ali Raza ","Receiving",IF($H$2:$H2718 = "Ali Ahmad","Full-In"))))))</f>
        <v/>
      </c>
      <c r="J1219" s="29"/>
      <c r="K1219" s="40"/>
      <c r="L1219" s="40"/>
      <c r="M1219" s="41"/>
      <c r="N1219" s="39" t="s">
        <v>2335</v>
      </c>
      <c r="O1219" s="46" t="b">
        <f aca="false">FALSE()</f>
        <v>0</v>
      </c>
      <c r="P1219" s="20"/>
      <c r="Q1219" s="45" t="n">
        <v>0</v>
      </c>
      <c r="R1219" s="20"/>
      <c r="S1219" s="20"/>
    </row>
    <row r="1220" customFormat="false" ht="15.75" hidden="false" customHeight="false" outlineLevel="0" collapsed="false">
      <c r="A1220" s="39"/>
      <c r="B1220" s="44"/>
      <c r="C1220" s="39"/>
      <c r="D1220" s="39"/>
      <c r="E1220" s="39"/>
      <c r="F1220" s="45"/>
      <c r="G1220" s="40"/>
      <c r="H1220" s="39"/>
      <c r="I1220" s="39" t="str">
        <f aca="false">IF(ISBLANK(H1220),"", IF($H$2:$H2719 = "Gohar Rehan","Overnight",IF($H$2:$H2719 = "Taufeeq Akhtar ","Overnight",IF($H$2:$H2719 = "Zeeshan Ali Malik","Audit",IF($H$2:$H2719 = "Ali Raza ","Receiving",IF($H$2:$H2719 = "Ali Ahmad","Full-In"))))))</f>
        <v/>
      </c>
      <c r="J1220" s="29"/>
      <c r="K1220" s="40"/>
      <c r="L1220" s="40"/>
      <c r="M1220" s="41"/>
      <c r="N1220" s="39" t="s">
        <v>2335</v>
      </c>
      <c r="O1220" s="46" t="b">
        <f aca="false">FALSE()</f>
        <v>0</v>
      </c>
      <c r="P1220" s="20"/>
      <c r="Q1220" s="45" t="n">
        <v>0</v>
      </c>
      <c r="R1220" s="20"/>
      <c r="S1220" s="20"/>
    </row>
    <row r="1221" customFormat="false" ht="15.75" hidden="false" customHeight="false" outlineLevel="0" collapsed="false">
      <c r="A1221" s="39"/>
      <c r="B1221" s="44"/>
      <c r="C1221" s="39"/>
      <c r="D1221" s="39"/>
      <c r="E1221" s="39"/>
      <c r="F1221" s="45"/>
      <c r="G1221" s="40"/>
      <c r="H1221" s="39"/>
      <c r="I1221" s="39" t="str">
        <f aca="false">IF(ISBLANK(H1221),"", IF($H$2:$H2720 = "Gohar Rehan","Overnight",IF($H$2:$H2720 = "Taufeeq Akhtar ","Overnight",IF($H$2:$H2720 = "Zeeshan Ali Malik","Audit",IF($H$2:$H2720 = "Ali Raza ","Receiving",IF($H$2:$H2720 = "Ali Ahmad","Full-In"))))))</f>
        <v/>
      </c>
      <c r="J1221" s="29"/>
      <c r="K1221" s="40"/>
      <c r="L1221" s="40"/>
      <c r="M1221" s="41"/>
      <c r="N1221" s="39" t="s">
        <v>2335</v>
      </c>
      <c r="O1221" s="46" t="b">
        <f aca="false">FALSE()</f>
        <v>0</v>
      </c>
      <c r="P1221" s="20"/>
      <c r="Q1221" s="45" t="n">
        <v>0</v>
      </c>
      <c r="R1221" s="20"/>
      <c r="S1221" s="20"/>
    </row>
    <row r="1222" customFormat="false" ht="15.75" hidden="false" customHeight="false" outlineLevel="0" collapsed="false">
      <c r="A1222" s="39"/>
      <c r="B1222" s="44"/>
      <c r="C1222" s="39"/>
      <c r="D1222" s="39"/>
      <c r="E1222" s="39"/>
      <c r="F1222" s="45"/>
      <c r="G1222" s="40"/>
      <c r="H1222" s="39"/>
      <c r="I1222" s="39" t="str">
        <f aca="false">IF(ISBLANK(H1222),"", IF($H$2:$H2721 = "Gohar Rehan","Overnight",IF($H$2:$H2721 = "Taufeeq Akhtar ","Overnight",IF($H$2:$H2721 = "Zeeshan Ali Malik","Audit",IF($H$2:$H2721 = "Ali Raza ","Receiving",IF($H$2:$H2721 = "Ali Ahmad","Full-In"))))))</f>
        <v/>
      </c>
      <c r="J1222" s="29"/>
      <c r="K1222" s="40"/>
      <c r="L1222" s="40"/>
      <c r="M1222" s="41"/>
      <c r="N1222" s="39" t="s">
        <v>2335</v>
      </c>
      <c r="O1222" s="46" t="b">
        <f aca="false">FALSE()</f>
        <v>0</v>
      </c>
      <c r="P1222" s="20"/>
      <c r="Q1222" s="45" t="n">
        <v>0</v>
      </c>
      <c r="R1222" s="20"/>
      <c r="S1222" s="20"/>
    </row>
    <row r="1223" customFormat="false" ht="15.75" hidden="false" customHeight="false" outlineLevel="0" collapsed="false">
      <c r="A1223" s="39"/>
      <c r="B1223" s="44"/>
      <c r="C1223" s="39"/>
      <c r="D1223" s="39"/>
      <c r="E1223" s="39"/>
      <c r="F1223" s="45"/>
      <c r="G1223" s="40"/>
      <c r="H1223" s="39"/>
      <c r="I1223" s="39" t="str">
        <f aca="false">IF(ISBLANK(H1223),"", IF($H$2:$H2722 = "Gohar Rehan","Overnight",IF($H$2:$H2722 = "Taufeeq Akhtar ","Overnight",IF($H$2:$H2722 = "Zeeshan Ali Malik","Audit",IF($H$2:$H2722 = "Ali Raza ","Receiving",IF($H$2:$H2722 = "Ali Ahmad","Full-In"))))))</f>
        <v/>
      </c>
      <c r="J1223" s="29"/>
      <c r="K1223" s="40"/>
      <c r="L1223" s="40"/>
      <c r="M1223" s="41"/>
      <c r="N1223" s="39" t="s">
        <v>2335</v>
      </c>
      <c r="O1223" s="46" t="b">
        <f aca="false">FALSE()</f>
        <v>0</v>
      </c>
      <c r="P1223" s="20"/>
      <c r="Q1223" s="45" t="n">
        <v>0</v>
      </c>
      <c r="R1223" s="20"/>
      <c r="S1223" s="20"/>
    </row>
    <row r="1224" customFormat="false" ht="15.75" hidden="false" customHeight="false" outlineLevel="0" collapsed="false">
      <c r="A1224" s="39"/>
      <c r="B1224" s="44"/>
      <c r="C1224" s="39"/>
      <c r="D1224" s="39"/>
      <c r="E1224" s="39"/>
      <c r="F1224" s="45"/>
      <c r="G1224" s="40"/>
      <c r="H1224" s="39"/>
      <c r="I1224" s="39" t="str">
        <f aca="false">IF(ISBLANK(H1224),"", IF($H$2:$H2723 = "Gohar Rehan","Overnight",IF($H$2:$H2723 = "Taufeeq Akhtar ","Overnight",IF($H$2:$H2723 = "Zeeshan Ali Malik","Audit",IF($H$2:$H2723 = "Ali Raza ","Receiving",IF($H$2:$H2723 = "Ali Ahmad","Full-In"))))))</f>
        <v/>
      </c>
      <c r="J1224" s="29"/>
      <c r="K1224" s="40"/>
      <c r="L1224" s="40"/>
      <c r="M1224" s="41"/>
      <c r="N1224" s="39" t="s">
        <v>2335</v>
      </c>
      <c r="O1224" s="46" t="b">
        <f aca="false">FALSE()</f>
        <v>0</v>
      </c>
      <c r="P1224" s="20"/>
      <c r="Q1224" s="45" t="n">
        <v>0</v>
      </c>
      <c r="R1224" s="20"/>
      <c r="S1224" s="20"/>
    </row>
    <row r="1225" customFormat="false" ht="15.75" hidden="false" customHeight="false" outlineLevel="0" collapsed="false">
      <c r="A1225" s="39"/>
      <c r="B1225" s="44"/>
      <c r="C1225" s="39"/>
      <c r="D1225" s="39"/>
      <c r="E1225" s="39"/>
      <c r="F1225" s="45"/>
      <c r="G1225" s="40"/>
      <c r="H1225" s="39"/>
      <c r="I1225" s="39" t="str">
        <f aca="false">IF(ISBLANK(H1225),"", IF($H$2:$H2724 = "Gohar Rehan","Overnight",IF($H$2:$H2724 = "Taufeeq Akhtar ","Overnight",IF($H$2:$H2724 = "Zeeshan Ali Malik","Audit",IF($H$2:$H2724 = "Ali Raza ","Receiving",IF($H$2:$H2724 = "Ali Ahmad","Full-In"))))))</f>
        <v/>
      </c>
      <c r="J1225" s="29"/>
      <c r="K1225" s="40"/>
      <c r="L1225" s="40"/>
      <c r="M1225" s="41"/>
      <c r="N1225" s="39" t="s">
        <v>2335</v>
      </c>
      <c r="O1225" s="46" t="b">
        <f aca="false">FALSE()</f>
        <v>0</v>
      </c>
      <c r="P1225" s="20"/>
      <c r="Q1225" s="45" t="n">
        <v>0</v>
      </c>
      <c r="R1225" s="20"/>
      <c r="S1225" s="20"/>
    </row>
    <row r="1226" customFormat="false" ht="15.75" hidden="false" customHeight="false" outlineLevel="0" collapsed="false">
      <c r="A1226" s="39"/>
      <c r="B1226" s="44"/>
      <c r="C1226" s="39"/>
      <c r="D1226" s="39"/>
      <c r="E1226" s="39"/>
      <c r="F1226" s="45"/>
      <c r="G1226" s="40"/>
      <c r="H1226" s="39"/>
      <c r="I1226" s="39" t="str">
        <f aca="false">IF(ISBLANK(H1226),"", IF($H$2:$H2725 = "Gohar Rehan","Overnight",IF($H$2:$H2725 = "Taufeeq Akhtar ","Overnight",IF($H$2:$H2725 = "Zeeshan Ali Malik","Audit",IF($H$2:$H2725 = "Ali Raza ","Receiving",IF($H$2:$H2725 = "Ali Ahmad","Full-In"))))))</f>
        <v/>
      </c>
      <c r="J1226" s="29"/>
      <c r="K1226" s="40"/>
      <c r="L1226" s="40"/>
      <c r="M1226" s="41"/>
      <c r="N1226" s="39" t="s">
        <v>2335</v>
      </c>
      <c r="O1226" s="46" t="b">
        <f aca="false">FALSE()</f>
        <v>0</v>
      </c>
      <c r="P1226" s="20"/>
      <c r="Q1226" s="45" t="n">
        <v>0</v>
      </c>
      <c r="R1226" s="20"/>
      <c r="S1226" s="20"/>
    </row>
    <row r="1227" customFormat="false" ht="15.75" hidden="false" customHeight="false" outlineLevel="0" collapsed="false">
      <c r="A1227" s="39"/>
      <c r="B1227" s="44"/>
      <c r="C1227" s="39"/>
      <c r="D1227" s="39"/>
      <c r="E1227" s="39"/>
      <c r="F1227" s="45"/>
      <c r="G1227" s="40"/>
      <c r="H1227" s="39"/>
      <c r="I1227" s="39" t="str">
        <f aca="false">IF(ISBLANK(H1227),"", IF($H$2:$H2726 = "Gohar Rehan","Overnight",IF($H$2:$H2726 = "Taufeeq Akhtar ","Overnight",IF($H$2:$H2726 = "Zeeshan Ali Malik","Audit",IF($H$2:$H2726 = "Ali Raza ","Receiving",IF($H$2:$H2726 = "Ali Ahmad","Full-In"))))))</f>
        <v/>
      </c>
      <c r="J1227" s="29"/>
      <c r="K1227" s="40"/>
      <c r="L1227" s="40"/>
      <c r="M1227" s="41"/>
      <c r="N1227" s="39" t="s">
        <v>2335</v>
      </c>
      <c r="O1227" s="46" t="b">
        <f aca="false">FALSE()</f>
        <v>0</v>
      </c>
      <c r="P1227" s="20"/>
      <c r="Q1227" s="45" t="n">
        <v>0</v>
      </c>
      <c r="R1227" s="20"/>
      <c r="S1227" s="20"/>
    </row>
    <row r="1228" customFormat="false" ht="15.75" hidden="false" customHeight="false" outlineLevel="0" collapsed="false">
      <c r="A1228" s="39"/>
      <c r="B1228" s="44"/>
      <c r="C1228" s="39"/>
      <c r="D1228" s="39"/>
      <c r="E1228" s="39"/>
      <c r="F1228" s="45"/>
      <c r="G1228" s="40"/>
      <c r="H1228" s="39"/>
      <c r="I1228" s="39" t="str">
        <f aca="false">IF(ISBLANK(H1228),"", IF($H$2:$H2727 = "Gohar Rehan","Overnight",IF($H$2:$H2727 = "Taufeeq Akhtar ","Overnight",IF($H$2:$H2727 = "Zeeshan Ali Malik","Audit",IF($H$2:$H2727 = "Ali Raza ","Receiving",IF($H$2:$H2727 = "Ali Ahmad","Full-In"))))))</f>
        <v/>
      </c>
      <c r="J1228" s="29"/>
      <c r="K1228" s="40"/>
      <c r="L1228" s="40"/>
      <c r="M1228" s="41"/>
      <c r="N1228" s="39" t="s">
        <v>2335</v>
      </c>
      <c r="O1228" s="46" t="b">
        <f aca="false">FALSE()</f>
        <v>0</v>
      </c>
      <c r="P1228" s="20"/>
      <c r="Q1228" s="45" t="n">
        <v>0</v>
      </c>
      <c r="R1228" s="20"/>
      <c r="S1228" s="20"/>
    </row>
    <row r="1229" customFormat="false" ht="15.75" hidden="false" customHeight="false" outlineLevel="0" collapsed="false">
      <c r="A1229" s="39"/>
      <c r="B1229" s="44"/>
      <c r="C1229" s="39"/>
      <c r="D1229" s="39"/>
      <c r="E1229" s="39"/>
      <c r="F1229" s="45"/>
      <c r="G1229" s="40"/>
      <c r="H1229" s="39"/>
      <c r="I1229" s="39" t="str">
        <f aca="false">IF(ISBLANK(H1229),"", IF($H$2:$H2728 = "Gohar Rehan","Overnight",IF($H$2:$H2728 = "Taufeeq Akhtar ","Overnight",IF($H$2:$H2728 = "Zeeshan Ali Malik","Audit",IF($H$2:$H2728 = "Ali Raza ","Receiving",IF($H$2:$H2728 = "Ali Ahmad","Full-In"))))))</f>
        <v/>
      </c>
      <c r="J1229" s="29"/>
      <c r="K1229" s="40"/>
      <c r="L1229" s="40"/>
      <c r="M1229" s="41"/>
      <c r="N1229" s="39" t="s">
        <v>2335</v>
      </c>
      <c r="O1229" s="46" t="b">
        <f aca="false">FALSE()</f>
        <v>0</v>
      </c>
      <c r="P1229" s="20"/>
      <c r="Q1229" s="45" t="n">
        <v>0</v>
      </c>
      <c r="R1229" s="20"/>
      <c r="S1229" s="20"/>
    </row>
    <row r="1230" customFormat="false" ht="15.75" hidden="false" customHeight="false" outlineLevel="0" collapsed="false">
      <c r="A1230" s="39"/>
      <c r="B1230" s="44"/>
      <c r="C1230" s="39"/>
      <c r="D1230" s="39"/>
      <c r="E1230" s="39"/>
      <c r="F1230" s="45"/>
      <c r="G1230" s="40"/>
      <c r="H1230" s="39"/>
      <c r="I1230" s="39" t="str">
        <f aca="false">IF(ISBLANK(H1230),"", IF($H$2:$H2729 = "Gohar Rehan","Overnight",IF($H$2:$H2729 = "Taufeeq Akhtar ","Overnight",IF($H$2:$H2729 = "Zeeshan Ali Malik","Audit",IF($H$2:$H2729 = "Ali Raza ","Receiving",IF($H$2:$H2729 = "Ali Ahmad","Full-In"))))))</f>
        <v/>
      </c>
      <c r="J1230" s="29"/>
      <c r="K1230" s="40"/>
      <c r="L1230" s="40"/>
      <c r="M1230" s="41"/>
      <c r="N1230" s="39" t="s">
        <v>2335</v>
      </c>
      <c r="O1230" s="46" t="b">
        <f aca="false">FALSE()</f>
        <v>0</v>
      </c>
      <c r="P1230" s="20"/>
      <c r="Q1230" s="45" t="n">
        <v>0</v>
      </c>
      <c r="R1230" s="20"/>
      <c r="S1230" s="20"/>
    </row>
    <row r="1231" customFormat="false" ht="15.75" hidden="false" customHeight="false" outlineLevel="0" collapsed="false">
      <c r="A1231" s="39"/>
      <c r="B1231" s="44"/>
      <c r="C1231" s="39"/>
      <c r="D1231" s="39"/>
      <c r="E1231" s="39"/>
      <c r="F1231" s="45"/>
      <c r="G1231" s="40"/>
      <c r="H1231" s="39"/>
      <c r="I1231" s="39" t="str">
        <f aca="false">IF(ISBLANK(H1231),"", IF($H$2:$H2730 = "Gohar Rehan","Overnight",IF($H$2:$H2730 = "Taufeeq Akhtar ","Overnight",IF($H$2:$H2730 = "Zeeshan Ali Malik","Audit",IF($H$2:$H2730 = "Ali Raza ","Receiving",IF($H$2:$H2730 = "Ali Ahmad","Full-In"))))))</f>
        <v/>
      </c>
      <c r="J1231" s="29"/>
      <c r="K1231" s="40"/>
      <c r="L1231" s="40"/>
      <c r="M1231" s="41"/>
      <c r="N1231" s="39" t="s">
        <v>2335</v>
      </c>
      <c r="O1231" s="46" t="b">
        <f aca="false">FALSE()</f>
        <v>0</v>
      </c>
      <c r="P1231" s="20"/>
      <c r="Q1231" s="45" t="n">
        <v>0</v>
      </c>
      <c r="R1231" s="20"/>
      <c r="S1231" s="20"/>
    </row>
    <row r="1232" customFormat="false" ht="15.75" hidden="false" customHeight="false" outlineLevel="0" collapsed="false">
      <c r="A1232" s="39"/>
      <c r="B1232" s="44"/>
      <c r="C1232" s="39"/>
      <c r="D1232" s="39"/>
      <c r="E1232" s="39"/>
      <c r="F1232" s="45"/>
      <c r="G1232" s="40"/>
      <c r="H1232" s="39"/>
      <c r="I1232" s="39" t="str">
        <f aca="false">IF(ISBLANK(H1232),"", IF($H$2:$H2731 = "Gohar Rehan","Overnight",IF($H$2:$H2731 = "Taufeeq Akhtar ","Overnight",IF($H$2:$H2731 = "Zeeshan Ali Malik","Audit",IF($H$2:$H2731 = "Ali Raza ","Receiving",IF($H$2:$H2731 = "Ali Ahmad","Full-In"))))))</f>
        <v/>
      </c>
      <c r="J1232" s="29"/>
      <c r="K1232" s="40"/>
      <c r="L1232" s="40"/>
      <c r="M1232" s="41"/>
      <c r="N1232" s="39" t="s">
        <v>2335</v>
      </c>
      <c r="O1232" s="46" t="b">
        <f aca="false">FALSE()</f>
        <v>0</v>
      </c>
      <c r="P1232" s="20"/>
      <c r="Q1232" s="45" t="n">
        <v>0</v>
      </c>
      <c r="R1232" s="20"/>
      <c r="S1232" s="20"/>
    </row>
    <row r="1233" customFormat="false" ht="15.75" hidden="false" customHeight="false" outlineLevel="0" collapsed="false">
      <c r="A1233" s="39"/>
      <c r="B1233" s="44"/>
      <c r="C1233" s="39"/>
      <c r="D1233" s="39"/>
      <c r="E1233" s="39"/>
      <c r="F1233" s="45"/>
      <c r="G1233" s="40"/>
      <c r="H1233" s="39"/>
      <c r="I1233" s="39" t="str">
        <f aca="false">IF(ISBLANK(H1233),"", IF($H$2:$H2732 = "Gohar Rehan","Overnight",IF($H$2:$H2732 = "Taufeeq Akhtar ","Overnight",IF($H$2:$H2732 = "Zeeshan Ali Malik","Audit",IF($H$2:$H2732 = "Ali Raza ","Receiving",IF($H$2:$H2732 = "Ali Ahmad","Full-In"))))))</f>
        <v/>
      </c>
      <c r="J1233" s="29"/>
      <c r="K1233" s="40"/>
      <c r="L1233" s="40"/>
      <c r="M1233" s="41"/>
      <c r="N1233" s="39" t="s">
        <v>2335</v>
      </c>
      <c r="O1233" s="46" t="b">
        <f aca="false">FALSE()</f>
        <v>0</v>
      </c>
      <c r="P1233" s="20"/>
      <c r="Q1233" s="45" t="n">
        <v>0</v>
      </c>
      <c r="R1233" s="20"/>
      <c r="S1233" s="20"/>
    </row>
    <row r="1234" customFormat="false" ht="15.75" hidden="false" customHeight="false" outlineLevel="0" collapsed="false">
      <c r="A1234" s="39"/>
      <c r="B1234" s="44"/>
      <c r="C1234" s="39"/>
      <c r="D1234" s="39"/>
      <c r="E1234" s="39"/>
      <c r="F1234" s="45"/>
      <c r="G1234" s="40"/>
      <c r="H1234" s="39"/>
      <c r="I1234" s="39" t="str">
        <f aca="false">IF(ISBLANK(H1234),"", IF($H$2:$H2733 = "Gohar Rehan","Overnight",IF($H$2:$H2733 = "Taufeeq Akhtar ","Overnight",IF($H$2:$H2733 = "Zeeshan Ali Malik","Audit",IF($H$2:$H2733 = "Ali Raza ","Receiving",IF($H$2:$H2733 = "Ali Ahmad","Full-In"))))))</f>
        <v/>
      </c>
      <c r="J1234" s="29"/>
      <c r="K1234" s="40"/>
      <c r="L1234" s="40"/>
      <c r="M1234" s="41"/>
      <c r="N1234" s="39" t="s">
        <v>2335</v>
      </c>
      <c r="O1234" s="46" t="b">
        <f aca="false">FALSE()</f>
        <v>0</v>
      </c>
      <c r="P1234" s="20"/>
      <c r="Q1234" s="45" t="n">
        <v>0</v>
      </c>
      <c r="R1234" s="20"/>
      <c r="S1234" s="20"/>
    </row>
    <row r="1235" customFormat="false" ht="15.75" hidden="false" customHeight="false" outlineLevel="0" collapsed="false">
      <c r="A1235" s="39"/>
      <c r="B1235" s="44"/>
      <c r="C1235" s="39"/>
      <c r="D1235" s="39"/>
      <c r="E1235" s="39"/>
      <c r="F1235" s="45"/>
      <c r="G1235" s="40"/>
      <c r="H1235" s="39"/>
      <c r="I1235" s="39" t="str">
        <f aca="false">IF(ISBLANK(H1235),"", IF($H$2:$H2734 = "Gohar Rehan","Overnight",IF($H$2:$H2734 = "Taufeeq Akhtar ","Overnight",IF($H$2:$H2734 = "Zeeshan Ali Malik","Audit",IF($H$2:$H2734 = "Ali Raza ","Receiving",IF($H$2:$H2734 = "Ali Ahmad","Full-In"))))))</f>
        <v/>
      </c>
      <c r="J1235" s="29"/>
      <c r="K1235" s="40"/>
      <c r="L1235" s="40"/>
      <c r="M1235" s="41"/>
      <c r="N1235" s="39" t="s">
        <v>2335</v>
      </c>
      <c r="O1235" s="46" t="b">
        <f aca="false">FALSE()</f>
        <v>0</v>
      </c>
      <c r="P1235" s="20"/>
      <c r="Q1235" s="45" t="n">
        <v>0</v>
      </c>
      <c r="R1235" s="20"/>
      <c r="S1235" s="20"/>
    </row>
    <row r="1236" customFormat="false" ht="15.75" hidden="false" customHeight="false" outlineLevel="0" collapsed="false">
      <c r="A1236" s="39"/>
      <c r="B1236" s="44"/>
      <c r="C1236" s="39"/>
      <c r="D1236" s="39"/>
      <c r="E1236" s="39"/>
      <c r="F1236" s="45"/>
      <c r="G1236" s="40"/>
      <c r="H1236" s="39"/>
      <c r="I1236" s="39" t="str">
        <f aca="false">IF(ISBLANK(H1236),"", IF($H$2:$H2735 = "Gohar Rehan","Overnight",IF($H$2:$H2735 = "Taufeeq Akhtar ","Overnight",IF($H$2:$H2735 = "Zeeshan Ali Malik","Audit",IF($H$2:$H2735 = "Ali Raza ","Receiving",IF($H$2:$H2735 = "Ali Ahmad","Full-In"))))))</f>
        <v/>
      </c>
      <c r="J1236" s="29"/>
      <c r="K1236" s="40"/>
      <c r="L1236" s="40"/>
      <c r="M1236" s="41"/>
      <c r="N1236" s="39" t="s">
        <v>2335</v>
      </c>
      <c r="O1236" s="46" t="b">
        <f aca="false">FALSE()</f>
        <v>0</v>
      </c>
      <c r="P1236" s="20"/>
      <c r="Q1236" s="45" t="n">
        <v>0</v>
      </c>
      <c r="R1236" s="20"/>
      <c r="S1236" s="20"/>
    </row>
    <row r="1237" customFormat="false" ht="15.75" hidden="false" customHeight="false" outlineLevel="0" collapsed="false">
      <c r="A1237" s="39"/>
      <c r="B1237" s="44"/>
      <c r="C1237" s="39"/>
      <c r="D1237" s="39"/>
      <c r="E1237" s="39"/>
      <c r="F1237" s="45"/>
      <c r="G1237" s="40"/>
      <c r="H1237" s="39"/>
      <c r="I1237" s="39" t="str">
        <f aca="false">IF(ISBLANK(H1237),"", IF($H$2:$H2736 = "Gohar Rehan","Overnight",IF($H$2:$H2736 = "Taufeeq Akhtar ","Overnight",IF($H$2:$H2736 = "Zeeshan Ali Malik","Audit",IF($H$2:$H2736 = "Ali Raza ","Receiving",IF($H$2:$H2736 = "Ali Ahmad","Full-In"))))))</f>
        <v/>
      </c>
      <c r="J1237" s="29"/>
      <c r="K1237" s="40"/>
      <c r="L1237" s="40"/>
      <c r="M1237" s="41"/>
      <c r="N1237" s="39" t="s">
        <v>2335</v>
      </c>
      <c r="O1237" s="46" t="b">
        <f aca="false">FALSE()</f>
        <v>0</v>
      </c>
      <c r="P1237" s="20"/>
      <c r="Q1237" s="45" t="n">
        <v>0</v>
      </c>
      <c r="R1237" s="20"/>
      <c r="S1237" s="20"/>
    </row>
    <row r="1238" customFormat="false" ht="15.75" hidden="false" customHeight="false" outlineLevel="0" collapsed="false">
      <c r="A1238" s="39"/>
      <c r="B1238" s="44"/>
      <c r="C1238" s="39"/>
      <c r="D1238" s="39"/>
      <c r="E1238" s="39"/>
      <c r="F1238" s="45"/>
      <c r="G1238" s="40"/>
      <c r="H1238" s="39"/>
      <c r="I1238" s="39" t="str">
        <f aca="false">IF(ISBLANK(H1238),"", IF($H$2:$H2737 = "Gohar Rehan","Overnight",IF($H$2:$H2737 = "Taufeeq Akhtar ","Overnight",IF($H$2:$H2737 = "Zeeshan Ali Malik","Audit",IF($H$2:$H2737 = "Ali Raza ","Receiving",IF($H$2:$H2737 = "Ali Ahmad","Full-In"))))))</f>
        <v/>
      </c>
      <c r="J1238" s="29"/>
      <c r="K1238" s="40"/>
      <c r="L1238" s="40"/>
      <c r="M1238" s="41"/>
      <c r="N1238" s="39" t="s">
        <v>2335</v>
      </c>
      <c r="O1238" s="46" t="b">
        <f aca="false">FALSE()</f>
        <v>0</v>
      </c>
      <c r="P1238" s="20"/>
      <c r="Q1238" s="45" t="n">
        <v>0</v>
      </c>
      <c r="R1238" s="20"/>
      <c r="S1238" s="20"/>
    </row>
    <row r="1239" customFormat="false" ht="15.75" hidden="false" customHeight="false" outlineLevel="0" collapsed="false">
      <c r="A1239" s="39"/>
      <c r="B1239" s="44"/>
      <c r="C1239" s="39"/>
      <c r="D1239" s="39"/>
      <c r="E1239" s="39"/>
      <c r="F1239" s="45"/>
      <c r="G1239" s="40"/>
      <c r="H1239" s="39"/>
      <c r="I1239" s="39" t="str">
        <f aca="false">IF(ISBLANK(H1239),"", IF($H$2:$H2738 = "Gohar Rehan","Overnight",IF($H$2:$H2738 = "Taufeeq Akhtar ","Overnight",IF($H$2:$H2738 = "Zeeshan Ali Malik","Audit",IF($H$2:$H2738 = "Ali Raza ","Receiving",IF($H$2:$H2738 = "Ali Ahmad","Full-In"))))))</f>
        <v/>
      </c>
      <c r="J1239" s="29"/>
      <c r="K1239" s="40"/>
      <c r="L1239" s="40"/>
      <c r="M1239" s="41"/>
      <c r="N1239" s="39" t="s">
        <v>2335</v>
      </c>
      <c r="O1239" s="46" t="b">
        <f aca="false">FALSE()</f>
        <v>0</v>
      </c>
      <c r="P1239" s="20"/>
      <c r="Q1239" s="45" t="n">
        <v>0</v>
      </c>
      <c r="R1239" s="20"/>
      <c r="S1239" s="20"/>
    </row>
    <row r="1240" customFormat="false" ht="15.75" hidden="false" customHeight="false" outlineLevel="0" collapsed="false">
      <c r="A1240" s="39"/>
      <c r="B1240" s="44"/>
      <c r="C1240" s="39"/>
      <c r="D1240" s="39"/>
      <c r="E1240" s="39"/>
      <c r="F1240" s="45"/>
      <c r="G1240" s="40"/>
      <c r="H1240" s="39"/>
      <c r="I1240" s="39" t="str">
        <f aca="false">IF(ISBLANK(H1240),"", IF($H$2:$H2739 = "Gohar Rehan","Overnight",IF($H$2:$H2739 = "Taufeeq Akhtar ","Overnight",IF($H$2:$H2739 = "Zeeshan Ali Malik","Audit",IF($H$2:$H2739 = "Ali Raza ","Receiving",IF($H$2:$H2739 = "Ali Ahmad","Full-In"))))))</f>
        <v/>
      </c>
      <c r="J1240" s="29"/>
      <c r="K1240" s="40"/>
      <c r="L1240" s="40"/>
      <c r="M1240" s="41"/>
      <c r="N1240" s="39" t="s">
        <v>2335</v>
      </c>
      <c r="O1240" s="46" t="b">
        <f aca="false">FALSE()</f>
        <v>0</v>
      </c>
      <c r="P1240" s="20"/>
      <c r="Q1240" s="45" t="n">
        <v>0</v>
      </c>
      <c r="R1240" s="20"/>
      <c r="S1240" s="20"/>
    </row>
    <row r="1241" customFormat="false" ht="15.75" hidden="false" customHeight="false" outlineLevel="0" collapsed="false">
      <c r="A1241" s="39"/>
      <c r="B1241" s="44"/>
      <c r="C1241" s="39"/>
      <c r="D1241" s="39"/>
      <c r="E1241" s="39"/>
      <c r="F1241" s="45"/>
      <c r="G1241" s="40"/>
      <c r="H1241" s="39"/>
      <c r="I1241" s="39" t="str">
        <f aca="false">IF(ISBLANK(H1241),"", IF($H$2:$H2740 = "Gohar Rehan","Overnight",IF($H$2:$H2740 = "Taufeeq Akhtar ","Overnight",IF($H$2:$H2740 = "Zeeshan Ali Malik","Audit",IF($H$2:$H2740 = "Ali Raza ","Receiving",IF($H$2:$H2740 = "Ali Ahmad","Full-In"))))))</f>
        <v/>
      </c>
      <c r="J1241" s="29"/>
      <c r="K1241" s="40"/>
      <c r="L1241" s="40"/>
      <c r="M1241" s="41"/>
      <c r="N1241" s="39" t="s">
        <v>2335</v>
      </c>
      <c r="O1241" s="46" t="b">
        <f aca="false">FALSE()</f>
        <v>0</v>
      </c>
      <c r="P1241" s="20"/>
      <c r="Q1241" s="45" t="n">
        <v>0</v>
      </c>
      <c r="R1241" s="20"/>
      <c r="S1241" s="20"/>
    </row>
    <row r="1242" customFormat="false" ht="15.75" hidden="false" customHeight="false" outlineLevel="0" collapsed="false">
      <c r="A1242" s="39"/>
      <c r="B1242" s="44"/>
      <c r="C1242" s="39"/>
      <c r="D1242" s="39"/>
      <c r="E1242" s="39"/>
      <c r="F1242" s="45"/>
      <c r="G1242" s="40"/>
      <c r="H1242" s="39"/>
      <c r="I1242" s="39" t="str">
        <f aca="false">IF(ISBLANK(H1242),"", IF($H$2:$H2741 = "Gohar Rehan","Overnight",IF($H$2:$H2741 = "Taufeeq Akhtar ","Overnight",IF($H$2:$H2741 = "Zeeshan Ali Malik","Audit",IF($H$2:$H2741 = "Ali Raza ","Receiving",IF($H$2:$H2741 = "Ali Ahmad","Full-In"))))))</f>
        <v/>
      </c>
      <c r="J1242" s="29"/>
      <c r="K1242" s="40"/>
      <c r="L1242" s="40"/>
      <c r="M1242" s="41"/>
      <c r="N1242" s="39" t="s">
        <v>2335</v>
      </c>
      <c r="O1242" s="46" t="b">
        <f aca="false">FALSE()</f>
        <v>0</v>
      </c>
      <c r="P1242" s="20"/>
      <c r="Q1242" s="45" t="n">
        <v>0</v>
      </c>
      <c r="R1242" s="20"/>
      <c r="S1242" s="20"/>
    </row>
    <row r="1243" customFormat="false" ht="15.75" hidden="false" customHeight="false" outlineLevel="0" collapsed="false">
      <c r="A1243" s="39"/>
      <c r="B1243" s="44"/>
      <c r="C1243" s="39"/>
      <c r="D1243" s="39"/>
      <c r="E1243" s="39"/>
      <c r="F1243" s="45"/>
      <c r="G1243" s="40"/>
      <c r="H1243" s="39"/>
      <c r="I1243" s="39" t="str">
        <f aca="false">IF(ISBLANK(H1243),"", IF($H$2:$H2742 = "Gohar Rehan","Overnight",IF($H$2:$H2742 = "Taufeeq Akhtar ","Overnight",IF($H$2:$H2742 = "Zeeshan Ali Malik","Audit",IF($H$2:$H2742 = "Ali Raza ","Receiving",IF($H$2:$H2742 = "Ali Ahmad","Full-In"))))))</f>
        <v/>
      </c>
      <c r="J1243" s="29"/>
      <c r="K1243" s="40"/>
      <c r="L1243" s="40"/>
      <c r="M1243" s="41"/>
      <c r="N1243" s="39" t="s">
        <v>2335</v>
      </c>
      <c r="O1243" s="46" t="b">
        <f aca="false">FALSE()</f>
        <v>0</v>
      </c>
      <c r="P1243" s="20"/>
      <c r="Q1243" s="45" t="n">
        <v>0</v>
      </c>
      <c r="R1243" s="20"/>
      <c r="S1243" s="20"/>
    </row>
    <row r="1244" customFormat="false" ht="15.75" hidden="false" customHeight="false" outlineLevel="0" collapsed="false">
      <c r="A1244" s="39"/>
      <c r="B1244" s="44"/>
      <c r="C1244" s="39"/>
      <c r="D1244" s="39"/>
      <c r="E1244" s="39"/>
      <c r="F1244" s="45"/>
      <c r="G1244" s="40"/>
      <c r="H1244" s="39"/>
      <c r="I1244" s="39" t="str">
        <f aca="false">IF(ISBLANK(H1244),"", IF($H$2:$H2743 = "Gohar Rehan","Overnight",IF($H$2:$H2743 = "Taufeeq Akhtar ","Overnight",IF($H$2:$H2743 = "Zeeshan Ali Malik","Audit",IF($H$2:$H2743 = "Ali Raza ","Receiving",IF($H$2:$H2743 = "Ali Ahmad","Full-In"))))))</f>
        <v/>
      </c>
      <c r="J1244" s="29"/>
      <c r="K1244" s="40"/>
      <c r="L1244" s="40"/>
      <c r="M1244" s="41"/>
      <c r="N1244" s="39" t="s">
        <v>2335</v>
      </c>
      <c r="O1244" s="46" t="b">
        <f aca="false">FALSE()</f>
        <v>0</v>
      </c>
      <c r="P1244" s="20"/>
      <c r="Q1244" s="45" t="n">
        <v>0</v>
      </c>
      <c r="R1244" s="20"/>
      <c r="S1244" s="20"/>
    </row>
    <row r="1245" customFormat="false" ht="15.75" hidden="false" customHeight="false" outlineLevel="0" collapsed="false">
      <c r="A1245" s="39"/>
      <c r="B1245" s="44"/>
      <c r="C1245" s="39"/>
      <c r="D1245" s="39"/>
      <c r="E1245" s="39"/>
      <c r="F1245" s="45"/>
      <c r="G1245" s="40"/>
      <c r="H1245" s="39"/>
      <c r="I1245" s="39" t="str">
        <f aca="false">IF(ISBLANK(H1245),"", IF($H$2:$H2744 = "Gohar Rehan","Overnight",IF($H$2:$H2744 = "Taufeeq Akhtar ","Overnight",IF($H$2:$H2744 = "Zeeshan Ali Malik","Audit",IF($H$2:$H2744 = "Ali Raza ","Receiving",IF($H$2:$H2744 = "Ali Ahmad","Full-In"))))))</f>
        <v/>
      </c>
      <c r="J1245" s="29"/>
      <c r="K1245" s="40"/>
      <c r="L1245" s="40"/>
      <c r="M1245" s="41"/>
      <c r="N1245" s="39" t="s">
        <v>2335</v>
      </c>
      <c r="O1245" s="46" t="b">
        <f aca="false">FALSE()</f>
        <v>0</v>
      </c>
      <c r="P1245" s="20"/>
      <c r="Q1245" s="45" t="n">
        <v>0</v>
      </c>
      <c r="R1245" s="20"/>
      <c r="S1245" s="20"/>
    </row>
    <row r="1246" customFormat="false" ht="15.75" hidden="false" customHeight="false" outlineLevel="0" collapsed="false">
      <c r="A1246" s="39"/>
      <c r="B1246" s="44"/>
      <c r="C1246" s="39"/>
      <c r="D1246" s="39"/>
      <c r="E1246" s="39"/>
      <c r="F1246" s="45"/>
      <c r="G1246" s="40"/>
      <c r="H1246" s="39"/>
      <c r="I1246" s="39" t="str">
        <f aca="false">IF(ISBLANK(H1246),"", IF($H$2:$H2745 = "Gohar Rehan","Overnight",IF($H$2:$H2745 = "Taufeeq Akhtar ","Overnight",IF($H$2:$H2745 = "Zeeshan Ali Malik","Audit",IF($H$2:$H2745 = "Ali Raza ","Receiving",IF($H$2:$H2745 = "Ali Ahmad","Full-In"))))))</f>
        <v/>
      </c>
      <c r="J1246" s="29"/>
      <c r="K1246" s="40"/>
      <c r="L1246" s="40"/>
      <c r="M1246" s="41"/>
      <c r="N1246" s="39" t="s">
        <v>2335</v>
      </c>
      <c r="O1246" s="46" t="b">
        <f aca="false">FALSE()</f>
        <v>0</v>
      </c>
      <c r="P1246" s="20"/>
      <c r="Q1246" s="45" t="n">
        <v>0</v>
      </c>
      <c r="R1246" s="20"/>
      <c r="S1246" s="20"/>
    </row>
    <row r="1247" customFormat="false" ht="15.75" hidden="false" customHeight="false" outlineLevel="0" collapsed="false">
      <c r="A1247" s="39"/>
      <c r="B1247" s="44"/>
      <c r="C1247" s="39"/>
      <c r="D1247" s="39"/>
      <c r="E1247" s="39"/>
      <c r="F1247" s="45"/>
      <c r="G1247" s="40"/>
      <c r="H1247" s="39"/>
      <c r="I1247" s="39" t="str">
        <f aca="false">IF(ISBLANK(H1247),"", IF($H$2:$H2746 = "Gohar Rehan","Overnight",IF($H$2:$H2746 = "Taufeeq Akhtar ","Overnight",IF($H$2:$H2746 = "Zeeshan Ali Malik","Audit",IF($H$2:$H2746 = "Ali Raza ","Receiving",IF($H$2:$H2746 = "Ali Ahmad","Full-In"))))))</f>
        <v/>
      </c>
      <c r="J1247" s="29"/>
      <c r="K1247" s="40"/>
      <c r="L1247" s="40"/>
      <c r="M1247" s="41"/>
      <c r="N1247" s="39" t="s">
        <v>2335</v>
      </c>
      <c r="O1247" s="46" t="b">
        <f aca="false">FALSE()</f>
        <v>0</v>
      </c>
      <c r="P1247" s="20"/>
      <c r="Q1247" s="45" t="n">
        <v>0</v>
      </c>
      <c r="R1247" s="20"/>
      <c r="S1247" s="20"/>
    </row>
    <row r="1248" customFormat="false" ht="15.75" hidden="false" customHeight="false" outlineLevel="0" collapsed="false">
      <c r="A1248" s="39"/>
      <c r="B1248" s="44"/>
      <c r="C1248" s="39"/>
      <c r="D1248" s="39"/>
      <c r="E1248" s="39"/>
      <c r="F1248" s="45"/>
      <c r="G1248" s="40"/>
      <c r="H1248" s="39"/>
      <c r="I1248" s="39" t="str">
        <f aca="false">IF(ISBLANK(H1248),"", IF($H$2:$H2747 = "Gohar Rehan","Overnight",IF($H$2:$H2747 = "Taufeeq Akhtar ","Overnight",IF($H$2:$H2747 = "Zeeshan Ali Malik","Audit",IF($H$2:$H2747 = "Ali Raza ","Receiving",IF($H$2:$H2747 = "Ali Ahmad","Full-In"))))))</f>
        <v/>
      </c>
      <c r="J1248" s="29"/>
      <c r="K1248" s="40"/>
      <c r="L1248" s="40"/>
      <c r="M1248" s="41"/>
      <c r="N1248" s="39" t="s">
        <v>2335</v>
      </c>
      <c r="O1248" s="46" t="b">
        <f aca="false">FALSE()</f>
        <v>0</v>
      </c>
      <c r="P1248" s="20"/>
      <c r="Q1248" s="45" t="n">
        <v>0</v>
      </c>
      <c r="R1248" s="20"/>
      <c r="S1248" s="20"/>
    </row>
    <row r="1249" customFormat="false" ht="15.75" hidden="false" customHeight="false" outlineLevel="0" collapsed="false">
      <c r="A1249" s="39"/>
      <c r="B1249" s="44"/>
      <c r="C1249" s="39"/>
      <c r="D1249" s="39"/>
      <c r="E1249" s="39"/>
      <c r="F1249" s="45"/>
      <c r="G1249" s="40"/>
      <c r="H1249" s="39"/>
      <c r="I1249" s="39" t="str">
        <f aca="false">IF(ISBLANK(H1249),"", IF($H$2:$H2748 = "Gohar Rehan","Overnight",IF($H$2:$H2748 = "Taufeeq Akhtar ","Overnight",IF($H$2:$H2748 = "Zeeshan Ali Malik","Audit",IF($H$2:$H2748 = "Ali Raza ","Receiving",IF($H$2:$H2748 = "Ali Ahmad","Full-In"))))))</f>
        <v/>
      </c>
      <c r="J1249" s="29"/>
      <c r="K1249" s="40"/>
      <c r="L1249" s="40"/>
      <c r="M1249" s="41"/>
      <c r="N1249" s="39" t="s">
        <v>2335</v>
      </c>
      <c r="O1249" s="46" t="b">
        <f aca="false">FALSE()</f>
        <v>0</v>
      </c>
      <c r="P1249" s="20"/>
      <c r="Q1249" s="45" t="n">
        <v>0</v>
      </c>
      <c r="R1249" s="20"/>
      <c r="S1249" s="20"/>
    </row>
    <row r="1250" customFormat="false" ht="15.75" hidden="false" customHeight="false" outlineLevel="0" collapsed="false">
      <c r="A1250" s="39"/>
      <c r="B1250" s="44"/>
      <c r="C1250" s="39"/>
      <c r="D1250" s="39"/>
      <c r="E1250" s="39"/>
      <c r="F1250" s="45"/>
      <c r="G1250" s="40"/>
      <c r="H1250" s="39"/>
      <c r="I1250" s="39" t="str">
        <f aca="false">IF(ISBLANK(H1250),"", IF($H$2:$H2749 = "Gohar Rehan","Overnight",IF($H$2:$H2749 = "Taufeeq Akhtar ","Overnight",IF($H$2:$H2749 = "Zeeshan Ali Malik","Audit",IF($H$2:$H2749 = "Ali Raza ","Receiving",IF($H$2:$H2749 = "Ali Ahmad","Full-In"))))))</f>
        <v/>
      </c>
      <c r="J1250" s="29"/>
      <c r="K1250" s="40"/>
      <c r="L1250" s="40"/>
      <c r="M1250" s="41"/>
      <c r="N1250" s="39" t="s">
        <v>2335</v>
      </c>
      <c r="O1250" s="46" t="b">
        <f aca="false">FALSE()</f>
        <v>0</v>
      </c>
      <c r="P1250" s="20"/>
      <c r="Q1250" s="45" t="n">
        <v>0</v>
      </c>
      <c r="R1250" s="20"/>
      <c r="S1250" s="20"/>
    </row>
    <row r="1251" customFormat="false" ht="15.75" hidden="false" customHeight="false" outlineLevel="0" collapsed="false">
      <c r="A1251" s="39"/>
      <c r="B1251" s="44"/>
      <c r="C1251" s="39"/>
      <c r="D1251" s="39"/>
      <c r="E1251" s="39"/>
      <c r="F1251" s="45"/>
      <c r="G1251" s="40"/>
      <c r="H1251" s="39"/>
      <c r="I1251" s="39" t="str">
        <f aca="false">IF(ISBLANK(H1251),"", IF($H$2:$H2750 = "Gohar Rehan","Overnight",IF($H$2:$H2750 = "Taufeeq Akhtar ","Overnight",IF($H$2:$H2750 = "Zeeshan Ali Malik","Audit",IF($H$2:$H2750 = "Ali Raza ","Receiving",IF($H$2:$H2750 = "Ali Ahmad","Full-In"))))))</f>
        <v/>
      </c>
      <c r="J1251" s="29"/>
      <c r="K1251" s="40"/>
      <c r="L1251" s="40"/>
      <c r="M1251" s="41"/>
      <c r="N1251" s="39" t="s">
        <v>2335</v>
      </c>
      <c r="O1251" s="46" t="b">
        <f aca="false">FALSE()</f>
        <v>0</v>
      </c>
      <c r="P1251" s="20"/>
      <c r="Q1251" s="45" t="n">
        <v>0</v>
      </c>
      <c r="R1251" s="20"/>
      <c r="S1251" s="20"/>
    </row>
    <row r="1252" customFormat="false" ht="15.75" hidden="false" customHeight="false" outlineLevel="0" collapsed="false">
      <c r="A1252" s="39"/>
      <c r="B1252" s="44"/>
      <c r="C1252" s="39"/>
      <c r="D1252" s="39"/>
      <c r="E1252" s="39"/>
      <c r="F1252" s="45"/>
      <c r="G1252" s="40"/>
      <c r="H1252" s="39"/>
      <c r="I1252" s="39" t="str">
        <f aca="false">IF(ISBLANK(H1252),"", IF($H$2:$H2751 = "Gohar Rehan","Overnight",IF($H$2:$H2751 = "Taufeeq Akhtar ","Overnight",IF($H$2:$H2751 = "Zeeshan Ali Malik","Audit",IF($H$2:$H2751 = "Ali Raza ","Receiving",IF($H$2:$H2751 = "Ali Ahmad","Full-In"))))))</f>
        <v/>
      </c>
      <c r="J1252" s="29"/>
      <c r="K1252" s="40"/>
      <c r="L1252" s="40"/>
      <c r="M1252" s="41"/>
      <c r="N1252" s="39" t="s">
        <v>2335</v>
      </c>
      <c r="O1252" s="46" t="b">
        <f aca="false">FALSE()</f>
        <v>0</v>
      </c>
      <c r="P1252" s="20"/>
      <c r="Q1252" s="45" t="n">
        <v>0</v>
      </c>
      <c r="R1252" s="20"/>
      <c r="S1252" s="20"/>
    </row>
    <row r="1253" customFormat="false" ht="15.75" hidden="false" customHeight="false" outlineLevel="0" collapsed="false">
      <c r="A1253" s="39"/>
      <c r="B1253" s="44"/>
      <c r="C1253" s="39"/>
      <c r="D1253" s="39"/>
      <c r="E1253" s="39"/>
      <c r="F1253" s="45"/>
      <c r="G1253" s="40"/>
      <c r="H1253" s="39"/>
      <c r="I1253" s="39" t="str">
        <f aca="false">IF(ISBLANK(H1253),"", IF($H$2:$H2752 = "Gohar Rehan","Overnight",IF($H$2:$H2752 = "Taufeeq Akhtar ","Overnight",IF($H$2:$H2752 = "Zeeshan Ali Malik","Audit",IF($H$2:$H2752 = "Ali Raza ","Receiving",IF($H$2:$H2752 = "Ali Ahmad","Full-In"))))))</f>
        <v/>
      </c>
      <c r="J1253" s="29"/>
      <c r="K1253" s="40"/>
      <c r="L1253" s="40"/>
      <c r="M1253" s="41"/>
      <c r="N1253" s="39" t="s">
        <v>2335</v>
      </c>
      <c r="O1253" s="46" t="b">
        <f aca="false">FALSE()</f>
        <v>0</v>
      </c>
      <c r="P1253" s="20"/>
      <c r="Q1253" s="45" t="n">
        <v>0</v>
      </c>
      <c r="R1253" s="20"/>
      <c r="S1253" s="20"/>
    </row>
    <row r="1254" customFormat="false" ht="15.75" hidden="false" customHeight="false" outlineLevel="0" collapsed="false">
      <c r="A1254" s="39"/>
      <c r="B1254" s="44"/>
      <c r="C1254" s="39"/>
      <c r="D1254" s="39"/>
      <c r="E1254" s="39"/>
      <c r="F1254" s="45"/>
      <c r="G1254" s="40"/>
      <c r="H1254" s="39"/>
      <c r="I1254" s="39" t="str">
        <f aca="false">IF(ISBLANK(H1254),"", IF($H$2:$H2753 = "Gohar Rehan","Overnight",IF($H$2:$H2753 = "Taufeeq Akhtar ","Overnight",IF($H$2:$H2753 = "Zeeshan Ali Malik","Audit",IF($H$2:$H2753 = "Ali Raza ","Receiving",IF($H$2:$H2753 = "Ali Ahmad","Full-In"))))))</f>
        <v/>
      </c>
      <c r="J1254" s="29"/>
      <c r="K1254" s="40"/>
      <c r="L1254" s="40"/>
      <c r="M1254" s="41"/>
      <c r="N1254" s="39" t="s">
        <v>2335</v>
      </c>
      <c r="O1254" s="46" t="b">
        <f aca="false">FALSE()</f>
        <v>0</v>
      </c>
      <c r="P1254" s="20"/>
      <c r="Q1254" s="45" t="n">
        <v>0</v>
      </c>
      <c r="R1254" s="20"/>
      <c r="S1254" s="20"/>
    </row>
    <row r="1255" customFormat="false" ht="15.75" hidden="false" customHeight="false" outlineLevel="0" collapsed="false">
      <c r="A1255" s="39"/>
      <c r="B1255" s="44"/>
      <c r="C1255" s="39"/>
      <c r="D1255" s="39"/>
      <c r="E1255" s="39"/>
      <c r="F1255" s="45"/>
      <c r="G1255" s="40"/>
      <c r="H1255" s="39"/>
      <c r="I1255" s="39" t="str">
        <f aca="false">IF(ISBLANK(H1255),"", IF($H$2:$H2754 = "Gohar Rehan","Overnight",IF($H$2:$H2754 = "Taufeeq Akhtar ","Overnight",IF($H$2:$H2754 = "Zeeshan Ali Malik","Audit",IF($H$2:$H2754 = "Ali Raza ","Receiving",IF($H$2:$H2754 = "Ali Ahmad","Full-In"))))))</f>
        <v/>
      </c>
      <c r="J1255" s="29"/>
      <c r="K1255" s="40"/>
      <c r="L1255" s="40"/>
      <c r="M1255" s="41"/>
      <c r="N1255" s="39" t="s">
        <v>2335</v>
      </c>
      <c r="O1255" s="46" t="b">
        <f aca="false">FALSE()</f>
        <v>0</v>
      </c>
      <c r="P1255" s="20"/>
      <c r="Q1255" s="45" t="n">
        <v>0</v>
      </c>
      <c r="R1255" s="20"/>
      <c r="S1255" s="20"/>
    </row>
    <row r="1256" customFormat="false" ht="15.75" hidden="false" customHeight="false" outlineLevel="0" collapsed="false">
      <c r="A1256" s="39"/>
      <c r="B1256" s="44"/>
      <c r="C1256" s="39"/>
      <c r="D1256" s="39"/>
      <c r="E1256" s="39"/>
      <c r="F1256" s="45"/>
      <c r="G1256" s="40"/>
      <c r="H1256" s="39"/>
      <c r="I1256" s="39" t="str">
        <f aca="false">IF(ISBLANK(H1256),"", IF($H$2:$H2755 = "Gohar Rehan","Overnight",IF($H$2:$H2755 = "Taufeeq Akhtar ","Overnight",IF($H$2:$H2755 = "Zeeshan Ali Malik","Audit",IF($H$2:$H2755 = "Ali Raza ","Receiving",IF($H$2:$H2755 = "Ali Ahmad","Full-In"))))))</f>
        <v/>
      </c>
      <c r="J1256" s="29"/>
      <c r="K1256" s="40"/>
      <c r="L1256" s="40"/>
      <c r="M1256" s="41"/>
      <c r="N1256" s="39" t="s">
        <v>2335</v>
      </c>
      <c r="O1256" s="46" t="b">
        <f aca="false">FALSE()</f>
        <v>0</v>
      </c>
      <c r="P1256" s="20"/>
      <c r="Q1256" s="45" t="n">
        <v>0</v>
      </c>
      <c r="R1256" s="20"/>
      <c r="S1256" s="20"/>
    </row>
    <row r="1257" customFormat="false" ht="15.75" hidden="false" customHeight="false" outlineLevel="0" collapsed="false">
      <c r="A1257" s="39"/>
      <c r="B1257" s="44"/>
      <c r="C1257" s="39"/>
      <c r="D1257" s="39"/>
      <c r="E1257" s="39"/>
      <c r="F1257" s="45"/>
      <c r="G1257" s="40"/>
      <c r="H1257" s="39"/>
      <c r="I1257" s="39" t="str">
        <f aca="false">IF(ISBLANK(H1257),"", IF($H$2:$H2756 = "Gohar Rehan","Overnight",IF($H$2:$H2756 = "Taufeeq Akhtar ","Overnight",IF($H$2:$H2756 = "Zeeshan Ali Malik","Audit",IF($H$2:$H2756 = "Ali Raza ","Receiving",IF($H$2:$H2756 = "Ali Ahmad","Full-In"))))))</f>
        <v/>
      </c>
      <c r="J1257" s="29"/>
      <c r="K1257" s="40"/>
      <c r="L1257" s="40"/>
      <c r="M1257" s="41"/>
      <c r="N1257" s="39" t="s">
        <v>2335</v>
      </c>
      <c r="O1257" s="46" t="b">
        <f aca="false">FALSE()</f>
        <v>0</v>
      </c>
      <c r="P1257" s="20"/>
      <c r="Q1257" s="45" t="n">
        <v>0</v>
      </c>
      <c r="R1257" s="20"/>
      <c r="S1257" s="20"/>
    </row>
    <row r="1258" customFormat="false" ht="15.75" hidden="false" customHeight="false" outlineLevel="0" collapsed="false">
      <c r="A1258" s="39"/>
      <c r="B1258" s="44"/>
      <c r="C1258" s="39"/>
      <c r="D1258" s="39"/>
      <c r="E1258" s="39"/>
      <c r="F1258" s="45"/>
      <c r="G1258" s="40"/>
      <c r="H1258" s="39"/>
      <c r="I1258" s="39" t="str">
        <f aca="false">IF(ISBLANK(H1258),"", IF($H$2:$H2757 = "Gohar Rehan","Overnight",IF($H$2:$H2757 = "Taufeeq Akhtar ","Overnight",IF($H$2:$H2757 = "Zeeshan Ali Malik","Audit",IF($H$2:$H2757 = "Ali Raza ","Receiving",IF($H$2:$H2757 = "Ali Ahmad","Full-In"))))))</f>
        <v/>
      </c>
      <c r="J1258" s="29"/>
      <c r="K1258" s="40"/>
      <c r="L1258" s="40"/>
      <c r="M1258" s="41"/>
      <c r="N1258" s="39" t="s">
        <v>2335</v>
      </c>
      <c r="O1258" s="46" t="b">
        <f aca="false">FALSE()</f>
        <v>0</v>
      </c>
      <c r="P1258" s="20"/>
      <c r="Q1258" s="45" t="n">
        <v>0</v>
      </c>
      <c r="R1258" s="20"/>
      <c r="S1258" s="20"/>
    </row>
    <row r="1259" customFormat="false" ht="15.75" hidden="false" customHeight="false" outlineLevel="0" collapsed="false">
      <c r="A1259" s="39"/>
      <c r="B1259" s="44"/>
      <c r="C1259" s="39"/>
      <c r="D1259" s="39"/>
      <c r="E1259" s="39"/>
      <c r="F1259" s="45"/>
      <c r="G1259" s="40"/>
      <c r="H1259" s="39"/>
      <c r="I1259" s="39" t="str">
        <f aca="false">IF(ISBLANK(H1259),"", IF($H$2:$H2758 = "Gohar Rehan","Overnight",IF($H$2:$H2758 = "Taufeeq Akhtar ","Overnight",IF($H$2:$H2758 = "Zeeshan Ali Malik","Audit",IF($H$2:$H2758 = "Ali Raza ","Receiving",IF($H$2:$H2758 = "Ali Ahmad","Full-In"))))))</f>
        <v/>
      </c>
      <c r="J1259" s="29"/>
      <c r="K1259" s="40"/>
      <c r="L1259" s="40"/>
      <c r="M1259" s="41"/>
      <c r="N1259" s="39" t="s">
        <v>2335</v>
      </c>
      <c r="O1259" s="46" t="b">
        <f aca="false">FALSE()</f>
        <v>0</v>
      </c>
      <c r="P1259" s="20"/>
      <c r="Q1259" s="45" t="n">
        <v>0</v>
      </c>
      <c r="R1259" s="20"/>
      <c r="S1259" s="20"/>
    </row>
    <row r="1260" customFormat="false" ht="15.75" hidden="false" customHeight="false" outlineLevel="0" collapsed="false">
      <c r="A1260" s="39"/>
      <c r="B1260" s="44"/>
      <c r="C1260" s="39"/>
      <c r="D1260" s="39"/>
      <c r="E1260" s="39"/>
      <c r="F1260" s="45"/>
      <c r="G1260" s="40"/>
      <c r="H1260" s="39"/>
      <c r="I1260" s="39" t="str">
        <f aca="false">IF(ISBLANK(H1260),"", IF($H$2:$H2759 = "Gohar Rehan","Overnight",IF($H$2:$H2759 = "Taufeeq Akhtar ","Overnight",IF($H$2:$H2759 = "Zeeshan Ali Malik","Audit",IF($H$2:$H2759 = "Ali Raza ","Receiving",IF($H$2:$H2759 = "Ali Ahmad","Full-In"))))))</f>
        <v/>
      </c>
      <c r="J1260" s="29"/>
      <c r="K1260" s="40"/>
      <c r="L1260" s="40"/>
      <c r="M1260" s="41"/>
      <c r="N1260" s="39" t="s">
        <v>2335</v>
      </c>
      <c r="O1260" s="46" t="b">
        <f aca="false">FALSE()</f>
        <v>0</v>
      </c>
      <c r="P1260" s="20"/>
      <c r="Q1260" s="45" t="n">
        <v>0</v>
      </c>
      <c r="R1260" s="20"/>
      <c r="S1260" s="20"/>
    </row>
    <row r="1261" customFormat="false" ht="15.75" hidden="false" customHeight="false" outlineLevel="0" collapsed="false">
      <c r="A1261" s="39"/>
      <c r="B1261" s="44"/>
      <c r="C1261" s="39"/>
      <c r="D1261" s="39"/>
      <c r="E1261" s="39"/>
      <c r="F1261" s="45"/>
      <c r="G1261" s="40"/>
      <c r="H1261" s="39"/>
      <c r="I1261" s="39" t="str">
        <f aca="false">IF(ISBLANK(H1261),"", IF($H$2:$H2760 = "Gohar Rehan","Overnight",IF($H$2:$H2760 = "Taufeeq Akhtar ","Overnight",IF($H$2:$H2760 = "Zeeshan Ali Malik","Audit",IF($H$2:$H2760 = "Ali Raza ","Receiving",IF($H$2:$H2760 = "Ali Ahmad","Full-In"))))))</f>
        <v/>
      </c>
      <c r="J1261" s="29"/>
      <c r="K1261" s="40"/>
      <c r="L1261" s="40"/>
      <c r="M1261" s="41"/>
      <c r="N1261" s="39" t="s">
        <v>2335</v>
      </c>
      <c r="O1261" s="46" t="b">
        <f aca="false">FALSE()</f>
        <v>0</v>
      </c>
      <c r="P1261" s="20"/>
      <c r="Q1261" s="45" t="n">
        <v>0</v>
      </c>
      <c r="R1261" s="20"/>
      <c r="S1261" s="20"/>
    </row>
    <row r="1262" customFormat="false" ht="15.75" hidden="false" customHeight="false" outlineLevel="0" collapsed="false">
      <c r="A1262" s="39"/>
      <c r="B1262" s="44"/>
      <c r="C1262" s="39"/>
      <c r="D1262" s="39"/>
      <c r="E1262" s="39"/>
      <c r="F1262" s="45"/>
      <c r="G1262" s="40"/>
      <c r="H1262" s="39"/>
      <c r="I1262" s="39" t="str">
        <f aca="false">IF(ISBLANK(H1262),"", IF($H$2:$H2761 = "Gohar Rehan","Overnight",IF($H$2:$H2761 = "Taufeeq Akhtar ","Overnight",IF($H$2:$H2761 = "Zeeshan Ali Malik","Audit",IF($H$2:$H2761 = "Ali Raza ","Receiving",IF($H$2:$H2761 = "Ali Ahmad","Full-In"))))))</f>
        <v/>
      </c>
      <c r="J1262" s="29"/>
      <c r="K1262" s="40"/>
      <c r="L1262" s="40"/>
      <c r="M1262" s="41"/>
      <c r="N1262" s="39" t="s">
        <v>2335</v>
      </c>
      <c r="O1262" s="46" t="b">
        <f aca="false">FALSE()</f>
        <v>0</v>
      </c>
      <c r="P1262" s="20"/>
      <c r="Q1262" s="45" t="n">
        <v>0</v>
      </c>
      <c r="R1262" s="20"/>
      <c r="S1262" s="20"/>
    </row>
    <row r="1263" customFormat="false" ht="15.75" hidden="false" customHeight="false" outlineLevel="0" collapsed="false">
      <c r="A1263" s="39"/>
      <c r="B1263" s="44"/>
      <c r="C1263" s="39"/>
      <c r="D1263" s="39"/>
      <c r="E1263" s="39"/>
      <c r="F1263" s="45"/>
      <c r="G1263" s="40"/>
      <c r="H1263" s="39"/>
      <c r="I1263" s="39" t="str">
        <f aca="false">IF(ISBLANK(H1263),"", IF($H$2:$H2762 = "Gohar Rehan","Overnight",IF($H$2:$H2762 = "Taufeeq Akhtar ","Overnight",IF($H$2:$H2762 = "Zeeshan Ali Malik","Audit",IF($H$2:$H2762 = "Ali Raza ","Receiving",IF($H$2:$H2762 = "Ali Ahmad","Full-In"))))))</f>
        <v/>
      </c>
      <c r="J1263" s="29"/>
      <c r="K1263" s="40"/>
      <c r="L1263" s="40"/>
      <c r="M1263" s="41"/>
      <c r="N1263" s="39" t="s">
        <v>2335</v>
      </c>
      <c r="O1263" s="46" t="b">
        <f aca="false">FALSE()</f>
        <v>0</v>
      </c>
      <c r="P1263" s="20"/>
      <c r="Q1263" s="45" t="n">
        <v>0</v>
      </c>
      <c r="R1263" s="20"/>
      <c r="S1263" s="20"/>
    </row>
    <row r="1264" customFormat="false" ht="15.75" hidden="false" customHeight="false" outlineLevel="0" collapsed="false">
      <c r="A1264" s="39"/>
      <c r="B1264" s="44"/>
      <c r="C1264" s="39"/>
      <c r="D1264" s="39"/>
      <c r="E1264" s="39"/>
      <c r="F1264" s="45"/>
      <c r="G1264" s="40"/>
      <c r="H1264" s="39"/>
      <c r="I1264" s="39" t="str">
        <f aca="false">IF(ISBLANK(H1264),"", IF($H$2:$H2763 = "Gohar Rehan","Overnight",IF($H$2:$H2763 = "Taufeeq Akhtar ","Overnight",IF($H$2:$H2763 = "Zeeshan Ali Malik","Audit",IF($H$2:$H2763 = "Ali Raza ","Receiving",IF($H$2:$H2763 = "Ali Ahmad","Full-In"))))))</f>
        <v/>
      </c>
      <c r="J1264" s="29"/>
      <c r="K1264" s="40"/>
      <c r="L1264" s="40"/>
      <c r="M1264" s="41"/>
      <c r="N1264" s="39" t="s">
        <v>2335</v>
      </c>
      <c r="O1264" s="46" t="b">
        <f aca="false">FALSE()</f>
        <v>0</v>
      </c>
      <c r="P1264" s="20"/>
      <c r="Q1264" s="45" t="n">
        <v>0</v>
      </c>
      <c r="R1264" s="20"/>
      <c r="S1264" s="20"/>
    </row>
    <row r="1265" customFormat="false" ht="15.75" hidden="false" customHeight="false" outlineLevel="0" collapsed="false">
      <c r="A1265" s="39"/>
      <c r="B1265" s="44"/>
      <c r="C1265" s="39"/>
      <c r="D1265" s="39"/>
      <c r="E1265" s="39"/>
      <c r="F1265" s="45"/>
      <c r="G1265" s="40"/>
      <c r="H1265" s="39"/>
      <c r="I1265" s="39" t="str">
        <f aca="false">IF(ISBLANK(H1265),"", IF($H$2:$H2764 = "Gohar Rehan","Overnight",IF($H$2:$H2764 = "Taufeeq Akhtar ","Overnight",IF($H$2:$H2764 = "Zeeshan Ali Malik","Audit",IF($H$2:$H2764 = "Ali Raza ","Receiving",IF($H$2:$H2764 = "Ali Ahmad","Full-In"))))))</f>
        <v/>
      </c>
      <c r="J1265" s="29"/>
      <c r="K1265" s="40"/>
      <c r="L1265" s="40"/>
      <c r="M1265" s="41"/>
      <c r="N1265" s="39" t="s">
        <v>2335</v>
      </c>
      <c r="O1265" s="46" t="b">
        <f aca="false">FALSE()</f>
        <v>0</v>
      </c>
      <c r="P1265" s="20"/>
      <c r="Q1265" s="45" t="n">
        <v>0</v>
      </c>
      <c r="R1265" s="20"/>
      <c r="S1265" s="20"/>
    </row>
    <row r="1266" customFormat="false" ht="15.75" hidden="false" customHeight="false" outlineLevel="0" collapsed="false">
      <c r="A1266" s="39"/>
      <c r="B1266" s="44"/>
      <c r="C1266" s="39"/>
      <c r="D1266" s="39"/>
      <c r="E1266" s="39"/>
      <c r="F1266" s="45"/>
      <c r="G1266" s="40"/>
      <c r="H1266" s="39"/>
      <c r="I1266" s="39" t="str">
        <f aca="false">IF(ISBLANK(H1266),"", IF($H$2:$H2765 = "Gohar Rehan","Overnight",IF($H$2:$H2765 = "Taufeeq Akhtar ","Overnight",IF($H$2:$H2765 = "Zeeshan Ali Malik","Audit",IF($H$2:$H2765 = "Ali Raza ","Receiving",IF($H$2:$H2765 = "Ali Ahmad","Full-In"))))))</f>
        <v/>
      </c>
      <c r="J1266" s="29"/>
      <c r="K1266" s="40"/>
      <c r="L1266" s="40"/>
      <c r="M1266" s="41"/>
      <c r="N1266" s="39" t="s">
        <v>2335</v>
      </c>
      <c r="O1266" s="46" t="b">
        <f aca="false">FALSE()</f>
        <v>0</v>
      </c>
      <c r="P1266" s="20"/>
      <c r="Q1266" s="45" t="n">
        <v>0</v>
      </c>
      <c r="R1266" s="20"/>
      <c r="S1266" s="20"/>
    </row>
    <row r="1267" customFormat="false" ht="15.75" hidden="false" customHeight="false" outlineLevel="0" collapsed="false">
      <c r="A1267" s="39"/>
      <c r="B1267" s="44"/>
      <c r="C1267" s="39"/>
      <c r="D1267" s="39"/>
      <c r="E1267" s="39"/>
      <c r="F1267" s="45"/>
      <c r="G1267" s="40"/>
      <c r="H1267" s="39"/>
      <c r="I1267" s="39" t="str">
        <f aca="false">IF(ISBLANK(H1267),"", IF($H$2:$H2766 = "Gohar Rehan","Overnight",IF($H$2:$H2766 = "Taufeeq Akhtar ","Overnight",IF($H$2:$H2766 = "Zeeshan Ali Malik","Audit",IF($H$2:$H2766 = "Ali Raza ","Receiving",IF($H$2:$H2766 = "Ali Ahmad","Full-In"))))))</f>
        <v/>
      </c>
      <c r="J1267" s="29"/>
      <c r="K1267" s="40"/>
      <c r="L1267" s="40"/>
      <c r="M1267" s="41"/>
      <c r="N1267" s="39" t="s">
        <v>2335</v>
      </c>
      <c r="O1267" s="46" t="b">
        <f aca="false">FALSE()</f>
        <v>0</v>
      </c>
      <c r="P1267" s="20"/>
      <c r="Q1267" s="45" t="n">
        <v>0</v>
      </c>
      <c r="R1267" s="20"/>
      <c r="S1267" s="20"/>
    </row>
    <row r="1268" customFormat="false" ht="15.75" hidden="false" customHeight="false" outlineLevel="0" collapsed="false">
      <c r="A1268" s="39"/>
      <c r="B1268" s="44"/>
      <c r="C1268" s="39"/>
      <c r="D1268" s="39"/>
      <c r="E1268" s="39"/>
      <c r="F1268" s="45"/>
      <c r="G1268" s="40"/>
      <c r="H1268" s="39"/>
      <c r="I1268" s="39" t="str">
        <f aca="false">IF(ISBLANK(H1268),"", IF($H$2:$H2767 = "Gohar Rehan","Overnight",IF($H$2:$H2767 = "Taufeeq Akhtar ","Overnight",IF($H$2:$H2767 = "Zeeshan Ali Malik","Audit",IF($H$2:$H2767 = "Ali Raza ","Receiving",IF($H$2:$H2767 = "Ali Ahmad","Full-In"))))))</f>
        <v/>
      </c>
      <c r="J1268" s="29"/>
      <c r="K1268" s="40"/>
      <c r="L1268" s="40"/>
      <c r="M1268" s="41"/>
      <c r="N1268" s="39" t="s">
        <v>2335</v>
      </c>
      <c r="O1268" s="46" t="b">
        <f aca="false">FALSE()</f>
        <v>0</v>
      </c>
      <c r="P1268" s="20"/>
      <c r="Q1268" s="45" t="n">
        <v>0</v>
      </c>
      <c r="R1268" s="20"/>
      <c r="S1268" s="20"/>
    </row>
    <row r="1269" customFormat="false" ht="15.75" hidden="false" customHeight="false" outlineLevel="0" collapsed="false">
      <c r="A1269" s="39"/>
      <c r="B1269" s="44"/>
      <c r="C1269" s="39"/>
      <c r="D1269" s="39"/>
      <c r="E1269" s="39"/>
      <c r="F1269" s="45"/>
      <c r="G1269" s="40"/>
      <c r="H1269" s="39"/>
      <c r="I1269" s="39" t="str">
        <f aca="false">IF(ISBLANK(H1269),"", IF($H$2:$H2768 = "Gohar Rehan","Overnight",IF($H$2:$H2768 = "Taufeeq Akhtar ","Overnight",IF($H$2:$H2768 = "Zeeshan Ali Malik","Audit",IF($H$2:$H2768 = "Ali Raza ","Receiving",IF($H$2:$H2768 = "Ali Ahmad","Full-In"))))))</f>
        <v/>
      </c>
      <c r="J1269" s="29"/>
      <c r="K1269" s="40"/>
      <c r="L1269" s="40"/>
      <c r="M1269" s="41"/>
      <c r="N1269" s="39" t="s">
        <v>2335</v>
      </c>
      <c r="O1269" s="46" t="b">
        <f aca="false">FALSE()</f>
        <v>0</v>
      </c>
      <c r="P1269" s="20"/>
      <c r="Q1269" s="45" t="n">
        <v>0</v>
      </c>
      <c r="R1269" s="20"/>
      <c r="S1269" s="20"/>
    </row>
    <row r="1270" customFormat="false" ht="15.75" hidden="false" customHeight="false" outlineLevel="0" collapsed="false">
      <c r="A1270" s="39"/>
      <c r="B1270" s="44"/>
      <c r="C1270" s="39"/>
      <c r="D1270" s="39"/>
      <c r="E1270" s="39"/>
      <c r="F1270" s="45"/>
      <c r="G1270" s="40"/>
      <c r="H1270" s="39"/>
      <c r="I1270" s="39" t="str">
        <f aca="false">IF(ISBLANK(H1270),"", IF($H$2:$H2769 = "Gohar Rehan","Overnight",IF($H$2:$H2769 = "Taufeeq Akhtar ","Overnight",IF($H$2:$H2769 = "Zeeshan Ali Malik","Audit",IF($H$2:$H2769 = "Ali Raza ","Receiving",IF($H$2:$H2769 = "Ali Ahmad","Full-In"))))))</f>
        <v/>
      </c>
      <c r="J1270" s="29"/>
      <c r="K1270" s="40"/>
      <c r="L1270" s="40"/>
      <c r="M1270" s="41"/>
      <c r="N1270" s="39" t="s">
        <v>2335</v>
      </c>
      <c r="O1270" s="46" t="b">
        <f aca="false">FALSE()</f>
        <v>0</v>
      </c>
      <c r="P1270" s="20"/>
      <c r="Q1270" s="45" t="n">
        <v>0</v>
      </c>
      <c r="R1270" s="20"/>
      <c r="S1270" s="20"/>
    </row>
    <row r="1271" customFormat="false" ht="15.75" hidden="false" customHeight="false" outlineLevel="0" collapsed="false">
      <c r="A1271" s="39"/>
      <c r="B1271" s="44"/>
      <c r="C1271" s="39"/>
      <c r="D1271" s="39"/>
      <c r="E1271" s="39"/>
      <c r="F1271" s="45"/>
      <c r="G1271" s="40"/>
      <c r="H1271" s="39"/>
      <c r="I1271" s="39" t="str">
        <f aca="false">IF(ISBLANK(H1271),"", IF($H$2:$H2770 = "Gohar Rehan","Overnight",IF($H$2:$H2770 = "Taufeeq Akhtar ","Overnight",IF($H$2:$H2770 = "Zeeshan Ali Malik","Audit",IF($H$2:$H2770 = "Ali Raza ","Receiving",IF($H$2:$H2770 = "Ali Ahmad","Full-In"))))))</f>
        <v/>
      </c>
      <c r="J1271" s="29"/>
      <c r="K1271" s="40"/>
      <c r="L1271" s="40"/>
      <c r="M1271" s="41"/>
      <c r="N1271" s="39" t="s">
        <v>2335</v>
      </c>
      <c r="O1271" s="46" t="b">
        <f aca="false">FALSE()</f>
        <v>0</v>
      </c>
      <c r="P1271" s="20"/>
      <c r="Q1271" s="45" t="n">
        <v>0</v>
      </c>
      <c r="R1271" s="20"/>
      <c r="S1271" s="20"/>
    </row>
    <row r="1272" customFormat="false" ht="15.75" hidden="false" customHeight="false" outlineLevel="0" collapsed="false">
      <c r="A1272" s="39"/>
      <c r="B1272" s="44"/>
      <c r="C1272" s="39"/>
      <c r="D1272" s="39"/>
      <c r="E1272" s="39"/>
      <c r="F1272" s="45"/>
      <c r="G1272" s="40"/>
      <c r="H1272" s="39"/>
      <c r="I1272" s="39" t="str">
        <f aca="false">IF(ISBLANK(H1272),"", IF($H$2:$H2771 = "Gohar Rehan","Overnight",IF($H$2:$H2771 = "Taufeeq Akhtar ","Overnight",IF($H$2:$H2771 = "Zeeshan Ali Malik","Audit",IF($H$2:$H2771 = "Ali Raza ","Receiving",IF($H$2:$H2771 = "Ali Ahmad","Full-In"))))))</f>
        <v/>
      </c>
      <c r="J1272" s="29"/>
      <c r="K1272" s="40"/>
      <c r="L1272" s="40"/>
      <c r="M1272" s="41"/>
      <c r="N1272" s="39" t="s">
        <v>2335</v>
      </c>
      <c r="O1272" s="46" t="b">
        <f aca="false">FALSE()</f>
        <v>0</v>
      </c>
      <c r="P1272" s="20"/>
      <c r="Q1272" s="45" t="n">
        <v>0</v>
      </c>
      <c r="R1272" s="20"/>
      <c r="S1272" s="20"/>
    </row>
    <row r="1273" customFormat="false" ht="15.75" hidden="false" customHeight="false" outlineLevel="0" collapsed="false">
      <c r="A1273" s="39"/>
      <c r="B1273" s="44"/>
      <c r="C1273" s="39"/>
      <c r="D1273" s="39"/>
      <c r="E1273" s="39"/>
      <c r="F1273" s="45"/>
      <c r="G1273" s="40"/>
      <c r="H1273" s="39"/>
      <c r="I1273" s="39" t="str">
        <f aca="false">IF(ISBLANK(H1273),"", IF($H$2:$H2772 = "Gohar Rehan","Overnight",IF($H$2:$H2772 = "Taufeeq Akhtar ","Overnight",IF($H$2:$H2772 = "Zeeshan Ali Malik","Audit",IF($H$2:$H2772 = "Ali Raza ","Receiving",IF($H$2:$H2772 = "Ali Ahmad","Full-In"))))))</f>
        <v/>
      </c>
      <c r="J1273" s="29"/>
      <c r="K1273" s="40"/>
      <c r="L1273" s="40"/>
      <c r="M1273" s="41"/>
      <c r="N1273" s="39" t="s">
        <v>2335</v>
      </c>
      <c r="O1273" s="46" t="b">
        <f aca="false">FALSE()</f>
        <v>0</v>
      </c>
      <c r="P1273" s="20"/>
      <c r="Q1273" s="45" t="n">
        <v>0</v>
      </c>
      <c r="R1273" s="20"/>
      <c r="S1273" s="20"/>
    </row>
    <row r="1274" customFormat="false" ht="15.75" hidden="false" customHeight="false" outlineLevel="0" collapsed="false">
      <c r="A1274" s="39"/>
      <c r="B1274" s="44"/>
      <c r="C1274" s="39"/>
      <c r="D1274" s="39"/>
      <c r="E1274" s="39"/>
      <c r="F1274" s="45"/>
      <c r="G1274" s="40"/>
      <c r="H1274" s="39"/>
      <c r="I1274" s="39" t="str">
        <f aca="false">IF(ISBLANK(H1274),"", IF($H$2:$H2773 = "Gohar Rehan","Overnight",IF($H$2:$H2773 = "Taufeeq Akhtar ","Overnight",IF($H$2:$H2773 = "Zeeshan Ali Malik","Audit",IF($H$2:$H2773 = "Ali Raza ","Receiving",IF($H$2:$H2773 = "Ali Ahmad","Full-In"))))))</f>
        <v/>
      </c>
      <c r="J1274" s="29"/>
      <c r="K1274" s="40"/>
      <c r="L1274" s="40"/>
      <c r="M1274" s="41"/>
      <c r="N1274" s="39" t="s">
        <v>2335</v>
      </c>
      <c r="O1274" s="46" t="b">
        <f aca="false">FALSE()</f>
        <v>0</v>
      </c>
      <c r="P1274" s="20"/>
      <c r="Q1274" s="45" t="n">
        <v>0</v>
      </c>
      <c r="R1274" s="20"/>
      <c r="S1274" s="20"/>
    </row>
    <row r="1275" customFormat="false" ht="15.75" hidden="false" customHeight="false" outlineLevel="0" collapsed="false">
      <c r="A1275" s="39"/>
      <c r="B1275" s="44"/>
      <c r="C1275" s="39"/>
      <c r="D1275" s="39"/>
      <c r="E1275" s="39"/>
      <c r="F1275" s="45"/>
      <c r="G1275" s="40"/>
      <c r="H1275" s="39"/>
      <c r="I1275" s="39" t="str">
        <f aca="false">IF(ISBLANK(H1275),"", IF($H$2:$H2774 = "Gohar Rehan","Overnight",IF($H$2:$H2774 = "Taufeeq Akhtar ","Overnight",IF($H$2:$H2774 = "Zeeshan Ali Malik","Audit",IF($H$2:$H2774 = "Ali Raza ","Receiving",IF($H$2:$H2774 = "Ali Ahmad","Full-In"))))))</f>
        <v/>
      </c>
      <c r="J1275" s="29"/>
      <c r="K1275" s="40"/>
      <c r="L1275" s="40"/>
      <c r="M1275" s="41"/>
      <c r="N1275" s="39" t="s">
        <v>2335</v>
      </c>
      <c r="O1275" s="46" t="b">
        <f aca="false">FALSE()</f>
        <v>0</v>
      </c>
      <c r="P1275" s="20"/>
      <c r="Q1275" s="45" t="n">
        <v>0</v>
      </c>
      <c r="R1275" s="20"/>
      <c r="S1275" s="20"/>
    </row>
    <row r="1276" customFormat="false" ht="15.75" hidden="false" customHeight="false" outlineLevel="0" collapsed="false">
      <c r="A1276" s="39"/>
      <c r="B1276" s="44"/>
      <c r="C1276" s="39"/>
      <c r="D1276" s="39"/>
      <c r="E1276" s="39"/>
      <c r="F1276" s="45"/>
      <c r="G1276" s="40"/>
      <c r="H1276" s="39"/>
      <c r="I1276" s="39" t="str">
        <f aca="false">IF(ISBLANK(H1276),"", IF($H$2:$H2775 = "Gohar Rehan","Overnight",IF($H$2:$H2775 = "Taufeeq Akhtar ","Overnight",IF($H$2:$H2775 = "Zeeshan Ali Malik","Audit",IF($H$2:$H2775 = "Ali Raza ","Receiving",IF($H$2:$H2775 = "Ali Ahmad","Full-In"))))))</f>
        <v/>
      </c>
      <c r="J1276" s="29"/>
      <c r="K1276" s="40"/>
      <c r="L1276" s="40"/>
      <c r="M1276" s="41"/>
      <c r="N1276" s="39" t="s">
        <v>2335</v>
      </c>
      <c r="O1276" s="46" t="b">
        <f aca="false">FALSE()</f>
        <v>0</v>
      </c>
      <c r="P1276" s="20"/>
      <c r="Q1276" s="45" t="n">
        <v>0</v>
      </c>
      <c r="R1276" s="20"/>
      <c r="S1276" s="20"/>
    </row>
    <row r="1277" customFormat="false" ht="15.75" hidden="false" customHeight="false" outlineLevel="0" collapsed="false">
      <c r="A1277" s="39"/>
      <c r="B1277" s="44"/>
      <c r="C1277" s="39"/>
      <c r="D1277" s="39"/>
      <c r="E1277" s="39"/>
      <c r="F1277" s="45"/>
      <c r="G1277" s="40"/>
      <c r="H1277" s="39"/>
      <c r="I1277" s="39" t="str">
        <f aca="false">IF(ISBLANK(H1277),"", IF($H$2:$H2776 = "Gohar Rehan","Overnight",IF($H$2:$H2776 = "Taufeeq Akhtar ","Overnight",IF($H$2:$H2776 = "Zeeshan Ali Malik","Audit",IF($H$2:$H2776 = "Ali Raza ","Receiving",IF($H$2:$H2776 = "Ali Ahmad","Full-In"))))))</f>
        <v/>
      </c>
      <c r="J1277" s="29"/>
      <c r="K1277" s="40"/>
      <c r="L1277" s="40"/>
      <c r="M1277" s="41"/>
      <c r="N1277" s="39" t="s">
        <v>2335</v>
      </c>
      <c r="O1277" s="46" t="b">
        <f aca="false">FALSE()</f>
        <v>0</v>
      </c>
      <c r="P1277" s="20"/>
      <c r="Q1277" s="45" t="n">
        <v>0</v>
      </c>
      <c r="R1277" s="20"/>
      <c r="S1277" s="20"/>
    </row>
    <row r="1278" customFormat="false" ht="15.75" hidden="false" customHeight="false" outlineLevel="0" collapsed="false">
      <c r="A1278" s="39"/>
      <c r="B1278" s="44"/>
      <c r="C1278" s="39"/>
      <c r="D1278" s="39"/>
      <c r="E1278" s="39"/>
      <c r="F1278" s="45"/>
      <c r="G1278" s="40"/>
      <c r="H1278" s="39"/>
      <c r="I1278" s="39" t="str">
        <f aca="false">IF(ISBLANK(H1278),"", IF($H$2:$H2777 = "Gohar Rehan","Overnight",IF($H$2:$H2777 = "Taufeeq Akhtar ","Overnight",IF($H$2:$H2777 = "Zeeshan Ali Malik","Audit",IF($H$2:$H2777 = "Ali Raza ","Receiving",IF($H$2:$H2777 = "Ali Ahmad","Full-In"))))))</f>
        <v/>
      </c>
      <c r="J1278" s="29"/>
      <c r="K1278" s="40"/>
      <c r="L1278" s="40"/>
      <c r="M1278" s="41"/>
      <c r="N1278" s="39" t="s">
        <v>2335</v>
      </c>
      <c r="O1278" s="46" t="b">
        <f aca="false">FALSE()</f>
        <v>0</v>
      </c>
      <c r="P1278" s="20"/>
      <c r="Q1278" s="45" t="n">
        <v>0</v>
      </c>
      <c r="R1278" s="20"/>
      <c r="S1278" s="20"/>
    </row>
    <row r="1279" customFormat="false" ht="15.75" hidden="false" customHeight="false" outlineLevel="0" collapsed="false">
      <c r="A1279" s="39"/>
      <c r="B1279" s="44"/>
      <c r="C1279" s="39"/>
      <c r="D1279" s="39"/>
      <c r="E1279" s="39"/>
      <c r="F1279" s="45"/>
      <c r="G1279" s="40"/>
      <c r="H1279" s="39"/>
      <c r="I1279" s="39" t="str">
        <f aca="false">IF(ISBLANK(H1279),"", IF($H$2:$H2778 = "Gohar Rehan","Overnight",IF($H$2:$H2778 = "Taufeeq Akhtar ","Overnight",IF($H$2:$H2778 = "Zeeshan Ali Malik","Audit",IF($H$2:$H2778 = "Ali Raza ","Receiving",IF($H$2:$H2778 = "Ali Ahmad","Full-In"))))))</f>
        <v/>
      </c>
      <c r="J1279" s="29"/>
      <c r="K1279" s="40"/>
      <c r="L1279" s="40"/>
      <c r="M1279" s="41"/>
      <c r="N1279" s="39" t="s">
        <v>2335</v>
      </c>
      <c r="O1279" s="46" t="b">
        <f aca="false">FALSE()</f>
        <v>0</v>
      </c>
      <c r="P1279" s="20"/>
      <c r="Q1279" s="45" t="n">
        <v>0</v>
      </c>
      <c r="R1279" s="20"/>
      <c r="S1279" s="20"/>
    </row>
    <row r="1280" customFormat="false" ht="15.75" hidden="false" customHeight="false" outlineLevel="0" collapsed="false">
      <c r="A1280" s="39"/>
      <c r="B1280" s="44"/>
      <c r="C1280" s="39"/>
      <c r="D1280" s="39"/>
      <c r="E1280" s="39"/>
      <c r="F1280" s="45"/>
      <c r="G1280" s="40"/>
      <c r="H1280" s="39"/>
      <c r="I1280" s="39" t="str">
        <f aca="false">IF(ISBLANK(H1280),"", IF($H$2:$H2779 = "Gohar Rehan","Overnight",IF($H$2:$H2779 = "Taufeeq Akhtar ","Overnight",IF($H$2:$H2779 = "Zeeshan Ali Malik","Audit",IF($H$2:$H2779 = "Ali Raza ","Receiving",IF($H$2:$H2779 = "Ali Ahmad","Full-In"))))))</f>
        <v/>
      </c>
      <c r="J1280" s="29"/>
      <c r="K1280" s="40"/>
      <c r="L1280" s="40"/>
      <c r="M1280" s="41"/>
      <c r="N1280" s="39" t="s">
        <v>2335</v>
      </c>
      <c r="O1280" s="46" t="b">
        <f aca="false">FALSE()</f>
        <v>0</v>
      </c>
      <c r="P1280" s="20"/>
      <c r="Q1280" s="45" t="n">
        <v>0</v>
      </c>
      <c r="R1280" s="20"/>
      <c r="S1280" s="20"/>
    </row>
    <row r="1281" customFormat="false" ht="15.75" hidden="false" customHeight="false" outlineLevel="0" collapsed="false">
      <c r="A1281" s="39"/>
      <c r="B1281" s="44"/>
      <c r="C1281" s="39"/>
      <c r="D1281" s="39"/>
      <c r="E1281" s="39"/>
      <c r="F1281" s="45"/>
      <c r="G1281" s="40"/>
      <c r="H1281" s="39"/>
      <c r="I1281" s="39" t="str">
        <f aca="false">IF(ISBLANK(H1281),"", IF($H$2:$H2780 = "Gohar Rehan","Overnight",IF($H$2:$H2780 = "Taufeeq Akhtar ","Overnight",IF($H$2:$H2780 = "Zeeshan Ali Malik","Audit",IF($H$2:$H2780 = "Ali Raza ","Receiving",IF($H$2:$H2780 = "Ali Ahmad","Full-In"))))))</f>
        <v/>
      </c>
      <c r="J1281" s="29"/>
      <c r="K1281" s="40"/>
      <c r="L1281" s="40"/>
      <c r="M1281" s="41"/>
      <c r="N1281" s="39" t="s">
        <v>2335</v>
      </c>
      <c r="O1281" s="46" t="b">
        <f aca="false">FALSE()</f>
        <v>0</v>
      </c>
      <c r="P1281" s="20"/>
      <c r="Q1281" s="45" t="n">
        <v>0</v>
      </c>
      <c r="R1281" s="20"/>
      <c r="S1281" s="20"/>
    </row>
    <row r="1282" customFormat="false" ht="15.75" hidden="false" customHeight="false" outlineLevel="0" collapsed="false">
      <c r="A1282" s="39"/>
      <c r="B1282" s="44"/>
      <c r="C1282" s="39"/>
      <c r="D1282" s="39"/>
      <c r="E1282" s="39"/>
      <c r="F1282" s="45"/>
      <c r="G1282" s="40"/>
      <c r="H1282" s="39"/>
      <c r="I1282" s="39" t="str">
        <f aca="false">IF(ISBLANK(H1282),"", IF($H$2:$H2781 = "Gohar Rehan","Overnight",IF($H$2:$H2781 = "Taufeeq Akhtar ","Overnight",IF($H$2:$H2781 = "Zeeshan Ali Malik","Audit",IF($H$2:$H2781 = "Ali Raza ","Receiving",IF($H$2:$H2781 = "Ali Ahmad","Full-In"))))))</f>
        <v/>
      </c>
      <c r="J1282" s="29"/>
      <c r="K1282" s="40"/>
      <c r="L1282" s="40"/>
      <c r="M1282" s="41"/>
      <c r="N1282" s="39" t="s">
        <v>2335</v>
      </c>
      <c r="O1282" s="46" t="b">
        <f aca="false">FALSE()</f>
        <v>0</v>
      </c>
      <c r="P1282" s="20"/>
      <c r="Q1282" s="45" t="n">
        <v>0</v>
      </c>
      <c r="R1282" s="20"/>
      <c r="S1282" s="20"/>
    </row>
    <row r="1283" customFormat="false" ht="15.75" hidden="false" customHeight="false" outlineLevel="0" collapsed="false">
      <c r="A1283" s="39"/>
      <c r="B1283" s="44"/>
      <c r="C1283" s="39"/>
      <c r="D1283" s="39"/>
      <c r="E1283" s="39"/>
      <c r="F1283" s="45"/>
      <c r="G1283" s="40"/>
      <c r="H1283" s="39"/>
      <c r="I1283" s="39" t="str">
        <f aca="false">IF(ISBLANK(H1283),"", IF($H$2:$H2782 = "Gohar Rehan","Overnight",IF($H$2:$H2782 = "Taufeeq Akhtar ","Overnight",IF($H$2:$H2782 = "Zeeshan Ali Malik","Audit",IF($H$2:$H2782 = "Ali Raza ","Receiving",IF($H$2:$H2782 = "Ali Ahmad","Full-In"))))))</f>
        <v/>
      </c>
      <c r="J1283" s="29"/>
      <c r="K1283" s="40"/>
      <c r="L1283" s="40"/>
      <c r="M1283" s="41"/>
      <c r="N1283" s="39" t="s">
        <v>2335</v>
      </c>
      <c r="O1283" s="46" t="b">
        <f aca="false">FALSE()</f>
        <v>0</v>
      </c>
      <c r="P1283" s="20"/>
      <c r="Q1283" s="45" t="n">
        <v>0</v>
      </c>
      <c r="R1283" s="20"/>
      <c r="S1283" s="20"/>
    </row>
    <row r="1284" customFormat="false" ht="15.75" hidden="false" customHeight="false" outlineLevel="0" collapsed="false">
      <c r="A1284" s="39"/>
      <c r="B1284" s="44"/>
      <c r="C1284" s="39"/>
      <c r="D1284" s="39"/>
      <c r="E1284" s="39"/>
      <c r="F1284" s="45"/>
      <c r="G1284" s="40"/>
      <c r="H1284" s="39"/>
      <c r="I1284" s="39" t="str">
        <f aca="false">IF(ISBLANK(H1284),"", IF($H$2:$H2783 = "Gohar Rehan","Overnight",IF($H$2:$H2783 = "Taufeeq Akhtar ","Overnight",IF($H$2:$H2783 = "Zeeshan Ali Malik","Audit",IF($H$2:$H2783 = "Ali Raza ","Receiving",IF($H$2:$H2783 = "Ali Ahmad","Full-In"))))))</f>
        <v/>
      </c>
      <c r="J1284" s="29"/>
      <c r="K1284" s="40"/>
      <c r="L1284" s="40"/>
      <c r="M1284" s="41"/>
      <c r="N1284" s="39" t="s">
        <v>2335</v>
      </c>
      <c r="O1284" s="46" t="b">
        <f aca="false">FALSE()</f>
        <v>0</v>
      </c>
      <c r="P1284" s="20"/>
      <c r="Q1284" s="45" t="n">
        <v>0</v>
      </c>
      <c r="R1284" s="20"/>
      <c r="S1284" s="20"/>
    </row>
    <row r="1285" customFormat="false" ht="15.75" hidden="false" customHeight="false" outlineLevel="0" collapsed="false">
      <c r="A1285" s="39"/>
      <c r="B1285" s="44"/>
      <c r="C1285" s="39"/>
      <c r="D1285" s="39"/>
      <c r="E1285" s="39"/>
      <c r="F1285" s="45"/>
      <c r="G1285" s="40"/>
      <c r="H1285" s="39"/>
      <c r="I1285" s="39" t="str">
        <f aca="false">IF(ISBLANK(H1285),"", IF($H$2:$H2784 = "Gohar Rehan","Overnight",IF($H$2:$H2784 = "Taufeeq Akhtar ","Overnight",IF($H$2:$H2784 = "Zeeshan Ali Malik","Audit",IF($H$2:$H2784 = "Ali Raza ","Receiving",IF($H$2:$H2784 = "Ali Ahmad","Full-In"))))))</f>
        <v/>
      </c>
      <c r="J1285" s="29"/>
      <c r="K1285" s="40"/>
      <c r="L1285" s="40"/>
      <c r="M1285" s="41"/>
      <c r="N1285" s="39" t="s">
        <v>2335</v>
      </c>
      <c r="O1285" s="46" t="b">
        <f aca="false">FALSE()</f>
        <v>0</v>
      </c>
      <c r="P1285" s="20"/>
      <c r="Q1285" s="45" t="n">
        <v>0</v>
      </c>
      <c r="R1285" s="20"/>
      <c r="S1285" s="20"/>
    </row>
    <row r="1286" customFormat="false" ht="15.75" hidden="false" customHeight="false" outlineLevel="0" collapsed="false">
      <c r="A1286" s="39"/>
      <c r="B1286" s="44"/>
      <c r="C1286" s="39"/>
      <c r="D1286" s="39"/>
      <c r="E1286" s="39"/>
      <c r="F1286" s="45"/>
      <c r="G1286" s="40"/>
      <c r="H1286" s="39"/>
      <c r="I1286" s="39" t="str">
        <f aca="false">IF(ISBLANK(H1286),"", IF($H$2:$H2785 = "Gohar Rehan","Overnight",IF($H$2:$H2785 = "Taufeeq Akhtar ","Overnight",IF($H$2:$H2785 = "Zeeshan Ali Malik","Audit",IF($H$2:$H2785 = "Ali Raza ","Receiving",IF($H$2:$H2785 = "Ali Ahmad","Full-In"))))))</f>
        <v/>
      </c>
      <c r="J1286" s="29"/>
      <c r="K1286" s="40"/>
      <c r="L1286" s="40"/>
      <c r="M1286" s="41"/>
      <c r="N1286" s="39" t="s">
        <v>2335</v>
      </c>
      <c r="O1286" s="46" t="b">
        <f aca="false">FALSE()</f>
        <v>0</v>
      </c>
      <c r="P1286" s="20"/>
      <c r="Q1286" s="45" t="n">
        <v>0</v>
      </c>
      <c r="R1286" s="20"/>
      <c r="S1286" s="20"/>
    </row>
    <row r="1287" customFormat="false" ht="15.75" hidden="false" customHeight="false" outlineLevel="0" collapsed="false">
      <c r="A1287" s="39"/>
      <c r="B1287" s="44"/>
      <c r="C1287" s="39"/>
      <c r="D1287" s="39"/>
      <c r="E1287" s="39"/>
      <c r="F1287" s="45"/>
      <c r="G1287" s="40"/>
      <c r="H1287" s="39"/>
      <c r="I1287" s="39" t="str">
        <f aca="false">IF(ISBLANK(H1287),"", IF($H$2:$H2786 = "Gohar Rehan","Overnight",IF($H$2:$H2786 = "Taufeeq Akhtar ","Overnight",IF($H$2:$H2786 = "Zeeshan Ali Malik","Audit",IF($H$2:$H2786 = "Ali Raza ","Receiving",IF($H$2:$H2786 = "Ali Ahmad","Full-In"))))))</f>
        <v/>
      </c>
      <c r="J1287" s="29"/>
      <c r="K1287" s="40"/>
      <c r="L1287" s="40"/>
      <c r="M1287" s="41"/>
      <c r="N1287" s="39" t="s">
        <v>2335</v>
      </c>
      <c r="O1287" s="46" t="b">
        <f aca="false">FALSE()</f>
        <v>0</v>
      </c>
      <c r="P1287" s="20"/>
      <c r="Q1287" s="45" t="n">
        <v>0</v>
      </c>
      <c r="R1287" s="20"/>
      <c r="S1287" s="20"/>
    </row>
    <row r="1288" customFormat="false" ht="15.75" hidden="false" customHeight="false" outlineLevel="0" collapsed="false">
      <c r="A1288" s="39"/>
      <c r="B1288" s="44"/>
      <c r="C1288" s="39"/>
      <c r="D1288" s="39"/>
      <c r="E1288" s="39"/>
      <c r="F1288" s="45"/>
      <c r="G1288" s="40"/>
      <c r="H1288" s="39"/>
      <c r="I1288" s="39" t="str">
        <f aca="false">IF(ISBLANK(H1288),"", IF($H$2:$H2787 = "Gohar Rehan","Overnight",IF($H$2:$H2787 = "Taufeeq Akhtar ","Overnight",IF($H$2:$H2787 = "Zeeshan Ali Malik","Audit",IF($H$2:$H2787 = "Ali Raza ","Receiving",IF($H$2:$H2787 = "Ali Ahmad","Full-In"))))))</f>
        <v/>
      </c>
      <c r="J1288" s="29"/>
      <c r="K1288" s="40"/>
      <c r="L1288" s="40"/>
      <c r="M1288" s="41"/>
      <c r="N1288" s="39" t="s">
        <v>2335</v>
      </c>
      <c r="O1288" s="46" t="b">
        <f aca="false">FALSE()</f>
        <v>0</v>
      </c>
      <c r="P1288" s="20"/>
      <c r="Q1288" s="45" t="n">
        <v>0</v>
      </c>
      <c r="R1288" s="20"/>
      <c r="S1288" s="20"/>
    </row>
    <row r="1289" customFormat="false" ht="15.75" hidden="false" customHeight="false" outlineLevel="0" collapsed="false">
      <c r="A1289" s="39"/>
      <c r="B1289" s="44"/>
      <c r="C1289" s="39"/>
      <c r="D1289" s="39"/>
      <c r="E1289" s="39"/>
      <c r="F1289" s="45"/>
      <c r="G1289" s="40"/>
      <c r="H1289" s="39"/>
      <c r="I1289" s="39" t="str">
        <f aca="false">IF(ISBLANK(H1289),"", IF($H$2:$H2788 = "Gohar Rehan","Overnight",IF($H$2:$H2788 = "Taufeeq Akhtar ","Overnight",IF($H$2:$H2788 = "Zeeshan Ali Malik","Audit",IF($H$2:$H2788 = "Ali Raza ","Receiving",IF($H$2:$H2788 = "Ali Ahmad","Full-In"))))))</f>
        <v/>
      </c>
      <c r="J1289" s="29"/>
      <c r="K1289" s="40"/>
      <c r="L1289" s="40"/>
      <c r="M1289" s="41"/>
      <c r="N1289" s="39" t="s">
        <v>2335</v>
      </c>
      <c r="O1289" s="46" t="b">
        <f aca="false">FALSE()</f>
        <v>0</v>
      </c>
      <c r="P1289" s="20"/>
      <c r="Q1289" s="45" t="n">
        <v>0</v>
      </c>
      <c r="R1289" s="20"/>
      <c r="S1289" s="20"/>
    </row>
    <row r="1290" customFormat="false" ht="15.75" hidden="false" customHeight="false" outlineLevel="0" collapsed="false">
      <c r="A1290" s="39"/>
      <c r="B1290" s="44"/>
      <c r="C1290" s="39"/>
      <c r="D1290" s="39"/>
      <c r="E1290" s="39"/>
      <c r="F1290" s="45"/>
      <c r="G1290" s="40"/>
      <c r="H1290" s="39"/>
      <c r="I1290" s="39" t="str">
        <f aca="false">IF(ISBLANK(H1290),"", IF($H$2:$H2789 = "Gohar Rehan","Overnight",IF($H$2:$H2789 = "Taufeeq Akhtar ","Overnight",IF($H$2:$H2789 = "Zeeshan Ali Malik","Audit",IF($H$2:$H2789 = "Ali Raza ","Receiving",IF($H$2:$H2789 = "Ali Ahmad","Full-In"))))))</f>
        <v/>
      </c>
      <c r="J1290" s="29"/>
      <c r="K1290" s="40"/>
      <c r="L1290" s="40"/>
      <c r="M1290" s="41"/>
      <c r="N1290" s="39" t="s">
        <v>2335</v>
      </c>
      <c r="O1290" s="46" t="b">
        <f aca="false">FALSE()</f>
        <v>0</v>
      </c>
      <c r="P1290" s="20"/>
      <c r="Q1290" s="45" t="n">
        <v>0</v>
      </c>
      <c r="R1290" s="20"/>
      <c r="S1290" s="20"/>
    </row>
    <row r="1291" customFormat="false" ht="15.75" hidden="false" customHeight="false" outlineLevel="0" collapsed="false">
      <c r="A1291" s="39"/>
      <c r="B1291" s="44"/>
      <c r="C1291" s="39"/>
      <c r="D1291" s="39"/>
      <c r="E1291" s="39"/>
      <c r="F1291" s="45"/>
      <c r="G1291" s="40"/>
      <c r="H1291" s="39"/>
      <c r="I1291" s="39" t="str">
        <f aca="false">IF(ISBLANK(H1291),"", IF($H$2:$H2790 = "Gohar Rehan","Overnight",IF($H$2:$H2790 = "Taufeeq Akhtar ","Overnight",IF($H$2:$H2790 = "Zeeshan Ali Malik","Audit",IF($H$2:$H2790 = "Ali Raza ","Receiving",IF($H$2:$H2790 = "Ali Ahmad","Full-In"))))))</f>
        <v/>
      </c>
      <c r="J1291" s="29"/>
      <c r="K1291" s="40"/>
      <c r="L1291" s="40"/>
      <c r="M1291" s="41"/>
      <c r="N1291" s="39" t="s">
        <v>2335</v>
      </c>
      <c r="O1291" s="46" t="b">
        <f aca="false">FALSE()</f>
        <v>0</v>
      </c>
      <c r="P1291" s="20"/>
      <c r="Q1291" s="45" t="n">
        <v>0</v>
      </c>
      <c r="R1291" s="20"/>
      <c r="S1291" s="20"/>
    </row>
    <row r="1292" customFormat="false" ht="15.75" hidden="false" customHeight="false" outlineLevel="0" collapsed="false">
      <c r="A1292" s="39"/>
      <c r="B1292" s="44"/>
      <c r="C1292" s="39"/>
      <c r="D1292" s="39"/>
      <c r="E1292" s="39"/>
      <c r="F1292" s="45"/>
      <c r="G1292" s="40"/>
      <c r="H1292" s="39"/>
      <c r="I1292" s="39" t="str">
        <f aca="false">IF(ISBLANK(H1292),"", IF($H$2:$H2791 = "Gohar Rehan","Overnight",IF($H$2:$H2791 = "Taufeeq Akhtar ","Overnight",IF($H$2:$H2791 = "Zeeshan Ali Malik","Audit",IF($H$2:$H2791 = "Ali Raza ","Receiving",IF($H$2:$H2791 = "Ali Ahmad","Full-In"))))))</f>
        <v/>
      </c>
      <c r="J1292" s="29"/>
      <c r="K1292" s="40"/>
      <c r="L1292" s="40"/>
      <c r="M1292" s="41"/>
      <c r="N1292" s="39" t="s">
        <v>2335</v>
      </c>
      <c r="O1292" s="46" t="b">
        <f aca="false">FALSE()</f>
        <v>0</v>
      </c>
      <c r="P1292" s="20"/>
      <c r="Q1292" s="45" t="n">
        <v>0</v>
      </c>
      <c r="R1292" s="20"/>
      <c r="S1292" s="20"/>
    </row>
    <row r="1293" customFormat="false" ht="15.75" hidden="false" customHeight="false" outlineLevel="0" collapsed="false">
      <c r="A1293" s="39"/>
      <c r="B1293" s="44"/>
      <c r="C1293" s="39"/>
      <c r="D1293" s="39"/>
      <c r="E1293" s="39"/>
      <c r="F1293" s="45"/>
      <c r="G1293" s="40"/>
      <c r="H1293" s="39"/>
      <c r="I1293" s="39" t="str">
        <f aca="false">IF(ISBLANK(H1293),"", IF($H$2:$H2792 = "Gohar Rehan","Overnight",IF($H$2:$H2792 = "Taufeeq Akhtar ","Overnight",IF($H$2:$H2792 = "Zeeshan Ali Malik","Audit",IF($H$2:$H2792 = "Ali Raza ","Receiving",IF($H$2:$H2792 = "Ali Ahmad","Full-In"))))))</f>
        <v/>
      </c>
      <c r="J1293" s="29"/>
      <c r="K1293" s="40"/>
      <c r="L1293" s="40"/>
      <c r="M1293" s="41"/>
      <c r="N1293" s="39" t="s">
        <v>2335</v>
      </c>
      <c r="O1293" s="46" t="b">
        <f aca="false">FALSE()</f>
        <v>0</v>
      </c>
      <c r="P1293" s="20"/>
      <c r="Q1293" s="45" t="n">
        <v>0</v>
      </c>
      <c r="R1293" s="20"/>
      <c r="S1293" s="20"/>
    </row>
    <row r="1294" customFormat="false" ht="15.75" hidden="false" customHeight="false" outlineLevel="0" collapsed="false">
      <c r="A1294" s="39"/>
      <c r="B1294" s="44"/>
      <c r="C1294" s="39"/>
      <c r="D1294" s="39"/>
      <c r="E1294" s="39"/>
      <c r="F1294" s="45"/>
      <c r="G1294" s="40"/>
      <c r="H1294" s="39"/>
      <c r="I1294" s="39" t="str">
        <f aca="false">IF(ISBLANK(H1294),"", IF($H$2:$H2793 = "Gohar Rehan","Overnight",IF($H$2:$H2793 = "Taufeeq Akhtar ","Overnight",IF($H$2:$H2793 = "Zeeshan Ali Malik","Audit",IF($H$2:$H2793 = "Ali Raza ","Receiving",IF($H$2:$H2793 = "Ali Ahmad","Full-In"))))))</f>
        <v/>
      </c>
      <c r="J1294" s="29"/>
      <c r="K1294" s="40"/>
      <c r="L1294" s="40"/>
      <c r="M1294" s="41"/>
      <c r="N1294" s="39" t="s">
        <v>2335</v>
      </c>
      <c r="O1294" s="46" t="b">
        <f aca="false">FALSE()</f>
        <v>0</v>
      </c>
      <c r="P1294" s="20"/>
      <c r="Q1294" s="45" t="n">
        <v>0</v>
      </c>
      <c r="R1294" s="20"/>
      <c r="S1294" s="20"/>
    </row>
    <row r="1295" customFormat="false" ht="15.75" hidden="false" customHeight="false" outlineLevel="0" collapsed="false">
      <c r="A1295" s="39"/>
      <c r="B1295" s="44"/>
      <c r="C1295" s="39"/>
      <c r="D1295" s="39"/>
      <c r="E1295" s="39"/>
      <c r="F1295" s="45"/>
      <c r="G1295" s="40"/>
      <c r="H1295" s="39"/>
      <c r="I1295" s="39" t="str">
        <f aca="false">IF(ISBLANK(H1295),"", IF($H$2:$H2794 = "Gohar Rehan","Overnight",IF($H$2:$H2794 = "Taufeeq Akhtar ","Overnight",IF($H$2:$H2794 = "Zeeshan Ali Malik","Audit",IF($H$2:$H2794 = "Ali Raza ","Receiving",IF($H$2:$H2794 = "Ali Ahmad","Full-In"))))))</f>
        <v/>
      </c>
      <c r="J1295" s="29"/>
      <c r="K1295" s="40"/>
      <c r="L1295" s="40"/>
      <c r="M1295" s="41"/>
      <c r="N1295" s="39" t="s">
        <v>2335</v>
      </c>
      <c r="O1295" s="46" t="b">
        <f aca="false">FALSE()</f>
        <v>0</v>
      </c>
      <c r="P1295" s="20"/>
      <c r="Q1295" s="45" t="n">
        <v>0</v>
      </c>
      <c r="R1295" s="20"/>
      <c r="S1295" s="20"/>
    </row>
    <row r="1296" customFormat="false" ht="15.75" hidden="false" customHeight="false" outlineLevel="0" collapsed="false">
      <c r="A1296" s="39"/>
      <c r="B1296" s="44"/>
      <c r="C1296" s="39"/>
      <c r="D1296" s="39"/>
      <c r="E1296" s="39"/>
      <c r="F1296" s="45"/>
      <c r="G1296" s="40"/>
      <c r="H1296" s="39"/>
      <c r="I1296" s="39" t="str">
        <f aca="false">IF(ISBLANK(H1296),"", IF($H$2:$H2795 = "Gohar Rehan","Overnight",IF($H$2:$H2795 = "Taufeeq Akhtar ","Overnight",IF($H$2:$H2795 = "Zeeshan Ali Malik","Audit",IF($H$2:$H2795 = "Ali Raza ","Receiving",IF($H$2:$H2795 = "Ali Ahmad","Full-In"))))))</f>
        <v/>
      </c>
      <c r="J1296" s="29"/>
      <c r="K1296" s="40"/>
      <c r="L1296" s="40"/>
      <c r="M1296" s="41"/>
      <c r="N1296" s="39" t="s">
        <v>2335</v>
      </c>
      <c r="O1296" s="46" t="b">
        <f aca="false">FALSE()</f>
        <v>0</v>
      </c>
      <c r="P1296" s="20"/>
      <c r="Q1296" s="45" t="n">
        <v>0</v>
      </c>
      <c r="R1296" s="20"/>
      <c r="S1296" s="20"/>
    </row>
    <row r="1297" customFormat="false" ht="15.75" hidden="false" customHeight="false" outlineLevel="0" collapsed="false">
      <c r="A1297" s="39"/>
      <c r="B1297" s="44"/>
      <c r="C1297" s="39"/>
      <c r="D1297" s="39"/>
      <c r="E1297" s="39"/>
      <c r="F1297" s="45"/>
      <c r="G1297" s="40"/>
      <c r="H1297" s="39"/>
      <c r="I1297" s="39" t="str">
        <f aca="false">IF(ISBLANK(H1297),"", IF($H$2:$H2796 = "Gohar Rehan","Overnight",IF($H$2:$H2796 = "Taufeeq Akhtar ","Overnight",IF($H$2:$H2796 = "Zeeshan Ali Malik","Audit",IF($H$2:$H2796 = "Ali Raza ","Receiving",IF($H$2:$H2796 = "Ali Ahmad","Full-In"))))))</f>
        <v/>
      </c>
      <c r="J1297" s="29"/>
      <c r="K1297" s="40"/>
      <c r="L1297" s="40"/>
      <c r="M1297" s="41"/>
      <c r="N1297" s="39" t="s">
        <v>2335</v>
      </c>
      <c r="O1297" s="46" t="b">
        <f aca="false">FALSE()</f>
        <v>0</v>
      </c>
      <c r="P1297" s="20"/>
      <c r="Q1297" s="45" t="n">
        <v>0</v>
      </c>
      <c r="R1297" s="20"/>
      <c r="S1297" s="20"/>
    </row>
    <row r="1298" customFormat="false" ht="15.75" hidden="false" customHeight="false" outlineLevel="0" collapsed="false">
      <c r="A1298" s="39"/>
      <c r="B1298" s="44"/>
      <c r="C1298" s="39"/>
      <c r="D1298" s="39"/>
      <c r="E1298" s="39"/>
      <c r="F1298" s="45"/>
      <c r="G1298" s="40"/>
      <c r="H1298" s="39"/>
      <c r="I1298" s="39" t="str">
        <f aca="false">IF(ISBLANK(H1298),"", IF($H$2:$H2797 = "Gohar Rehan","Overnight",IF($H$2:$H2797 = "Taufeeq Akhtar ","Overnight",IF($H$2:$H2797 = "Zeeshan Ali Malik","Audit",IF($H$2:$H2797 = "Ali Raza ","Receiving",IF($H$2:$H2797 = "Ali Ahmad","Full-In"))))))</f>
        <v/>
      </c>
      <c r="J1298" s="29"/>
      <c r="K1298" s="40"/>
      <c r="L1298" s="40"/>
      <c r="M1298" s="41"/>
      <c r="N1298" s="39" t="s">
        <v>2335</v>
      </c>
      <c r="O1298" s="46" t="b">
        <f aca="false">FALSE()</f>
        <v>0</v>
      </c>
      <c r="P1298" s="20"/>
      <c r="Q1298" s="45" t="n">
        <v>0</v>
      </c>
      <c r="R1298" s="20"/>
      <c r="S1298" s="20"/>
    </row>
    <row r="1299" customFormat="false" ht="15.75" hidden="false" customHeight="false" outlineLevel="0" collapsed="false">
      <c r="A1299" s="39"/>
      <c r="B1299" s="44"/>
      <c r="C1299" s="39"/>
      <c r="D1299" s="39"/>
      <c r="E1299" s="39"/>
      <c r="F1299" s="45"/>
      <c r="G1299" s="40"/>
      <c r="H1299" s="39"/>
      <c r="I1299" s="39" t="str">
        <f aca="false">IF(ISBLANK(H1299),"", IF($H$2:$H2798 = "Gohar Rehan","Overnight",IF($H$2:$H2798 = "Taufeeq Akhtar ","Overnight",IF($H$2:$H2798 = "Zeeshan Ali Malik","Audit",IF($H$2:$H2798 = "Ali Raza ","Receiving",IF($H$2:$H2798 = "Ali Ahmad","Full-In"))))))</f>
        <v/>
      </c>
      <c r="J1299" s="29"/>
      <c r="K1299" s="40"/>
      <c r="L1299" s="40"/>
      <c r="M1299" s="41"/>
      <c r="N1299" s="39" t="s">
        <v>2335</v>
      </c>
      <c r="O1299" s="46" t="b">
        <f aca="false">FALSE()</f>
        <v>0</v>
      </c>
      <c r="P1299" s="20"/>
      <c r="Q1299" s="45" t="n">
        <v>0</v>
      </c>
      <c r="R1299" s="20"/>
      <c r="S1299" s="20"/>
    </row>
    <row r="1300" customFormat="false" ht="15.75" hidden="false" customHeight="false" outlineLevel="0" collapsed="false">
      <c r="A1300" s="39"/>
      <c r="B1300" s="44"/>
      <c r="C1300" s="39"/>
      <c r="D1300" s="39"/>
      <c r="E1300" s="39"/>
      <c r="F1300" s="45"/>
      <c r="G1300" s="40"/>
      <c r="H1300" s="39"/>
      <c r="I1300" s="39" t="str">
        <f aca="false">IF(ISBLANK(H1300),"", IF($H$2:$H2799 = "Gohar Rehan","Overnight",IF($H$2:$H2799 = "Taufeeq Akhtar ","Overnight",IF($H$2:$H2799 = "Zeeshan Ali Malik","Audit",IF($H$2:$H2799 = "Ali Raza ","Receiving",IF($H$2:$H2799 = "Ali Ahmad","Full-In"))))))</f>
        <v/>
      </c>
      <c r="J1300" s="29"/>
      <c r="K1300" s="40"/>
      <c r="L1300" s="40"/>
      <c r="M1300" s="41"/>
      <c r="N1300" s="39" t="s">
        <v>2335</v>
      </c>
      <c r="O1300" s="46" t="b">
        <f aca="false">FALSE()</f>
        <v>0</v>
      </c>
      <c r="P1300" s="20"/>
      <c r="Q1300" s="45" t="n">
        <v>0</v>
      </c>
      <c r="R1300" s="20"/>
      <c r="S1300" s="20"/>
    </row>
    <row r="1301" customFormat="false" ht="15.75" hidden="false" customHeight="false" outlineLevel="0" collapsed="false">
      <c r="A1301" s="39"/>
      <c r="B1301" s="44"/>
      <c r="C1301" s="39"/>
      <c r="D1301" s="39"/>
      <c r="E1301" s="39"/>
      <c r="F1301" s="45"/>
      <c r="G1301" s="40"/>
      <c r="H1301" s="39"/>
      <c r="I1301" s="39" t="str">
        <f aca="false">IF(ISBLANK(H1301),"", IF($H$2:$H2800 = "Gohar Rehan","Overnight",IF($H$2:$H2800 = "Taufeeq Akhtar ","Overnight",IF($H$2:$H2800 = "Zeeshan Ali Malik","Audit",IF($H$2:$H2800 = "Ali Raza ","Receiving",IF($H$2:$H2800 = "Ali Ahmad","Full-In"))))))</f>
        <v/>
      </c>
      <c r="J1301" s="29"/>
      <c r="K1301" s="40"/>
      <c r="L1301" s="40"/>
      <c r="M1301" s="41"/>
      <c r="N1301" s="39" t="s">
        <v>2335</v>
      </c>
      <c r="O1301" s="46" t="b">
        <f aca="false">FALSE()</f>
        <v>0</v>
      </c>
      <c r="P1301" s="20"/>
      <c r="Q1301" s="45" t="n">
        <v>0</v>
      </c>
      <c r="R1301" s="20"/>
      <c r="S1301" s="20"/>
    </row>
    <row r="1302" customFormat="false" ht="15.75" hidden="false" customHeight="false" outlineLevel="0" collapsed="false">
      <c r="A1302" s="39"/>
      <c r="B1302" s="44"/>
      <c r="C1302" s="39"/>
      <c r="D1302" s="39"/>
      <c r="E1302" s="39"/>
      <c r="F1302" s="45"/>
      <c r="G1302" s="40"/>
      <c r="H1302" s="39"/>
      <c r="I1302" s="39" t="str">
        <f aca="false">IF(ISBLANK(H1302),"", IF($H$2:$H2801 = "Gohar Rehan","Overnight",IF($H$2:$H2801 = "Taufeeq Akhtar ","Overnight",IF($H$2:$H2801 = "Zeeshan Ali Malik","Audit",IF($H$2:$H2801 = "Ali Raza ","Receiving",IF($H$2:$H2801 = "Ali Ahmad","Full-In"))))))</f>
        <v/>
      </c>
      <c r="J1302" s="29"/>
      <c r="K1302" s="40"/>
      <c r="L1302" s="40"/>
      <c r="M1302" s="41"/>
      <c r="N1302" s="39" t="s">
        <v>2335</v>
      </c>
      <c r="O1302" s="46" t="b">
        <f aca="false">FALSE()</f>
        <v>0</v>
      </c>
      <c r="P1302" s="20"/>
      <c r="Q1302" s="45" t="n">
        <v>0</v>
      </c>
      <c r="R1302" s="20"/>
      <c r="S1302" s="20"/>
    </row>
    <row r="1303" customFormat="false" ht="15.75" hidden="false" customHeight="false" outlineLevel="0" collapsed="false">
      <c r="A1303" s="39"/>
      <c r="B1303" s="44"/>
      <c r="C1303" s="39"/>
      <c r="D1303" s="39"/>
      <c r="E1303" s="39"/>
      <c r="F1303" s="45"/>
      <c r="G1303" s="40"/>
      <c r="H1303" s="39"/>
      <c r="I1303" s="39" t="str">
        <f aca="false">IF(ISBLANK(H1303),"", IF($H$2:$H2802 = "Gohar Rehan","Overnight",IF($H$2:$H2802 = "Taufeeq Akhtar ","Overnight",IF($H$2:$H2802 = "Zeeshan Ali Malik","Audit",IF($H$2:$H2802 = "Ali Raza ","Receiving",IF($H$2:$H2802 = "Ali Ahmad","Full-In"))))))</f>
        <v/>
      </c>
      <c r="J1303" s="29"/>
      <c r="K1303" s="40"/>
      <c r="L1303" s="40"/>
      <c r="M1303" s="41"/>
      <c r="N1303" s="39" t="s">
        <v>2335</v>
      </c>
      <c r="O1303" s="46" t="b">
        <f aca="false">FALSE()</f>
        <v>0</v>
      </c>
      <c r="P1303" s="20"/>
      <c r="Q1303" s="45" t="n">
        <v>0</v>
      </c>
      <c r="R1303" s="20"/>
      <c r="S1303" s="20"/>
    </row>
    <row r="1304" customFormat="false" ht="15.75" hidden="false" customHeight="false" outlineLevel="0" collapsed="false">
      <c r="A1304" s="39"/>
      <c r="B1304" s="44"/>
      <c r="C1304" s="39"/>
      <c r="D1304" s="39"/>
      <c r="E1304" s="39"/>
      <c r="F1304" s="45"/>
      <c r="G1304" s="40"/>
      <c r="H1304" s="39"/>
      <c r="I1304" s="39" t="str">
        <f aca="false">IF(ISBLANK(H1304),"", IF($H$2:$H2803 = "Gohar Rehan","Overnight",IF($H$2:$H2803 = "Taufeeq Akhtar ","Overnight",IF($H$2:$H2803 = "Zeeshan Ali Malik","Audit",IF($H$2:$H2803 = "Ali Raza ","Receiving",IF($H$2:$H2803 = "Ali Ahmad","Full-In"))))))</f>
        <v/>
      </c>
      <c r="J1304" s="29"/>
      <c r="K1304" s="40"/>
      <c r="L1304" s="40"/>
      <c r="M1304" s="41"/>
      <c r="N1304" s="39" t="s">
        <v>2335</v>
      </c>
      <c r="O1304" s="46" t="b">
        <f aca="false">FALSE()</f>
        <v>0</v>
      </c>
      <c r="P1304" s="20"/>
      <c r="Q1304" s="45" t="n">
        <v>0</v>
      </c>
      <c r="R1304" s="20"/>
      <c r="S1304" s="20"/>
    </row>
    <row r="1305" customFormat="false" ht="15.75" hidden="false" customHeight="false" outlineLevel="0" collapsed="false">
      <c r="A1305" s="39"/>
      <c r="B1305" s="44"/>
      <c r="C1305" s="39"/>
      <c r="D1305" s="39"/>
      <c r="E1305" s="39"/>
      <c r="F1305" s="45"/>
      <c r="G1305" s="40"/>
      <c r="H1305" s="39"/>
      <c r="I1305" s="39" t="str">
        <f aca="false">IF(ISBLANK(H1305),"", IF($H$2:$H2804 = "Gohar Rehan","Overnight",IF($H$2:$H2804 = "Taufeeq Akhtar ","Overnight",IF($H$2:$H2804 = "Zeeshan Ali Malik","Audit",IF($H$2:$H2804 = "Ali Raza ","Receiving",IF($H$2:$H2804 = "Ali Ahmad","Full-In"))))))</f>
        <v/>
      </c>
      <c r="J1305" s="29"/>
      <c r="K1305" s="40"/>
      <c r="L1305" s="40"/>
      <c r="M1305" s="41"/>
      <c r="N1305" s="39" t="s">
        <v>2335</v>
      </c>
      <c r="O1305" s="46" t="b">
        <f aca="false">FALSE()</f>
        <v>0</v>
      </c>
      <c r="P1305" s="20"/>
      <c r="Q1305" s="45" t="n">
        <v>0</v>
      </c>
      <c r="R1305" s="20"/>
      <c r="S1305" s="20"/>
    </row>
    <row r="1306" customFormat="false" ht="15.75" hidden="false" customHeight="false" outlineLevel="0" collapsed="false">
      <c r="A1306" s="39"/>
      <c r="B1306" s="44"/>
      <c r="C1306" s="39"/>
      <c r="D1306" s="39"/>
      <c r="E1306" s="39"/>
      <c r="F1306" s="45"/>
      <c r="G1306" s="40"/>
      <c r="H1306" s="39"/>
      <c r="I1306" s="39" t="str">
        <f aca="false">IF(ISBLANK(H1306),"", IF($H$2:$H2805 = "Gohar Rehan","Overnight",IF($H$2:$H2805 = "Taufeeq Akhtar ","Overnight",IF($H$2:$H2805 = "Zeeshan Ali Malik","Audit",IF($H$2:$H2805 = "Ali Raza ","Receiving",IF($H$2:$H2805 = "Ali Ahmad","Full-In"))))))</f>
        <v/>
      </c>
      <c r="J1306" s="29"/>
      <c r="K1306" s="40"/>
      <c r="L1306" s="40"/>
      <c r="M1306" s="41"/>
      <c r="N1306" s="39" t="s">
        <v>2335</v>
      </c>
      <c r="O1306" s="46" t="b">
        <f aca="false">FALSE()</f>
        <v>0</v>
      </c>
      <c r="P1306" s="20"/>
      <c r="Q1306" s="45" t="n">
        <v>0</v>
      </c>
      <c r="R1306" s="20"/>
      <c r="S1306" s="20"/>
    </row>
    <row r="1307" customFormat="false" ht="15.75" hidden="false" customHeight="false" outlineLevel="0" collapsed="false">
      <c r="A1307" s="39"/>
      <c r="B1307" s="44"/>
      <c r="C1307" s="39"/>
      <c r="D1307" s="39"/>
      <c r="E1307" s="39"/>
      <c r="F1307" s="45"/>
      <c r="G1307" s="40"/>
      <c r="H1307" s="39"/>
      <c r="I1307" s="39" t="str">
        <f aca="false">IF(ISBLANK(H1307),"", IF($H$2:$H2806 = "Gohar Rehan","Overnight",IF($H$2:$H2806 = "Taufeeq Akhtar ","Overnight",IF($H$2:$H2806 = "Zeeshan Ali Malik","Audit",IF($H$2:$H2806 = "Ali Raza ","Receiving",IF($H$2:$H2806 = "Ali Ahmad","Full-In"))))))</f>
        <v/>
      </c>
      <c r="J1307" s="29"/>
      <c r="K1307" s="40"/>
      <c r="L1307" s="40"/>
      <c r="M1307" s="41"/>
      <c r="N1307" s="39" t="s">
        <v>2335</v>
      </c>
      <c r="O1307" s="46" t="b">
        <f aca="false">FALSE()</f>
        <v>0</v>
      </c>
      <c r="P1307" s="20"/>
      <c r="Q1307" s="45" t="n">
        <v>0</v>
      </c>
      <c r="R1307" s="20"/>
      <c r="S1307" s="20"/>
    </row>
    <row r="1308" customFormat="false" ht="15.75" hidden="false" customHeight="false" outlineLevel="0" collapsed="false">
      <c r="A1308" s="39"/>
      <c r="B1308" s="44"/>
      <c r="C1308" s="39"/>
      <c r="D1308" s="39"/>
      <c r="E1308" s="39"/>
      <c r="F1308" s="45"/>
      <c r="G1308" s="40"/>
      <c r="H1308" s="39"/>
      <c r="I1308" s="39" t="str">
        <f aca="false">IF(ISBLANK(H1308),"", IF($H$2:$H2807 = "Gohar Rehan","Overnight",IF($H$2:$H2807 = "Taufeeq Akhtar ","Overnight",IF($H$2:$H2807 = "Zeeshan Ali Malik","Audit",IF($H$2:$H2807 = "Ali Raza ","Receiving",IF($H$2:$H2807 = "Ali Ahmad","Full-In"))))))</f>
        <v/>
      </c>
      <c r="J1308" s="29"/>
      <c r="K1308" s="40"/>
      <c r="L1308" s="40"/>
      <c r="M1308" s="41"/>
      <c r="N1308" s="39" t="s">
        <v>2335</v>
      </c>
      <c r="O1308" s="46" t="b">
        <f aca="false">FALSE()</f>
        <v>0</v>
      </c>
      <c r="P1308" s="20"/>
      <c r="Q1308" s="45" t="n">
        <v>0</v>
      </c>
      <c r="R1308" s="20"/>
      <c r="S1308" s="20"/>
    </row>
    <row r="1309" customFormat="false" ht="15.75" hidden="false" customHeight="false" outlineLevel="0" collapsed="false">
      <c r="A1309" s="39"/>
      <c r="B1309" s="44"/>
      <c r="C1309" s="39"/>
      <c r="D1309" s="39"/>
      <c r="E1309" s="39"/>
      <c r="F1309" s="45"/>
      <c r="G1309" s="40"/>
      <c r="H1309" s="39"/>
      <c r="I1309" s="39" t="str">
        <f aca="false">IF(ISBLANK(H1309),"", IF($H$2:$H2808 = "Gohar Rehan","Overnight",IF($H$2:$H2808 = "Taufeeq Akhtar ","Overnight",IF($H$2:$H2808 = "Zeeshan Ali Malik","Audit",IF($H$2:$H2808 = "Ali Raza ","Receiving",IF($H$2:$H2808 = "Ali Ahmad","Full-In"))))))</f>
        <v/>
      </c>
      <c r="J1309" s="29"/>
      <c r="K1309" s="40"/>
      <c r="L1309" s="40"/>
      <c r="M1309" s="41"/>
      <c r="N1309" s="39" t="s">
        <v>2335</v>
      </c>
      <c r="O1309" s="46" t="b">
        <f aca="false">FALSE()</f>
        <v>0</v>
      </c>
      <c r="P1309" s="20"/>
      <c r="Q1309" s="45" t="n">
        <v>0</v>
      </c>
      <c r="R1309" s="20"/>
      <c r="S1309" s="20"/>
    </row>
    <row r="1310" customFormat="false" ht="15.75" hidden="false" customHeight="false" outlineLevel="0" collapsed="false">
      <c r="A1310" s="39"/>
      <c r="B1310" s="44"/>
      <c r="C1310" s="39"/>
      <c r="D1310" s="39"/>
      <c r="E1310" s="39"/>
      <c r="F1310" s="45"/>
      <c r="G1310" s="40"/>
      <c r="H1310" s="39"/>
      <c r="I1310" s="39" t="str">
        <f aca="false">IF(ISBLANK(H1310),"", IF($H$2:$H2809 = "Gohar Rehan","Overnight",IF($H$2:$H2809 = "Taufeeq Akhtar ","Overnight",IF($H$2:$H2809 = "Zeeshan Ali Malik","Audit",IF($H$2:$H2809 = "Ali Raza ","Receiving",IF($H$2:$H2809 = "Ali Ahmad","Full-In"))))))</f>
        <v/>
      </c>
      <c r="J1310" s="29"/>
      <c r="K1310" s="40"/>
      <c r="L1310" s="40"/>
      <c r="M1310" s="41"/>
      <c r="N1310" s="39" t="s">
        <v>2335</v>
      </c>
      <c r="O1310" s="46" t="b">
        <f aca="false">FALSE()</f>
        <v>0</v>
      </c>
      <c r="P1310" s="20"/>
      <c r="Q1310" s="45" t="n">
        <v>0</v>
      </c>
      <c r="R1310" s="20"/>
      <c r="S1310" s="20"/>
    </row>
    <row r="1311" customFormat="false" ht="15.75" hidden="false" customHeight="false" outlineLevel="0" collapsed="false">
      <c r="A1311" s="39"/>
      <c r="B1311" s="44"/>
      <c r="C1311" s="39"/>
      <c r="D1311" s="39"/>
      <c r="E1311" s="39"/>
      <c r="F1311" s="45"/>
      <c r="G1311" s="40"/>
      <c r="H1311" s="39"/>
      <c r="I1311" s="39" t="str">
        <f aca="false">IF(ISBLANK(H1311),"", IF($H$2:$H2810 = "Gohar Rehan","Overnight",IF($H$2:$H2810 = "Taufeeq Akhtar ","Overnight",IF($H$2:$H2810 = "Zeeshan Ali Malik","Audit",IF($H$2:$H2810 = "Ali Raza ","Receiving",IF($H$2:$H2810 = "Ali Ahmad","Full-In"))))))</f>
        <v/>
      </c>
      <c r="J1311" s="29"/>
      <c r="K1311" s="40"/>
      <c r="L1311" s="40"/>
      <c r="M1311" s="41"/>
      <c r="N1311" s="39" t="s">
        <v>2335</v>
      </c>
      <c r="O1311" s="46" t="b">
        <f aca="false">FALSE()</f>
        <v>0</v>
      </c>
      <c r="P1311" s="20"/>
      <c r="Q1311" s="45" t="n">
        <v>0</v>
      </c>
      <c r="R1311" s="20"/>
      <c r="S1311" s="20"/>
    </row>
    <row r="1312" customFormat="false" ht="15.75" hidden="false" customHeight="false" outlineLevel="0" collapsed="false">
      <c r="A1312" s="39"/>
      <c r="B1312" s="44"/>
      <c r="C1312" s="39"/>
      <c r="D1312" s="39"/>
      <c r="E1312" s="39"/>
      <c r="F1312" s="45"/>
      <c r="G1312" s="40"/>
      <c r="H1312" s="39"/>
      <c r="I1312" s="39" t="str">
        <f aca="false">IF(ISBLANK(H1312),"", IF($H$2:$H2811 = "Gohar Rehan","Overnight",IF($H$2:$H2811 = "Taufeeq Akhtar ","Overnight",IF($H$2:$H2811 = "Zeeshan Ali Malik","Audit",IF($H$2:$H2811 = "Ali Raza ","Receiving",IF($H$2:$H2811 = "Ali Ahmad","Full-In"))))))</f>
        <v/>
      </c>
      <c r="J1312" s="29"/>
      <c r="K1312" s="40"/>
      <c r="L1312" s="40"/>
      <c r="M1312" s="41"/>
      <c r="N1312" s="39" t="s">
        <v>2335</v>
      </c>
      <c r="O1312" s="46" t="b">
        <f aca="false">FALSE()</f>
        <v>0</v>
      </c>
      <c r="P1312" s="20"/>
      <c r="Q1312" s="45" t="n">
        <v>0</v>
      </c>
      <c r="R1312" s="20"/>
      <c r="S1312" s="20"/>
    </row>
    <row r="1313" customFormat="false" ht="15.75" hidden="false" customHeight="false" outlineLevel="0" collapsed="false">
      <c r="A1313" s="39"/>
      <c r="B1313" s="44"/>
      <c r="C1313" s="39"/>
      <c r="D1313" s="39"/>
      <c r="E1313" s="39"/>
      <c r="F1313" s="45"/>
      <c r="G1313" s="40"/>
      <c r="H1313" s="39"/>
      <c r="I1313" s="39" t="str">
        <f aca="false">IF(ISBLANK(H1313),"", IF($H$2:$H2812 = "Gohar Rehan","Overnight",IF($H$2:$H2812 = "Taufeeq Akhtar ","Overnight",IF($H$2:$H2812 = "Zeeshan Ali Malik","Audit",IF($H$2:$H2812 = "Ali Raza ","Receiving",IF($H$2:$H2812 = "Ali Ahmad","Full-In"))))))</f>
        <v/>
      </c>
      <c r="J1313" s="29"/>
      <c r="K1313" s="40"/>
      <c r="L1313" s="40"/>
      <c r="M1313" s="41"/>
      <c r="N1313" s="39" t="s">
        <v>2335</v>
      </c>
      <c r="O1313" s="46" t="b">
        <f aca="false">FALSE()</f>
        <v>0</v>
      </c>
      <c r="P1313" s="20"/>
      <c r="Q1313" s="45" t="n">
        <v>0</v>
      </c>
      <c r="R1313" s="20"/>
      <c r="S1313" s="20"/>
    </row>
    <row r="1314" customFormat="false" ht="15.75" hidden="false" customHeight="false" outlineLevel="0" collapsed="false">
      <c r="A1314" s="39"/>
      <c r="B1314" s="44"/>
      <c r="C1314" s="39"/>
      <c r="D1314" s="39"/>
      <c r="E1314" s="39"/>
      <c r="F1314" s="45"/>
      <c r="G1314" s="40"/>
      <c r="H1314" s="39"/>
      <c r="I1314" s="39" t="str">
        <f aca="false">IF(ISBLANK(H1314),"", IF($H$2:$H2813 = "Gohar Rehan","Overnight",IF($H$2:$H2813 = "Taufeeq Akhtar ","Overnight",IF($H$2:$H2813 = "Zeeshan Ali Malik","Audit",IF($H$2:$H2813 = "Ali Raza ","Receiving",IF($H$2:$H2813 = "Ali Ahmad","Full-In"))))))</f>
        <v/>
      </c>
      <c r="J1314" s="29"/>
      <c r="K1314" s="40"/>
      <c r="L1314" s="40"/>
      <c r="M1314" s="41"/>
      <c r="N1314" s="39" t="s">
        <v>2335</v>
      </c>
      <c r="O1314" s="46" t="b">
        <f aca="false">FALSE()</f>
        <v>0</v>
      </c>
      <c r="P1314" s="20"/>
      <c r="Q1314" s="45" t="n">
        <v>0</v>
      </c>
      <c r="R1314" s="20"/>
      <c r="S1314" s="20"/>
    </row>
    <row r="1315" customFormat="false" ht="15.75" hidden="false" customHeight="false" outlineLevel="0" collapsed="false">
      <c r="A1315" s="39"/>
      <c r="B1315" s="44"/>
      <c r="C1315" s="39"/>
      <c r="D1315" s="39"/>
      <c r="E1315" s="39"/>
      <c r="F1315" s="45"/>
      <c r="G1315" s="40"/>
      <c r="H1315" s="39"/>
      <c r="I1315" s="39" t="str">
        <f aca="false">IF(ISBLANK(H1315),"", IF($H$2:$H2814 = "Gohar Rehan","Overnight",IF($H$2:$H2814 = "Taufeeq Akhtar ","Overnight",IF($H$2:$H2814 = "Zeeshan Ali Malik","Audit",IF($H$2:$H2814 = "Ali Raza ","Receiving",IF($H$2:$H2814 = "Ali Ahmad","Full-In"))))))</f>
        <v/>
      </c>
      <c r="J1315" s="29"/>
      <c r="K1315" s="40"/>
      <c r="L1315" s="40"/>
      <c r="M1315" s="41"/>
      <c r="N1315" s="39" t="s">
        <v>2335</v>
      </c>
      <c r="O1315" s="46" t="b">
        <f aca="false">FALSE()</f>
        <v>0</v>
      </c>
      <c r="P1315" s="20"/>
      <c r="Q1315" s="45" t="n">
        <v>0</v>
      </c>
      <c r="R1315" s="20"/>
      <c r="S1315" s="20"/>
    </row>
    <row r="1316" customFormat="false" ht="15.75" hidden="false" customHeight="false" outlineLevel="0" collapsed="false">
      <c r="A1316" s="39"/>
      <c r="B1316" s="44"/>
      <c r="C1316" s="39"/>
      <c r="D1316" s="39"/>
      <c r="E1316" s="39"/>
      <c r="F1316" s="45"/>
      <c r="G1316" s="40"/>
      <c r="H1316" s="39"/>
      <c r="I1316" s="39" t="str">
        <f aca="false">IF(ISBLANK(H1316),"", IF($H$2:$H2815 = "Gohar Rehan","Overnight",IF($H$2:$H2815 = "Taufeeq Akhtar ","Overnight",IF($H$2:$H2815 = "Zeeshan Ali Malik","Audit",IF($H$2:$H2815 = "Ali Raza ","Receiving",IF($H$2:$H2815 = "Ali Ahmad","Full-In"))))))</f>
        <v/>
      </c>
      <c r="J1316" s="29"/>
      <c r="K1316" s="40"/>
      <c r="L1316" s="40"/>
      <c r="M1316" s="41"/>
      <c r="N1316" s="39" t="s">
        <v>2335</v>
      </c>
      <c r="O1316" s="46" t="b">
        <f aca="false">FALSE()</f>
        <v>0</v>
      </c>
      <c r="P1316" s="20"/>
      <c r="Q1316" s="45" t="n">
        <v>0</v>
      </c>
      <c r="R1316" s="20"/>
      <c r="S1316" s="20"/>
    </row>
    <row r="1317" customFormat="false" ht="15.75" hidden="false" customHeight="false" outlineLevel="0" collapsed="false">
      <c r="A1317" s="39"/>
      <c r="B1317" s="44"/>
      <c r="C1317" s="39"/>
      <c r="D1317" s="39"/>
      <c r="E1317" s="39"/>
      <c r="F1317" s="45"/>
      <c r="G1317" s="40"/>
      <c r="H1317" s="39"/>
      <c r="I1317" s="39" t="str">
        <f aca="false">IF(ISBLANK(H1317),"", IF($H$2:$H2816 = "Gohar Rehan","Overnight",IF($H$2:$H2816 = "Taufeeq Akhtar ","Overnight",IF($H$2:$H2816 = "Zeeshan Ali Malik","Audit",IF($H$2:$H2816 = "Ali Raza ","Receiving",IF($H$2:$H2816 = "Ali Ahmad","Full-In"))))))</f>
        <v/>
      </c>
      <c r="J1317" s="29"/>
      <c r="K1317" s="40"/>
      <c r="L1317" s="40"/>
      <c r="M1317" s="41"/>
      <c r="N1317" s="39" t="s">
        <v>2335</v>
      </c>
      <c r="O1317" s="46" t="b">
        <f aca="false">FALSE()</f>
        <v>0</v>
      </c>
      <c r="P1317" s="20"/>
      <c r="Q1317" s="45" t="n">
        <v>0</v>
      </c>
      <c r="R1317" s="20"/>
      <c r="S1317" s="20"/>
    </row>
    <row r="1318" customFormat="false" ht="15.75" hidden="false" customHeight="false" outlineLevel="0" collapsed="false">
      <c r="A1318" s="39"/>
      <c r="B1318" s="44"/>
      <c r="C1318" s="39"/>
      <c r="D1318" s="39"/>
      <c r="E1318" s="39"/>
      <c r="F1318" s="45"/>
      <c r="G1318" s="40"/>
      <c r="H1318" s="39"/>
      <c r="I1318" s="39" t="str">
        <f aca="false">IF(ISBLANK(H1318),"", IF($H$2:$H2817 = "Gohar Rehan","Overnight",IF($H$2:$H2817 = "Taufeeq Akhtar ","Overnight",IF($H$2:$H2817 = "Zeeshan Ali Malik","Audit",IF($H$2:$H2817 = "Ali Raza ","Receiving",IF($H$2:$H2817 = "Ali Ahmad","Full-In"))))))</f>
        <v/>
      </c>
      <c r="J1318" s="29"/>
      <c r="K1318" s="40"/>
      <c r="L1318" s="40"/>
      <c r="M1318" s="41"/>
      <c r="N1318" s="39" t="s">
        <v>2335</v>
      </c>
      <c r="O1318" s="46" t="b">
        <f aca="false">FALSE()</f>
        <v>0</v>
      </c>
      <c r="P1318" s="20"/>
      <c r="Q1318" s="45" t="n">
        <v>0</v>
      </c>
      <c r="R1318" s="20"/>
      <c r="S1318" s="20"/>
    </row>
    <row r="1319" customFormat="false" ht="15.75" hidden="false" customHeight="false" outlineLevel="0" collapsed="false">
      <c r="A1319" s="39"/>
      <c r="B1319" s="44"/>
      <c r="C1319" s="39"/>
      <c r="D1319" s="39"/>
      <c r="E1319" s="39"/>
      <c r="F1319" s="45"/>
      <c r="G1319" s="40"/>
      <c r="H1319" s="39"/>
      <c r="I1319" s="39" t="str">
        <f aca="false">IF(ISBLANK(H1319),"", IF($H$2:$H2818 = "Gohar Rehan","Overnight",IF($H$2:$H2818 = "Taufeeq Akhtar ","Overnight",IF($H$2:$H2818 = "Zeeshan Ali Malik","Audit",IF($H$2:$H2818 = "Ali Raza ","Receiving",IF($H$2:$H2818 = "Ali Ahmad","Full-In"))))))</f>
        <v/>
      </c>
      <c r="J1319" s="29"/>
      <c r="K1319" s="40"/>
      <c r="L1319" s="40"/>
      <c r="M1319" s="41"/>
      <c r="N1319" s="39" t="s">
        <v>2335</v>
      </c>
      <c r="O1319" s="46" t="b">
        <f aca="false">FALSE()</f>
        <v>0</v>
      </c>
      <c r="P1319" s="20"/>
      <c r="Q1319" s="45" t="n">
        <v>0</v>
      </c>
      <c r="R1319" s="20"/>
      <c r="S1319" s="20"/>
    </row>
    <row r="1320" customFormat="false" ht="15.75" hidden="false" customHeight="false" outlineLevel="0" collapsed="false">
      <c r="A1320" s="39"/>
      <c r="B1320" s="44"/>
      <c r="C1320" s="39"/>
      <c r="D1320" s="39"/>
      <c r="E1320" s="39"/>
      <c r="F1320" s="45"/>
      <c r="G1320" s="40"/>
      <c r="H1320" s="39"/>
      <c r="I1320" s="39" t="str">
        <f aca="false">IF(ISBLANK(H1320),"", IF($H$2:$H2819 = "Gohar Rehan","Overnight",IF($H$2:$H2819 = "Taufeeq Akhtar ","Overnight",IF($H$2:$H2819 = "Zeeshan Ali Malik","Audit",IF($H$2:$H2819 = "Ali Raza ","Receiving",IF($H$2:$H2819 = "Ali Ahmad","Full-In"))))))</f>
        <v/>
      </c>
      <c r="J1320" s="29"/>
      <c r="K1320" s="40"/>
      <c r="L1320" s="40"/>
      <c r="M1320" s="41"/>
      <c r="N1320" s="39" t="s">
        <v>2335</v>
      </c>
      <c r="O1320" s="46" t="b">
        <f aca="false">FALSE()</f>
        <v>0</v>
      </c>
      <c r="P1320" s="20"/>
      <c r="Q1320" s="45" t="n">
        <v>0</v>
      </c>
      <c r="R1320" s="20"/>
      <c r="S1320" s="20"/>
    </row>
    <row r="1321" customFormat="false" ht="15.75" hidden="false" customHeight="false" outlineLevel="0" collapsed="false">
      <c r="A1321" s="39"/>
      <c r="B1321" s="44"/>
      <c r="C1321" s="39"/>
      <c r="D1321" s="39"/>
      <c r="E1321" s="39"/>
      <c r="F1321" s="45"/>
      <c r="G1321" s="40"/>
      <c r="H1321" s="39"/>
      <c r="I1321" s="39" t="str">
        <f aca="false">IF(ISBLANK(H1321),"", IF($H$2:$H2820 = "Gohar Rehan","Overnight",IF($H$2:$H2820 = "Taufeeq Akhtar ","Overnight",IF($H$2:$H2820 = "Zeeshan Ali Malik","Audit",IF($H$2:$H2820 = "Ali Raza ","Receiving",IF($H$2:$H2820 = "Ali Ahmad","Full-In"))))))</f>
        <v/>
      </c>
      <c r="J1321" s="29"/>
      <c r="K1321" s="40"/>
      <c r="L1321" s="40"/>
      <c r="M1321" s="41"/>
      <c r="N1321" s="39" t="s">
        <v>2335</v>
      </c>
      <c r="O1321" s="46" t="b">
        <f aca="false">FALSE()</f>
        <v>0</v>
      </c>
      <c r="P1321" s="20"/>
      <c r="Q1321" s="45" t="n">
        <v>0</v>
      </c>
      <c r="R1321" s="20"/>
      <c r="S1321" s="20"/>
    </row>
    <row r="1322" customFormat="false" ht="15.75" hidden="false" customHeight="false" outlineLevel="0" collapsed="false">
      <c r="A1322" s="39"/>
      <c r="B1322" s="44"/>
      <c r="C1322" s="39"/>
      <c r="D1322" s="39"/>
      <c r="E1322" s="39"/>
      <c r="F1322" s="45"/>
      <c r="G1322" s="40"/>
      <c r="H1322" s="39"/>
      <c r="I1322" s="39" t="str">
        <f aca="false">IF(ISBLANK(H1322),"", IF($H$2:$H2821 = "Gohar Rehan","Overnight",IF($H$2:$H2821 = "Taufeeq Akhtar ","Overnight",IF($H$2:$H2821 = "Zeeshan Ali Malik","Audit",IF($H$2:$H2821 = "Ali Raza ","Receiving",IF($H$2:$H2821 = "Ali Ahmad","Full-In"))))))</f>
        <v/>
      </c>
      <c r="J1322" s="29"/>
      <c r="K1322" s="40"/>
      <c r="L1322" s="40"/>
      <c r="M1322" s="41"/>
      <c r="N1322" s="39" t="s">
        <v>2335</v>
      </c>
      <c r="O1322" s="46" t="b">
        <f aca="false">FALSE()</f>
        <v>0</v>
      </c>
      <c r="P1322" s="20"/>
      <c r="Q1322" s="45" t="n">
        <v>0</v>
      </c>
      <c r="R1322" s="20"/>
      <c r="S1322" s="20"/>
    </row>
    <row r="1323" customFormat="false" ht="15.75" hidden="false" customHeight="false" outlineLevel="0" collapsed="false">
      <c r="A1323" s="39"/>
      <c r="B1323" s="44"/>
      <c r="C1323" s="39"/>
      <c r="D1323" s="39"/>
      <c r="E1323" s="39"/>
      <c r="F1323" s="45"/>
      <c r="G1323" s="40"/>
      <c r="H1323" s="39"/>
      <c r="I1323" s="39" t="str">
        <f aca="false">IF(ISBLANK(H1323),"", IF($H$2:$H2822 = "Gohar Rehan","Overnight",IF($H$2:$H2822 = "Taufeeq Akhtar ","Overnight",IF($H$2:$H2822 = "Zeeshan Ali Malik","Audit",IF($H$2:$H2822 = "Ali Raza ","Receiving",IF($H$2:$H2822 = "Ali Ahmad","Full-In"))))))</f>
        <v/>
      </c>
      <c r="J1323" s="29"/>
      <c r="K1323" s="40"/>
      <c r="L1323" s="40"/>
      <c r="M1323" s="41"/>
      <c r="N1323" s="39" t="s">
        <v>2335</v>
      </c>
      <c r="O1323" s="46" t="b">
        <f aca="false">FALSE()</f>
        <v>0</v>
      </c>
      <c r="P1323" s="20"/>
      <c r="Q1323" s="45" t="n">
        <v>0</v>
      </c>
      <c r="R1323" s="20"/>
      <c r="S1323" s="20"/>
    </row>
    <row r="1324" customFormat="false" ht="15.75" hidden="false" customHeight="false" outlineLevel="0" collapsed="false">
      <c r="A1324" s="39"/>
      <c r="B1324" s="44"/>
      <c r="C1324" s="39"/>
      <c r="D1324" s="39"/>
      <c r="E1324" s="39"/>
      <c r="F1324" s="45"/>
      <c r="G1324" s="40"/>
      <c r="H1324" s="39"/>
      <c r="I1324" s="39" t="str">
        <f aca="false">IF(ISBLANK(H1324),"", IF($H$2:$H2823 = "Gohar Rehan","Overnight",IF($H$2:$H2823 = "Taufeeq Akhtar ","Overnight",IF($H$2:$H2823 = "Zeeshan Ali Malik","Audit",IF($H$2:$H2823 = "Ali Raza ","Receiving",IF($H$2:$H2823 = "Ali Ahmad","Full-In"))))))</f>
        <v/>
      </c>
      <c r="J1324" s="29"/>
      <c r="K1324" s="40"/>
      <c r="L1324" s="40"/>
      <c r="M1324" s="41"/>
      <c r="N1324" s="39" t="s">
        <v>2335</v>
      </c>
      <c r="O1324" s="46" t="b">
        <f aca="false">FALSE()</f>
        <v>0</v>
      </c>
      <c r="P1324" s="20"/>
      <c r="Q1324" s="45" t="n">
        <v>0</v>
      </c>
      <c r="R1324" s="20"/>
      <c r="S1324" s="20"/>
    </row>
    <row r="1325" customFormat="false" ht="15.75" hidden="false" customHeight="false" outlineLevel="0" collapsed="false">
      <c r="A1325" s="39"/>
      <c r="B1325" s="44"/>
      <c r="C1325" s="39"/>
      <c r="D1325" s="39"/>
      <c r="E1325" s="39"/>
      <c r="F1325" s="45"/>
      <c r="G1325" s="40"/>
      <c r="H1325" s="39"/>
      <c r="I1325" s="39" t="str">
        <f aca="false">IF(ISBLANK(H1325),"", IF($H$2:$H2824 = "Gohar Rehan","Overnight",IF($H$2:$H2824 = "Taufeeq Akhtar ","Overnight",IF($H$2:$H2824 = "Zeeshan Ali Malik","Audit",IF($H$2:$H2824 = "Ali Raza ","Receiving",IF($H$2:$H2824 = "Ali Ahmad","Full-In"))))))</f>
        <v/>
      </c>
      <c r="J1325" s="29"/>
      <c r="K1325" s="40"/>
      <c r="L1325" s="40"/>
      <c r="M1325" s="41"/>
      <c r="N1325" s="39" t="s">
        <v>2335</v>
      </c>
      <c r="O1325" s="46" t="b">
        <f aca="false">FALSE()</f>
        <v>0</v>
      </c>
      <c r="P1325" s="20"/>
      <c r="Q1325" s="45" t="n">
        <v>0</v>
      </c>
      <c r="R1325" s="20"/>
      <c r="S1325" s="20"/>
    </row>
    <row r="1326" customFormat="false" ht="15.75" hidden="false" customHeight="false" outlineLevel="0" collapsed="false">
      <c r="A1326" s="39"/>
      <c r="B1326" s="44"/>
      <c r="C1326" s="39"/>
      <c r="D1326" s="39"/>
      <c r="E1326" s="39"/>
      <c r="F1326" s="45"/>
      <c r="G1326" s="40"/>
      <c r="H1326" s="39"/>
      <c r="I1326" s="39" t="str">
        <f aca="false">IF(ISBLANK(H1326),"", IF($H$2:$H2825 = "Gohar Rehan","Overnight",IF($H$2:$H2825 = "Taufeeq Akhtar ","Overnight",IF($H$2:$H2825 = "Zeeshan Ali Malik","Audit",IF($H$2:$H2825 = "Ali Raza ","Receiving",IF($H$2:$H2825 = "Ali Ahmad","Full-In"))))))</f>
        <v/>
      </c>
      <c r="J1326" s="29"/>
      <c r="K1326" s="40"/>
      <c r="L1326" s="40"/>
      <c r="M1326" s="41"/>
      <c r="N1326" s="39" t="s">
        <v>2335</v>
      </c>
      <c r="O1326" s="46" t="b">
        <f aca="false">FALSE()</f>
        <v>0</v>
      </c>
      <c r="P1326" s="20"/>
      <c r="Q1326" s="45" t="n">
        <v>0</v>
      </c>
      <c r="R1326" s="20"/>
      <c r="S1326" s="20"/>
    </row>
    <row r="1327" customFormat="false" ht="15.75" hidden="false" customHeight="false" outlineLevel="0" collapsed="false">
      <c r="A1327" s="39"/>
      <c r="B1327" s="44"/>
      <c r="C1327" s="39"/>
      <c r="D1327" s="39"/>
      <c r="E1327" s="39"/>
      <c r="F1327" s="45"/>
      <c r="G1327" s="40"/>
      <c r="H1327" s="39"/>
      <c r="I1327" s="39" t="str">
        <f aca="false">IF(ISBLANK(H1327),"", IF($H$2:$H2826 = "Gohar Rehan","Overnight",IF($H$2:$H2826 = "Taufeeq Akhtar ","Overnight",IF($H$2:$H2826 = "Zeeshan Ali Malik","Audit",IF($H$2:$H2826 = "Ali Raza ","Receiving",IF($H$2:$H2826 = "Ali Ahmad","Full-In"))))))</f>
        <v/>
      </c>
      <c r="J1327" s="29"/>
      <c r="K1327" s="40"/>
      <c r="L1327" s="40"/>
      <c r="M1327" s="41"/>
      <c r="N1327" s="39" t="s">
        <v>2335</v>
      </c>
      <c r="O1327" s="46" t="b">
        <f aca="false">FALSE()</f>
        <v>0</v>
      </c>
      <c r="P1327" s="20"/>
      <c r="Q1327" s="45" t="n">
        <v>0</v>
      </c>
      <c r="R1327" s="20"/>
      <c r="S1327" s="20"/>
    </row>
    <row r="1328" customFormat="false" ht="15.75" hidden="false" customHeight="false" outlineLevel="0" collapsed="false">
      <c r="A1328" s="39"/>
      <c r="B1328" s="44"/>
      <c r="C1328" s="39"/>
      <c r="D1328" s="39"/>
      <c r="E1328" s="39"/>
      <c r="F1328" s="45"/>
      <c r="G1328" s="40"/>
      <c r="H1328" s="39"/>
      <c r="I1328" s="39" t="str">
        <f aca="false">IF(ISBLANK(H1328),"", IF($H$2:$H2827 = "Gohar Rehan","Overnight",IF($H$2:$H2827 = "Taufeeq Akhtar ","Overnight",IF($H$2:$H2827 = "Zeeshan Ali Malik","Audit",IF($H$2:$H2827 = "Ali Raza ","Receiving",IF($H$2:$H2827 = "Ali Ahmad","Full-In"))))))</f>
        <v/>
      </c>
      <c r="J1328" s="29"/>
      <c r="K1328" s="40"/>
      <c r="L1328" s="40"/>
      <c r="M1328" s="41"/>
      <c r="N1328" s="39" t="s">
        <v>2335</v>
      </c>
      <c r="O1328" s="46" t="b">
        <f aca="false">FALSE()</f>
        <v>0</v>
      </c>
      <c r="P1328" s="20"/>
      <c r="Q1328" s="45" t="n">
        <v>0</v>
      </c>
      <c r="R1328" s="20"/>
      <c r="S1328" s="20"/>
    </row>
    <row r="1329" customFormat="false" ht="15.75" hidden="false" customHeight="false" outlineLevel="0" collapsed="false">
      <c r="A1329" s="39"/>
      <c r="B1329" s="44"/>
      <c r="C1329" s="39"/>
      <c r="D1329" s="39"/>
      <c r="E1329" s="39"/>
      <c r="F1329" s="45"/>
      <c r="G1329" s="40"/>
      <c r="H1329" s="39"/>
      <c r="I1329" s="39" t="str">
        <f aca="false">IF(ISBLANK(H1329),"", IF($H$2:$H2828 = "Gohar Rehan","Overnight",IF($H$2:$H2828 = "Taufeeq Akhtar ","Overnight",IF($H$2:$H2828 = "Zeeshan Ali Malik","Audit",IF($H$2:$H2828 = "Ali Raza ","Receiving",IF($H$2:$H2828 = "Ali Ahmad","Full-In"))))))</f>
        <v/>
      </c>
      <c r="J1329" s="29"/>
      <c r="K1329" s="40"/>
      <c r="L1329" s="40"/>
      <c r="M1329" s="41"/>
      <c r="N1329" s="39" t="s">
        <v>2335</v>
      </c>
      <c r="O1329" s="46" t="b">
        <f aca="false">FALSE()</f>
        <v>0</v>
      </c>
      <c r="P1329" s="20"/>
      <c r="Q1329" s="45" t="n">
        <v>0</v>
      </c>
      <c r="R1329" s="20"/>
      <c r="S1329" s="20"/>
    </row>
    <row r="1330" customFormat="false" ht="15.75" hidden="false" customHeight="false" outlineLevel="0" collapsed="false">
      <c r="A1330" s="39"/>
      <c r="B1330" s="44"/>
      <c r="C1330" s="39"/>
      <c r="D1330" s="39"/>
      <c r="E1330" s="39"/>
      <c r="F1330" s="45"/>
      <c r="G1330" s="40"/>
      <c r="H1330" s="39"/>
      <c r="I1330" s="39" t="str">
        <f aca="false">IF(ISBLANK(H1330),"", IF($H$2:$H2829 = "Gohar Rehan","Overnight",IF($H$2:$H2829 = "Taufeeq Akhtar ","Overnight",IF($H$2:$H2829 = "Zeeshan Ali Malik","Audit",IF($H$2:$H2829 = "Ali Raza ","Receiving",IF($H$2:$H2829 = "Ali Ahmad","Full-In"))))))</f>
        <v/>
      </c>
      <c r="J1330" s="29"/>
      <c r="K1330" s="40"/>
      <c r="L1330" s="40"/>
      <c r="M1330" s="41"/>
      <c r="N1330" s="39" t="s">
        <v>2335</v>
      </c>
      <c r="O1330" s="46" t="b">
        <f aca="false">FALSE()</f>
        <v>0</v>
      </c>
      <c r="P1330" s="20"/>
      <c r="Q1330" s="45" t="n">
        <v>0</v>
      </c>
      <c r="R1330" s="20"/>
      <c r="S1330" s="20"/>
    </row>
    <row r="1331" customFormat="false" ht="15.75" hidden="false" customHeight="false" outlineLevel="0" collapsed="false">
      <c r="A1331" s="39"/>
      <c r="B1331" s="44"/>
      <c r="C1331" s="39"/>
      <c r="D1331" s="39"/>
      <c r="E1331" s="39"/>
      <c r="F1331" s="45"/>
      <c r="G1331" s="40"/>
      <c r="H1331" s="39"/>
      <c r="I1331" s="39" t="str">
        <f aca="false">IF(ISBLANK(H1331),"", IF($H$2:$H2830 = "Gohar Rehan","Overnight",IF($H$2:$H2830 = "Taufeeq Akhtar ","Overnight",IF($H$2:$H2830 = "Zeeshan Ali Malik","Audit",IF($H$2:$H2830 = "Ali Raza ","Receiving",IF($H$2:$H2830 = "Ali Ahmad","Full-In"))))))</f>
        <v/>
      </c>
      <c r="J1331" s="29"/>
      <c r="K1331" s="40"/>
      <c r="L1331" s="40"/>
      <c r="M1331" s="41"/>
      <c r="N1331" s="39" t="s">
        <v>2335</v>
      </c>
      <c r="O1331" s="46" t="b">
        <f aca="false">FALSE()</f>
        <v>0</v>
      </c>
      <c r="P1331" s="20"/>
      <c r="Q1331" s="45" t="n">
        <v>0</v>
      </c>
      <c r="R1331" s="20"/>
      <c r="S1331" s="20"/>
    </row>
    <row r="1332" customFormat="false" ht="15.75" hidden="false" customHeight="false" outlineLevel="0" collapsed="false">
      <c r="A1332" s="39"/>
      <c r="B1332" s="44"/>
      <c r="C1332" s="39"/>
      <c r="D1332" s="39"/>
      <c r="E1332" s="39"/>
      <c r="F1332" s="45"/>
      <c r="G1332" s="40"/>
      <c r="H1332" s="39"/>
      <c r="I1332" s="39" t="str">
        <f aca="false">IF(ISBLANK(H1332),"", IF($H$2:$H2831 = "Gohar Rehan","Overnight",IF($H$2:$H2831 = "Taufeeq Akhtar ","Overnight",IF($H$2:$H2831 = "Zeeshan Ali Malik","Audit",IF($H$2:$H2831 = "Ali Raza ","Receiving",IF($H$2:$H2831 = "Ali Ahmad","Full-In"))))))</f>
        <v/>
      </c>
      <c r="J1332" s="29"/>
      <c r="K1332" s="40"/>
      <c r="L1332" s="40"/>
      <c r="M1332" s="41"/>
      <c r="N1332" s="39" t="s">
        <v>2335</v>
      </c>
      <c r="O1332" s="46" t="b">
        <f aca="false">FALSE()</f>
        <v>0</v>
      </c>
      <c r="P1332" s="20"/>
      <c r="Q1332" s="45" t="n">
        <v>0</v>
      </c>
      <c r="R1332" s="20"/>
      <c r="S1332" s="20"/>
    </row>
    <row r="1333" customFormat="false" ht="15.75" hidden="false" customHeight="false" outlineLevel="0" collapsed="false">
      <c r="A1333" s="39"/>
      <c r="B1333" s="44"/>
      <c r="C1333" s="39"/>
      <c r="D1333" s="39"/>
      <c r="E1333" s="39"/>
      <c r="F1333" s="45"/>
      <c r="G1333" s="40"/>
      <c r="H1333" s="39"/>
      <c r="I1333" s="39" t="str">
        <f aca="false">IF(ISBLANK(H1333),"", IF($H$2:$H2832 = "Gohar Rehan","Overnight",IF($H$2:$H2832 = "Taufeeq Akhtar ","Overnight",IF($H$2:$H2832 = "Zeeshan Ali Malik","Audit",IF($H$2:$H2832 = "Ali Raza ","Receiving",IF($H$2:$H2832 = "Ali Ahmad","Full-In"))))))</f>
        <v/>
      </c>
      <c r="J1333" s="29"/>
      <c r="K1333" s="40"/>
      <c r="L1333" s="40"/>
      <c r="M1333" s="41"/>
      <c r="N1333" s="39" t="s">
        <v>2335</v>
      </c>
      <c r="O1333" s="46" t="b">
        <f aca="false">FALSE()</f>
        <v>0</v>
      </c>
      <c r="P1333" s="20"/>
      <c r="Q1333" s="45" t="n">
        <v>0</v>
      </c>
      <c r="R1333" s="20"/>
      <c r="S1333" s="20"/>
    </row>
    <row r="1334" customFormat="false" ht="15.75" hidden="false" customHeight="false" outlineLevel="0" collapsed="false">
      <c r="A1334" s="39"/>
      <c r="B1334" s="44"/>
      <c r="C1334" s="39"/>
      <c r="D1334" s="39"/>
      <c r="E1334" s="39"/>
      <c r="F1334" s="45"/>
      <c r="G1334" s="40"/>
      <c r="H1334" s="39"/>
      <c r="I1334" s="39" t="str">
        <f aca="false">IF(ISBLANK(H1334),"", IF($H$2:$H2833 = "Gohar Rehan","Overnight",IF($H$2:$H2833 = "Taufeeq Akhtar ","Overnight",IF($H$2:$H2833 = "Zeeshan Ali Malik","Audit",IF($H$2:$H2833 = "Ali Raza ","Receiving",IF($H$2:$H2833 = "Ali Ahmad","Full-In"))))))</f>
        <v/>
      </c>
      <c r="J1334" s="29"/>
      <c r="K1334" s="40"/>
      <c r="L1334" s="40"/>
      <c r="M1334" s="41"/>
      <c r="N1334" s="39" t="s">
        <v>2335</v>
      </c>
      <c r="O1334" s="46" t="b">
        <f aca="false">FALSE()</f>
        <v>0</v>
      </c>
      <c r="P1334" s="20"/>
      <c r="Q1334" s="45" t="n">
        <v>0</v>
      </c>
      <c r="R1334" s="20"/>
      <c r="S1334" s="20"/>
    </row>
    <row r="1335" customFormat="false" ht="15.75" hidden="false" customHeight="false" outlineLevel="0" collapsed="false">
      <c r="A1335" s="39"/>
      <c r="B1335" s="44"/>
      <c r="C1335" s="39"/>
      <c r="D1335" s="39"/>
      <c r="E1335" s="39"/>
      <c r="F1335" s="45"/>
      <c r="G1335" s="40"/>
      <c r="H1335" s="39"/>
      <c r="I1335" s="39" t="str">
        <f aca="false">IF(ISBLANK(H1335),"", IF($H$2:$H2834 = "Gohar Rehan","Overnight",IF($H$2:$H2834 = "Taufeeq Akhtar ","Overnight",IF($H$2:$H2834 = "Zeeshan Ali Malik","Audit",IF($H$2:$H2834 = "Ali Raza ","Receiving",IF($H$2:$H2834 = "Ali Ahmad","Full-In"))))))</f>
        <v/>
      </c>
      <c r="J1335" s="29"/>
      <c r="K1335" s="40"/>
      <c r="L1335" s="40"/>
      <c r="M1335" s="41"/>
      <c r="N1335" s="39" t="s">
        <v>2335</v>
      </c>
      <c r="O1335" s="46" t="b">
        <f aca="false">FALSE()</f>
        <v>0</v>
      </c>
      <c r="P1335" s="20"/>
      <c r="Q1335" s="45" t="n">
        <v>0</v>
      </c>
      <c r="R1335" s="20"/>
      <c r="S1335" s="20"/>
    </row>
    <row r="1336" customFormat="false" ht="15.75" hidden="false" customHeight="false" outlineLevel="0" collapsed="false">
      <c r="A1336" s="39"/>
      <c r="B1336" s="44"/>
      <c r="C1336" s="39"/>
      <c r="D1336" s="39"/>
      <c r="E1336" s="39"/>
      <c r="F1336" s="45"/>
      <c r="G1336" s="40"/>
      <c r="H1336" s="39"/>
      <c r="I1336" s="39" t="str">
        <f aca="false">IF(ISBLANK(H1336),"", IF($H$2:$H2835 = "Gohar Rehan","Overnight",IF($H$2:$H2835 = "Taufeeq Akhtar ","Overnight",IF($H$2:$H2835 = "Zeeshan Ali Malik","Audit",IF($H$2:$H2835 = "Ali Raza ","Receiving",IF($H$2:$H2835 = "Ali Ahmad","Full-In"))))))</f>
        <v/>
      </c>
      <c r="J1336" s="29"/>
      <c r="K1336" s="40"/>
      <c r="L1336" s="40"/>
      <c r="M1336" s="41"/>
      <c r="N1336" s="39" t="s">
        <v>2335</v>
      </c>
      <c r="O1336" s="46" t="b">
        <f aca="false">FALSE()</f>
        <v>0</v>
      </c>
      <c r="P1336" s="20"/>
      <c r="Q1336" s="45" t="n">
        <v>0</v>
      </c>
      <c r="R1336" s="20"/>
      <c r="S1336" s="20"/>
    </row>
    <row r="1337" customFormat="false" ht="15.75" hidden="false" customHeight="false" outlineLevel="0" collapsed="false">
      <c r="A1337" s="39"/>
      <c r="B1337" s="44"/>
      <c r="C1337" s="39"/>
      <c r="D1337" s="39"/>
      <c r="E1337" s="39"/>
      <c r="F1337" s="45"/>
      <c r="G1337" s="40"/>
      <c r="H1337" s="39"/>
      <c r="I1337" s="39" t="str">
        <f aca="false">IF(ISBLANK(H1337),"", IF($H$2:$H2836 = "Gohar Rehan","Overnight",IF($H$2:$H2836 = "Taufeeq Akhtar ","Overnight",IF($H$2:$H2836 = "Zeeshan Ali Malik","Audit",IF($H$2:$H2836 = "Ali Raza ","Receiving",IF($H$2:$H2836 = "Ali Ahmad","Full-In"))))))</f>
        <v/>
      </c>
      <c r="J1337" s="29"/>
      <c r="K1337" s="40"/>
      <c r="L1337" s="40"/>
      <c r="M1337" s="41"/>
      <c r="N1337" s="39" t="s">
        <v>2335</v>
      </c>
      <c r="O1337" s="46" t="b">
        <f aca="false">FALSE()</f>
        <v>0</v>
      </c>
      <c r="P1337" s="20"/>
      <c r="Q1337" s="45" t="n">
        <v>0</v>
      </c>
      <c r="R1337" s="20"/>
      <c r="S1337" s="20"/>
    </row>
    <row r="1338" customFormat="false" ht="15.75" hidden="false" customHeight="false" outlineLevel="0" collapsed="false">
      <c r="A1338" s="39"/>
      <c r="B1338" s="44"/>
      <c r="C1338" s="39"/>
      <c r="D1338" s="39"/>
      <c r="E1338" s="39"/>
      <c r="F1338" s="45"/>
      <c r="G1338" s="40"/>
      <c r="H1338" s="39"/>
      <c r="I1338" s="39" t="str">
        <f aca="false">IF(ISBLANK(H1338),"", IF($H$2:$H2837 = "Gohar Rehan","Overnight",IF($H$2:$H2837 = "Taufeeq Akhtar ","Overnight",IF($H$2:$H2837 = "Zeeshan Ali Malik","Audit",IF($H$2:$H2837 = "Ali Raza ","Receiving",IF($H$2:$H2837 = "Ali Ahmad","Full-In"))))))</f>
        <v/>
      </c>
      <c r="J1338" s="29"/>
      <c r="K1338" s="40"/>
      <c r="L1338" s="40"/>
      <c r="M1338" s="41"/>
      <c r="N1338" s="39" t="s">
        <v>2335</v>
      </c>
      <c r="O1338" s="46" t="b">
        <f aca="false">FALSE()</f>
        <v>0</v>
      </c>
      <c r="P1338" s="20"/>
      <c r="Q1338" s="45" t="n">
        <v>0</v>
      </c>
      <c r="R1338" s="20"/>
      <c r="S1338" s="20"/>
    </row>
    <row r="1339" customFormat="false" ht="15.75" hidden="false" customHeight="false" outlineLevel="0" collapsed="false">
      <c r="A1339" s="39"/>
      <c r="B1339" s="44"/>
      <c r="C1339" s="39"/>
      <c r="D1339" s="39"/>
      <c r="E1339" s="39"/>
      <c r="F1339" s="45"/>
      <c r="G1339" s="40"/>
      <c r="H1339" s="39"/>
      <c r="I1339" s="39" t="str">
        <f aca="false">IF(ISBLANK(H1339),"", IF($H$2:$H2838 = "Gohar Rehan","Overnight",IF($H$2:$H2838 = "Taufeeq Akhtar ","Overnight",IF($H$2:$H2838 = "Zeeshan Ali Malik","Audit",IF($H$2:$H2838 = "Ali Raza ","Receiving",IF($H$2:$H2838 = "Ali Ahmad","Full-In"))))))</f>
        <v/>
      </c>
      <c r="J1339" s="29"/>
      <c r="K1339" s="40"/>
      <c r="L1339" s="40"/>
      <c r="M1339" s="41"/>
      <c r="N1339" s="39" t="s">
        <v>2335</v>
      </c>
      <c r="O1339" s="46" t="b">
        <f aca="false">FALSE()</f>
        <v>0</v>
      </c>
      <c r="P1339" s="20"/>
      <c r="Q1339" s="45" t="n">
        <v>0</v>
      </c>
      <c r="R1339" s="20"/>
      <c r="S1339" s="20"/>
    </row>
    <row r="1340" customFormat="false" ht="15.75" hidden="false" customHeight="false" outlineLevel="0" collapsed="false">
      <c r="A1340" s="39"/>
      <c r="B1340" s="44"/>
      <c r="C1340" s="39"/>
      <c r="D1340" s="39"/>
      <c r="E1340" s="39"/>
      <c r="F1340" s="45"/>
      <c r="G1340" s="40"/>
      <c r="H1340" s="39"/>
      <c r="I1340" s="39" t="str">
        <f aca="false">IF(ISBLANK(H1340),"", IF($H$2:$H2839 = "Gohar Rehan","Overnight",IF($H$2:$H2839 = "Taufeeq Akhtar ","Overnight",IF($H$2:$H2839 = "Zeeshan Ali Malik","Audit",IF($H$2:$H2839 = "Ali Raza ","Receiving",IF($H$2:$H2839 = "Ali Ahmad","Full-In"))))))</f>
        <v/>
      </c>
      <c r="J1340" s="29"/>
      <c r="K1340" s="40"/>
      <c r="L1340" s="40"/>
      <c r="M1340" s="41"/>
      <c r="N1340" s="39" t="s">
        <v>2335</v>
      </c>
      <c r="O1340" s="46" t="b">
        <f aca="false">FALSE()</f>
        <v>0</v>
      </c>
      <c r="P1340" s="20"/>
      <c r="Q1340" s="45" t="n">
        <v>0</v>
      </c>
      <c r="R1340" s="20"/>
      <c r="S1340" s="20"/>
    </row>
    <row r="1341" customFormat="false" ht="15.75" hidden="false" customHeight="false" outlineLevel="0" collapsed="false">
      <c r="A1341" s="39"/>
      <c r="B1341" s="44"/>
      <c r="C1341" s="39"/>
      <c r="D1341" s="39"/>
      <c r="E1341" s="39"/>
      <c r="F1341" s="45"/>
      <c r="G1341" s="40"/>
      <c r="H1341" s="39"/>
      <c r="I1341" s="39" t="str">
        <f aca="false">IF(ISBLANK(H1341),"", IF($H$2:$H2840 = "Gohar Rehan","Overnight",IF($H$2:$H2840 = "Taufeeq Akhtar ","Overnight",IF($H$2:$H2840 = "Zeeshan Ali Malik","Audit",IF($H$2:$H2840 = "Ali Raza ","Receiving",IF($H$2:$H2840 = "Ali Ahmad","Full-In"))))))</f>
        <v/>
      </c>
      <c r="J1341" s="29"/>
      <c r="K1341" s="40"/>
      <c r="L1341" s="40"/>
      <c r="M1341" s="41"/>
      <c r="N1341" s="39" t="s">
        <v>2335</v>
      </c>
      <c r="O1341" s="46" t="b">
        <f aca="false">FALSE()</f>
        <v>0</v>
      </c>
      <c r="P1341" s="20"/>
      <c r="Q1341" s="45" t="n">
        <v>0</v>
      </c>
      <c r="R1341" s="20"/>
      <c r="S1341" s="20"/>
    </row>
    <row r="1342" customFormat="false" ht="15.75" hidden="false" customHeight="false" outlineLevel="0" collapsed="false">
      <c r="A1342" s="39"/>
      <c r="B1342" s="44"/>
      <c r="C1342" s="39"/>
      <c r="D1342" s="39"/>
      <c r="E1342" s="39"/>
      <c r="F1342" s="45"/>
      <c r="G1342" s="40"/>
      <c r="H1342" s="39"/>
      <c r="I1342" s="39" t="str">
        <f aca="false">IF(ISBLANK(H1342),"", IF($H$2:$H2841 = "Gohar Rehan","Overnight",IF($H$2:$H2841 = "Taufeeq Akhtar ","Overnight",IF($H$2:$H2841 = "Zeeshan Ali Malik","Audit",IF($H$2:$H2841 = "Ali Raza ","Receiving",IF($H$2:$H2841 = "Ali Ahmad","Full-In"))))))</f>
        <v/>
      </c>
      <c r="J1342" s="29"/>
      <c r="K1342" s="40"/>
      <c r="L1342" s="40"/>
      <c r="M1342" s="41"/>
      <c r="N1342" s="39" t="s">
        <v>2335</v>
      </c>
      <c r="O1342" s="46" t="b">
        <f aca="false">FALSE()</f>
        <v>0</v>
      </c>
      <c r="P1342" s="20"/>
      <c r="Q1342" s="45" t="n">
        <v>0</v>
      </c>
      <c r="R1342" s="20"/>
      <c r="S1342" s="20"/>
    </row>
    <row r="1343" customFormat="false" ht="15.75" hidden="false" customHeight="false" outlineLevel="0" collapsed="false">
      <c r="A1343" s="39"/>
      <c r="B1343" s="44"/>
      <c r="C1343" s="39"/>
      <c r="D1343" s="39"/>
      <c r="E1343" s="39"/>
      <c r="F1343" s="45"/>
      <c r="G1343" s="40"/>
      <c r="H1343" s="39"/>
      <c r="I1343" s="39" t="str">
        <f aca="false">IF(ISBLANK(H1343),"", IF($H$2:$H2842 = "Gohar Rehan","Overnight",IF($H$2:$H2842 = "Taufeeq Akhtar ","Overnight",IF($H$2:$H2842 = "Zeeshan Ali Malik","Audit",IF($H$2:$H2842 = "Ali Raza ","Receiving",IF($H$2:$H2842 = "Ali Ahmad","Full-In"))))))</f>
        <v/>
      </c>
      <c r="J1343" s="29"/>
      <c r="K1343" s="40"/>
      <c r="L1343" s="40"/>
      <c r="M1343" s="41"/>
      <c r="N1343" s="39" t="s">
        <v>2335</v>
      </c>
      <c r="O1343" s="46" t="b">
        <f aca="false">FALSE()</f>
        <v>0</v>
      </c>
      <c r="P1343" s="20"/>
      <c r="Q1343" s="45" t="n">
        <v>0</v>
      </c>
      <c r="R1343" s="20"/>
      <c r="S1343" s="20"/>
    </row>
    <row r="1344" customFormat="false" ht="15.75" hidden="false" customHeight="false" outlineLevel="0" collapsed="false">
      <c r="A1344" s="39"/>
      <c r="B1344" s="44"/>
      <c r="C1344" s="39"/>
      <c r="D1344" s="39"/>
      <c r="E1344" s="39"/>
      <c r="F1344" s="45"/>
      <c r="G1344" s="40"/>
      <c r="H1344" s="39"/>
      <c r="I1344" s="39" t="str">
        <f aca="false">IF(ISBLANK(H1344),"", IF($H$2:$H2843 = "Gohar Rehan","Overnight",IF($H$2:$H2843 = "Taufeeq Akhtar ","Overnight",IF($H$2:$H2843 = "Zeeshan Ali Malik","Audit",IF($H$2:$H2843 = "Ali Raza ","Receiving",IF($H$2:$H2843 = "Ali Ahmad","Full-In"))))))</f>
        <v/>
      </c>
      <c r="J1344" s="29"/>
      <c r="K1344" s="40"/>
      <c r="L1344" s="40"/>
      <c r="M1344" s="41"/>
      <c r="N1344" s="39" t="s">
        <v>2335</v>
      </c>
      <c r="O1344" s="46" t="b">
        <f aca="false">FALSE()</f>
        <v>0</v>
      </c>
      <c r="P1344" s="20"/>
      <c r="Q1344" s="45" t="n">
        <v>0</v>
      </c>
      <c r="R1344" s="20"/>
      <c r="S1344" s="20"/>
    </row>
    <row r="1345" customFormat="false" ht="15.75" hidden="false" customHeight="false" outlineLevel="0" collapsed="false">
      <c r="A1345" s="39"/>
      <c r="B1345" s="44"/>
      <c r="C1345" s="39"/>
      <c r="D1345" s="39"/>
      <c r="E1345" s="39"/>
      <c r="F1345" s="45"/>
      <c r="G1345" s="40"/>
      <c r="H1345" s="39"/>
      <c r="I1345" s="39" t="str">
        <f aca="false">IF(ISBLANK(H1345),"", IF($H$2:$H2844 = "Gohar Rehan","Overnight",IF($H$2:$H2844 = "Taufeeq Akhtar ","Overnight",IF($H$2:$H2844 = "Zeeshan Ali Malik","Audit",IF($H$2:$H2844 = "Ali Raza ","Receiving",IF($H$2:$H2844 = "Ali Ahmad","Full-In"))))))</f>
        <v/>
      </c>
      <c r="J1345" s="29"/>
      <c r="K1345" s="40"/>
      <c r="L1345" s="40"/>
      <c r="M1345" s="41"/>
      <c r="N1345" s="39" t="s">
        <v>2335</v>
      </c>
      <c r="O1345" s="46" t="b">
        <f aca="false">FALSE()</f>
        <v>0</v>
      </c>
      <c r="P1345" s="20"/>
      <c r="Q1345" s="45" t="n">
        <v>0</v>
      </c>
      <c r="R1345" s="20"/>
      <c r="S1345" s="20"/>
    </row>
    <row r="1346" customFormat="false" ht="15.75" hidden="false" customHeight="false" outlineLevel="0" collapsed="false">
      <c r="A1346" s="39"/>
      <c r="B1346" s="44"/>
      <c r="C1346" s="39"/>
      <c r="D1346" s="39"/>
      <c r="E1346" s="39"/>
      <c r="F1346" s="45"/>
      <c r="G1346" s="40"/>
      <c r="H1346" s="39"/>
      <c r="I1346" s="39" t="str">
        <f aca="false">IF(ISBLANK(H1346),"", IF($H$2:$H2845 = "Gohar Rehan","Overnight",IF($H$2:$H2845 = "Taufeeq Akhtar ","Overnight",IF($H$2:$H2845 = "Zeeshan Ali Malik","Audit",IF($H$2:$H2845 = "Ali Raza ","Receiving",IF($H$2:$H2845 = "Ali Ahmad","Full-In"))))))</f>
        <v/>
      </c>
      <c r="J1346" s="29"/>
      <c r="K1346" s="40"/>
      <c r="L1346" s="40"/>
      <c r="M1346" s="41"/>
      <c r="N1346" s="39" t="s">
        <v>2335</v>
      </c>
      <c r="O1346" s="46" t="b">
        <f aca="false">FALSE()</f>
        <v>0</v>
      </c>
      <c r="P1346" s="20"/>
      <c r="Q1346" s="45" t="n">
        <v>0</v>
      </c>
      <c r="R1346" s="20"/>
      <c r="S1346" s="20"/>
    </row>
    <row r="1347" customFormat="false" ht="15.75" hidden="false" customHeight="false" outlineLevel="0" collapsed="false">
      <c r="A1347" s="39"/>
      <c r="B1347" s="44"/>
      <c r="C1347" s="39"/>
      <c r="D1347" s="39"/>
      <c r="E1347" s="39"/>
      <c r="F1347" s="45"/>
      <c r="G1347" s="40"/>
      <c r="H1347" s="39"/>
      <c r="I1347" s="39" t="str">
        <f aca="false">IF(ISBLANK(H1347),"", IF($H$2:$H2846 = "Gohar Rehan","Overnight",IF($H$2:$H2846 = "Taufeeq Akhtar ","Overnight",IF($H$2:$H2846 = "Zeeshan Ali Malik","Audit",IF($H$2:$H2846 = "Ali Raza ","Receiving",IF($H$2:$H2846 = "Ali Ahmad","Full-In"))))))</f>
        <v/>
      </c>
      <c r="J1347" s="29"/>
      <c r="K1347" s="40"/>
      <c r="L1347" s="40"/>
      <c r="M1347" s="41"/>
      <c r="N1347" s="39" t="s">
        <v>2335</v>
      </c>
      <c r="O1347" s="46" t="b">
        <f aca="false">FALSE()</f>
        <v>0</v>
      </c>
      <c r="P1347" s="20"/>
      <c r="Q1347" s="45" t="n">
        <v>0</v>
      </c>
      <c r="R1347" s="20"/>
      <c r="S1347" s="20"/>
    </row>
    <row r="1348" customFormat="false" ht="15.75" hidden="false" customHeight="false" outlineLevel="0" collapsed="false">
      <c r="A1348" s="39"/>
      <c r="B1348" s="44"/>
      <c r="C1348" s="39"/>
      <c r="D1348" s="39"/>
      <c r="E1348" s="39"/>
      <c r="F1348" s="45"/>
      <c r="G1348" s="40"/>
      <c r="H1348" s="39"/>
      <c r="I1348" s="39" t="str">
        <f aca="false">IF(ISBLANK(H1348),"", IF($H$2:$H2847 = "Gohar Rehan","Overnight",IF($H$2:$H2847 = "Taufeeq Akhtar ","Overnight",IF($H$2:$H2847 = "Zeeshan Ali Malik","Audit",IF($H$2:$H2847 = "Ali Raza ","Receiving",IF($H$2:$H2847 = "Ali Ahmad","Full-In"))))))</f>
        <v/>
      </c>
      <c r="J1348" s="29"/>
      <c r="K1348" s="40"/>
      <c r="L1348" s="40"/>
      <c r="M1348" s="41"/>
      <c r="N1348" s="39" t="s">
        <v>2335</v>
      </c>
      <c r="O1348" s="46" t="b">
        <f aca="false">FALSE()</f>
        <v>0</v>
      </c>
      <c r="P1348" s="20"/>
      <c r="Q1348" s="45" t="n">
        <v>0</v>
      </c>
      <c r="R1348" s="20"/>
      <c r="S1348" s="20"/>
    </row>
    <row r="1349" customFormat="false" ht="15.75" hidden="false" customHeight="false" outlineLevel="0" collapsed="false">
      <c r="A1349" s="39"/>
      <c r="B1349" s="44"/>
      <c r="C1349" s="39"/>
      <c r="D1349" s="39"/>
      <c r="E1349" s="39"/>
      <c r="F1349" s="45"/>
      <c r="G1349" s="40"/>
      <c r="H1349" s="39"/>
      <c r="I1349" s="39" t="str">
        <f aca="false">IF(ISBLANK(H1349),"", IF($H$2:$H2848 = "Gohar Rehan","Overnight",IF($H$2:$H2848 = "Taufeeq Akhtar ","Overnight",IF($H$2:$H2848 = "Zeeshan Ali Malik","Audit",IF($H$2:$H2848 = "Ali Raza ","Receiving",IF($H$2:$H2848 = "Ali Ahmad","Full-In"))))))</f>
        <v/>
      </c>
      <c r="J1349" s="29"/>
      <c r="K1349" s="40"/>
      <c r="L1349" s="40"/>
      <c r="M1349" s="41"/>
      <c r="N1349" s="39" t="s">
        <v>2335</v>
      </c>
      <c r="O1349" s="46" t="b">
        <f aca="false">FALSE()</f>
        <v>0</v>
      </c>
      <c r="P1349" s="20"/>
      <c r="Q1349" s="45" t="n">
        <v>0</v>
      </c>
      <c r="R1349" s="20"/>
      <c r="S1349" s="20"/>
    </row>
    <row r="1350" customFormat="false" ht="15.75" hidden="false" customHeight="false" outlineLevel="0" collapsed="false">
      <c r="A1350" s="39"/>
      <c r="B1350" s="44"/>
      <c r="C1350" s="39"/>
      <c r="D1350" s="39"/>
      <c r="E1350" s="39"/>
      <c r="F1350" s="45"/>
      <c r="G1350" s="40"/>
      <c r="H1350" s="39"/>
      <c r="I1350" s="39" t="str">
        <f aca="false">IF(ISBLANK(H1350),"", IF($H$2:$H2849 = "Gohar Rehan","Overnight",IF($H$2:$H2849 = "Taufeeq Akhtar ","Overnight",IF($H$2:$H2849 = "Zeeshan Ali Malik","Audit",IF($H$2:$H2849 = "Ali Raza ","Receiving",IF($H$2:$H2849 = "Ali Ahmad","Full-In"))))))</f>
        <v/>
      </c>
      <c r="J1350" s="29"/>
      <c r="K1350" s="40"/>
      <c r="L1350" s="40"/>
      <c r="M1350" s="41"/>
      <c r="N1350" s="39" t="s">
        <v>2335</v>
      </c>
      <c r="O1350" s="46" t="b">
        <f aca="false">FALSE()</f>
        <v>0</v>
      </c>
      <c r="P1350" s="20"/>
      <c r="Q1350" s="45" t="n">
        <v>0</v>
      </c>
      <c r="R1350" s="20"/>
      <c r="S1350" s="20"/>
    </row>
    <row r="1351" customFormat="false" ht="15.75" hidden="false" customHeight="false" outlineLevel="0" collapsed="false">
      <c r="A1351" s="39"/>
      <c r="B1351" s="44"/>
      <c r="C1351" s="39"/>
      <c r="D1351" s="39"/>
      <c r="E1351" s="39"/>
      <c r="F1351" s="45"/>
      <c r="G1351" s="40"/>
      <c r="H1351" s="39"/>
      <c r="I1351" s="39" t="str">
        <f aca="false">IF(ISBLANK(H1351),"", IF($H$2:$H2850 = "Gohar Rehan","Overnight",IF($H$2:$H2850 = "Taufeeq Akhtar ","Overnight",IF($H$2:$H2850 = "Zeeshan Ali Malik","Audit",IF($H$2:$H2850 = "Ali Raza ","Receiving",IF($H$2:$H2850 = "Ali Ahmad","Full-In"))))))</f>
        <v/>
      </c>
      <c r="J1351" s="29"/>
      <c r="K1351" s="40"/>
      <c r="L1351" s="40"/>
      <c r="M1351" s="41"/>
      <c r="N1351" s="39" t="s">
        <v>2335</v>
      </c>
      <c r="O1351" s="46" t="b">
        <f aca="false">FALSE()</f>
        <v>0</v>
      </c>
      <c r="P1351" s="20"/>
      <c r="Q1351" s="45" t="n">
        <v>0</v>
      </c>
      <c r="R1351" s="20"/>
      <c r="S1351" s="20"/>
    </row>
    <row r="1352" customFormat="false" ht="15.75" hidden="false" customHeight="false" outlineLevel="0" collapsed="false">
      <c r="A1352" s="39"/>
      <c r="B1352" s="44"/>
      <c r="C1352" s="39"/>
      <c r="D1352" s="39"/>
      <c r="E1352" s="39"/>
      <c r="F1352" s="45"/>
      <c r="G1352" s="40"/>
      <c r="H1352" s="39"/>
      <c r="I1352" s="39" t="str">
        <f aca="false">IF(ISBLANK(H1352),"", IF($H$2:$H2851 = "Gohar Rehan","Overnight",IF($H$2:$H2851 = "Taufeeq Akhtar ","Overnight",IF($H$2:$H2851 = "Zeeshan Ali Malik","Audit",IF($H$2:$H2851 = "Ali Raza ","Receiving",IF($H$2:$H2851 = "Ali Ahmad","Full-In"))))))</f>
        <v/>
      </c>
      <c r="J1352" s="29"/>
      <c r="K1352" s="40"/>
      <c r="L1352" s="40"/>
      <c r="M1352" s="41"/>
      <c r="N1352" s="39" t="s">
        <v>2335</v>
      </c>
      <c r="O1352" s="46" t="b">
        <f aca="false">FALSE()</f>
        <v>0</v>
      </c>
      <c r="P1352" s="20"/>
      <c r="Q1352" s="45" t="n">
        <v>0</v>
      </c>
      <c r="R1352" s="20"/>
      <c r="S1352" s="20"/>
    </row>
    <row r="1353" customFormat="false" ht="15.75" hidden="false" customHeight="false" outlineLevel="0" collapsed="false">
      <c r="A1353" s="39"/>
      <c r="B1353" s="44"/>
      <c r="C1353" s="39"/>
      <c r="D1353" s="39"/>
      <c r="E1353" s="39"/>
      <c r="F1353" s="45"/>
      <c r="G1353" s="40"/>
      <c r="H1353" s="39"/>
      <c r="I1353" s="39" t="str">
        <f aca="false">IF(ISBLANK(H1353),"", IF($H$2:$H2852 = "Gohar Rehan","Overnight",IF($H$2:$H2852 = "Taufeeq Akhtar ","Overnight",IF($H$2:$H2852 = "Zeeshan Ali Malik","Audit",IF($H$2:$H2852 = "Ali Raza ","Receiving",IF($H$2:$H2852 = "Ali Ahmad","Full-In"))))))</f>
        <v/>
      </c>
      <c r="J1353" s="29"/>
      <c r="K1353" s="40"/>
      <c r="L1353" s="40"/>
      <c r="M1353" s="41"/>
      <c r="N1353" s="39" t="s">
        <v>2335</v>
      </c>
      <c r="O1353" s="46" t="b">
        <f aca="false">FALSE()</f>
        <v>0</v>
      </c>
      <c r="P1353" s="20"/>
      <c r="Q1353" s="45" t="n">
        <v>0</v>
      </c>
      <c r="R1353" s="20"/>
      <c r="S1353" s="20"/>
    </row>
    <row r="1354" customFormat="false" ht="15.75" hidden="false" customHeight="false" outlineLevel="0" collapsed="false">
      <c r="A1354" s="39"/>
      <c r="B1354" s="44"/>
      <c r="C1354" s="39"/>
      <c r="D1354" s="39"/>
      <c r="E1354" s="39"/>
      <c r="F1354" s="45"/>
      <c r="G1354" s="40"/>
      <c r="H1354" s="39"/>
      <c r="I1354" s="39" t="str">
        <f aca="false">IF(ISBLANK(H1354),"", IF($H$2:$H2853 = "Gohar Rehan","Overnight",IF($H$2:$H2853 = "Taufeeq Akhtar ","Overnight",IF($H$2:$H2853 = "Zeeshan Ali Malik","Audit",IF($H$2:$H2853 = "Ali Raza ","Receiving",IF($H$2:$H2853 = "Ali Ahmad","Full-In"))))))</f>
        <v/>
      </c>
      <c r="J1354" s="29"/>
      <c r="K1354" s="40"/>
      <c r="L1354" s="40"/>
      <c r="M1354" s="41"/>
      <c r="N1354" s="39" t="s">
        <v>2335</v>
      </c>
      <c r="O1354" s="46" t="b">
        <f aca="false">FALSE()</f>
        <v>0</v>
      </c>
      <c r="P1354" s="20"/>
      <c r="Q1354" s="45" t="n">
        <v>0</v>
      </c>
      <c r="R1354" s="20"/>
      <c r="S1354" s="20"/>
    </row>
    <row r="1355" customFormat="false" ht="15.75" hidden="false" customHeight="false" outlineLevel="0" collapsed="false">
      <c r="A1355" s="39"/>
      <c r="B1355" s="44"/>
      <c r="C1355" s="39"/>
      <c r="D1355" s="39"/>
      <c r="E1355" s="39"/>
      <c r="F1355" s="45"/>
      <c r="G1355" s="40"/>
      <c r="H1355" s="39"/>
      <c r="I1355" s="39" t="str">
        <f aca="false">IF(ISBLANK(H1355),"", IF($H$2:$H2854 = "Gohar Rehan","Overnight",IF($H$2:$H2854 = "Taufeeq Akhtar ","Overnight",IF($H$2:$H2854 = "Zeeshan Ali Malik","Audit",IF($H$2:$H2854 = "Ali Raza ","Receiving",IF($H$2:$H2854 = "Ali Ahmad","Full-In"))))))</f>
        <v/>
      </c>
      <c r="J1355" s="29"/>
      <c r="K1355" s="40"/>
      <c r="L1355" s="40"/>
      <c r="M1355" s="41"/>
      <c r="N1355" s="39" t="s">
        <v>2335</v>
      </c>
      <c r="O1355" s="46" t="b">
        <f aca="false">FALSE()</f>
        <v>0</v>
      </c>
      <c r="P1355" s="20"/>
      <c r="Q1355" s="45" t="n">
        <v>0</v>
      </c>
      <c r="R1355" s="20"/>
      <c r="S1355" s="20"/>
    </row>
    <row r="1356" customFormat="false" ht="15.75" hidden="false" customHeight="false" outlineLevel="0" collapsed="false">
      <c r="A1356" s="39"/>
      <c r="B1356" s="44"/>
      <c r="C1356" s="39"/>
      <c r="D1356" s="39"/>
      <c r="E1356" s="39"/>
      <c r="F1356" s="45"/>
      <c r="G1356" s="40"/>
      <c r="H1356" s="39"/>
      <c r="I1356" s="39" t="str">
        <f aca="false">IF(ISBLANK(H1356),"", IF($H$2:$H2855 = "Gohar Rehan","Overnight",IF($H$2:$H2855 = "Taufeeq Akhtar ","Overnight",IF($H$2:$H2855 = "Zeeshan Ali Malik","Audit",IF($H$2:$H2855 = "Ali Raza ","Receiving",IF($H$2:$H2855 = "Ali Ahmad","Full-In"))))))</f>
        <v/>
      </c>
      <c r="J1356" s="29"/>
      <c r="K1356" s="40"/>
      <c r="L1356" s="40"/>
      <c r="M1356" s="41"/>
      <c r="N1356" s="39" t="s">
        <v>2335</v>
      </c>
      <c r="O1356" s="46" t="b">
        <f aca="false">FALSE()</f>
        <v>0</v>
      </c>
      <c r="P1356" s="20"/>
      <c r="Q1356" s="45" t="n">
        <v>0</v>
      </c>
      <c r="R1356" s="20"/>
      <c r="S1356" s="20"/>
    </row>
    <row r="1357" customFormat="false" ht="15.75" hidden="false" customHeight="false" outlineLevel="0" collapsed="false">
      <c r="A1357" s="39"/>
      <c r="B1357" s="44"/>
      <c r="C1357" s="39"/>
      <c r="D1357" s="39"/>
      <c r="E1357" s="39"/>
      <c r="F1357" s="45"/>
      <c r="G1357" s="40"/>
      <c r="H1357" s="39"/>
      <c r="I1357" s="39" t="str">
        <f aca="false">IF(ISBLANK(H1357),"", IF($H$2:$H2856 = "Gohar Rehan","Overnight",IF($H$2:$H2856 = "Taufeeq Akhtar ","Overnight",IF($H$2:$H2856 = "Zeeshan Ali Malik","Audit",IF($H$2:$H2856 = "Ali Raza ","Receiving",IF($H$2:$H2856 = "Ali Ahmad","Full-In"))))))</f>
        <v/>
      </c>
      <c r="J1357" s="29"/>
      <c r="K1357" s="40"/>
      <c r="L1357" s="40"/>
      <c r="M1357" s="41"/>
      <c r="N1357" s="39" t="s">
        <v>2335</v>
      </c>
      <c r="O1357" s="46" t="b">
        <f aca="false">FALSE()</f>
        <v>0</v>
      </c>
      <c r="P1357" s="20"/>
      <c r="Q1357" s="45" t="n">
        <v>0</v>
      </c>
      <c r="R1357" s="20"/>
      <c r="S1357" s="20"/>
    </row>
    <row r="1358" customFormat="false" ht="15.75" hidden="false" customHeight="false" outlineLevel="0" collapsed="false">
      <c r="A1358" s="39"/>
      <c r="B1358" s="44"/>
      <c r="C1358" s="39"/>
      <c r="D1358" s="39"/>
      <c r="E1358" s="39"/>
      <c r="F1358" s="45"/>
      <c r="G1358" s="40"/>
      <c r="H1358" s="39"/>
      <c r="I1358" s="39" t="str">
        <f aca="false">IF(ISBLANK(H1358),"", IF($H$2:$H2857 = "Gohar Rehan","Overnight",IF($H$2:$H2857 = "Taufeeq Akhtar ","Overnight",IF($H$2:$H2857 = "Zeeshan Ali Malik","Audit",IF($H$2:$H2857 = "Ali Raza ","Receiving",IF($H$2:$H2857 = "Ali Ahmad","Full-In"))))))</f>
        <v/>
      </c>
      <c r="J1358" s="29"/>
      <c r="K1358" s="40"/>
      <c r="L1358" s="40"/>
      <c r="M1358" s="41"/>
      <c r="N1358" s="39" t="s">
        <v>2335</v>
      </c>
      <c r="O1358" s="46" t="b">
        <f aca="false">FALSE()</f>
        <v>0</v>
      </c>
      <c r="P1358" s="20"/>
      <c r="Q1358" s="45" t="n">
        <v>0</v>
      </c>
      <c r="R1358" s="20"/>
      <c r="S1358" s="20"/>
    </row>
    <row r="1359" customFormat="false" ht="15.75" hidden="false" customHeight="false" outlineLevel="0" collapsed="false">
      <c r="A1359" s="39"/>
      <c r="B1359" s="44"/>
      <c r="C1359" s="39"/>
      <c r="D1359" s="39"/>
      <c r="E1359" s="39"/>
      <c r="F1359" s="45"/>
      <c r="G1359" s="40"/>
      <c r="H1359" s="39"/>
      <c r="I1359" s="39" t="str">
        <f aca="false">IF(ISBLANK(H1359),"", IF($H$2:$H2858 = "Gohar Rehan","Overnight",IF($H$2:$H2858 = "Taufeeq Akhtar ","Overnight",IF($H$2:$H2858 = "Zeeshan Ali Malik","Audit",IF($H$2:$H2858 = "Ali Raza ","Receiving",IF($H$2:$H2858 = "Ali Ahmad","Full-In"))))))</f>
        <v/>
      </c>
      <c r="J1359" s="29"/>
      <c r="K1359" s="40"/>
      <c r="L1359" s="40"/>
      <c r="M1359" s="41"/>
      <c r="N1359" s="39" t="s">
        <v>2335</v>
      </c>
      <c r="O1359" s="46" t="b">
        <f aca="false">FALSE()</f>
        <v>0</v>
      </c>
      <c r="P1359" s="20"/>
      <c r="Q1359" s="45" t="n">
        <v>0</v>
      </c>
      <c r="R1359" s="20"/>
      <c r="S1359" s="20"/>
    </row>
    <row r="1360" customFormat="false" ht="15.75" hidden="false" customHeight="false" outlineLevel="0" collapsed="false">
      <c r="A1360" s="39"/>
      <c r="B1360" s="44"/>
      <c r="C1360" s="39"/>
      <c r="D1360" s="39"/>
      <c r="E1360" s="39"/>
      <c r="F1360" s="45"/>
      <c r="G1360" s="40"/>
      <c r="H1360" s="39"/>
      <c r="I1360" s="39" t="str">
        <f aca="false">IF(ISBLANK(H1360),"", IF($H$2:$H2859 = "Gohar Rehan","Overnight",IF($H$2:$H2859 = "Taufeeq Akhtar ","Overnight",IF($H$2:$H2859 = "Zeeshan Ali Malik","Audit",IF($H$2:$H2859 = "Ali Raza ","Receiving",IF($H$2:$H2859 = "Ali Ahmad","Full-In"))))))</f>
        <v/>
      </c>
      <c r="J1360" s="29"/>
      <c r="K1360" s="40"/>
      <c r="L1360" s="40"/>
      <c r="M1360" s="41"/>
      <c r="N1360" s="39" t="s">
        <v>2335</v>
      </c>
      <c r="O1360" s="46" t="b">
        <f aca="false">FALSE()</f>
        <v>0</v>
      </c>
      <c r="P1360" s="20"/>
      <c r="Q1360" s="45" t="n">
        <v>0</v>
      </c>
      <c r="R1360" s="20"/>
      <c r="S1360" s="20"/>
    </row>
    <row r="1361" customFormat="false" ht="15.75" hidden="false" customHeight="false" outlineLevel="0" collapsed="false">
      <c r="A1361" s="39"/>
      <c r="B1361" s="44"/>
      <c r="C1361" s="39"/>
      <c r="D1361" s="39"/>
      <c r="E1361" s="39"/>
      <c r="F1361" s="45"/>
      <c r="G1361" s="40"/>
      <c r="H1361" s="39"/>
      <c r="I1361" s="39" t="str">
        <f aca="false">IF(ISBLANK(H1361),"", IF($H$2:$H2860 = "Gohar Rehan","Overnight",IF($H$2:$H2860 = "Taufeeq Akhtar ","Overnight",IF($H$2:$H2860 = "Zeeshan Ali Malik","Audit",IF($H$2:$H2860 = "Ali Raza ","Receiving",IF($H$2:$H2860 = "Ali Ahmad","Full-In"))))))</f>
        <v/>
      </c>
      <c r="J1361" s="29"/>
      <c r="K1361" s="40"/>
      <c r="L1361" s="40"/>
      <c r="M1361" s="41"/>
      <c r="N1361" s="39" t="s">
        <v>2335</v>
      </c>
      <c r="O1361" s="46" t="b">
        <f aca="false">FALSE()</f>
        <v>0</v>
      </c>
      <c r="P1361" s="20"/>
      <c r="Q1361" s="45" t="n">
        <v>0</v>
      </c>
      <c r="R1361" s="20"/>
      <c r="S1361" s="20"/>
    </row>
    <row r="1362" customFormat="false" ht="15.75" hidden="false" customHeight="false" outlineLevel="0" collapsed="false">
      <c r="A1362" s="39"/>
      <c r="B1362" s="44"/>
      <c r="C1362" s="39"/>
      <c r="D1362" s="39"/>
      <c r="E1362" s="39"/>
      <c r="F1362" s="45"/>
      <c r="G1362" s="40"/>
      <c r="H1362" s="39"/>
      <c r="I1362" s="39" t="str">
        <f aca="false">IF(ISBLANK(H1362),"", IF($H$2:$H2861 = "Gohar Rehan","Overnight",IF($H$2:$H2861 = "Taufeeq Akhtar ","Overnight",IF($H$2:$H2861 = "Zeeshan Ali Malik","Audit",IF($H$2:$H2861 = "Ali Raza ","Receiving",IF($H$2:$H2861 = "Ali Ahmad","Full-In"))))))</f>
        <v/>
      </c>
      <c r="J1362" s="29"/>
      <c r="K1362" s="40"/>
      <c r="L1362" s="40"/>
      <c r="M1362" s="41"/>
      <c r="N1362" s="39" t="s">
        <v>2335</v>
      </c>
      <c r="O1362" s="46" t="b">
        <f aca="false">FALSE()</f>
        <v>0</v>
      </c>
      <c r="P1362" s="20"/>
      <c r="Q1362" s="45" t="n">
        <v>0</v>
      </c>
      <c r="R1362" s="20"/>
      <c r="S1362" s="20"/>
    </row>
    <row r="1363" customFormat="false" ht="15.75" hidden="false" customHeight="false" outlineLevel="0" collapsed="false">
      <c r="A1363" s="39"/>
      <c r="B1363" s="44"/>
      <c r="C1363" s="39"/>
      <c r="D1363" s="39"/>
      <c r="E1363" s="39"/>
      <c r="F1363" s="45"/>
      <c r="G1363" s="40"/>
      <c r="H1363" s="39"/>
      <c r="I1363" s="39" t="str">
        <f aca="false">IF(ISBLANK(H1363),"", IF($H$2:$H2862 = "Gohar Rehan","Overnight",IF($H$2:$H2862 = "Taufeeq Akhtar ","Overnight",IF($H$2:$H2862 = "Zeeshan Ali Malik","Audit",IF($H$2:$H2862 = "Ali Raza ","Receiving",IF($H$2:$H2862 = "Ali Ahmad","Full-In"))))))</f>
        <v/>
      </c>
      <c r="J1363" s="29"/>
      <c r="K1363" s="40"/>
      <c r="L1363" s="40"/>
      <c r="M1363" s="41"/>
      <c r="N1363" s="39" t="s">
        <v>2335</v>
      </c>
      <c r="O1363" s="46" t="b">
        <f aca="false">FALSE()</f>
        <v>0</v>
      </c>
      <c r="P1363" s="20"/>
      <c r="Q1363" s="45" t="n">
        <v>0</v>
      </c>
      <c r="R1363" s="20"/>
      <c r="S1363" s="20"/>
    </row>
    <row r="1364" customFormat="false" ht="15.75" hidden="false" customHeight="false" outlineLevel="0" collapsed="false">
      <c r="A1364" s="39"/>
      <c r="B1364" s="44"/>
      <c r="C1364" s="39"/>
      <c r="D1364" s="39"/>
      <c r="E1364" s="39"/>
      <c r="F1364" s="45"/>
      <c r="G1364" s="40"/>
      <c r="H1364" s="39"/>
      <c r="I1364" s="39" t="str">
        <f aca="false">IF(ISBLANK(H1364),"", IF($H$2:$H2863 = "Gohar Rehan","Overnight",IF($H$2:$H2863 = "Taufeeq Akhtar ","Overnight",IF($H$2:$H2863 = "Zeeshan Ali Malik","Audit",IF($H$2:$H2863 = "Ali Raza ","Receiving",IF($H$2:$H2863 = "Ali Ahmad","Full-In"))))))</f>
        <v/>
      </c>
      <c r="J1364" s="29"/>
      <c r="K1364" s="40"/>
      <c r="L1364" s="40"/>
      <c r="M1364" s="41"/>
      <c r="N1364" s="39" t="s">
        <v>2335</v>
      </c>
      <c r="O1364" s="46" t="b">
        <f aca="false">FALSE()</f>
        <v>0</v>
      </c>
      <c r="P1364" s="20"/>
      <c r="Q1364" s="45" t="n">
        <v>0</v>
      </c>
      <c r="R1364" s="20"/>
      <c r="S1364" s="20"/>
    </row>
    <row r="1365" customFormat="false" ht="15.75" hidden="false" customHeight="false" outlineLevel="0" collapsed="false">
      <c r="A1365" s="39"/>
      <c r="B1365" s="44"/>
      <c r="C1365" s="39"/>
      <c r="D1365" s="39"/>
      <c r="E1365" s="39"/>
      <c r="F1365" s="45"/>
      <c r="G1365" s="40"/>
      <c r="H1365" s="39"/>
      <c r="I1365" s="39" t="str">
        <f aca="false">IF(ISBLANK(H1365),"", IF($H$2:$H2864 = "Gohar Rehan","Overnight",IF($H$2:$H2864 = "Taufeeq Akhtar ","Overnight",IF($H$2:$H2864 = "Zeeshan Ali Malik","Audit",IF($H$2:$H2864 = "Ali Raza ","Receiving",IF($H$2:$H2864 = "Ali Ahmad","Full-In"))))))</f>
        <v/>
      </c>
      <c r="J1365" s="29"/>
      <c r="K1365" s="40"/>
      <c r="L1365" s="40"/>
      <c r="M1365" s="41"/>
      <c r="N1365" s="39" t="s">
        <v>2335</v>
      </c>
      <c r="O1365" s="46" t="b">
        <f aca="false">FALSE()</f>
        <v>0</v>
      </c>
      <c r="P1365" s="20"/>
      <c r="Q1365" s="45" t="n">
        <v>0</v>
      </c>
      <c r="R1365" s="20"/>
      <c r="S1365" s="20"/>
    </row>
    <row r="1366" customFormat="false" ht="15.75" hidden="false" customHeight="false" outlineLevel="0" collapsed="false">
      <c r="A1366" s="39"/>
      <c r="B1366" s="44"/>
      <c r="C1366" s="39"/>
      <c r="D1366" s="39"/>
      <c r="E1366" s="39"/>
      <c r="F1366" s="45"/>
      <c r="G1366" s="40"/>
      <c r="H1366" s="39"/>
      <c r="I1366" s="39" t="str">
        <f aca="false">IF(ISBLANK(H1366),"", IF($H$2:$H2865 = "Gohar Rehan","Overnight",IF($H$2:$H2865 = "Taufeeq Akhtar ","Overnight",IF($H$2:$H2865 = "Zeeshan Ali Malik","Audit",IF($H$2:$H2865 = "Ali Raza ","Receiving",IF($H$2:$H2865 = "Ali Ahmad","Full-In"))))))</f>
        <v/>
      </c>
      <c r="J1366" s="29"/>
      <c r="K1366" s="40"/>
      <c r="L1366" s="40"/>
      <c r="M1366" s="41"/>
      <c r="N1366" s="39" t="s">
        <v>2335</v>
      </c>
      <c r="O1366" s="46" t="b">
        <f aca="false">FALSE()</f>
        <v>0</v>
      </c>
      <c r="P1366" s="20"/>
      <c r="Q1366" s="45" t="n">
        <v>0</v>
      </c>
      <c r="R1366" s="20"/>
      <c r="S1366" s="20"/>
    </row>
    <row r="1367" customFormat="false" ht="15.75" hidden="false" customHeight="false" outlineLevel="0" collapsed="false">
      <c r="A1367" s="39"/>
      <c r="B1367" s="44"/>
      <c r="C1367" s="39"/>
      <c r="D1367" s="39"/>
      <c r="E1367" s="39"/>
      <c r="F1367" s="45"/>
      <c r="G1367" s="40"/>
      <c r="H1367" s="39"/>
      <c r="I1367" s="39" t="str">
        <f aca="false">IF(ISBLANK(H1367),"", IF($H$2:$H2866 = "Gohar Rehan","Overnight",IF($H$2:$H2866 = "Taufeeq Akhtar ","Overnight",IF($H$2:$H2866 = "Zeeshan Ali Malik","Audit",IF($H$2:$H2866 = "Ali Raza ","Receiving",IF($H$2:$H2866 = "Ali Ahmad","Full-In"))))))</f>
        <v/>
      </c>
      <c r="J1367" s="29"/>
      <c r="K1367" s="40"/>
      <c r="L1367" s="40"/>
      <c r="M1367" s="41"/>
      <c r="N1367" s="39" t="s">
        <v>2335</v>
      </c>
      <c r="O1367" s="46" t="b">
        <f aca="false">FALSE()</f>
        <v>0</v>
      </c>
      <c r="P1367" s="20"/>
      <c r="Q1367" s="45" t="n">
        <v>0</v>
      </c>
      <c r="R1367" s="20"/>
      <c r="S1367" s="20"/>
    </row>
    <row r="1368" customFormat="false" ht="15.75" hidden="false" customHeight="false" outlineLevel="0" collapsed="false">
      <c r="A1368" s="39"/>
      <c r="B1368" s="44"/>
      <c r="C1368" s="39"/>
      <c r="D1368" s="39"/>
      <c r="E1368" s="39"/>
      <c r="F1368" s="45"/>
      <c r="G1368" s="40"/>
      <c r="H1368" s="39"/>
      <c r="I1368" s="39" t="str">
        <f aca="false">IF(ISBLANK(H1368),"", IF($H$2:$H2867 = "Gohar Rehan","Overnight",IF($H$2:$H2867 = "Taufeeq Akhtar ","Overnight",IF($H$2:$H2867 = "Zeeshan Ali Malik","Audit",IF($H$2:$H2867 = "Ali Raza ","Receiving",IF($H$2:$H2867 = "Ali Ahmad","Full-In"))))))</f>
        <v/>
      </c>
      <c r="J1368" s="29"/>
      <c r="K1368" s="40"/>
      <c r="L1368" s="40"/>
      <c r="M1368" s="41"/>
      <c r="N1368" s="39" t="s">
        <v>2335</v>
      </c>
      <c r="O1368" s="46" t="b">
        <f aca="false">FALSE()</f>
        <v>0</v>
      </c>
      <c r="P1368" s="20"/>
      <c r="Q1368" s="45" t="n">
        <v>0</v>
      </c>
      <c r="R1368" s="20"/>
      <c r="S1368" s="20"/>
    </row>
    <row r="1369" customFormat="false" ht="15.75" hidden="false" customHeight="false" outlineLevel="0" collapsed="false">
      <c r="A1369" s="39"/>
      <c r="B1369" s="44"/>
      <c r="C1369" s="39"/>
      <c r="D1369" s="39"/>
      <c r="E1369" s="39"/>
      <c r="F1369" s="45"/>
      <c r="G1369" s="40"/>
      <c r="H1369" s="39"/>
      <c r="I1369" s="39" t="str">
        <f aca="false">IF(ISBLANK(H1369),"", IF($H$2:$H2868 = "Gohar Rehan","Overnight",IF($H$2:$H2868 = "Taufeeq Akhtar ","Overnight",IF($H$2:$H2868 = "Zeeshan Ali Malik","Audit",IF($H$2:$H2868 = "Ali Raza ","Receiving",IF($H$2:$H2868 = "Ali Ahmad","Full-In"))))))</f>
        <v/>
      </c>
      <c r="J1369" s="29"/>
      <c r="K1369" s="40"/>
      <c r="L1369" s="40"/>
      <c r="M1369" s="41"/>
      <c r="N1369" s="39" t="s">
        <v>2335</v>
      </c>
      <c r="O1369" s="46" t="b">
        <f aca="false">FALSE()</f>
        <v>0</v>
      </c>
      <c r="P1369" s="20"/>
      <c r="Q1369" s="45" t="n">
        <v>0</v>
      </c>
      <c r="R1369" s="20"/>
      <c r="S1369" s="20"/>
    </row>
    <row r="1370" customFormat="false" ht="15.75" hidden="false" customHeight="false" outlineLevel="0" collapsed="false">
      <c r="A1370" s="39"/>
      <c r="B1370" s="44"/>
      <c r="C1370" s="39"/>
      <c r="D1370" s="39"/>
      <c r="E1370" s="39"/>
      <c r="F1370" s="45"/>
      <c r="G1370" s="40"/>
      <c r="H1370" s="39"/>
      <c r="I1370" s="39" t="str">
        <f aca="false">IF(ISBLANK(H1370),"", IF($H$2:$H2869 = "Gohar Rehan","Overnight",IF($H$2:$H2869 = "Taufeeq Akhtar ","Overnight",IF($H$2:$H2869 = "Zeeshan Ali Malik","Audit",IF($H$2:$H2869 = "Ali Raza ","Receiving",IF($H$2:$H2869 = "Ali Ahmad","Full-In"))))))</f>
        <v/>
      </c>
      <c r="J1370" s="29"/>
      <c r="K1370" s="40"/>
      <c r="L1370" s="40"/>
      <c r="M1370" s="41"/>
      <c r="N1370" s="39" t="s">
        <v>2335</v>
      </c>
      <c r="O1370" s="46" t="b">
        <f aca="false">FALSE()</f>
        <v>0</v>
      </c>
      <c r="P1370" s="20"/>
      <c r="Q1370" s="45" t="n">
        <v>0</v>
      </c>
      <c r="R1370" s="20"/>
      <c r="S1370" s="20"/>
    </row>
    <row r="1371" customFormat="false" ht="15.75" hidden="false" customHeight="false" outlineLevel="0" collapsed="false">
      <c r="A1371" s="39"/>
      <c r="B1371" s="44"/>
      <c r="C1371" s="39"/>
      <c r="D1371" s="39"/>
      <c r="E1371" s="39"/>
      <c r="F1371" s="45"/>
      <c r="G1371" s="40"/>
      <c r="H1371" s="39"/>
      <c r="I1371" s="39" t="str">
        <f aca="false">IF(ISBLANK(H1371),"", IF($H$2:$H2870 = "Gohar Rehan","Overnight",IF($H$2:$H2870 = "Taufeeq Akhtar ","Overnight",IF($H$2:$H2870 = "Zeeshan Ali Malik","Audit",IF($H$2:$H2870 = "Ali Raza ","Receiving",IF($H$2:$H2870 = "Ali Ahmad","Full-In"))))))</f>
        <v/>
      </c>
      <c r="J1371" s="29"/>
      <c r="K1371" s="40"/>
      <c r="L1371" s="40"/>
      <c r="M1371" s="41"/>
      <c r="N1371" s="39" t="s">
        <v>2335</v>
      </c>
      <c r="O1371" s="46" t="b">
        <f aca="false">FALSE()</f>
        <v>0</v>
      </c>
      <c r="P1371" s="20"/>
      <c r="Q1371" s="45" t="n">
        <v>0</v>
      </c>
      <c r="R1371" s="20"/>
      <c r="S1371" s="20"/>
    </row>
    <row r="1372" customFormat="false" ht="15.75" hidden="false" customHeight="false" outlineLevel="0" collapsed="false">
      <c r="A1372" s="39"/>
      <c r="B1372" s="44"/>
      <c r="C1372" s="39"/>
      <c r="D1372" s="39"/>
      <c r="E1372" s="39"/>
      <c r="F1372" s="45"/>
      <c r="G1372" s="40"/>
      <c r="H1372" s="39"/>
      <c r="I1372" s="39" t="str">
        <f aca="false">IF(ISBLANK(H1372),"", IF($H$2:$H2871 = "Gohar Rehan","Overnight",IF($H$2:$H2871 = "Taufeeq Akhtar ","Overnight",IF($H$2:$H2871 = "Zeeshan Ali Malik","Audit",IF($H$2:$H2871 = "Ali Raza ","Receiving",IF($H$2:$H2871 = "Ali Ahmad","Full-In"))))))</f>
        <v/>
      </c>
      <c r="J1372" s="29"/>
      <c r="K1372" s="40"/>
      <c r="L1372" s="40"/>
      <c r="M1372" s="41"/>
      <c r="N1372" s="39" t="s">
        <v>2335</v>
      </c>
      <c r="O1372" s="46" t="b">
        <f aca="false">FALSE()</f>
        <v>0</v>
      </c>
      <c r="P1372" s="20"/>
      <c r="Q1372" s="45" t="n">
        <v>0</v>
      </c>
      <c r="R1372" s="20"/>
      <c r="S1372" s="20"/>
    </row>
    <row r="1373" customFormat="false" ht="15.75" hidden="false" customHeight="false" outlineLevel="0" collapsed="false">
      <c r="A1373" s="39"/>
      <c r="B1373" s="44"/>
      <c r="C1373" s="39"/>
      <c r="D1373" s="39"/>
      <c r="E1373" s="39"/>
      <c r="F1373" s="45"/>
      <c r="G1373" s="40"/>
      <c r="H1373" s="39"/>
      <c r="I1373" s="39" t="str">
        <f aca="false">IF(ISBLANK(H1373),"", IF($H$2:$H2872 = "Gohar Rehan","Overnight",IF($H$2:$H2872 = "Taufeeq Akhtar ","Overnight",IF($H$2:$H2872 = "Zeeshan Ali Malik","Audit",IF($H$2:$H2872 = "Ali Raza ","Receiving",IF($H$2:$H2872 = "Ali Ahmad","Full-In"))))))</f>
        <v/>
      </c>
      <c r="J1373" s="29"/>
      <c r="K1373" s="40"/>
      <c r="L1373" s="40"/>
      <c r="M1373" s="41"/>
      <c r="N1373" s="39" t="s">
        <v>2335</v>
      </c>
      <c r="O1373" s="46" t="b">
        <f aca="false">FALSE()</f>
        <v>0</v>
      </c>
      <c r="P1373" s="20"/>
      <c r="Q1373" s="45" t="n">
        <v>0</v>
      </c>
      <c r="R1373" s="20"/>
      <c r="S1373" s="20"/>
    </row>
    <row r="1374" customFormat="false" ht="15.75" hidden="false" customHeight="false" outlineLevel="0" collapsed="false">
      <c r="A1374" s="39"/>
      <c r="B1374" s="44"/>
      <c r="C1374" s="39"/>
      <c r="D1374" s="39"/>
      <c r="E1374" s="39"/>
      <c r="F1374" s="45"/>
      <c r="G1374" s="40"/>
      <c r="H1374" s="39"/>
      <c r="I1374" s="39" t="str">
        <f aca="false">IF(ISBLANK(H1374),"", IF($H$2:$H2873 = "Gohar Rehan","Overnight",IF($H$2:$H2873 = "Taufeeq Akhtar ","Overnight",IF($H$2:$H2873 = "Zeeshan Ali Malik","Audit",IF($H$2:$H2873 = "Ali Raza ","Receiving",IF($H$2:$H2873 = "Ali Ahmad","Full-In"))))))</f>
        <v/>
      </c>
      <c r="J1374" s="29"/>
      <c r="K1374" s="40"/>
      <c r="L1374" s="40"/>
      <c r="M1374" s="41"/>
      <c r="N1374" s="39" t="s">
        <v>2335</v>
      </c>
      <c r="O1374" s="46" t="b">
        <f aca="false">FALSE()</f>
        <v>0</v>
      </c>
      <c r="P1374" s="20"/>
      <c r="Q1374" s="45" t="n">
        <v>0</v>
      </c>
      <c r="R1374" s="20"/>
      <c r="S1374" s="20"/>
    </row>
    <row r="1375" customFormat="false" ht="15.75" hidden="false" customHeight="false" outlineLevel="0" collapsed="false">
      <c r="A1375" s="39"/>
      <c r="B1375" s="44"/>
      <c r="C1375" s="39"/>
      <c r="D1375" s="39"/>
      <c r="E1375" s="39"/>
      <c r="F1375" s="45"/>
      <c r="G1375" s="40"/>
      <c r="H1375" s="39"/>
      <c r="I1375" s="39" t="str">
        <f aca="false">IF(ISBLANK(H1375),"", IF($H$2:$H2874 = "Gohar Rehan","Overnight",IF($H$2:$H2874 = "Taufeeq Akhtar ","Overnight",IF($H$2:$H2874 = "Zeeshan Ali Malik","Audit",IF($H$2:$H2874 = "Ali Raza ","Receiving",IF($H$2:$H2874 = "Ali Ahmad","Full-In"))))))</f>
        <v/>
      </c>
      <c r="J1375" s="29"/>
      <c r="K1375" s="40"/>
      <c r="L1375" s="40"/>
      <c r="M1375" s="41"/>
      <c r="N1375" s="39" t="s">
        <v>2335</v>
      </c>
      <c r="O1375" s="46" t="b">
        <f aca="false">FALSE()</f>
        <v>0</v>
      </c>
      <c r="P1375" s="20"/>
      <c r="Q1375" s="45" t="n">
        <v>0</v>
      </c>
      <c r="R1375" s="20"/>
      <c r="S1375" s="20"/>
    </row>
    <row r="1376" customFormat="false" ht="15.75" hidden="false" customHeight="false" outlineLevel="0" collapsed="false">
      <c r="A1376" s="39"/>
      <c r="B1376" s="44"/>
      <c r="C1376" s="39"/>
      <c r="D1376" s="39"/>
      <c r="E1376" s="39"/>
      <c r="F1376" s="45"/>
      <c r="G1376" s="40"/>
      <c r="H1376" s="39"/>
      <c r="I1376" s="39" t="str">
        <f aca="false">IF(ISBLANK(H1376),"", IF($H$2:$H2875 = "Gohar Rehan","Overnight",IF($H$2:$H2875 = "Taufeeq Akhtar ","Overnight",IF($H$2:$H2875 = "Zeeshan Ali Malik","Audit",IF($H$2:$H2875 = "Ali Raza ","Receiving",IF($H$2:$H2875 = "Ali Ahmad","Full-In"))))))</f>
        <v/>
      </c>
      <c r="J1376" s="29"/>
      <c r="K1376" s="40"/>
      <c r="L1376" s="40"/>
      <c r="M1376" s="41"/>
      <c r="N1376" s="39" t="s">
        <v>2335</v>
      </c>
      <c r="O1376" s="46" t="b">
        <f aca="false">FALSE()</f>
        <v>0</v>
      </c>
      <c r="P1376" s="20"/>
      <c r="Q1376" s="45" t="n">
        <v>0</v>
      </c>
      <c r="R1376" s="20"/>
      <c r="S1376" s="20"/>
    </row>
    <row r="1377" customFormat="false" ht="15.75" hidden="false" customHeight="false" outlineLevel="0" collapsed="false">
      <c r="A1377" s="39"/>
      <c r="B1377" s="44"/>
      <c r="C1377" s="39"/>
      <c r="D1377" s="39"/>
      <c r="E1377" s="39"/>
      <c r="F1377" s="45"/>
      <c r="G1377" s="40"/>
      <c r="H1377" s="39"/>
      <c r="I1377" s="39" t="str">
        <f aca="false">IF(ISBLANK(H1377),"", IF($H$2:$H2876 = "Gohar Rehan","Overnight",IF($H$2:$H2876 = "Taufeeq Akhtar ","Overnight",IF($H$2:$H2876 = "Zeeshan Ali Malik","Audit",IF($H$2:$H2876 = "Ali Raza ","Receiving",IF($H$2:$H2876 = "Ali Ahmad","Full-In"))))))</f>
        <v/>
      </c>
      <c r="J1377" s="29"/>
      <c r="K1377" s="40"/>
      <c r="L1377" s="40"/>
      <c r="M1377" s="41"/>
      <c r="N1377" s="39" t="s">
        <v>2335</v>
      </c>
      <c r="O1377" s="46" t="b">
        <f aca="false">FALSE()</f>
        <v>0</v>
      </c>
      <c r="P1377" s="20"/>
      <c r="Q1377" s="45" t="n">
        <v>0</v>
      </c>
      <c r="R1377" s="20"/>
      <c r="S1377" s="20"/>
    </row>
    <row r="1378" customFormat="false" ht="15.75" hidden="false" customHeight="false" outlineLevel="0" collapsed="false">
      <c r="A1378" s="39"/>
      <c r="B1378" s="44"/>
      <c r="C1378" s="39"/>
      <c r="D1378" s="39"/>
      <c r="E1378" s="39"/>
      <c r="F1378" s="45"/>
      <c r="G1378" s="40"/>
      <c r="H1378" s="39"/>
      <c r="I1378" s="39" t="str">
        <f aca="false">IF(ISBLANK(H1378),"", IF($H$2:$H2877 = "Gohar Rehan","Overnight",IF($H$2:$H2877 = "Taufeeq Akhtar ","Overnight",IF($H$2:$H2877 = "Zeeshan Ali Malik","Audit",IF($H$2:$H2877 = "Ali Raza ","Receiving",IF($H$2:$H2877 = "Ali Ahmad","Full-In"))))))</f>
        <v/>
      </c>
      <c r="J1378" s="29"/>
      <c r="K1378" s="40"/>
      <c r="L1378" s="40"/>
      <c r="M1378" s="41"/>
      <c r="N1378" s="39" t="s">
        <v>2335</v>
      </c>
      <c r="O1378" s="46" t="b">
        <f aca="false">FALSE()</f>
        <v>0</v>
      </c>
      <c r="P1378" s="20"/>
      <c r="Q1378" s="45" t="n">
        <v>0</v>
      </c>
      <c r="R1378" s="20"/>
      <c r="S1378" s="20"/>
    </row>
    <row r="1379" customFormat="false" ht="15.75" hidden="false" customHeight="false" outlineLevel="0" collapsed="false">
      <c r="A1379" s="39"/>
      <c r="B1379" s="44"/>
      <c r="C1379" s="39"/>
      <c r="D1379" s="39"/>
      <c r="E1379" s="39"/>
      <c r="F1379" s="45"/>
      <c r="G1379" s="40"/>
      <c r="H1379" s="39"/>
      <c r="I1379" s="39" t="str">
        <f aca="false">IF(ISBLANK(H1379),"", IF($H$2:$H2878 = "Gohar Rehan","Overnight",IF($H$2:$H2878 = "Taufeeq Akhtar ","Overnight",IF($H$2:$H2878 = "Zeeshan Ali Malik","Audit",IF($H$2:$H2878 = "Ali Raza ","Receiving",IF($H$2:$H2878 = "Ali Ahmad","Full-In"))))))</f>
        <v/>
      </c>
      <c r="J1379" s="29"/>
      <c r="K1379" s="40"/>
      <c r="L1379" s="40"/>
      <c r="M1379" s="41"/>
      <c r="N1379" s="39" t="s">
        <v>2335</v>
      </c>
      <c r="O1379" s="46" t="b">
        <f aca="false">FALSE()</f>
        <v>0</v>
      </c>
      <c r="P1379" s="20"/>
      <c r="Q1379" s="45" t="n">
        <v>0</v>
      </c>
      <c r="R1379" s="20"/>
      <c r="S1379" s="20"/>
    </row>
    <row r="1380" customFormat="false" ht="15.75" hidden="false" customHeight="false" outlineLevel="0" collapsed="false">
      <c r="A1380" s="39"/>
      <c r="B1380" s="44"/>
      <c r="C1380" s="39"/>
      <c r="D1380" s="39"/>
      <c r="E1380" s="39"/>
      <c r="F1380" s="45"/>
      <c r="G1380" s="40"/>
      <c r="H1380" s="39"/>
      <c r="I1380" s="39" t="str">
        <f aca="false">IF(ISBLANK(H1380),"", IF($H$2:$H2879 = "Gohar Rehan","Overnight",IF($H$2:$H2879 = "Taufeeq Akhtar ","Overnight",IF($H$2:$H2879 = "Zeeshan Ali Malik","Audit",IF($H$2:$H2879 = "Ali Raza ","Receiving",IF($H$2:$H2879 = "Ali Ahmad","Full-In"))))))</f>
        <v/>
      </c>
      <c r="J1380" s="29"/>
      <c r="K1380" s="40"/>
      <c r="L1380" s="40"/>
      <c r="M1380" s="41"/>
      <c r="N1380" s="39" t="s">
        <v>2335</v>
      </c>
      <c r="O1380" s="46" t="b">
        <f aca="false">FALSE()</f>
        <v>0</v>
      </c>
      <c r="P1380" s="20"/>
      <c r="Q1380" s="45" t="n">
        <v>0</v>
      </c>
      <c r="R1380" s="20"/>
      <c r="S1380" s="20"/>
    </row>
    <row r="1381" customFormat="false" ht="15.75" hidden="false" customHeight="false" outlineLevel="0" collapsed="false">
      <c r="A1381" s="39"/>
      <c r="B1381" s="44"/>
      <c r="C1381" s="39"/>
      <c r="D1381" s="39"/>
      <c r="E1381" s="39"/>
      <c r="F1381" s="45"/>
      <c r="G1381" s="40"/>
      <c r="H1381" s="39"/>
      <c r="I1381" s="39" t="str">
        <f aca="false">IF(ISBLANK(H1381),"", IF($H$2:$H2880 = "Gohar Rehan","Overnight",IF($H$2:$H2880 = "Taufeeq Akhtar ","Overnight",IF($H$2:$H2880 = "Zeeshan Ali Malik","Audit",IF($H$2:$H2880 = "Ali Raza ","Receiving",IF($H$2:$H2880 = "Ali Ahmad","Full-In"))))))</f>
        <v/>
      </c>
      <c r="J1381" s="29"/>
      <c r="K1381" s="40"/>
      <c r="L1381" s="40"/>
      <c r="M1381" s="41"/>
      <c r="N1381" s="39" t="s">
        <v>2335</v>
      </c>
      <c r="O1381" s="46" t="b">
        <f aca="false">FALSE()</f>
        <v>0</v>
      </c>
      <c r="P1381" s="20"/>
      <c r="Q1381" s="45" t="n">
        <v>0</v>
      </c>
      <c r="R1381" s="20"/>
      <c r="S1381" s="20"/>
    </row>
    <row r="1382" customFormat="false" ht="15.75" hidden="false" customHeight="false" outlineLevel="0" collapsed="false">
      <c r="A1382" s="39"/>
      <c r="B1382" s="44"/>
      <c r="C1382" s="39"/>
      <c r="D1382" s="39"/>
      <c r="E1382" s="39"/>
      <c r="F1382" s="45"/>
      <c r="G1382" s="40"/>
      <c r="H1382" s="39"/>
      <c r="I1382" s="39" t="str">
        <f aca="false">IF(ISBLANK(H1382),"", IF($H$2:$H2881 = "Gohar Rehan","Overnight",IF($H$2:$H2881 = "Taufeeq Akhtar ","Overnight",IF($H$2:$H2881 = "Zeeshan Ali Malik","Audit",IF($H$2:$H2881 = "Ali Raza ","Receiving",IF($H$2:$H2881 = "Ali Ahmad","Full-In"))))))</f>
        <v/>
      </c>
      <c r="J1382" s="29"/>
      <c r="K1382" s="40"/>
      <c r="L1382" s="40"/>
      <c r="M1382" s="41"/>
      <c r="N1382" s="39" t="s">
        <v>2335</v>
      </c>
      <c r="O1382" s="46" t="b">
        <f aca="false">FALSE()</f>
        <v>0</v>
      </c>
      <c r="P1382" s="20"/>
      <c r="Q1382" s="45" t="n">
        <v>0</v>
      </c>
      <c r="R1382" s="20"/>
      <c r="S1382" s="20"/>
    </row>
    <row r="1383" customFormat="false" ht="15.75" hidden="false" customHeight="false" outlineLevel="0" collapsed="false">
      <c r="A1383" s="39"/>
      <c r="B1383" s="44"/>
      <c r="C1383" s="39"/>
      <c r="D1383" s="39"/>
      <c r="E1383" s="39"/>
      <c r="F1383" s="45"/>
      <c r="G1383" s="40"/>
      <c r="H1383" s="39"/>
      <c r="I1383" s="39" t="str">
        <f aca="false">IF(ISBLANK(H1383),"", IF($H$2:$H2882 = "Gohar Rehan","Overnight",IF($H$2:$H2882 = "Taufeeq Akhtar ","Overnight",IF($H$2:$H2882 = "Zeeshan Ali Malik","Audit",IF($H$2:$H2882 = "Ali Raza ","Receiving",IF($H$2:$H2882 = "Ali Ahmad","Full-In"))))))</f>
        <v/>
      </c>
      <c r="J1383" s="29"/>
      <c r="K1383" s="40"/>
      <c r="L1383" s="40"/>
      <c r="M1383" s="41"/>
      <c r="N1383" s="39" t="s">
        <v>2335</v>
      </c>
      <c r="O1383" s="46" t="b">
        <f aca="false">FALSE()</f>
        <v>0</v>
      </c>
      <c r="P1383" s="20"/>
      <c r="Q1383" s="45" t="n">
        <v>0</v>
      </c>
      <c r="R1383" s="20"/>
      <c r="S1383" s="20"/>
    </row>
    <row r="1384" customFormat="false" ht="15.75" hidden="false" customHeight="false" outlineLevel="0" collapsed="false">
      <c r="A1384" s="39"/>
      <c r="B1384" s="44"/>
      <c r="C1384" s="39"/>
      <c r="D1384" s="39"/>
      <c r="E1384" s="39"/>
      <c r="F1384" s="45"/>
      <c r="G1384" s="40"/>
      <c r="H1384" s="39"/>
      <c r="I1384" s="39" t="str">
        <f aca="false">IF(ISBLANK(H1384),"", IF($H$2:$H2883 = "Gohar Rehan","Overnight",IF($H$2:$H2883 = "Taufeeq Akhtar ","Overnight",IF($H$2:$H2883 = "Zeeshan Ali Malik","Audit",IF($H$2:$H2883 = "Ali Raza ","Receiving",IF($H$2:$H2883 = "Ali Ahmad","Full-In"))))))</f>
        <v/>
      </c>
      <c r="J1384" s="29"/>
      <c r="K1384" s="40"/>
      <c r="L1384" s="40"/>
      <c r="M1384" s="41"/>
      <c r="N1384" s="39" t="s">
        <v>2335</v>
      </c>
      <c r="O1384" s="46" t="b">
        <f aca="false">FALSE()</f>
        <v>0</v>
      </c>
      <c r="P1384" s="20"/>
      <c r="Q1384" s="45" t="n">
        <v>0</v>
      </c>
      <c r="R1384" s="20"/>
      <c r="S1384" s="20"/>
    </row>
    <row r="1385" customFormat="false" ht="15.75" hidden="false" customHeight="false" outlineLevel="0" collapsed="false">
      <c r="A1385" s="39"/>
      <c r="B1385" s="44"/>
      <c r="C1385" s="39"/>
      <c r="D1385" s="39"/>
      <c r="E1385" s="39"/>
      <c r="F1385" s="45"/>
      <c r="G1385" s="40"/>
      <c r="H1385" s="39"/>
      <c r="I1385" s="39" t="str">
        <f aca="false">IF(ISBLANK(H1385),"", IF($H$2:$H2884 = "Gohar Rehan","Overnight",IF($H$2:$H2884 = "Taufeeq Akhtar ","Overnight",IF($H$2:$H2884 = "Zeeshan Ali Malik","Audit",IF($H$2:$H2884 = "Ali Raza ","Receiving",IF($H$2:$H2884 = "Ali Ahmad","Full-In"))))))</f>
        <v/>
      </c>
      <c r="J1385" s="29"/>
      <c r="K1385" s="40"/>
      <c r="L1385" s="40"/>
      <c r="M1385" s="41"/>
      <c r="N1385" s="39" t="s">
        <v>2335</v>
      </c>
      <c r="O1385" s="46" t="b">
        <f aca="false">FALSE()</f>
        <v>0</v>
      </c>
      <c r="P1385" s="20"/>
      <c r="Q1385" s="45" t="n">
        <v>0</v>
      </c>
      <c r="R1385" s="20"/>
      <c r="S1385" s="20"/>
    </row>
    <row r="1386" customFormat="false" ht="15.75" hidden="false" customHeight="false" outlineLevel="0" collapsed="false">
      <c r="A1386" s="39"/>
      <c r="B1386" s="44"/>
      <c r="C1386" s="39"/>
      <c r="D1386" s="39"/>
      <c r="E1386" s="39"/>
      <c r="F1386" s="45"/>
      <c r="G1386" s="40"/>
      <c r="H1386" s="39"/>
      <c r="I1386" s="39" t="str">
        <f aca="false">IF(ISBLANK(H1386),"", IF($H$2:$H2885 = "Gohar Rehan","Overnight",IF($H$2:$H2885 = "Taufeeq Akhtar ","Overnight",IF($H$2:$H2885 = "Zeeshan Ali Malik","Audit",IF($H$2:$H2885 = "Ali Raza ","Receiving",IF($H$2:$H2885 = "Ali Ahmad","Full-In"))))))</f>
        <v/>
      </c>
      <c r="J1386" s="29"/>
      <c r="K1386" s="40"/>
      <c r="L1386" s="40"/>
      <c r="M1386" s="41"/>
      <c r="N1386" s="39" t="s">
        <v>2335</v>
      </c>
      <c r="O1386" s="46" t="b">
        <f aca="false">FALSE()</f>
        <v>0</v>
      </c>
      <c r="P1386" s="20"/>
      <c r="Q1386" s="45" t="n">
        <v>0</v>
      </c>
      <c r="R1386" s="20"/>
      <c r="S1386" s="20"/>
    </row>
    <row r="1387" customFormat="false" ht="15.75" hidden="false" customHeight="false" outlineLevel="0" collapsed="false">
      <c r="A1387" s="39"/>
      <c r="B1387" s="44"/>
      <c r="C1387" s="39"/>
      <c r="D1387" s="39"/>
      <c r="E1387" s="39"/>
      <c r="F1387" s="45"/>
      <c r="G1387" s="40"/>
      <c r="H1387" s="39"/>
      <c r="I1387" s="39" t="str">
        <f aca="false">IF(ISBLANK(H1387),"", IF($H$2:$H2886 = "Gohar Rehan","Overnight",IF($H$2:$H2886 = "Taufeeq Akhtar ","Overnight",IF($H$2:$H2886 = "Zeeshan Ali Malik","Audit",IF($H$2:$H2886 = "Ali Raza ","Receiving",IF($H$2:$H2886 = "Ali Ahmad","Full-In"))))))</f>
        <v/>
      </c>
      <c r="J1387" s="29"/>
      <c r="K1387" s="40"/>
      <c r="L1387" s="40"/>
      <c r="M1387" s="41"/>
      <c r="N1387" s="39" t="s">
        <v>2335</v>
      </c>
      <c r="O1387" s="46" t="b">
        <f aca="false">FALSE()</f>
        <v>0</v>
      </c>
      <c r="P1387" s="20"/>
      <c r="Q1387" s="45" t="n">
        <v>0</v>
      </c>
      <c r="R1387" s="20"/>
      <c r="S1387" s="20"/>
    </row>
    <row r="1388" customFormat="false" ht="15.75" hidden="false" customHeight="false" outlineLevel="0" collapsed="false">
      <c r="A1388" s="39"/>
      <c r="B1388" s="44"/>
      <c r="C1388" s="39"/>
      <c r="D1388" s="39"/>
      <c r="E1388" s="39"/>
      <c r="F1388" s="45"/>
      <c r="G1388" s="40"/>
      <c r="H1388" s="39"/>
      <c r="I1388" s="39" t="str">
        <f aca="false">IF(ISBLANK(H1388),"", IF($H$2:$H2887 = "Gohar Rehan","Overnight",IF($H$2:$H2887 = "Taufeeq Akhtar ","Overnight",IF($H$2:$H2887 = "Zeeshan Ali Malik","Audit",IF($H$2:$H2887 = "Ali Raza ","Receiving",IF($H$2:$H2887 = "Ali Ahmad","Full-In"))))))</f>
        <v/>
      </c>
      <c r="J1388" s="29"/>
      <c r="K1388" s="40"/>
      <c r="L1388" s="40"/>
      <c r="M1388" s="41"/>
      <c r="N1388" s="39" t="s">
        <v>2335</v>
      </c>
      <c r="O1388" s="46" t="b">
        <f aca="false">FALSE()</f>
        <v>0</v>
      </c>
      <c r="P1388" s="20"/>
      <c r="Q1388" s="45" t="n">
        <v>0</v>
      </c>
      <c r="R1388" s="20"/>
      <c r="S1388" s="20"/>
    </row>
    <row r="1389" customFormat="false" ht="15.75" hidden="false" customHeight="false" outlineLevel="0" collapsed="false">
      <c r="A1389" s="39"/>
      <c r="B1389" s="44"/>
      <c r="C1389" s="39"/>
      <c r="D1389" s="39"/>
      <c r="E1389" s="39"/>
      <c r="F1389" s="45"/>
      <c r="G1389" s="40"/>
      <c r="H1389" s="39"/>
      <c r="I1389" s="39" t="str">
        <f aca="false">IF(ISBLANK(H1389),"", IF($H$2:$H2888 = "Gohar Rehan","Overnight",IF($H$2:$H2888 = "Taufeeq Akhtar ","Overnight",IF($H$2:$H2888 = "Zeeshan Ali Malik","Audit",IF($H$2:$H2888 = "Ali Raza ","Receiving",IF($H$2:$H2888 = "Ali Ahmad","Full-In"))))))</f>
        <v/>
      </c>
      <c r="J1389" s="29"/>
      <c r="K1389" s="40"/>
      <c r="L1389" s="40"/>
      <c r="M1389" s="41"/>
      <c r="N1389" s="39" t="s">
        <v>2335</v>
      </c>
      <c r="O1389" s="46" t="b">
        <f aca="false">FALSE()</f>
        <v>0</v>
      </c>
      <c r="P1389" s="20"/>
      <c r="Q1389" s="45" t="n">
        <v>0</v>
      </c>
      <c r="R1389" s="20"/>
      <c r="S1389" s="20"/>
    </row>
    <row r="1390" customFormat="false" ht="15.75" hidden="false" customHeight="false" outlineLevel="0" collapsed="false">
      <c r="A1390" s="39"/>
      <c r="B1390" s="44"/>
      <c r="C1390" s="39"/>
      <c r="D1390" s="39"/>
      <c r="E1390" s="39"/>
      <c r="F1390" s="45"/>
      <c r="G1390" s="40"/>
      <c r="H1390" s="39"/>
      <c r="I1390" s="39" t="str">
        <f aca="false">IF(ISBLANK(H1390),"", IF($H$2:$H2889 = "Gohar Rehan","Overnight",IF($H$2:$H2889 = "Taufeeq Akhtar ","Overnight",IF($H$2:$H2889 = "Zeeshan Ali Malik","Audit",IF($H$2:$H2889 = "Ali Raza ","Receiving",IF($H$2:$H2889 = "Ali Ahmad","Full-In"))))))</f>
        <v/>
      </c>
      <c r="J1390" s="29"/>
      <c r="K1390" s="40"/>
      <c r="L1390" s="40"/>
      <c r="M1390" s="41"/>
      <c r="N1390" s="39" t="s">
        <v>2335</v>
      </c>
      <c r="O1390" s="46" t="b">
        <f aca="false">FALSE()</f>
        <v>0</v>
      </c>
      <c r="P1390" s="20"/>
      <c r="Q1390" s="45" t="n">
        <v>0</v>
      </c>
      <c r="R1390" s="20"/>
      <c r="S1390" s="20"/>
    </row>
    <row r="1391" customFormat="false" ht="15.75" hidden="false" customHeight="false" outlineLevel="0" collapsed="false">
      <c r="A1391" s="39"/>
      <c r="B1391" s="44"/>
      <c r="C1391" s="39"/>
      <c r="D1391" s="39"/>
      <c r="E1391" s="39"/>
      <c r="F1391" s="45"/>
      <c r="G1391" s="40"/>
      <c r="H1391" s="39"/>
      <c r="I1391" s="39" t="str">
        <f aca="false">IF(ISBLANK(H1391),"", IF($H$2:$H2890 = "Gohar Rehan","Overnight",IF($H$2:$H2890 = "Taufeeq Akhtar ","Overnight",IF($H$2:$H2890 = "Zeeshan Ali Malik","Audit",IF($H$2:$H2890 = "Ali Raza ","Receiving",IF($H$2:$H2890 = "Ali Ahmad","Full-In"))))))</f>
        <v/>
      </c>
      <c r="J1391" s="29"/>
      <c r="K1391" s="40"/>
      <c r="L1391" s="40"/>
      <c r="M1391" s="41"/>
      <c r="N1391" s="39" t="s">
        <v>2335</v>
      </c>
      <c r="O1391" s="46" t="b">
        <f aca="false">FALSE()</f>
        <v>0</v>
      </c>
      <c r="P1391" s="20"/>
      <c r="Q1391" s="45" t="n">
        <v>0</v>
      </c>
      <c r="R1391" s="20"/>
      <c r="S1391" s="20"/>
    </row>
    <row r="1392" customFormat="false" ht="15.75" hidden="false" customHeight="false" outlineLevel="0" collapsed="false">
      <c r="A1392" s="39"/>
      <c r="B1392" s="44"/>
      <c r="C1392" s="39"/>
      <c r="D1392" s="39"/>
      <c r="E1392" s="39"/>
      <c r="F1392" s="45"/>
      <c r="G1392" s="40"/>
      <c r="H1392" s="39"/>
      <c r="I1392" s="39" t="str">
        <f aca="false">IF(ISBLANK(H1392),"", IF($H$2:$H2891 = "Gohar Rehan","Overnight",IF($H$2:$H2891 = "Taufeeq Akhtar ","Overnight",IF($H$2:$H2891 = "Zeeshan Ali Malik","Audit",IF($H$2:$H2891 = "Ali Raza ","Receiving",IF($H$2:$H2891 = "Ali Ahmad","Full-In"))))))</f>
        <v/>
      </c>
      <c r="J1392" s="29"/>
      <c r="K1392" s="40"/>
      <c r="L1392" s="40"/>
      <c r="M1392" s="41"/>
      <c r="N1392" s="39" t="s">
        <v>2335</v>
      </c>
      <c r="O1392" s="46" t="b">
        <f aca="false">FALSE()</f>
        <v>0</v>
      </c>
      <c r="P1392" s="20"/>
      <c r="Q1392" s="45" t="n">
        <v>0</v>
      </c>
      <c r="R1392" s="20"/>
      <c r="S1392" s="20"/>
    </row>
    <row r="1393" customFormat="false" ht="15.75" hidden="false" customHeight="false" outlineLevel="0" collapsed="false">
      <c r="A1393" s="39"/>
      <c r="B1393" s="44"/>
      <c r="C1393" s="39"/>
      <c r="D1393" s="39"/>
      <c r="E1393" s="39"/>
      <c r="F1393" s="45"/>
      <c r="G1393" s="40"/>
      <c r="H1393" s="39"/>
      <c r="I1393" s="39" t="str">
        <f aca="false">IF(ISBLANK(H1393),"", IF($H$2:$H2892 = "Gohar Rehan","Overnight",IF($H$2:$H2892 = "Taufeeq Akhtar ","Overnight",IF($H$2:$H2892 = "Zeeshan Ali Malik","Audit",IF($H$2:$H2892 = "Ali Raza ","Receiving",IF($H$2:$H2892 = "Ali Ahmad","Full-In"))))))</f>
        <v/>
      </c>
      <c r="J1393" s="29"/>
      <c r="K1393" s="40"/>
      <c r="L1393" s="40"/>
      <c r="M1393" s="41"/>
      <c r="N1393" s="39" t="s">
        <v>2335</v>
      </c>
      <c r="O1393" s="46" t="b">
        <f aca="false">FALSE()</f>
        <v>0</v>
      </c>
      <c r="P1393" s="20"/>
      <c r="Q1393" s="45" t="n">
        <v>0</v>
      </c>
      <c r="R1393" s="20"/>
      <c r="S1393" s="20"/>
    </row>
    <row r="1394" customFormat="false" ht="15.75" hidden="false" customHeight="false" outlineLevel="0" collapsed="false">
      <c r="A1394" s="39"/>
      <c r="B1394" s="44"/>
      <c r="C1394" s="39"/>
      <c r="D1394" s="39"/>
      <c r="E1394" s="39"/>
      <c r="F1394" s="45"/>
      <c r="G1394" s="40"/>
      <c r="H1394" s="39"/>
      <c r="I1394" s="39" t="str">
        <f aca="false">IF(ISBLANK(H1394),"", IF($H$2:$H2893 = "Gohar Rehan","Overnight",IF($H$2:$H2893 = "Taufeeq Akhtar ","Overnight",IF($H$2:$H2893 = "Zeeshan Ali Malik","Audit",IF($H$2:$H2893 = "Ali Raza ","Receiving",IF($H$2:$H2893 = "Ali Ahmad","Full-In"))))))</f>
        <v/>
      </c>
      <c r="J1394" s="29"/>
      <c r="K1394" s="40"/>
      <c r="L1394" s="40"/>
      <c r="M1394" s="41"/>
      <c r="N1394" s="39" t="s">
        <v>2335</v>
      </c>
      <c r="O1394" s="46" t="b">
        <f aca="false">FALSE()</f>
        <v>0</v>
      </c>
      <c r="P1394" s="20"/>
      <c r="Q1394" s="45" t="n">
        <v>0</v>
      </c>
      <c r="R1394" s="20"/>
      <c r="S1394" s="20"/>
    </row>
    <row r="1395" customFormat="false" ht="15.75" hidden="false" customHeight="false" outlineLevel="0" collapsed="false">
      <c r="A1395" s="39"/>
      <c r="B1395" s="44"/>
      <c r="C1395" s="39"/>
      <c r="D1395" s="39"/>
      <c r="E1395" s="39"/>
      <c r="F1395" s="45"/>
      <c r="G1395" s="40"/>
      <c r="H1395" s="39"/>
      <c r="I1395" s="39" t="str">
        <f aca="false">IF(ISBLANK(H1395),"", IF($H$2:$H2894 = "Gohar Rehan","Overnight",IF($H$2:$H2894 = "Taufeeq Akhtar ","Overnight",IF($H$2:$H2894 = "Zeeshan Ali Malik","Audit",IF($H$2:$H2894 = "Ali Raza ","Receiving",IF($H$2:$H2894 = "Ali Ahmad","Full-In"))))))</f>
        <v/>
      </c>
      <c r="J1395" s="29"/>
      <c r="K1395" s="40"/>
      <c r="L1395" s="40"/>
      <c r="M1395" s="41"/>
      <c r="N1395" s="39" t="s">
        <v>2335</v>
      </c>
      <c r="O1395" s="46" t="b">
        <f aca="false">FALSE()</f>
        <v>0</v>
      </c>
      <c r="P1395" s="20"/>
      <c r="Q1395" s="45" t="n">
        <v>0</v>
      </c>
      <c r="R1395" s="20"/>
      <c r="S1395" s="20"/>
    </row>
    <row r="1396" customFormat="false" ht="15.75" hidden="false" customHeight="false" outlineLevel="0" collapsed="false">
      <c r="A1396" s="39"/>
      <c r="B1396" s="44"/>
      <c r="C1396" s="39"/>
      <c r="D1396" s="39"/>
      <c r="E1396" s="39"/>
      <c r="F1396" s="45"/>
      <c r="G1396" s="40"/>
      <c r="H1396" s="39"/>
      <c r="I1396" s="39" t="str">
        <f aca="false">IF(ISBLANK(H1396),"", IF($H$2:$H2895 = "Gohar Rehan","Overnight",IF($H$2:$H2895 = "Taufeeq Akhtar ","Overnight",IF($H$2:$H2895 = "Zeeshan Ali Malik","Audit",IF($H$2:$H2895 = "Ali Raza ","Receiving",IF($H$2:$H2895 = "Ali Ahmad","Full-In"))))))</f>
        <v/>
      </c>
      <c r="J1396" s="29"/>
      <c r="K1396" s="40"/>
      <c r="L1396" s="40"/>
      <c r="M1396" s="41"/>
      <c r="N1396" s="39" t="s">
        <v>2335</v>
      </c>
      <c r="O1396" s="46" t="b">
        <f aca="false">FALSE()</f>
        <v>0</v>
      </c>
      <c r="P1396" s="20"/>
      <c r="Q1396" s="45" t="n">
        <v>0</v>
      </c>
      <c r="R1396" s="20"/>
      <c r="S1396" s="20"/>
    </row>
    <row r="1397" customFormat="false" ht="15.75" hidden="false" customHeight="false" outlineLevel="0" collapsed="false">
      <c r="A1397" s="39"/>
      <c r="B1397" s="44"/>
      <c r="C1397" s="39"/>
      <c r="D1397" s="39"/>
      <c r="E1397" s="39"/>
      <c r="F1397" s="45"/>
      <c r="G1397" s="40"/>
      <c r="H1397" s="39"/>
      <c r="I1397" s="39" t="str">
        <f aca="false">IF(ISBLANK(H1397),"", IF($H$2:$H2896 = "Gohar Rehan","Overnight",IF($H$2:$H2896 = "Taufeeq Akhtar ","Overnight",IF($H$2:$H2896 = "Zeeshan Ali Malik","Audit",IF($H$2:$H2896 = "Ali Raza ","Receiving",IF($H$2:$H2896 = "Ali Ahmad","Full-In"))))))</f>
        <v/>
      </c>
      <c r="J1397" s="29"/>
      <c r="K1397" s="40"/>
      <c r="L1397" s="40"/>
      <c r="M1397" s="41"/>
      <c r="N1397" s="39" t="s">
        <v>2335</v>
      </c>
      <c r="O1397" s="46" t="b">
        <f aca="false">FALSE()</f>
        <v>0</v>
      </c>
      <c r="P1397" s="20"/>
      <c r="Q1397" s="45" t="n">
        <v>0</v>
      </c>
      <c r="R1397" s="20"/>
      <c r="S1397" s="20"/>
    </row>
    <row r="1398" customFormat="false" ht="15.75" hidden="false" customHeight="false" outlineLevel="0" collapsed="false">
      <c r="A1398" s="39"/>
      <c r="B1398" s="44"/>
      <c r="C1398" s="39"/>
      <c r="D1398" s="39"/>
      <c r="E1398" s="39"/>
      <c r="F1398" s="45"/>
      <c r="G1398" s="40"/>
      <c r="H1398" s="39"/>
      <c r="I1398" s="39" t="str">
        <f aca="false">IF(ISBLANK(H1398),"", IF($H$2:$H2897 = "Gohar Rehan","Overnight",IF($H$2:$H2897 = "Taufeeq Akhtar ","Overnight",IF($H$2:$H2897 = "Zeeshan Ali Malik","Audit",IF($H$2:$H2897 = "Ali Raza ","Receiving",IF($H$2:$H2897 = "Ali Ahmad","Full-In"))))))</f>
        <v/>
      </c>
      <c r="J1398" s="29"/>
      <c r="K1398" s="40"/>
      <c r="L1398" s="40"/>
      <c r="M1398" s="41"/>
      <c r="N1398" s="39" t="s">
        <v>2335</v>
      </c>
      <c r="O1398" s="46" t="b">
        <f aca="false">FALSE()</f>
        <v>0</v>
      </c>
      <c r="P1398" s="20"/>
      <c r="Q1398" s="45" t="n">
        <v>0</v>
      </c>
      <c r="R1398" s="20"/>
      <c r="S1398" s="20"/>
    </row>
    <row r="1399" customFormat="false" ht="15.75" hidden="false" customHeight="false" outlineLevel="0" collapsed="false">
      <c r="A1399" s="39"/>
      <c r="B1399" s="44"/>
      <c r="C1399" s="39"/>
      <c r="D1399" s="39"/>
      <c r="E1399" s="39"/>
      <c r="F1399" s="45"/>
      <c r="G1399" s="40"/>
      <c r="H1399" s="39"/>
      <c r="I1399" s="39" t="str">
        <f aca="false">IF(ISBLANK(H1399),"", IF($H$2:$H2898 = "Gohar Rehan","Overnight",IF($H$2:$H2898 = "Taufeeq Akhtar ","Overnight",IF($H$2:$H2898 = "Zeeshan Ali Malik","Audit",IF($H$2:$H2898 = "Ali Raza ","Receiving",IF($H$2:$H2898 = "Ali Ahmad","Full-In"))))))</f>
        <v/>
      </c>
      <c r="J1399" s="29"/>
      <c r="K1399" s="40"/>
      <c r="L1399" s="40"/>
      <c r="M1399" s="41"/>
      <c r="N1399" s="39" t="s">
        <v>2335</v>
      </c>
      <c r="O1399" s="46" t="b">
        <f aca="false">FALSE()</f>
        <v>0</v>
      </c>
      <c r="P1399" s="20"/>
      <c r="Q1399" s="45" t="n">
        <v>0</v>
      </c>
      <c r="R1399" s="20"/>
      <c r="S1399" s="20"/>
    </row>
    <row r="1400" customFormat="false" ht="15.75" hidden="false" customHeight="false" outlineLevel="0" collapsed="false">
      <c r="A1400" s="39"/>
      <c r="B1400" s="44"/>
      <c r="C1400" s="39"/>
      <c r="D1400" s="39"/>
      <c r="E1400" s="39"/>
      <c r="F1400" s="45"/>
      <c r="G1400" s="40"/>
      <c r="H1400" s="39"/>
      <c r="I1400" s="39" t="str">
        <f aca="false">IF(ISBLANK(H1400),"", IF($H$2:$H2899 = "Gohar Rehan","Overnight",IF($H$2:$H2899 = "Taufeeq Akhtar ","Overnight",IF($H$2:$H2899 = "Zeeshan Ali Malik","Audit",IF($H$2:$H2899 = "Ali Raza ","Receiving",IF($H$2:$H2899 = "Ali Ahmad","Full-In"))))))</f>
        <v/>
      </c>
      <c r="J1400" s="29"/>
      <c r="K1400" s="40"/>
      <c r="L1400" s="40"/>
      <c r="M1400" s="41"/>
      <c r="N1400" s="39" t="s">
        <v>2335</v>
      </c>
      <c r="O1400" s="46" t="b">
        <f aca="false">FALSE()</f>
        <v>0</v>
      </c>
      <c r="P1400" s="20"/>
      <c r="Q1400" s="45" t="n">
        <v>0</v>
      </c>
      <c r="R1400" s="20"/>
      <c r="S1400" s="20"/>
    </row>
    <row r="1401" customFormat="false" ht="15.75" hidden="false" customHeight="false" outlineLevel="0" collapsed="false">
      <c r="A1401" s="39"/>
      <c r="B1401" s="44"/>
      <c r="C1401" s="39"/>
      <c r="D1401" s="39"/>
      <c r="E1401" s="39"/>
      <c r="F1401" s="45"/>
      <c r="G1401" s="40"/>
      <c r="H1401" s="39"/>
      <c r="I1401" s="39" t="str">
        <f aca="false">IF(ISBLANK(H1401),"", IF($H$2:$H2900 = "Gohar Rehan","Overnight",IF($H$2:$H2900 = "Taufeeq Akhtar ","Overnight",IF($H$2:$H2900 = "Zeeshan Ali Malik","Audit",IF($H$2:$H2900 = "Ali Raza ","Receiving",IF($H$2:$H2900 = "Ali Ahmad","Full-In"))))))</f>
        <v/>
      </c>
      <c r="J1401" s="29"/>
      <c r="K1401" s="40"/>
      <c r="L1401" s="40"/>
      <c r="M1401" s="41"/>
      <c r="N1401" s="39" t="s">
        <v>2335</v>
      </c>
      <c r="O1401" s="46" t="b">
        <f aca="false">FALSE()</f>
        <v>0</v>
      </c>
      <c r="P1401" s="20"/>
      <c r="Q1401" s="45" t="n">
        <v>0</v>
      </c>
      <c r="R1401" s="20"/>
      <c r="S1401" s="20"/>
    </row>
    <row r="1402" customFormat="false" ht="15.75" hidden="false" customHeight="false" outlineLevel="0" collapsed="false">
      <c r="A1402" s="39"/>
      <c r="B1402" s="44"/>
      <c r="C1402" s="39"/>
      <c r="D1402" s="39"/>
      <c r="E1402" s="39"/>
      <c r="F1402" s="45"/>
      <c r="G1402" s="40"/>
      <c r="H1402" s="39"/>
      <c r="I1402" s="39" t="str">
        <f aca="false">IF(ISBLANK(H1402),"", IF($H$2:$H2901 = "Gohar Rehan","Overnight",IF($H$2:$H2901 = "Taufeeq Akhtar ","Overnight",IF($H$2:$H2901 = "Zeeshan Ali Malik","Audit",IF($H$2:$H2901 = "Ali Raza ","Receiving",IF($H$2:$H2901 = "Ali Ahmad","Full-In"))))))</f>
        <v/>
      </c>
      <c r="J1402" s="29"/>
      <c r="K1402" s="40"/>
      <c r="L1402" s="40"/>
      <c r="M1402" s="41"/>
      <c r="N1402" s="39" t="s">
        <v>2335</v>
      </c>
      <c r="O1402" s="46" t="b">
        <f aca="false">FALSE()</f>
        <v>0</v>
      </c>
      <c r="P1402" s="20"/>
      <c r="Q1402" s="45" t="n">
        <v>0</v>
      </c>
      <c r="R1402" s="20"/>
      <c r="S1402" s="20"/>
    </row>
    <row r="1403" customFormat="false" ht="15.75" hidden="false" customHeight="false" outlineLevel="0" collapsed="false">
      <c r="A1403" s="39"/>
      <c r="B1403" s="44"/>
      <c r="C1403" s="39"/>
      <c r="D1403" s="39"/>
      <c r="E1403" s="39"/>
      <c r="F1403" s="45"/>
      <c r="G1403" s="40"/>
      <c r="H1403" s="39"/>
      <c r="I1403" s="39" t="str">
        <f aca="false">IF(ISBLANK(H1403),"", IF($H$2:$H2902 = "Gohar Rehan","Overnight",IF($H$2:$H2902 = "Taufeeq Akhtar ","Overnight",IF($H$2:$H2902 = "Zeeshan Ali Malik","Audit",IF($H$2:$H2902 = "Ali Raza ","Receiving",IF($H$2:$H2902 = "Ali Ahmad","Full-In"))))))</f>
        <v/>
      </c>
      <c r="J1403" s="29"/>
      <c r="K1403" s="40"/>
      <c r="L1403" s="40"/>
      <c r="M1403" s="41"/>
      <c r="N1403" s="39" t="s">
        <v>2335</v>
      </c>
      <c r="O1403" s="46" t="b">
        <f aca="false">FALSE()</f>
        <v>0</v>
      </c>
      <c r="P1403" s="20"/>
      <c r="Q1403" s="45" t="n">
        <v>0</v>
      </c>
      <c r="R1403" s="20"/>
      <c r="S1403" s="20"/>
    </row>
    <row r="1404" customFormat="false" ht="15.75" hidden="false" customHeight="false" outlineLevel="0" collapsed="false">
      <c r="A1404" s="39"/>
      <c r="B1404" s="44"/>
      <c r="C1404" s="39"/>
      <c r="D1404" s="39"/>
      <c r="E1404" s="39"/>
      <c r="F1404" s="45"/>
      <c r="G1404" s="40"/>
      <c r="H1404" s="39"/>
      <c r="I1404" s="39" t="str">
        <f aca="false">IF(ISBLANK(H1404),"", IF($H$2:$H2903 = "Gohar Rehan","Overnight",IF($H$2:$H2903 = "Taufeeq Akhtar ","Overnight",IF($H$2:$H2903 = "Zeeshan Ali Malik","Audit",IF($H$2:$H2903 = "Ali Raza ","Receiving",IF($H$2:$H2903 = "Ali Ahmad","Full-In"))))))</f>
        <v/>
      </c>
      <c r="J1404" s="29"/>
      <c r="K1404" s="40"/>
      <c r="L1404" s="40"/>
      <c r="M1404" s="41"/>
      <c r="N1404" s="39" t="s">
        <v>2335</v>
      </c>
      <c r="O1404" s="46" t="b">
        <f aca="false">FALSE()</f>
        <v>0</v>
      </c>
      <c r="P1404" s="20"/>
      <c r="Q1404" s="45" t="n">
        <v>0</v>
      </c>
      <c r="R1404" s="20"/>
      <c r="S1404" s="20"/>
    </row>
    <row r="1405" customFormat="false" ht="15.75" hidden="false" customHeight="false" outlineLevel="0" collapsed="false">
      <c r="A1405" s="39"/>
      <c r="B1405" s="44"/>
      <c r="C1405" s="39"/>
      <c r="D1405" s="39"/>
      <c r="E1405" s="39"/>
      <c r="F1405" s="45"/>
      <c r="G1405" s="40"/>
      <c r="H1405" s="39"/>
      <c r="I1405" s="39" t="str">
        <f aca="false">IF(ISBLANK(H1405),"", IF($H$2:$H2904 = "Gohar Rehan","Overnight",IF($H$2:$H2904 = "Taufeeq Akhtar ","Overnight",IF($H$2:$H2904 = "Zeeshan Ali Malik","Audit",IF($H$2:$H2904 = "Ali Raza ","Receiving",IF($H$2:$H2904 = "Ali Ahmad","Full-In"))))))</f>
        <v/>
      </c>
      <c r="J1405" s="29"/>
      <c r="K1405" s="40"/>
      <c r="L1405" s="40"/>
      <c r="M1405" s="41"/>
      <c r="N1405" s="39" t="s">
        <v>2335</v>
      </c>
      <c r="O1405" s="46" t="b">
        <f aca="false">FALSE()</f>
        <v>0</v>
      </c>
      <c r="P1405" s="20"/>
      <c r="Q1405" s="45" t="n">
        <v>0</v>
      </c>
      <c r="R1405" s="20"/>
      <c r="S1405" s="20"/>
    </row>
    <row r="1406" customFormat="false" ht="15.75" hidden="false" customHeight="false" outlineLevel="0" collapsed="false">
      <c r="A1406" s="39"/>
      <c r="B1406" s="44"/>
      <c r="C1406" s="39"/>
      <c r="D1406" s="39"/>
      <c r="E1406" s="39"/>
      <c r="F1406" s="45"/>
      <c r="G1406" s="40"/>
      <c r="H1406" s="39"/>
      <c r="I1406" s="39" t="str">
        <f aca="false">IF(ISBLANK(H1406),"", IF($H$2:$H2905 = "Gohar Rehan","Overnight",IF($H$2:$H2905 = "Taufeeq Akhtar ","Overnight",IF($H$2:$H2905 = "Zeeshan Ali Malik","Audit",IF($H$2:$H2905 = "Ali Raza ","Receiving",IF($H$2:$H2905 = "Ali Ahmad","Full-In"))))))</f>
        <v/>
      </c>
      <c r="J1406" s="29"/>
      <c r="K1406" s="40"/>
      <c r="L1406" s="40"/>
      <c r="M1406" s="41"/>
      <c r="N1406" s="39" t="s">
        <v>2335</v>
      </c>
      <c r="O1406" s="46" t="b">
        <f aca="false">FALSE()</f>
        <v>0</v>
      </c>
      <c r="P1406" s="20"/>
      <c r="Q1406" s="45" t="n">
        <v>0</v>
      </c>
      <c r="R1406" s="20"/>
      <c r="S1406" s="20"/>
    </row>
    <row r="1407" customFormat="false" ht="15.75" hidden="false" customHeight="false" outlineLevel="0" collapsed="false">
      <c r="A1407" s="39"/>
      <c r="B1407" s="44"/>
      <c r="C1407" s="39"/>
      <c r="D1407" s="39"/>
      <c r="E1407" s="39"/>
      <c r="F1407" s="45"/>
      <c r="G1407" s="40"/>
      <c r="H1407" s="39"/>
      <c r="I1407" s="39" t="str">
        <f aca="false">IF(ISBLANK(H1407),"", IF($H$2:$H2906 = "Gohar Rehan","Overnight",IF($H$2:$H2906 = "Taufeeq Akhtar ","Overnight",IF($H$2:$H2906 = "Zeeshan Ali Malik","Audit",IF($H$2:$H2906 = "Ali Raza ","Receiving",IF($H$2:$H2906 = "Ali Ahmad","Full-In"))))))</f>
        <v/>
      </c>
      <c r="J1407" s="29"/>
      <c r="K1407" s="40"/>
      <c r="L1407" s="40"/>
      <c r="M1407" s="41"/>
      <c r="N1407" s="39" t="s">
        <v>2335</v>
      </c>
      <c r="O1407" s="46" t="b">
        <f aca="false">FALSE()</f>
        <v>0</v>
      </c>
      <c r="P1407" s="20"/>
      <c r="Q1407" s="45" t="n">
        <v>0</v>
      </c>
      <c r="R1407" s="20"/>
      <c r="S1407" s="20"/>
    </row>
    <row r="1408" customFormat="false" ht="15.75" hidden="false" customHeight="false" outlineLevel="0" collapsed="false">
      <c r="A1408" s="39"/>
      <c r="B1408" s="44"/>
      <c r="C1408" s="39"/>
      <c r="D1408" s="39"/>
      <c r="E1408" s="39"/>
      <c r="F1408" s="45"/>
      <c r="G1408" s="40"/>
      <c r="H1408" s="39"/>
      <c r="I1408" s="39" t="str">
        <f aca="false">IF(ISBLANK(H1408),"", IF($H$2:$H2907 = "Gohar Rehan","Overnight",IF($H$2:$H2907 = "Taufeeq Akhtar ","Overnight",IF($H$2:$H2907 = "Zeeshan Ali Malik","Audit",IF($H$2:$H2907 = "Ali Raza ","Receiving",IF($H$2:$H2907 = "Ali Ahmad","Full-In"))))))</f>
        <v/>
      </c>
      <c r="J1408" s="29"/>
      <c r="K1408" s="40"/>
      <c r="L1408" s="40"/>
      <c r="M1408" s="41"/>
      <c r="N1408" s="39" t="s">
        <v>2335</v>
      </c>
      <c r="O1408" s="46" t="b">
        <f aca="false">FALSE()</f>
        <v>0</v>
      </c>
      <c r="P1408" s="20"/>
      <c r="Q1408" s="45" t="n">
        <v>0</v>
      </c>
      <c r="R1408" s="20"/>
      <c r="S1408" s="20"/>
    </row>
    <row r="1409" customFormat="false" ht="15.75" hidden="false" customHeight="false" outlineLevel="0" collapsed="false">
      <c r="A1409" s="39"/>
      <c r="B1409" s="44"/>
      <c r="C1409" s="39"/>
      <c r="D1409" s="39"/>
      <c r="E1409" s="39"/>
      <c r="F1409" s="45"/>
      <c r="G1409" s="40"/>
      <c r="H1409" s="39"/>
      <c r="I1409" s="39" t="str">
        <f aca="false">IF(ISBLANK(H1409),"", IF($H$2:$H2908 = "Gohar Rehan","Overnight",IF($H$2:$H2908 = "Taufeeq Akhtar ","Overnight",IF($H$2:$H2908 = "Zeeshan Ali Malik","Audit",IF($H$2:$H2908 = "Ali Raza ","Receiving",IF($H$2:$H2908 = "Ali Ahmad","Full-In"))))))</f>
        <v/>
      </c>
      <c r="J1409" s="29"/>
      <c r="K1409" s="40"/>
      <c r="L1409" s="40"/>
      <c r="M1409" s="41"/>
      <c r="N1409" s="39" t="s">
        <v>2335</v>
      </c>
      <c r="O1409" s="46" t="b">
        <f aca="false">FALSE()</f>
        <v>0</v>
      </c>
      <c r="P1409" s="20"/>
      <c r="Q1409" s="45" t="n">
        <v>0</v>
      </c>
      <c r="R1409" s="20"/>
      <c r="S1409" s="20"/>
    </row>
    <row r="1410" customFormat="false" ht="15.75" hidden="false" customHeight="false" outlineLevel="0" collapsed="false">
      <c r="A1410" s="39"/>
      <c r="B1410" s="44"/>
      <c r="C1410" s="39"/>
      <c r="D1410" s="39"/>
      <c r="E1410" s="39"/>
      <c r="F1410" s="45"/>
      <c r="G1410" s="40"/>
      <c r="H1410" s="39"/>
      <c r="I1410" s="39" t="str">
        <f aca="false">IF(ISBLANK(H1410),"", IF($H$2:$H2909 = "Gohar Rehan","Overnight",IF($H$2:$H2909 = "Taufeeq Akhtar ","Overnight",IF($H$2:$H2909 = "Zeeshan Ali Malik","Audit",IF($H$2:$H2909 = "Ali Raza ","Receiving",IF($H$2:$H2909 = "Ali Ahmad","Full-In"))))))</f>
        <v/>
      </c>
      <c r="J1410" s="29"/>
      <c r="K1410" s="40"/>
      <c r="L1410" s="40"/>
      <c r="M1410" s="41"/>
      <c r="N1410" s="39" t="s">
        <v>2335</v>
      </c>
      <c r="O1410" s="46" t="b">
        <f aca="false">FALSE()</f>
        <v>0</v>
      </c>
      <c r="P1410" s="20"/>
      <c r="Q1410" s="45" t="n">
        <v>0</v>
      </c>
      <c r="R1410" s="20"/>
      <c r="S1410" s="20"/>
    </row>
    <row r="1411" customFormat="false" ht="15.75" hidden="false" customHeight="false" outlineLevel="0" collapsed="false">
      <c r="A1411" s="39"/>
      <c r="B1411" s="44"/>
      <c r="C1411" s="39"/>
      <c r="D1411" s="39"/>
      <c r="E1411" s="39"/>
      <c r="F1411" s="45"/>
      <c r="G1411" s="40"/>
      <c r="H1411" s="39"/>
      <c r="I1411" s="39" t="str">
        <f aca="false">IF(ISBLANK(H1411),"", IF($H$2:$H2910 = "Gohar Rehan","Overnight",IF($H$2:$H2910 = "Taufeeq Akhtar ","Overnight",IF($H$2:$H2910 = "Zeeshan Ali Malik","Audit",IF($H$2:$H2910 = "Ali Raza ","Receiving",IF($H$2:$H2910 = "Ali Ahmad","Full-In"))))))</f>
        <v/>
      </c>
      <c r="J1411" s="29"/>
      <c r="K1411" s="40"/>
      <c r="L1411" s="40"/>
      <c r="M1411" s="41"/>
      <c r="N1411" s="39" t="s">
        <v>2335</v>
      </c>
      <c r="O1411" s="46" t="b">
        <f aca="false">FALSE()</f>
        <v>0</v>
      </c>
      <c r="P1411" s="20"/>
      <c r="Q1411" s="45" t="n">
        <v>0</v>
      </c>
      <c r="R1411" s="20"/>
      <c r="S1411" s="20"/>
    </row>
    <row r="1412" customFormat="false" ht="15.75" hidden="false" customHeight="false" outlineLevel="0" collapsed="false">
      <c r="A1412" s="39"/>
      <c r="B1412" s="44"/>
      <c r="C1412" s="39"/>
      <c r="D1412" s="39"/>
      <c r="E1412" s="39"/>
      <c r="F1412" s="45"/>
      <c r="G1412" s="40"/>
      <c r="H1412" s="39"/>
      <c r="I1412" s="39" t="str">
        <f aca="false">IF(ISBLANK(H1412),"", IF($H$2:$H2911 = "Gohar Rehan","Overnight",IF($H$2:$H2911 = "Taufeeq Akhtar ","Overnight",IF($H$2:$H2911 = "Zeeshan Ali Malik","Audit",IF($H$2:$H2911 = "Ali Raza ","Receiving",IF($H$2:$H2911 = "Ali Ahmad","Full-In"))))))</f>
        <v/>
      </c>
      <c r="J1412" s="29"/>
      <c r="K1412" s="40"/>
      <c r="L1412" s="40"/>
      <c r="M1412" s="41"/>
      <c r="N1412" s="39" t="s">
        <v>2335</v>
      </c>
      <c r="O1412" s="46" t="b">
        <f aca="false">FALSE()</f>
        <v>0</v>
      </c>
      <c r="P1412" s="20"/>
      <c r="Q1412" s="45" t="n">
        <v>0</v>
      </c>
      <c r="R1412" s="20"/>
      <c r="S1412" s="20"/>
    </row>
    <row r="1413" customFormat="false" ht="15.75" hidden="false" customHeight="false" outlineLevel="0" collapsed="false">
      <c r="A1413" s="39"/>
      <c r="B1413" s="44"/>
      <c r="C1413" s="39"/>
      <c r="D1413" s="39"/>
      <c r="E1413" s="39"/>
      <c r="F1413" s="45"/>
      <c r="G1413" s="40"/>
      <c r="H1413" s="39"/>
      <c r="I1413" s="39" t="str">
        <f aca="false">IF(ISBLANK(H1413),"", IF($H$2:$H2912 = "Gohar Rehan","Overnight",IF($H$2:$H2912 = "Taufeeq Akhtar ","Overnight",IF($H$2:$H2912 = "Zeeshan Ali Malik","Audit",IF($H$2:$H2912 = "Ali Raza ","Receiving",IF($H$2:$H2912 = "Ali Ahmad","Full-In"))))))</f>
        <v/>
      </c>
      <c r="J1413" s="29"/>
      <c r="K1413" s="40"/>
      <c r="L1413" s="40"/>
      <c r="M1413" s="41"/>
      <c r="N1413" s="39" t="s">
        <v>2335</v>
      </c>
      <c r="O1413" s="46" t="b">
        <f aca="false">FALSE()</f>
        <v>0</v>
      </c>
      <c r="P1413" s="20"/>
      <c r="Q1413" s="45" t="n">
        <v>0</v>
      </c>
      <c r="R1413" s="20"/>
      <c r="S1413" s="20"/>
    </row>
    <row r="1414" customFormat="false" ht="15.75" hidden="false" customHeight="false" outlineLevel="0" collapsed="false">
      <c r="A1414" s="39"/>
      <c r="B1414" s="44"/>
      <c r="C1414" s="39"/>
      <c r="D1414" s="39"/>
      <c r="E1414" s="39"/>
      <c r="F1414" s="45"/>
      <c r="G1414" s="40"/>
      <c r="H1414" s="39"/>
      <c r="I1414" s="39" t="str">
        <f aca="false">IF(ISBLANK(H1414),"", IF($H$2:$H2913 = "Gohar Rehan","Overnight",IF($H$2:$H2913 = "Taufeeq Akhtar ","Overnight",IF($H$2:$H2913 = "Zeeshan Ali Malik","Audit",IF($H$2:$H2913 = "Ali Raza ","Receiving",IF($H$2:$H2913 = "Ali Ahmad","Full-In"))))))</f>
        <v/>
      </c>
      <c r="J1414" s="29"/>
      <c r="K1414" s="40"/>
      <c r="L1414" s="40"/>
      <c r="M1414" s="41"/>
      <c r="N1414" s="39" t="s">
        <v>2335</v>
      </c>
      <c r="O1414" s="46" t="b">
        <f aca="false">FALSE()</f>
        <v>0</v>
      </c>
      <c r="P1414" s="20"/>
      <c r="Q1414" s="45" t="n">
        <v>0</v>
      </c>
      <c r="R1414" s="20"/>
      <c r="S1414" s="20"/>
    </row>
    <row r="1415" customFormat="false" ht="15.75" hidden="false" customHeight="false" outlineLevel="0" collapsed="false">
      <c r="A1415" s="39"/>
      <c r="B1415" s="44"/>
      <c r="C1415" s="39"/>
      <c r="D1415" s="39"/>
      <c r="E1415" s="39"/>
      <c r="F1415" s="45"/>
      <c r="G1415" s="40"/>
      <c r="H1415" s="39"/>
      <c r="I1415" s="39" t="str">
        <f aca="false">IF(ISBLANK(H1415),"", IF($H$2:$H2914 = "Gohar Rehan","Overnight",IF($H$2:$H2914 = "Taufeeq Akhtar ","Overnight",IF($H$2:$H2914 = "Zeeshan Ali Malik","Audit",IF($H$2:$H2914 = "Ali Raza ","Receiving",IF($H$2:$H2914 = "Ali Ahmad","Full-In"))))))</f>
        <v/>
      </c>
      <c r="J1415" s="29"/>
      <c r="K1415" s="40"/>
      <c r="L1415" s="40"/>
      <c r="M1415" s="41"/>
      <c r="N1415" s="39" t="s">
        <v>2335</v>
      </c>
      <c r="O1415" s="46" t="b">
        <f aca="false">FALSE()</f>
        <v>0</v>
      </c>
      <c r="P1415" s="20"/>
      <c r="Q1415" s="45" t="n">
        <v>0</v>
      </c>
      <c r="R1415" s="20"/>
      <c r="S1415" s="20"/>
    </row>
    <row r="1416" customFormat="false" ht="15.75" hidden="false" customHeight="false" outlineLevel="0" collapsed="false">
      <c r="A1416" s="39"/>
      <c r="B1416" s="44"/>
      <c r="C1416" s="39"/>
      <c r="D1416" s="39"/>
      <c r="E1416" s="39"/>
      <c r="F1416" s="45"/>
      <c r="G1416" s="40"/>
      <c r="H1416" s="39"/>
      <c r="I1416" s="39" t="str">
        <f aca="false">IF(ISBLANK(H1416),"", IF($H$2:$H2915 = "Gohar Rehan","Overnight",IF($H$2:$H2915 = "Taufeeq Akhtar ","Overnight",IF($H$2:$H2915 = "Zeeshan Ali Malik","Audit",IF($H$2:$H2915 = "Ali Raza ","Receiving",IF($H$2:$H2915 = "Ali Ahmad","Full-In"))))))</f>
        <v/>
      </c>
      <c r="J1416" s="29"/>
      <c r="K1416" s="40"/>
      <c r="L1416" s="40"/>
      <c r="M1416" s="41"/>
      <c r="N1416" s="39" t="s">
        <v>2335</v>
      </c>
      <c r="O1416" s="46" t="b">
        <f aca="false">FALSE()</f>
        <v>0</v>
      </c>
      <c r="P1416" s="20"/>
      <c r="Q1416" s="45" t="n">
        <v>0</v>
      </c>
      <c r="R1416" s="20"/>
      <c r="S1416" s="20"/>
    </row>
    <row r="1417" customFormat="false" ht="15.75" hidden="false" customHeight="false" outlineLevel="0" collapsed="false">
      <c r="A1417" s="39"/>
      <c r="B1417" s="44"/>
      <c r="C1417" s="39"/>
      <c r="D1417" s="39"/>
      <c r="E1417" s="39"/>
      <c r="F1417" s="45"/>
      <c r="G1417" s="40"/>
      <c r="H1417" s="39"/>
      <c r="I1417" s="39" t="str">
        <f aca="false">IF(ISBLANK(H1417),"", IF($H$2:$H2916 = "Gohar Rehan","Overnight",IF($H$2:$H2916 = "Taufeeq Akhtar ","Overnight",IF($H$2:$H2916 = "Zeeshan Ali Malik","Audit",IF($H$2:$H2916 = "Ali Raza ","Receiving",IF($H$2:$H2916 = "Ali Ahmad","Full-In"))))))</f>
        <v/>
      </c>
      <c r="J1417" s="29"/>
      <c r="K1417" s="40"/>
      <c r="L1417" s="40"/>
      <c r="M1417" s="41"/>
      <c r="N1417" s="39" t="s">
        <v>2335</v>
      </c>
      <c r="O1417" s="46" t="b">
        <f aca="false">FALSE()</f>
        <v>0</v>
      </c>
      <c r="P1417" s="20"/>
      <c r="Q1417" s="45" t="n">
        <v>0</v>
      </c>
      <c r="R1417" s="20"/>
      <c r="S1417" s="20"/>
    </row>
    <row r="1418" customFormat="false" ht="15.75" hidden="false" customHeight="false" outlineLevel="0" collapsed="false">
      <c r="A1418" s="39"/>
      <c r="B1418" s="44"/>
      <c r="C1418" s="39"/>
      <c r="D1418" s="39"/>
      <c r="E1418" s="39"/>
      <c r="F1418" s="45"/>
      <c r="G1418" s="40"/>
      <c r="H1418" s="39"/>
      <c r="I1418" s="39" t="str">
        <f aca="false">IF(ISBLANK(H1418),"", IF($H$2:$H2917 = "Gohar Rehan","Overnight",IF($H$2:$H2917 = "Taufeeq Akhtar ","Overnight",IF($H$2:$H2917 = "Zeeshan Ali Malik","Audit",IF($H$2:$H2917 = "Ali Raza ","Receiving",IF($H$2:$H2917 = "Ali Ahmad","Full-In"))))))</f>
        <v/>
      </c>
      <c r="J1418" s="29"/>
      <c r="K1418" s="40"/>
      <c r="L1418" s="40"/>
      <c r="M1418" s="41"/>
      <c r="N1418" s="39" t="s">
        <v>2335</v>
      </c>
      <c r="O1418" s="46" t="b">
        <f aca="false">FALSE()</f>
        <v>0</v>
      </c>
      <c r="P1418" s="20"/>
      <c r="Q1418" s="45" t="n">
        <v>0</v>
      </c>
      <c r="R1418" s="20"/>
      <c r="S1418" s="20"/>
    </row>
    <row r="1419" customFormat="false" ht="15.75" hidden="false" customHeight="false" outlineLevel="0" collapsed="false">
      <c r="A1419" s="39"/>
      <c r="B1419" s="44"/>
      <c r="C1419" s="39"/>
      <c r="D1419" s="39"/>
      <c r="E1419" s="39"/>
      <c r="F1419" s="45"/>
      <c r="G1419" s="40"/>
      <c r="H1419" s="39"/>
      <c r="I1419" s="39" t="str">
        <f aca="false">IF(ISBLANK(H1419),"", IF($H$2:$H2918 = "Gohar Rehan","Overnight",IF($H$2:$H2918 = "Taufeeq Akhtar ","Overnight",IF($H$2:$H2918 = "Zeeshan Ali Malik","Audit",IF($H$2:$H2918 = "Ali Raza ","Receiving",IF($H$2:$H2918 = "Ali Ahmad","Full-In"))))))</f>
        <v/>
      </c>
      <c r="J1419" s="29"/>
      <c r="K1419" s="40"/>
      <c r="L1419" s="40"/>
      <c r="M1419" s="41"/>
      <c r="N1419" s="39" t="s">
        <v>2335</v>
      </c>
      <c r="O1419" s="46" t="b">
        <f aca="false">FALSE()</f>
        <v>0</v>
      </c>
      <c r="P1419" s="20"/>
      <c r="Q1419" s="45" t="n">
        <v>0</v>
      </c>
      <c r="R1419" s="20"/>
      <c r="S1419" s="20"/>
    </row>
    <row r="1420" customFormat="false" ht="15.75" hidden="false" customHeight="false" outlineLevel="0" collapsed="false">
      <c r="A1420" s="39"/>
      <c r="B1420" s="44"/>
      <c r="C1420" s="39"/>
      <c r="D1420" s="39"/>
      <c r="E1420" s="39"/>
      <c r="F1420" s="45"/>
      <c r="G1420" s="40"/>
      <c r="H1420" s="39"/>
      <c r="I1420" s="39" t="str">
        <f aca="false">IF(ISBLANK(H1420),"", IF($H$2:$H2919 = "Gohar Rehan","Overnight",IF($H$2:$H2919 = "Taufeeq Akhtar ","Overnight",IF($H$2:$H2919 = "Zeeshan Ali Malik","Audit",IF($H$2:$H2919 = "Ali Raza ","Receiving",IF($H$2:$H2919 = "Ali Ahmad","Full-In"))))))</f>
        <v/>
      </c>
      <c r="J1420" s="29"/>
      <c r="K1420" s="40"/>
      <c r="L1420" s="40"/>
      <c r="M1420" s="41"/>
      <c r="N1420" s="39" t="s">
        <v>2335</v>
      </c>
      <c r="O1420" s="46" t="b">
        <f aca="false">FALSE()</f>
        <v>0</v>
      </c>
      <c r="P1420" s="20"/>
      <c r="Q1420" s="45" t="n">
        <v>0</v>
      </c>
      <c r="R1420" s="20"/>
      <c r="S1420" s="20"/>
    </row>
    <row r="1421" customFormat="false" ht="15.75" hidden="false" customHeight="false" outlineLevel="0" collapsed="false">
      <c r="A1421" s="39"/>
      <c r="B1421" s="44"/>
      <c r="C1421" s="39"/>
      <c r="D1421" s="39"/>
      <c r="E1421" s="39"/>
      <c r="F1421" s="45"/>
      <c r="G1421" s="40"/>
      <c r="H1421" s="39"/>
      <c r="I1421" s="39" t="str">
        <f aca="false">IF(ISBLANK(H1421),"", IF($H$2:$H2920 = "Gohar Rehan","Overnight",IF($H$2:$H2920 = "Taufeeq Akhtar ","Overnight",IF($H$2:$H2920 = "Zeeshan Ali Malik","Audit",IF($H$2:$H2920 = "Ali Raza ","Receiving",IF($H$2:$H2920 = "Ali Ahmad","Full-In"))))))</f>
        <v/>
      </c>
      <c r="J1421" s="29"/>
      <c r="K1421" s="40"/>
      <c r="L1421" s="40"/>
      <c r="M1421" s="41"/>
      <c r="N1421" s="39" t="s">
        <v>2335</v>
      </c>
      <c r="O1421" s="46" t="b">
        <f aca="false">FALSE()</f>
        <v>0</v>
      </c>
      <c r="P1421" s="20"/>
      <c r="Q1421" s="45" t="n">
        <v>0</v>
      </c>
      <c r="R1421" s="20"/>
      <c r="S1421" s="20"/>
    </row>
    <row r="1422" customFormat="false" ht="15.75" hidden="false" customHeight="false" outlineLevel="0" collapsed="false">
      <c r="A1422" s="39"/>
      <c r="B1422" s="44"/>
      <c r="C1422" s="39"/>
      <c r="D1422" s="39"/>
      <c r="E1422" s="39"/>
      <c r="F1422" s="45"/>
      <c r="G1422" s="40"/>
      <c r="H1422" s="39"/>
      <c r="I1422" s="39" t="str">
        <f aca="false">IF(ISBLANK(H1422),"", IF($H$2:$H2921 = "Gohar Rehan","Overnight",IF($H$2:$H2921 = "Taufeeq Akhtar ","Overnight",IF($H$2:$H2921 = "Zeeshan Ali Malik","Audit",IF($H$2:$H2921 = "Ali Raza ","Receiving",IF($H$2:$H2921 = "Ali Ahmad","Full-In"))))))</f>
        <v/>
      </c>
      <c r="J1422" s="29"/>
      <c r="K1422" s="40"/>
      <c r="L1422" s="40"/>
      <c r="M1422" s="41"/>
      <c r="N1422" s="39" t="s">
        <v>2335</v>
      </c>
      <c r="O1422" s="46" t="b">
        <f aca="false">FALSE()</f>
        <v>0</v>
      </c>
      <c r="P1422" s="20"/>
      <c r="Q1422" s="45" t="n">
        <v>0</v>
      </c>
      <c r="R1422" s="20"/>
      <c r="S1422" s="20"/>
    </row>
    <row r="1423" customFormat="false" ht="15.75" hidden="false" customHeight="false" outlineLevel="0" collapsed="false">
      <c r="A1423" s="39"/>
      <c r="B1423" s="44"/>
      <c r="C1423" s="39"/>
      <c r="D1423" s="39"/>
      <c r="E1423" s="39"/>
      <c r="F1423" s="45"/>
      <c r="G1423" s="40"/>
      <c r="H1423" s="39"/>
      <c r="I1423" s="39" t="str">
        <f aca="false">IF(ISBLANK(H1423),"", IF($H$2:$H2922 = "Gohar Rehan","Overnight",IF($H$2:$H2922 = "Taufeeq Akhtar ","Overnight",IF($H$2:$H2922 = "Zeeshan Ali Malik","Audit",IF($H$2:$H2922 = "Ali Raza ","Receiving",IF($H$2:$H2922 = "Ali Ahmad","Full-In"))))))</f>
        <v/>
      </c>
      <c r="J1423" s="29"/>
      <c r="K1423" s="40"/>
      <c r="L1423" s="40"/>
      <c r="M1423" s="41"/>
      <c r="N1423" s="39" t="s">
        <v>2335</v>
      </c>
      <c r="O1423" s="46" t="b">
        <f aca="false">FALSE()</f>
        <v>0</v>
      </c>
      <c r="P1423" s="20"/>
      <c r="Q1423" s="45" t="n">
        <v>0</v>
      </c>
      <c r="R1423" s="20"/>
      <c r="S1423" s="20"/>
    </row>
    <row r="1424" customFormat="false" ht="15.75" hidden="false" customHeight="false" outlineLevel="0" collapsed="false">
      <c r="A1424" s="39"/>
      <c r="B1424" s="44"/>
      <c r="C1424" s="39"/>
      <c r="D1424" s="39"/>
      <c r="E1424" s="39"/>
      <c r="F1424" s="45"/>
      <c r="G1424" s="40"/>
      <c r="H1424" s="39"/>
      <c r="I1424" s="39" t="str">
        <f aca="false">IF(ISBLANK(H1424),"", IF($H$2:$H2923 = "Gohar Rehan","Overnight",IF($H$2:$H2923 = "Taufeeq Akhtar ","Overnight",IF($H$2:$H2923 = "Zeeshan Ali Malik","Audit",IF($H$2:$H2923 = "Ali Raza ","Receiving",IF($H$2:$H2923 = "Ali Ahmad","Full-In"))))))</f>
        <v/>
      </c>
      <c r="J1424" s="29"/>
      <c r="K1424" s="40"/>
      <c r="L1424" s="40"/>
      <c r="M1424" s="41"/>
      <c r="N1424" s="39" t="s">
        <v>2335</v>
      </c>
      <c r="O1424" s="46" t="b">
        <f aca="false">FALSE()</f>
        <v>0</v>
      </c>
      <c r="P1424" s="20"/>
      <c r="Q1424" s="45" t="n">
        <v>0</v>
      </c>
      <c r="R1424" s="20"/>
      <c r="S1424" s="20"/>
    </row>
    <row r="1425" customFormat="false" ht="15.75" hidden="false" customHeight="false" outlineLevel="0" collapsed="false">
      <c r="A1425" s="39"/>
      <c r="B1425" s="44"/>
      <c r="C1425" s="39"/>
      <c r="D1425" s="39"/>
      <c r="E1425" s="39"/>
      <c r="F1425" s="45"/>
      <c r="G1425" s="40"/>
      <c r="H1425" s="39"/>
      <c r="I1425" s="39" t="str">
        <f aca="false">IF(ISBLANK(H1425),"", IF($H$2:$H2924 = "Gohar Rehan","Overnight",IF($H$2:$H2924 = "Taufeeq Akhtar ","Overnight",IF($H$2:$H2924 = "Zeeshan Ali Malik","Audit",IF($H$2:$H2924 = "Ali Raza ","Receiving",IF($H$2:$H2924 = "Ali Ahmad","Full-In"))))))</f>
        <v/>
      </c>
      <c r="J1425" s="29"/>
      <c r="K1425" s="40"/>
      <c r="L1425" s="40"/>
      <c r="M1425" s="41"/>
      <c r="N1425" s="39" t="s">
        <v>2335</v>
      </c>
      <c r="O1425" s="46" t="b">
        <f aca="false">FALSE()</f>
        <v>0</v>
      </c>
      <c r="P1425" s="20"/>
      <c r="Q1425" s="45" t="n">
        <v>0</v>
      </c>
      <c r="R1425" s="20"/>
      <c r="S1425" s="20"/>
    </row>
    <row r="1426" customFormat="false" ht="15.75" hidden="false" customHeight="false" outlineLevel="0" collapsed="false">
      <c r="A1426" s="39"/>
      <c r="B1426" s="44"/>
      <c r="C1426" s="39"/>
      <c r="D1426" s="39"/>
      <c r="E1426" s="39"/>
      <c r="F1426" s="45"/>
      <c r="G1426" s="40"/>
      <c r="H1426" s="39"/>
      <c r="I1426" s="39" t="str">
        <f aca="false">IF(ISBLANK(H1426),"", IF($H$2:$H2925 = "Gohar Rehan","Overnight",IF($H$2:$H2925 = "Taufeeq Akhtar ","Overnight",IF($H$2:$H2925 = "Zeeshan Ali Malik","Audit",IF($H$2:$H2925 = "Ali Raza ","Receiving",IF($H$2:$H2925 = "Ali Ahmad","Full-In"))))))</f>
        <v/>
      </c>
      <c r="J1426" s="29"/>
      <c r="K1426" s="40"/>
      <c r="L1426" s="40"/>
      <c r="M1426" s="41"/>
      <c r="N1426" s="39" t="s">
        <v>2335</v>
      </c>
      <c r="O1426" s="46" t="b">
        <f aca="false">FALSE()</f>
        <v>0</v>
      </c>
      <c r="P1426" s="20"/>
      <c r="Q1426" s="45" t="n">
        <v>0</v>
      </c>
      <c r="R1426" s="20"/>
      <c r="S1426" s="20"/>
    </row>
    <row r="1427" customFormat="false" ht="15.75" hidden="false" customHeight="false" outlineLevel="0" collapsed="false">
      <c r="A1427" s="39"/>
      <c r="B1427" s="44"/>
      <c r="C1427" s="39"/>
      <c r="D1427" s="39"/>
      <c r="E1427" s="39"/>
      <c r="F1427" s="45"/>
      <c r="G1427" s="40"/>
      <c r="H1427" s="39"/>
      <c r="I1427" s="39" t="str">
        <f aca="false">IF(ISBLANK(H1427),"", IF($H$2:$H2926 = "Gohar Rehan","Overnight",IF($H$2:$H2926 = "Taufeeq Akhtar ","Overnight",IF($H$2:$H2926 = "Zeeshan Ali Malik","Audit",IF($H$2:$H2926 = "Ali Raza ","Receiving",IF($H$2:$H2926 = "Ali Ahmad","Full-In"))))))</f>
        <v/>
      </c>
      <c r="J1427" s="29"/>
      <c r="K1427" s="40"/>
      <c r="L1427" s="40"/>
      <c r="M1427" s="41"/>
      <c r="N1427" s="39" t="s">
        <v>2335</v>
      </c>
      <c r="O1427" s="46" t="b">
        <f aca="false">FALSE()</f>
        <v>0</v>
      </c>
      <c r="P1427" s="20"/>
      <c r="Q1427" s="45" t="n">
        <v>0</v>
      </c>
      <c r="R1427" s="20"/>
      <c r="S1427" s="20"/>
    </row>
    <row r="1428" customFormat="false" ht="15.75" hidden="false" customHeight="false" outlineLevel="0" collapsed="false">
      <c r="A1428" s="39"/>
      <c r="B1428" s="44"/>
      <c r="C1428" s="39"/>
      <c r="D1428" s="39"/>
      <c r="E1428" s="39"/>
      <c r="F1428" s="45"/>
      <c r="G1428" s="40"/>
      <c r="H1428" s="39"/>
      <c r="I1428" s="39" t="str">
        <f aca="false">IF(ISBLANK(H1428),"", IF($H$2:$H2927 = "Gohar Rehan","Overnight",IF($H$2:$H2927 = "Taufeeq Akhtar ","Overnight",IF($H$2:$H2927 = "Zeeshan Ali Malik","Audit",IF($H$2:$H2927 = "Ali Raza ","Receiving",IF($H$2:$H2927 = "Ali Ahmad","Full-In"))))))</f>
        <v/>
      </c>
      <c r="J1428" s="29"/>
      <c r="K1428" s="40"/>
      <c r="L1428" s="40"/>
      <c r="M1428" s="41"/>
      <c r="N1428" s="39" t="s">
        <v>2335</v>
      </c>
      <c r="O1428" s="46" t="b">
        <f aca="false">FALSE()</f>
        <v>0</v>
      </c>
      <c r="P1428" s="20"/>
      <c r="Q1428" s="45" t="n">
        <v>0</v>
      </c>
      <c r="R1428" s="20"/>
      <c r="S1428" s="20"/>
    </row>
    <row r="1429" customFormat="false" ht="15.75" hidden="false" customHeight="false" outlineLevel="0" collapsed="false">
      <c r="A1429" s="39"/>
      <c r="B1429" s="44"/>
      <c r="C1429" s="39"/>
      <c r="D1429" s="39"/>
      <c r="E1429" s="39"/>
      <c r="F1429" s="45"/>
      <c r="G1429" s="40"/>
      <c r="H1429" s="39"/>
      <c r="I1429" s="39" t="str">
        <f aca="false">IF(ISBLANK(H1429),"", IF($H$2:$H2928 = "Gohar Rehan","Overnight",IF($H$2:$H2928 = "Taufeeq Akhtar ","Overnight",IF($H$2:$H2928 = "Zeeshan Ali Malik","Audit",IF($H$2:$H2928 = "Ali Raza ","Receiving",IF($H$2:$H2928 = "Ali Ahmad","Full-In"))))))</f>
        <v/>
      </c>
      <c r="J1429" s="29"/>
      <c r="K1429" s="40"/>
      <c r="L1429" s="40"/>
      <c r="M1429" s="41"/>
      <c r="N1429" s="39" t="s">
        <v>2335</v>
      </c>
      <c r="O1429" s="46" t="b">
        <f aca="false">FALSE()</f>
        <v>0</v>
      </c>
      <c r="P1429" s="20"/>
      <c r="Q1429" s="45" t="n">
        <v>0</v>
      </c>
      <c r="R1429" s="20"/>
      <c r="S1429" s="20"/>
    </row>
    <row r="1430" customFormat="false" ht="15.75" hidden="false" customHeight="false" outlineLevel="0" collapsed="false">
      <c r="A1430" s="39"/>
      <c r="B1430" s="44"/>
      <c r="C1430" s="39"/>
      <c r="D1430" s="39"/>
      <c r="E1430" s="39"/>
      <c r="F1430" s="45"/>
      <c r="G1430" s="40"/>
      <c r="H1430" s="39"/>
      <c r="I1430" s="39" t="str">
        <f aca="false">IF(ISBLANK(H1430),"", IF($H$2:$H2929 = "Gohar Rehan","Overnight",IF($H$2:$H2929 = "Taufeeq Akhtar ","Overnight",IF($H$2:$H2929 = "Zeeshan Ali Malik","Audit",IF($H$2:$H2929 = "Ali Raza ","Receiving",IF($H$2:$H2929 = "Ali Ahmad","Full-In"))))))</f>
        <v/>
      </c>
      <c r="J1430" s="29"/>
      <c r="K1430" s="40"/>
      <c r="L1430" s="40"/>
      <c r="M1430" s="41"/>
      <c r="N1430" s="39" t="s">
        <v>2335</v>
      </c>
      <c r="O1430" s="46" t="b">
        <f aca="false">FALSE()</f>
        <v>0</v>
      </c>
      <c r="P1430" s="20"/>
      <c r="Q1430" s="45" t="n">
        <v>0</v>
      </c>
      <c r="R1430" s="20"/>
      <c r="S1430" s="20"/>
    </row>
    <row r="1431" customFormat="false" ht="15.75" hidden="false" customHeight="false" outlineLevel="0" collapsed="false">
      <c r="A1431" s="39"/>
      <c r="B1431" s="44"/>
      <c r="C1431" s="39"/>
      <c r="D1431" s="39"/>
      <c r="E1431" s="39"/>
      <c r="F1431" s="45"/>
      <c r="G1431" s="40"/>
      <c r="H1431" s="39"/>
      <c r="I1431" s="39" t="str">
        <f aca="false">IF(ISBLANK(H1431),"", IF($H$2:$H2930 = "Gohar Rehan","Overnight",IF($H$2:$H2930 = "Taufeeq Akhtar ","Overnight",IF($H$2:$H2930 = "Zeeshan Ali Malik","Audit",IF($H$2:$H2930 = "Ali Raza ","Receiving",IF($H$2:$H2930 = "Ali Ahmad","Full-In"))))))</f>
        <v/>
      </c>
      <c r="J1431" s="29"/>
      <c r="K1431" s="40"/>
      <c r="L1431" s="40"/>
      <c r="M1431" s="41"/>
      <c r="N1431" s="39" t="s">
        <v>2335</v>
      </c>
      <c r="O1431" s="46" t="b">
        <f aca="false">FALSE()</f>
        <v>0</v>
      </c>
      <c r="P1431" s="20"/>
      <c r="Q1431" s="45" t="n">
        <v>0</v>
      </c>
      <c r="R1431" s="20"/>
      <c r="S1431" s="20"/>
    </row>
    <row r="1432" customFormat="false" ht="15.75" hidden="false" customHeight="false" outlineLevel="0" collapsed="false">
      <c r="A1432" s="39"/>
      <c r="B1432" s="44"/>
      <c r="C1432" s="39"/>
      <c r="D1432" s="39"/>
      <c r="E1432" s="39"/>
      <c r="F1432" s="45"/>
      <c r="G1432" s="40"/>
      <c r="H1432" s="39"/>
      <c r="I1432" s="39" t="str">
        <f aca="false">IF(ISBLANK(H1432),"", IF($H$2:$H2931 = "Gohar Rehan","Overnight",IF($H$2:$H2931 = "Taufeeq Akhtar ","Overnight",IF($H$2:$H2931 = "Zeeshan Ali Malik","Audit",IF($H$2:$H2931 = "Ali Raza ","Receiving",IF($H$2:$H2931 = "Ali Ahmad","Full-In"))))))</f>
        <v/>
      </c>
      <c r="J1432" s="29"/>
      <c r="K1432" s="40"/>
      <c r="L1432" s="40"/>
      <c r="M1432" s="41"/>
      <c r="N1432" s="39" t="s">
        <v>2335</v>
      </c>
      <c r="O1432" s="46" t="b">
        <f aca="false">FALSE()</f>
        <v>0</v>
      </c>
      <c r="P1432" s="20"/>
      <c r="Q1432" s="45" t="n">
        <v>0</v>
      </c>
      <c r="R1432" s="20"/>
      <c r="S1432" s="20"/>
    </row>
    <row r="1433" customFormat="false" ht="15.75" hidden="false" customHeight="false" outlineLevel="0" collapsed="false">
      <c r="A1433" s="39"/>
      <c r="B1433" s="44"/>
      <c r="C1433" s="39"/>
      <c r="D1433" s="39"/>
      <c r="E1433" s="39"/>
      <c r="F1433" s="45"/>
      <c r="G1433" s="40"/>
      <c r="H1433" s="39"/>
      <c r="I1433" s="39" t="str">
        <f aca="false">IF(ISBLANK(H1433),"", IF($H$2:$H2932 = "Gohar Rehan","Overnight",IF($H$2:$H2932 = "Taufeeq Akhtar ","Overnight",IF($H$2:$H2932 = "Zeeshan Ali Malik","Audit",IF($H$2:$H2932 = "Ali Raza ","Receiving",IF($H$2:$H2932 = "Ali Ahmad","Full-In"))))))</f>
        <v/>
      </c>
      <c r="J1433" s="29"/>
      <c r="K1433" s="40"/>
      <c r="L1433" s="40"/>
      <c r="M1433" s="41"/>
      <c r="N1433" s="39" t="s">
        <v>2335</v>
      </c>
      <c r="O1433" s="46" t="b">
        <f aca="false">FALSE()</f>
        <v>0</v>
      </c>
      <c r="P1433" s="20"/>
      <c r="Q1433" s="45" t="n">
        <v>0</v>
      </c>
      <c r="R1433" s="20"/>
      <c r="S1433" s="20"/>
    </row>
    <row r="1434" customFormat="false" ht="15.75" hidden="false" customHeight="false" outlineLevel="0" collapsed="false">
      <c r="A1434" s="39"/>
      <c r="B1434" s="44"/>
      <c r="C1434" s="39"/>
      <c r="D1434" s="39"/>
      <c r="E1434" s="39"/>
      <c r="F1434" s="45"/>
      <c r="G1434" s="40"/>
      <c r="H1434" s="39"/>
      <c r="I1434" s="39" t="str">
        <f aca="false">IF(ISBLANK(H1434),"", IF($H$2:$H2933 = "Gohar Rehan","Overnight",IF($H$2:$H2933 = "Taufeeq Akhtar ","Overnight",IF($H$2:$H2933 = "Zeeshan Ali Malik","Audit",IF($H$2:$H2933 = "Ali Raza ","Receiving",IF($H$2:$H2933 = "Ali Ahmad","Full-In"))))))</f>
        <v/>
      </c>
      <c r="J1434" s="29"/>
      <c r="K1434" s="40"/>
      <c r="L1434" s="40"/>
      <c r="M1434" s="41"/>
      <c r="N1434" s="39" t="s">
        <v>2335</v>
      </c>
      <c r="O1434" s="46" t="b">
        <f aca="false">FALSE()</f>
        <v>0</v>
      </c>
      <c r="P1434" s="20"/>
      <c r="Q1434" s="45" t="n">
        <v>0</v>
      </c>
      <c r="R1434" s="20"/>
      <c r="S1434" s="20"/>
    </row>
    <row r="1435" customFormat="false" ht="15.75" hidden="false" customHeight="false" outlineLevel="0" collapsed="false">
      <c r="A1435" s="39"/>
      <c r="B1435" s="44"/>
      <c r="C1435" s="39"/>
      <c r="D1435" s="39"/>
      <c r="E1435" s="39"/>
      <c r="F1435" s="45"/>
      <c r="G1435" s="40"/>
      <c r="H1435" s="39"/>
      <c r="I1435" s="39" t="str">
        <f aca="false">IF(ISBLANK(H1435),"", IF($H$2:$H2934 = "Gohar Rehan","Overnight",IF($H$2:$H2934 = "Taufeeq Akhtar ","Overnight",IF($H$2:$H2934 = "Zeeshan Ali Malik","Audit",IF($H$2:$H2934 = "Ali Raza ","Receiving",IF($H$2:$H2934 = "Ali Ahmad","Full-In"))))))</f>
        <v/>
      </c>
      <c r="J1435" s="29"/>
      <c r="K1435" s="40"/>
      <c r="L1435" s="40"/>
      <c r="M1435" s="41"/>
      <c r="N1435" s="39" t="s">
        <v>2335</v>
      </c>
      <c r="O1435" s="46" t="b">
        <f aca="false">FALSE()</f>
        <v>0</v>
      </c>
      <c r="P1435" s="20"/>
      <c r="Q1435" s="45" t="n">
        <v>0</v>
      </c>
      <c r="R1435" s="20"/>
      <c r="S1435" s="20"/>
    </row>
    <row r="1436" customFormat="false" ht="15.75" hidden="false" customHeight="false" outlineLevel="0" collapsed="false">
      <c r="A1436" s="39"/>
      <c r="B1436" s="44"/>
      <c r="C1436" s="39"/>
      <c r="D1436" s="39"/>
      <c r="E1436" s="39"/>
      <c r="F1436" s="45"/>
      <c r="G1436" s="40"/>
      <c r="H1436" s="39"/>
      <c r="I1436" s="39" t="str">
        <f aca="false">IF(ISBLANK(H1436),"", IF($H$2:$H2935 = "Gohar Rehan","Overnight",IF($H$2:$H2935 = "Taufeeq Akhtar ","Overnight",IF($H$2:$H2935 = "Zeeshan Ali Malik","Audit",IF($H$2:$H2935 = "Ali Raza ","Receiving",IF($H$2:$H2935 = "Ali Ahmad","Full-In"))))))</f>
        <v/>
      </c>
      <c r="J1436" s="29"/>
      <c r="K1436" s="40"/>
      <c r="L1436" s="40"/>
      <c r="M1436" s="41"/>
      <c r="N1436" s="39" t="s">
        <v>2335</v>
      </c>
      <c r="O1436" s="46" t="b">
        <f aca="false">FALSE()</f>
        <v>0</v>
      </c>
      <c r="P1436" s="20"/>
      <c r="Q1436" s="45" t="n">
        <v>0</v>
      </c>
      <c r="R1436" s="20"/>
      <c r="S1436" s="20"/>
    </row>
    <row r="1437" customFormat="false" ht="15.75" hidden="false" customHeight="false" outlineLevel="0" collapsed="false">
      <c r="A1437" s="39"/>
      <c r="B1437" s="44"/>
      <c r="C1437" s="39"/>
      <c r="D1437" s="39"/>
      <c r="E1437" s="39"/>
      <c r="F1437" s="45"/>
      <c r="G1437" s="40"/>
      <c r="H1437" s="39"/>
      <c r="I1437" s="39" t="str">
        <f aca="false">IF(ISBLANK(H1437),"", IF($H$2:$H2936 = "Gohar Rehan","Overnight",IF($H$2:$H2936 = "Taufeeq Akhtar ","Overnight",IF($H$2:$H2936 = "Zeeshan Ali Malik","Audit",IF($H$2:$H2936 = "Ali Raza ","Receiving",IF($H$2:$H2936 = "Ali Ahmad","Full-In"))))))</f>
        <v/>
      </c>
      <c r="J1437" s="29"/>
      <c r="K1437" s="40"/>
      <c r="L1437" s="40"/>
      <c r="M1437" s="41"/>
      <c r="N1437" s="39" t="s">
        <v>2335</v>
      </c>
      <c r="O1437" s="46" t="b">
        <f aca="false">FALSE()</f>
        <v>0</v>
      </c>
      <c r="P1437" s="20"/>
      <c r="Q1437" s="45" t="n">
        <v>0</v>
      </c>
      <c r="R1437" s="20"/>
      <c r="S1437" s="20"/>
    </row>
    <row r="1438" customFormat="false" ht="15.75" hidden="false" customHeight="false" outlineLevel="0" collapsed="false">
      <c r="A1438" s="39"/>
      <c r="B1438" s="44"/>
      <c r="C1438" s="39"/>
      <c r="D1438" s="39"/>
      <c r="E1438" s="39"/>
      <c r="F1438" s="45"/>
      <c r="G1438" s="40"/>
      <c r="H1438" s="39"/>
      <c r="I1438" s="39" t="str">
        <f aca="false">IF(ISBLANK(H1438),"", IF($H$2:$H2937 = "Gohar Rehan","Overnight",IF($H$2:$H2937 = "Taufeeq Akhtar ","Overnight",IF($H$2:$H2937 = "Zeeshan Ali Malik","Audit",IF($H$2:$H2937 = "Ali Raza ","Receiving",IF($H$2:$H2937 = "Ali Ahmad","Full-In"))))))</f>
        <v/>
      </c>
      <c r="J1438" s="29"/>
      <c r="K1438" s="40"/>
      <c r="L1438" s="40"/>
      <c r="M1438" s="41"/>
      <c r="N1438" s="39" t="s">
        <v>2335</v>
      </c>
      <c r="O1438" s="46" t="b">
        <f aca="false">FALSE()</f>
        <v>0</v>
      </c>
      <c r="P1438" s="20"/>
      <c r="Q1438" s="45" t="n">
        <v>0</v>
      </c>
      <c r="R1438" s="20"/>
      <c r="S1438" s="20"/>
    </row>
    <row r="1439" customFormat="false" ht="15.75" hidden="false" customHeight="false" outlineLevel="0" collapsed="false">
      <c r="A1439" s="39"/>
      <c r="B1439" s="44"/>
      <c r="C1439" s="39"/>
      <c r="D1439" s="39"/>
      <c r="E1439" s="39"/>
      <c r="F1439" s="45"/>
      <c r="G1439" s="40"/>
      <c r="H1439" s="39"/>
      <c r="I1439" s="39" t="str">
        <f aca="false">IF(ISBLANK(H1439),"", IF($H$2:$H2938 = "Gohar Rehan","Overnight",IF($H$2:$H2938 = "Taufeeq Akhtar ","Overnight",IF($H$2:$H2938 = "Zeeshan Ali Malik","Audit",IF($H$2:$H2938 = "Ali Raza ","Receiving",IF($H$2:$H2938 = "Ali Ahmad","Full-In"))))))</f>
        <v/>
      </c>
      <c r="J1439" s="29"/>
      <c r="K1439" s="40"/>
      <c r="L1439" s="40"/>
      <c r="M1439" s="41"/>
      <c r="N1439" s="39" t="s">
        <v>2335</v>
      </c>
      <c r="O1439" s="46" t="b">
        <f aca="false">FALSE()</f>
        <v>0</v>
      </c>
      <c r="P1439" s="20"/>
      <c r="Q1439" s="45" t="n">
        <v>0</v>
      </c>
      <c r="R1439" s="20"/>
      <c r="S1439" s="20"/>
    </row>
    <row r="1440" customFormat="false" ht="15.75" hidden="false" customHeight="false" outlineLevel="0" collapsed="false">
      <c r="A1440" s="39"/>
      <c r="B1440" s="44"/>
      <c r="C1440" s="39"/>
      <c r="D1440" s="39"/>
      <c r="E1440" s="39"/>
      <c r="F1440" s="45"/>
      <c r="G1440" s="40"/>
      <c r="H1440" s="39"/>
      <c r="I1440" s="39" t="str">
        <f aca="false">IF(ISBLANK(H1440),"", IF($H$2:$H2939 = "Gohar Rehan","Overnight",IF($H$2:$H2939 = "Taufeeq Akhtar ","Overnight",IF($H$2:$H2939 = "Zeeshan Ali Malik","Audit",IF($H$2:$H2939 = "Ali Raza ","Receiving",IF($H$2:$H2939 = "Ali Ahmad","Full-In"))))))</f>
        <v/>
      </c>
      <c r="J1440" s="29"/>
      <c r="K1440" s="40"/>
      <c r="L1440" s="40"/>
      <c r="M1440" s="41"/>
      <c r="N1440" s="39" t="s">
        <v>2335</v>
      </c>
      <c r="O1440" s="46" t="b">
        <f aca="false">FALSE()</f>
        <v>0</v>
      </c>
      <c r="P1440" s="20"/>
      <c r="Q1440" s="45" t="n">
        <v>0</v>
      </c>
      <c r="R1440" s="20"/>
      <c r="S1440" s="20"/>
    </row>
    <row r="1441" customFormat="false" ht="15.75" hidden="false" customHeight="false" outlineLevel="0" collapsed="false">
      <c r="A1441" s="39"/>
      <c r="B1441" s="44"/>
      <c r="C1441" s="39"/>
      <c r="D1441" s="39"/>
      <c r="E1441" s="39"/>
      <c r="F1441" s="45"/>
      <c r="G1441" s="40"/>
      <c r="H1441" s="39"/>
      <c r="I1441" s="39" t="str">
        <f aca="false">IF(ISBLANK(H1441),"", IF($H$2:$H2940 = "Gohar Rehan","Overnight",IF($H$2:$H2940 = "Taufeeq Akhtar ","Overnight",IF($H$2:$H2940 = "Zeeshan Ali Malik","Audit",IF($H$2:$H2940 = "Ali Raza ","Receiving",IF($H$2:$H2940 = "Ali Ahmad","Full-In"))))))</f>
        <v/>
      </c>
      <c r="J1441" s="29"/>
      <c r="K1441" s="40"/>
      <c r="L1441" s="40"/>
      <c r="M1441" s="41"/>
      <c r="N1441" s="39" t="s">
        <v>2335</v>
      </c>
      <c r="O1441" s="46" t="b">
        <f aca="false">FALSE()</f>
        <v>0</v>
      </c>
      <c r="P1441" s="20"/>
      <c r="Q1441" s="45" t="n">
        <v>0</v>
      </c>
      <c r="R1441" s="20"/>
      <c r="S1441" s="20"/>
    </row>
    <row r="1442" customFormat="false" ht="15.75" hidden="false" customHeight="false" outlineLevel="0" collapsed="false">
      <c r="A1442" s="39"/>
      <c r="B1442" s="44"/>
      <c r="C1442" s="39"/>
      <c r="D1442" s="39"/>
      <c r="E1442" s="39"/>
      <c r="F1442" s="45"/>
      <c r="G1442" s="40"/>
      <c r="H1442" s="39"/>
      <c r="I1442" s="39" t="str">
        <f aca="false">IF(ISBLANK(H1442),"", IF($H$2:$H2941 = "Gohar Rehan","Overnight",IF($H$2:$H2941 = "Taufeeq Akhtar ","Overnight",IF($H$2:$H2941 = "Zeeshan Ali Malik","Audit",IF($H$2:$H2941 = "Ali Raza ","Receiving",IF($H$2:$H2941 = "Ali Ahmad","Full-In"))))))</f>
        <v/>
      </c>
      <c r="J1442" s="29"/>
      <c r="K1442" s="40"/>
      <c r="L1442" s="40"/>
      <c r="M1442" s="41"/>
      <c r="N1442" s="39" t="s">
        <v>2335</v>
      </c>
      <c r="O1442" s="46" t="b">
        <f aca="false">FALSE()</f>
        <v>0</v>
      </c>
      <c r="P1442" s="20"/>
      <c r="Q1442" s="45" t="n">
        <v>0</v>
      </c>
      <c r="R1442" s="20"/>
      <c r="S1442" s="20"/>
    </row>
    <row r="1443" customFormat="false" ht="15.75" hidden="false" customHeight="false" outlineLevel="0" collapsed="false">
      <c r="A1443" s="39"/>
      <c r="B1443" s="44"/>
      <c r="C1443" s="39"/>
      <c r="D1443" s="39"/>
      <c r="E1443" s="39"/>
      <c r="F1443" s="45"/>
      <c r="G1443" s="40"/>
      <c r="H1443" s="39"/>
      <c r="I1443" s="39" t="str">
        <f aca="false">IF(ISBLANK(H1443),"", IF($H$2:$H2942 = "Gohar Rehan","Overnight",IF($H$2:$H2942 = "Taufeeq Akhtar ","Overnight",IF($H$2:$H2942 = "Zeeshan Ali Malik","Audit",IF($H$2:$H2942 = "Ali Raza ","Receiving",IF($H$2:$H2942 = "Ali Ahmad","Full-In"))))))</f>
        <v/>
      </c>
      <c r="J1443" s="29"/>
      <c r="K1443" s="40"/>
      <c r="L1443" s="40"/>
      <c r="M1443" s="41"/>
      <c r="N1443" s="39" t="s">
        <v>2335</v>
      </c>
      <c r="O1443" s="46" t="b">
        <f aca="false">FALSE()</f>
        <v>0</v>
      </c>
      <c r="P1443" s="20"/>
      <c r="Q1443" s="45" t="n">
        <v>0</v>
      </c>
      <c r="R1443" s="20"/>
      <c r="S1443" s="20"/>
    </row>
    <row r="1444" customFormat="false" ht="15.75" hidden="false" customHeight="false" outlineLevel="0" collapsed="false">
      <c r="A1444" s="39"/>
      <c r="B1444" s="44"/>
      <c r="C1444" s="39"/>
      <c r="D1444" s="39"/>
      <c r="E1444" s="39"/>
      <c r="F1444" s="45"/>
      <c r="G1444" s="40"/>
      <c r="H1444" s="39"/>
      <c r="I1444" s="39" t="str">
        <f aca="false">IF(ISBLANK(H1444),"", IF($H$2:$H2943 = "Gohar Rehan","Overnight",IF($H$2:$H2943 = "Taufeeq Akhtar ","Overnight",IF($H$2:$H2943 = "Zeeshan Ali Malik","Audit",IF($H$2:$H2943 = "Ali Raza ","Receiving",IF($H$2:$H2943 = "Ali Ahmad","Full-In"))))))</f>
        <v/>
      </c>
      <c r="J1444" s="29"/>
      <c r="K1444" s="40"/>
      <c r="L1444" s="40"/>
      <c r="M1444" s="41"/>
      <c r="N1444" s="39" t="s">
        <v>2335</v>
      </c>
      <c r="O1444" s="46" t="b">
        <f aca="false">FALSE()</f>
        <v>0</v>
      </c>
      <c r="P1444" s="20"/>
      <c r="Q1444" s="45" t="n">
        <v>0</v>
      </c>
      <c r="R1444" s="20"/>
      <c r="S1444" s="20"/>
    </row>
    <row r="1445" customFormat="false" ht="15.75" hidden="false" customHeight="false" outlineLevel="0" collapsed="false">
      <c r="A1445" s="39"/>
      <c r="B1445" s="44"/>
      <c r="C1445" s="39"/>
      <c r="D1445" s="39"/>
      <c r="E1445" s="39"/>
      <c r="F1445" s="45"/>
      <c r="G1445" s="40"/>
      <c r="H1445" s="39"/>
      <c r="I1445" s="39" t="str">
        <f aca="false">IF(ISBLANK(H1445),"", IF($H$2:$H2944 = "Gohar Rehan","Overnight",IF($H$2:$H2944 = "Taufeeq Akhtar ","Overnight",IF($H$2:$H2944 = "Zeeshan Ali Malik","Audit",IF($H$2:$H2944 = "Ali Raza ","Receiving",IF($H$2:$H2944 = "Ali Ahmad","Full-In"))))))</f>
        <v/>
      </c>
      <c r="J1445" s="29"/>
      <c r="K1445" s="40"/>
      <c r="L1445" s="40"/>
      <c r="M1445" s="41"/>
      <c r="N1445" s="39" t="s">
        <v>2335</v>
      </c>
      <c r="O1445" s="46" t="b">
        <f aca="false">FALSE()</f>
        <v>0</v>
      </c>
      <c r="P1445" s="20"/>
      <c r="Q1445" s="45" t="n">
        <v>0</v>
      </c>
      <c r="R1445" s="20"/>
      <c r="S1445" s="20"/>
    </row>
    <row r="1446" customFormat="false" ht="15.75" hidden="false" customHeight="false" outlineLevel="0" collapsed="false">
      <c r="A1446" s="39"/>
      <c r="B1446" s="44"/>
      <c r="C1446" s="39"/>
      <c r="D1446" s="39"/>
      <c r="E1446" s="39"/>
      <c r="F1446" s="45"/>
      <c r="G1446" s="40"/>
      <c r="H1446" s="39"/>
      <c r="I1446" s="39" t="str">
        <f aca="false">IF(ISBLANK(H1446),"", IF($H$2:$H2945 = "Gohar Rehan","Overnight",IF($H$2:$H2945 = "Taufeeq Akhtar ","Overnight",IF($H$2:$H2945 = "Zeeshan Ali Malik","Audit",IF($H$2:$H2945 = "Ali Raza ","Receiving",IF($H$2:$H2945 = "Ali Ahmad","Full-In"))))))</f>
        <v/>
      </c>
      <c r="J1446" s="29"/>
      <c r="K1446" s="40"/>
      <c r="L1446" s="40"/>
      <c r="M1446" s="41"/>
      <c r="N1446" s="39" t="s">
        <v>2335</v>
      </c>
      <c r="O1446" s="46" t="b">
        <f aca="false">FALSE()</f>
        <v>0</v>
      </c>
      <c r="P1446" s="20"/>
      <c r="Q1446" s="45" t="n">
        <v>0</v>
      </c>
      <c r="R1446" s="20"/>
      <c r="S1446" s="20"/>
    </row>
    <row r="1447" customFormat="false" ht="15.75" hidden="false" customHeight="false" outlineLevel="0" collapsed="false">
      <c r="A1447" s="39"/>
      <c r="B1447" s="44"/>
      <c r="C1447" s="39"/>
      <c r="D1447" s="39"/>
      <c r="E1447" s="39"/>
      <c r="F1447" s="45"/>
      <c r="G1447" s="40"/>
      <c r="H1447" s="39"/>
      <c r="I1447" s="39" t="str">
        <f aca="false">IF(ISBLANK(H1447),"", IF($H$2:$H2946 = "Gohar Rehan","Overnight",IF($H$2:$H2946 = "Taufeeq Akhtar ","Overnight",IF($H$2:$H2946 = "Zeeshan Ali Malik","Audit",IF($H$2:$H2946 = "Ali Raza ","Receiving",IF($H$2:$H2946 = "Ali Ahmad","Full-In"))))))</f>
        <v/>
      </c>
      <c r="J1447" s="29"/>
      <c r="K1447" s="40"/>
      <c r="L1447" s="40"/>
      <c r="M1447" s="41"/>
      <c r="N1447" s="39" t="s">
        <v>2335</v>
      </c>
      <c r="O1447" s="46" t="b">
        <f aca="false">FALSE()</f>
        <v>0</v>
      </c>
      <c r="P1447" s="20"/>
      <c r="Q1447" s="45" t="n">
        <v>0</v>
      </c>
      <c r="R1447" s="20"/>
      <c r="S1447" s="20"/>
    </row>
    <row r="1448" customFormat="false" ht="15.75" hidden="false" customHeight="false" outlineLevel="0" collapsed="false">
      <c r="A1448" s="39"/>
      <c r="B1448" s="44"/>
      <c r="C1448" s="39"/>
      <c r="D1448" s="39"/>
      <c r="E1448" s="39"/>
      <c r="F1448" s="45"/>
      <c r="G1448" s="40"/>
      <c r="H1448" s="39"/>
      <c r="I1448" s="39" t="str">
        <f aca="false">IF(ISBLANK(H1448),"", IF($H$2:$H2947 = "Gohar Rehan","Overnight",IF($H$2:$H2947 = "Taufeeq Akhtar ","Overnight",IF($H$2:$H2947 = "Zeeshan Ali Malik","Audit",IF($H$2:$H2947 = "Ali Raza ","Receiving",IF($H$2:$H2947 = "Ali Ahmad","Full-In"))))))</f>
        <v/>
      </c>
      <c r="J1448" s="29"/>
      <c r="K1448" s="40"/>
      <c r="L1448" s="40"/>
      <c r="M1448" s="41"/>
      <c r="N1448" s="39" t="s">
        <v>2335</v>
      </c>
      <c r="O1448" s="46" t="b">
        <f aca="false">FALSE()</f>
        <v>0</v>
      </c>
      <c r="P1448" s="20"/>
      <c r="Q1448" s="45" t="n">
        <v>0</v>
      </c>
      <c r="R1448" s="20"/>
      <c r="S1448" s="20"/>
    </row>
    <row r="1449" customFormat="false" ht="15.75" hidden="false" customHeight="false" outlineLevel="0" collapsed="false">
      <c r="A1449" s="39"/>
      <c r="B1449" s="44"/>
      <c r="C1449" s="39"/>
      <c r="D1449" s="39"/>
      <c r="E1449" s="39"/>
      <c r="F1449" s="45"/>
      <c r="G1449" s="40"/>
      <c r="H1449" s="39"/>
      <c r="I1449" s="39" t="str">
        <f aca="false">IF(ISBLANK(H1449),"", IF($H$2:$H2948 = "Gohar Rehan","Overnight",IF($H$2:$H2948 = "Taufeeq Akhtar ","Overnight",IF($H$2:$H2948 = "Zeeshan Ali Malik","Audit",IF($H$2:$H2948 = "Ali Raza ","Receiving",IF($H$2:$H2948 = "Ali Ahmad","Full-In"))))))</f>
        <v/>
      </c>
      <c r="J1449" s="29"/>
      <c r="K1449" s="40"/>
      <c r="L1449" s="40"/>
      <c r="M1449" s="41"/>
      <c r="N1449" s="39" t="s">
        <v>2335</v>
      </c>
      <c r="O1449" s="46" t="b">
        <f aca="false">FALSE()</f>
        <v>0</v>
      </c>
      <c r="P1449" s="20"/>
      <c r="Q1449" s="45" t="n">
        <v>0</v>
      </c>
      <c r="R1449" s="20"/>
      <c r="S1449" s="20"/>
    </row>
    <row r="1450" customFormat="false" ht="15.75" hidden="false" customHeight="false" outlineLevel="0" collapsed="false">
      <c r="A1450" s="39"/>
      <c r="B1450" s="44"/>
      <c r="C1450" s="39"/>
      <c r="D1450" s="39"/>
      <c r="E1450" s="39"/>
      <c r="F1450" s="45"/>
      <c r="G1450" s="40"/>
      <c r="H1450" s="39"/>
      <c r="I1450" s="39" t="str">
        <f aca="false">IF(ISBLANK(H1450),"", IF($H$2:$H2949 = "Gohar Rehan","Overnight",IF($H$2:$H2949 = "Taufeeq Akhtar ","Overnight",IF($H$2:$H2949 = "Zeeshan Ali Malik","Audit",IF($H$2:$H2949 = "Ali Raza ","Receiving",IF($H$2:$H2949 = "Ali Ahmad","Full-In"))))))</f>
        <v/>
      </c>
      <c r="J1450" s="29"/>
      <c r="K1450" s="40"/>
      <c r="L1450" s="40"/>
      <c r="M1450" s="41"/>
      <c r="N1450" s="39" t="s">
        <v>2335</v>
      </c>
      <c r="O1450" s="46" t="b">
        <f aca="false">FALSE()</f>
        <v>0</v>
      </c>
      <c r="P1450" s="20"/>
      <c r="Q1450" s="45" t="n">
        <v>0</v>
      </c>
      <c r="R1450" s="20"/>
      <c r="S1450" s="20"/>
    </row>
    <row r="1451" customFormat="false" ht="15.75" hidden="false" customHeight="false" outlineLevel="0" collapsed="false">
      <c r="A1451" s="39"/>
      <c r="B1451" s="44"/>
      <c r="C1451" s="39"/>
      <c r="D1451" s="39"/>
      <c r="E1451" s="39"/>
      <c r="F1451" s="45"/>
      <c r="G1451" s="40"/>
      <c r="H1451" s="39"/>
      <c r="I1451" s="39" t="str">
        <f aca="false">IF(ISBLANK(H1451),"", IF($H$2:$H2950 = "Gohar Rehan","Overnight",IF($H$2:$H2950 = "Taufeeq Akhtar ","Overnight",IF($H$2:$H2950 = "Zeeshan Ali Malik","Audit",IF($H$2:$H2950 = "Ali Raza ","Receiving",IF($H$2:$H2950 = "Ali Ahmad","Full-In"))))))</f>
        <v/>
      </c>
      <c r="J1451" s="29"/>
      <c r="K1451" s="40"/>
      <c r="L1451" s="40"/>
      <c r="M1451" s="41"/>
      <c r="N1451" s="39" t="s">
        <v>2335</v>
      </c>
      <c r="O1451" s="46" t="b">
        <f aca="false">FALSE()</f>
        <v>0</v>
      </c>
      <c r="P1451" s="20"/>
      <c r="Q1451" s="45" t="n">
        <v>0</v>
      </c>
      <c r="R1451" s="20"/>
      <c r="S1451" s="20"/>
    </row>
    <row r="1452" customFormat="false" ht="15.75" hidden="false" customHeight="false" outlineLevel="0" collapsed="false">
      <c r="A1452" s="39"/>
      <c r="B1452" s="44"/>
      <c r="C1452" s="39"/>
      <c r="D1452" s="39"/>
      <c r="E1452" s="39"/>
      <c r="F1452" s="45"/>
      <c r="G1452" s="40"/>
      <c r="H1452" s="39"/>
      <c r="I1452" s="39" t="str">
        <f aca="false">IF(ISBLANK(H1452),"", IF($H$2:$H2951 = "Gohar Rehan","Overnight",IF($H$2:$H2951 = "Taufeeq Akhtar ","Overnight",IF($H$2:$H2951 = "Zeeshan Ali Malik","Audit",IF($H$2:$H2951 = "Ali Raza ","Receiving",IF($H$2:$H2951 = "Ali Ahmad","Full-In"))))))</f>
        <v/>
      </c>
      <c r="J1452" s="29"/>
      <c r="K1452" s="40"/>
      <c r="L1452" s="40"/>
      <c r="M1452" s="41"/>
      <c r="N1452" s="39" t="s">
        <v>2335</v>
      </c>
      <c r="O1452" s="46" t="b">
        <f aca="false">FALSE()</f>
        <v>0</v>
      </c>
      <c r="P1452" s="20"/>
      <c r="Q1452" s="45" t="n">
        <v>0</v>
      </c>
      <c r="R1452" s="20"/>
      <c r="S1452" s="20"/>
    </row>
    <row r="1453" customFormat="false" ht="15.75" hidden="false" customHeight="false" outlineLevel="0" collapsed="false">
      <c r="A1453" s="39"/>
      <c r="B1453" s="44"/>
      <c r="C1453" s="39"/>
      <c r="D1453" s="39"/>
      <c r="E1453" s="39"/>
      <c r="F1453" s="45"/>
      <c r="G1453" s="40"/>
      <c r="H1453" s="39"/>
      <c r="I1453" s="39" t="str">
        <f aca="false">IF(ISBLANK(H1453),"", IF($H$2:$H2952 = "Gohar Rehan","Overnight",IF($H$2:$H2952 = "Taufeeq Akhtar ","Overnight",IF($H$2:$H2952 = "Zeeshan Ali Malik","Audit",IF($H$2:$H2952 = "Ali Raza ","Receiving",IF($H$2:$H2952 = "Ali Ahmad","Full-In"))))))</f>
        <v/>
      </c>
      <c r="J1453" s="29"/>
      <c r="K1453" s="40"/>
      <c r="L1453" s="40"/>
      <c r="M1453" s="41"/>
      <c r="N1453" s="39" t="s">
        <v>2335</v>
      </c>
      <c r="O1453" s="46" t="b">
        <f aca="false">FALSE()</f>
        <v>0</v>
      </c>
      <c r="P1453" s="20"/>
      <c r="Q1453" s="45" t="n">
        <v>0</v>
      </c>
      <c r="R1453" s="20"/>
      <c r="S1453" s="20"/>
    </row>
    <row r="1454" customFormat="false" ht="15.75" hidden="false" customHeight="false" outlineLevel="0" collapsed="false">
      <c r="A1454" s="39"/>
      <c r="B1454" s="44"/>
      <c r="C1454" s="39"/>
      <c r="D1454" s="39"/>
      <c r="E1454" s="39"/>
      <c r="F1454" s="45"/>
      <c r="G1454" s="40"/>
      <c r="H1454" s="39"/>
      <c r="I1454" s="39" t="str">
        <f aca="false">IF(ISBLANK(H1454),"", IF($H$2:$H2953 = "Gohar Rehan","Overnight",IF($H$2:$H2953 = "Taufeeq Akhtar ","Overnight",IF($H$2:$H2953 = "Zeeshan Ali Malik","Audit",IF($H$2:$H2953 = "Ali Raza ","Receiving",IF($H$2:$H2953 = "Ali Ahmad","Full-In"))))))</f>
        <v/>
      </c>
      <c r="J1454" s="29"/>
      <c r="K1454" s="40"/>
      <c r="L1454" s="40"/>
      <c r="M1454" s="41"/>
      <c r="N1454" s="39" t="s">
        <v>2335</v>
      </c>
      <c r="O1454" s="46" t="b">
        <f aca="false">FALSE()</f>
        <v>0</v>
      </c>
      <c r="P1454" s="20"/>
      <c r="Q1454" s="45" t="n">
        <v>0</v>
      </c>
      <c r="R1454" s="20"/>
      <c r="S1454" s="20"/>
    </row>
    <row r="1455" customFormat="false" ht="15.75" hidden="false" customHeight="false" outlineLevel="0" collapsed="false">
      <c r="A1455" s="39"/>
      <c r="B1455" s="44"/>
      <c r="C1455" s="39"/>
      <c r="D1455" s="39"/>
      <c r="E1455" s="39"/>
      <c r="F1455" s="45"/>
      <c r="G1455" s="40"/>
      <c r="H1455" s="39"/>
      <c r="I1455" s="39" t="str">
        <f aca="false">IF(ISBLANK(H1455),"", IF($H$2:$H2954 = "Gohar Rehan","Overnight",IF($H$2:$H2954 = "Taufeeq Akhtar ","Overnight",IF($H$2:$H2954 = "Zeeshan Ali Malik","Audit",IF($H$2:$H2954 = "Ali Raza ","Receiving",IF($H$2:$H2954 = "Ali Ahmad","Full-In"))))))</f>
        <v/>
      </c>
      <c r="J1455" s="29"/>
      <c r="K1455" s="40"/>
      <c r="L1455" s="40"/>
      <c r="M1455" s="41"/>
      <c r="N1455" s="39" t="s">
        <v>2335</v>
      </c>
      <c r="O1455" s="46" t="b">
        <f aca="false">FALSE()</f>
        <v>0</v>
      </c>
      <c r="P1455" s="20"/>
      <c r="Q1455" s="45" t="n">
        <v>0</v>
      </c>
      <c r="R1455" s="20"/>
      <c r="S1455" s="20"/>
    </row>
    <row r="1456" customFormat="false" ht="15.75" hidden="false" customHeight="false" outlineLevel="0" collapsed="false">
      <c r="A1456" s="39"/>
      <c r="B1456" s="44"/>
      <c r="C1456" s="39"/>
      <c r="D1456" s="39"/>
      <c r="E1456" s="39"/>
      <c r="F1456" s="45"/>
      <c r="G1456" s="40"/>
      <c r="H1456" s="39"/>
      <c r="I1456" s="39" t="str">
        <f aca="false">IF(ISBLANK(H1456),"", IF($H$2:$H2955 = "Gohar Rehan","Overnight",IF($H$2:$H2955 = "Taufeeq Akhtar ","Overnight",IF($H$2:$H2955 = "Zeeshan Ali Malik","Audit",IF($H$2:$H2955 = "Ali Raza ","Receiving",IF($H$2:$H2955 = "Ali Ahmad","Full-In"))))))</f>
        <v/>
      </c>
      <c r="J1456" s="29"/>
      <c r="K1456" s="40"/>
      <c r="L1456" s="40"/>
      <c r="M1456" s="41"/>
      <c r="N1456" s="39" t="s">
        <v>2335</v>
      </c>
      <c r="O1456" s="46" t="b">
        <f aca="false">FALSE()</f>
        <v>0</v>
      </c>
      <c r="P1456" s="20"/>
      <c r="Q1456" s="45" t="n">
        <v>0</v>
      </c>
      <c r="R1456" s="20"/>
      <c r="S1456" s="20"/>
    </row>
    <row r="1457" customFormat="false" ht="15.75" hidden="false" customHeight="false" outlineLevel="0" collapsed="false">
      <c r="A1457" s="39"/>
      <c r="B1457" s="44"/>
      <c r="C1457" s="39"/>
      <c r="D1457" s="39"/>
      <c r="E1457" s="39"/>
      <c r="F1457" s="45"/>
      <c r="G1457" s="40"/>
      <c r="H1457" s="39"/>
      <c r="I1457" s="39" t="str">
        <f aca="false">IF(ISBLANK(H1457),"", IF($H$2:$H2956 = "Gohar Rehan","Overnight",IF($H$2:$H2956 = "Taufeeq Akhtar ","Overnight",IF($H$2:$H2956 = "Zeeshan Ali Malik","Audit",IF($H$2:$H2956 = "Ali Raza ","Receiving",IF($H$2:$H2956 = "Ali Ahmad","Full-In"))))))</f>
        <v/>
      </c>
      <c r="J1457" s="29"/>
      <c r="K1457" s="40"/>
      <c r="L1457" s="40"/>
      <c r="M1457" s="41"/>
      <c r="N1457" s="39" t="s">
        <v>2335</v>
      </c>
      <c r="O1457" s="46" t="b">
        <f aca="false">FALSE()</f>
        <v>0</v>
      </c>
      <c r="P1457" s="20"/>
      <c r="Q1457" s="45" t="n">
        <v>0</v>
      </c>
      <c r="R1457" s="20"/>
      <c r="S1457" s="20"/>
    </row>
    <row r="1458" customFormat="false" ht="15.75" hidden="false" customHeight="false" outlineLevel="0" collapsed="false">
      <c r="A1458" s="39"/>
      <c r="B1458" s="44"/>
      <c r="C1458" s="39"/>
      <c r="D1458" s="39"/>
      <c r="E1458" s="39"/>
      <c r="F1458" s="45"/>
      <c r="G1458" s="40"/>
      <c r="H1458" s="39"/>
      <c r="I1458" s="39" t="str">
        <f aca="false">IF(ISBLANK(H1458),"", IF($H$2:$H2957 = "Gohar Rehan","Overnight",IF($H$2:$H2957 = "Taufeeq Akhtar ","Overnight",IF($H$2:$H2957 = "Zeeshan Ali Malik","Audit",IF($H$2:$H2957 = "Ali Raza ","Receiving",IF($H$2:$H2957 = "Ali Ahmad","Full-In"))))))</f>
        <v/>
      </c>
      <c r="J1458" s="29"/>
      <c r="K1458" s="40"/>
      <c r="L1458" s="40"/>
      <c r="M1458" s="41"/>
      <c r="N1458" s="39" t="s">
        <v>2335</v>
      </c>
      <c r="O1458" s="46" t="b">
        <f aca="false">FALSE()</f>
        <v>0</v>
      </c>
      <c r="P1458" s="20"/>
      <c r="Q1458" s="45" t="n">
        <v>0</v>
      </c>
      <c r="R1458" s="20"/>
      <c r="S1458" s="20"/>
    </row>
    <row r="1459" customFormat="false" ht="15.75" hidden="false" customHeight="false" outlineLevel="0" collapsed="false">
      <c r="A1459" s="39"/>
      <c r="B1459" s="44"/>
      <c r="C1459" s="39"/>
      <c r="D1459" s="39"/>
      <c r="E1459" s="39"/>
      <c r="F1459" s="45"/>
      <c r="G1459" s="40"/>
      <c r="H1459" s="39"/>
      <c r="I1459" s="39" t="str">
        <f aca="false">IF(ISBLANK(H1459),"", IF($H$2:$H2958 = "Gohar Rehan","Overnight",IF($H$2:$H2958 = "Taufeeq Akhtar ","Overnight",IF($H$2:$H2958 = "Zeeshan Ali Malik","Audit",IF($H$2:$H2958 = "Ali Raza ","Receiving",IF($H$2:$H2958 = "Ali Ahmad","Full-In"))))))</f>
        <v/>
      </c>
      <c r="J1459" s="29"/>
      <c r="K1459" s="40"/>
      <c r="L1459" s="40"/>
      <c r="M1459" s="41"/>
      <c r="N1459" s="39" t="s">
        <v>2335</v>
      </c>
      <c r="O1459" s="46" t="b">
        <f aca="false">FALSE()</f>
        <v>0</v>
      </c>
      <c r="P1459" s="20"/>
      <c r="Q1459" s="45" t="n">
        <v>0</v>
      </c>
      <c r="R1459" s="20"/>
      <c r="S1459" s="20"/>
    </row>
    <row r="1460" customFormat="false" ht="15.75" hidden="false" customHeight="false" outlineLevel="0" collapsed="false">
      <c r="A1460" s="39"/>
      <c r="B1460" s="44"/>
      <c r="C1460" s="39"/>
      <c r="D1460" s="39"/>
      <c r="E1460" s="39"/>
      <c r="F1460" s="45"/>
      <c r="G1460" s="40"/>
      <c r="H1460" s="39"/>
      <c r="I1460" s="39" t="str">
        <f aca="false">IF(ISBLANK(H1460),"", IF($H$2:$H2959 = "Gohar Rehan","Overnight",IF($H$2:$H2959 = "Taufeeq Akhtar ","Overnight",IF($H$2:$H2959 = "Zeeshan Ali Malik","Audit",IF($H$2:$H2959 = "Ali Raza ","Receiving",IF($H$2:$H2959 = "Ali Ahmad","Full-In"))))))</f>
        <v/>
      </c>
      <c r="J1460" s="29"/>
      <c r="K1460" s="40"/>
      <c r="L1460" s="40"/>
      <c r="M1460" s="41"/>
      <c r="N1460" s="39" t="s">
        <v>2335</v>
      </c>
      <c r="O1460" s="46" t="b">
        <f aca="false">FALSE()</f>
        <v>0</v>
      </c>
      <c r="P1460" s="20"/>
      <c r="Q1460" s="45" t="n">
        <v>0</v>
      </c>
      <c r="R1460" s="20"/>
      <c r="S1460" s="20"/>
    </row>
    <row r="1461" customFormat="false" ht="15.75" hidden="false" customHeight="false" outlineLevel="0" collapsed="false">
      <c r="A1461" s="39"/>
      <c r="B1461" s="44"/>
      <c r="C1461" s="39"/>
      <c r="D1461" s="39"/>
      <c r="E1461" s="39"/>
      <c r="F1461" s="45"/>
      <c r="G1461" s="40"/>
      <c r="H1461" s="39"/>
      <c r="I1461" s="39" t="str">
        <f aca="false">IF(ISBLANK(H1461),"", IF($H$2:$H2960 = "Gohar Rehan","Overnight",IF($H$2:$H2960 = "Taufeeq Akhtar ","Overnight",IF($H$2:$H2960 = "Zeeshan Ali Malik","Audit",IF($H$2:$H2960 = "Ali Raza ","Receiving",IF($H$2:$H2960 = "Ali Ahmad","Full-In"))))))</f>
        <v/>
      </c>
      <c r="J1461" s="29"/>
      <c r="K1461" s="40"/>
      <c r="L1461" s="40"/>
      <c r="M1461" s="41"/>
      <c r="N1461" s="39" t="s">
        <v>2335</v>
      </c>
      <c r="O1461" s="46" t="b">
        <f aca="false">FALSE()</f>
        <v>0</v>
      </c>
      <c r="P1461" s="20"/>
      <c r="Q1461" s="45" t="n">
        <v>0</v>
      </c>
      <c r="R1461" s="20"/>
      <c r="S1461" s="20"/>
    </row>
    <row r="1462" customFormat="false" ht="15.75" hidden="false" customHeight="false" outlineLevel="0" collapsed="false">
      <c r="A1462" s="39"/>
      <c r="B1462" s="44"/>
      <c r="C1462" s="39"/>
      <c r="D1462" s="39"/>
      <c r="E1462" s="39"/>
      <c r="F1462" s="45"/>
      <c r="G1462" s="40"/>
      <c r="H1462" s="39"/>
      <c r="I1462" s="39" t="str">
        <f aca="false">IF(ISBLANK(H1462),"", IF($H$2:$H2961 = "Gohar Rehan","Overnight",IF($H$2:$H2961 = "Taufeeq Akhtar ","Overnight",IF($H$2:$H2961 = "Zeeshan Ali Malik","Audit",IF($H$2:$H2961 = "Ali Raza ","Receiving",IF($H$2:$H2961 = "Ali Ahmad","Full-In"))))))</f>
        <v/>
      </c>
      <c r="J1462" s="29"/>
      <c r="K1462" s="40"/>
      <c r="L1462" s="40"/>
      <c r="M1462" s="41"/>
      <c r="N1462" s="39" t="s">
        <v>2335</v>
      </c>
      <c r="O1462" s="46" t="b">
        <f aca="false">FALSE()</f>
        <v>0</v>
      </c>
      <c r="P1462" s="20"/>
      <c r="Q1462" s="45" t="n">
        <v>0</v>
      </c>
      <c r="R1462" s="20"/>
      <c r="S1462" s="20"/>
    </row>
    <row r="1463" customFormat="false" ht="15.75" hidden="false" customHeight="false" outlineLevel="0" collapsed="false">
      <c r="A1463" s="39"/>
      <c r="B1463" s="44"/>
      <c r="C1463" s="39"/>
      <c r="D1463" s="39"/>
      <c r="E1463" s="39"/>
      <c r="F1463" s="45"/>
      <c r="G1463" s="40"/>
      <c r="H1463" s="39"/>
      <c r="I1463" s="39" t="str">
        <f aca="false">IF(ISBLANK(H1463),"", IF($H$2:$H2962 = "Gohar Rehan","Overnight",IF($H$2:$H2962 = "Taufeeq Akhtar ","Overnight",IF($H$2:$H2962 = "Zeeshan Ali Malik","Audit",IF($H$2:$H2962 = "Ali Raza ","Receiving",IF($H$2:$H2962 = "Ali Ahmad","Full-In"))))))</f>
        <v/>
      </c>
      <c r="J1463" s="29"/>
      <c r="K1463" s="40"/>
      <c r="L1463" s="40"/>
      <c r="M1463" s="41"/>
      <c r="N1463" s="39" t="s">
        <v>2335</v>
      </c>
      <c r="O1463" s="46" t="b">
        <f aca="false">FALSE()</f>
        <v>0</v>
      </c>
      <c r="P1463" s="20"/>
      <c r="Q1463" s="45" t="n">
        <v>0</v>
      </c>
      <c r="R1463" s="20"/>
      <c r="S1463" s="20"/>
    </row>
    <row r="1464" customFormat="false" ht="15.75" hidden="false" customHeight="false" outlineLevel="0" collapsed="false">
      <c r="A1464" s="39"/>
      <c r="B1464" s="44"/>
      <c r="C1464" s="39"/>
      <c r="D1464" s="39"/>
      <c r="E1464" s="39"/>
      <c r="F1464" s="45"/>
      <c r="G1464" s="40"/>
      <c r="H1464" s="39"/>
      <c r="I1464" s="39" t="str">
        <f aca="false">IF(ISBLANK(H1464),"", IF($H$2:$H2963 = "Gohar Rehan","Overnight",IF($H$2:$H2963 = "Taufeeq Akhtar ","Overnight",IF($H$2:$H2963 = "Zeeshan Ali Malik","Audit",IF($H$2:$H2963 = "Ali Raza ","Receiving",IF($H$2:$H2963 = "Ali Ahmad","Full-In"))))))</f>
        <v/>
      </c>
      <c r="J1464" s="29"/>
      <c r="K1464" s="40"/>
      <c r="L1464" s="40"/>
      <c r="M1464" s="41"/>
      <c r="N1464" s="39" t="s">
        <v>2335</v>
      </c>
      <c r="O1464" s="46" t="b">
        <f aca="false">FALSE()</f>
        <v>0</v>
      </c>
      <c r="P1464" s="20"/>
      <c r="Q1464" s="45" t="n">
        <v>0</v>
      </c>
      <c r="R1464" s="20"/>
      <c r="S1464" s="20"/>
    </row>
    <row r="1465" customFormat="false" ht="15.75" hidden="false" customHeight="false" outlineLevel="0" collapsed="false">
      <c r="A1465" s="39"/>
      <c r="B1465" s="44"/>
      <c r="C1465" s="39"/>
      <c r="D1465" s="39"/>
      <c r="E1465" s="39"/>
      <c r="F1465" s="45"/>
      <c r="G1465" s="40"/>
      <c r="H1465" s="39"/>
      <c r="I1465" s="39" t="str">
        <f aca="false">IF(ISBLANK(H1465),"", IF($H$2:$H2964 = "Gohar Rehan","Overnight",IF($H$2:$H2964 = "Taufeeq Akhtar ","Overnight",IF($H$2:$H2964 = "Zeeshan Ali Malik","Audit",IF($H$2:$H2964 = "Ali Raza ","Receiving",IF($H$2:$H2964 = "Ali Ahmad","Full-In"))))))</f>
        <v/>
      </c>
      <c r="J1465" s="29"/>
      <c r="K1465" s="40"/>
      <c r="L1465" s="40"/>
      <c r="M1465" s="41"/>
      <c r="N1465" s="39" t="s">
        <v>2335</v>
      </c>
      <c r="O1465" s="46" t="b">
        <f aca="false">FALSE()</f>
        <v>0</v>
      </c>
      <c r="P1465" s="20"/>
      <c r="Q1465" s="45" t="n">
        <v>0</v>
      </c>
      <c r="R1465" s="20"/>
      <c r="S1465" s="20"/>
    </row>
    <row r="1466" customFormat="false" ht="15.75" hidden="false" customHeight="false" outlineLevel="0" collapsed="false">
      <c r="A1466" s="39"/>
      <c r="B1466" s="44"/>
      <c r="C1466" s="39"/>
      <c r="D1466" s="39"/>
      <c r="E1466" s="39"/>
      <c r="F1466" s="45"/>
      <c r="G1466" s="40"/>
      <c r="H1466" s="39"/>
      <c r="I1466" s="39" t="str">
        <f aca="false">IF(ISBLANK(H1466),"", IF($H$2:$H2965 = "Gohar Rehan","Overnight",IF($H$2:$H2965 = "Taufeeq Akhtar ","Overnight",IF($H$2:$H2965 = "Zeeshan Ali Malik","Audit",IF($H$2:$H2965 = "Ali Raza ","Receiving",IF($H$2:$H2965 = "Ali Ahmad","Full-In"))))))</f>
        <v/>
      </c>
      <c r="J1466" s="29"/>
      <c r="K1466" s="40"/>
      <c r="L1466" s="40"/>
      <c r="M1466" s="41"/>
      <c r="N1466" s="39" t="s">
        <v>2335</v>
      </c>
      <c r="O1466" s="46" t="b">
        <f aca="false">FALSE()</f>
        <v>0</v>
      </c>
      <c r="P1466" s="20"/>
      <c r="Q1466" s="45" t="n">
        <v>0</v>
      </c>
      <c r="R1466" s="20"/>
      <c r="S1466" s="20"/>
    </row>
    <row r="1467" customFormat="false" ht="15.75" hidden="false" customHeight="false" outlineLevel="0" collapsed="false">
      <c r="A1467" s="39"/>
      <c r="B1467" s="44"/>
      <c r="C1467" s="39"/>
      <c r="D1467" s="39"/>
      <c r="E1467" s="39"/>
      <c r="F1467" s="45"/>
      <c r="G1467" s="40"/>
      <c r="H1467" s="39"/>
      <c r="I1467" s="39" t="str">
        <f aca="false">IF(ISBLANK(H1467),"", IF($H$2:$H2966 = "Gohar Rehan","Overnight",IF($H$2:$H2966 = "Taufeeq Akhtar ","Overnight",IF($H$2:$H2966 = "Zeeshan Ali Malik","Audit",IF($H$2:$H2966 = "Ali Raza ","Receiving",IF($H$2:$H2966 = "Ali Ahmad","Full-In"))))))</f>
        <v/>
      </c>
      <c r="J1467" s="29"/>
      <c r="K1467" s="40"/>
      <c r="L1467" s="40"/>
      <c r="M1467" s="41"/>
      <c r="N1467" s="39" t="s">
        <v>2335</v>
      </c>
      <c r="O1467" s="46" t="b">
        <f aca="false">FALSE()</f>
        <v>0</v>
      </c>
      <c r="P1467" s="20"/>
      <c r="Q1467" s="45" t="n">
        <v>0</v>
      </c>
      <c r="R1467" s="20"/>
      <c r="S1467" s="20"/>
    </row>
    <row r="1468" customFormat="false" ht="15.75" hidden="false" customHeight="false" outlineLevel="0" collapsed="false">
      <c r="A1468" s="39"/>
      <c r="B1468" s="44"/>
      <c r="C1468" s="39"/>
      <c r="D1468" s="39"/>
      <c r="E1468" s="39"/>
      <c r="F1468" s="45"/>
      <c r="G1468" s="40"/>
      <c r="H1468" s="39"/>
      <c r="I1468" s="39" t="str">
        <f aca="false">IF(ISBLANK(H1468),"", IF($H$2:$H2967 = "Gohar Rehan","Overnight",IF($H$2:$H2967 = "Taufeeq Akhtar ","Overnight",IF($H$2:$H2967 = "Zeeshan Ali Malik","Audit",IF($H$2:$H2967 = "Ali Raza ","Receiving",IF($H$2:$H2967 = "Ali Ahmad","Full-In"))))))</f>
        <v/>
      </c>
      <c r="J1468" s="29"/>
      <c r="K1468" s="40"/>
      <c r="L1468" s="40"/>
      <c r="M1468" s="41"/>
      <c r="N1468" s="39" t="s">
        <v>2335</v>
      </c>
      <c r="O1468" s="46" t="b">
        <f aca="false">FALSE()</f>
        <v>0</v>
      </c>
      <c r="P1468" s="20"/>
      <c r="Q1468" s="45" t="n">
        <v>0</v>
      </c>
      <c r="R1468" s="20"/>
      <c r="S1468" s="20"/>
    </row>
    <row r="1469" customFormat="false" ht="15.75" hidden="false" customHeight="false" outlineLevel="0" collapsed="false">
      <c r="A1469" s="39"/>
      <c r="B1469" s="44"/>
      <c r="C1469" s="39"/>
      <c r="D1469" s="39"/>
      <c r="E1469" s="39"/>
      <c r="F1469" s="45"/>
      <c r="G1469" s="40"/>
      <c r="H1469" s="39"/>
      <c r="I1469" s="39" t="str">
        <f aca="false">IF(ISBLANK(H1469),"", IF($H$2:$H2968 = "Gohar Rehan","Overnight",IF($H$2:$H2968 = "Taufeeq Akhtar ","Overnight",IF($H$2:$H2968 = "Zeeshan Ali Malik","Audit",IF($H$2:$H2968 = "Ali Raza ","Receiving",IF($H$2:$H2968 = "Ali Ahmad","Full-In"))))))</f>
        <v/>
      </c>
      <c r="J1469" s="29"/>
      <c r="K1469" s="40"/>
      <c r="L1469" s="40"/>
      <c r="M1469" s="41"/>
      <c r="N1469" s="39" t="s">
        <v>2335</v>
      </c>
      <c r="O1469" s="46" t="b">
        <f aca="false">FALSE()</f>
        <v>0</v>
      </c>
      <c r="P1469" s="20"/>
      <c r="Q1469" s="45" t="n">
        <v>0</v>
      </c>
      <c r="R1469" s="20"/>
      <c r="S1469" s="20"/>
    </row>
    <row r="1470" customFormat="false" ht="15.75" hidden="false" customHeight="false" outlineLevel="0" collapsed="false">
      <c r="A1470" s="39"/>
      <c r="B1470" s="44"/>
      <c r="C1470" s="39"/>
      <c r="D1470" s="39"/>
      <c r="E1470" s="39"/>
      <c r="F1470" s="45"/>
      <c r="G1470" s="40"/>
      <c r="H1470" s="39"/>
      <c r="I1470" s="39" t="str">
        <f aca="false">IF(ISBLANK(H1470),"", IF($H$2:$H2969 = "Gohar Rehan","Overnight",IF($H$2:$H2969 = "Taufeeq Akhtar ","Overnight",IF($H$2:$H2969 = "Zeeshan Ali Malik","Audit",IF($H$2:$H2969 = "Ali Raza ","Receiving",IF($H$2:$H2969 = "Ali Ahmad","Full-In"))))))</f>
        <v/>
      </c>
      <c r="J1470" s="29"/>
      <c r="K1470" s="40"/>
      <c r="L1470" s="40"/>
      <c r="M1470" s="41"/>
      <c r="N1470" s="39" t="s">
        <v>2335</v>
      </c>
      <c r="O1470" s="46" t="b">
        <f aca="false">FALSE()</f>
        <v>0</v>
      </c>
      <c r="P1470" s="20"/>
      <c r="Q1470" s="45" t="n">
        <v>0</v>
      </c>
      <c r="R1470" s="20"/>
      <c r="S1470" s="20"/>
    </row>
    <row r="1471" customFormat="false" ht="15.75" hidden="false" customHeight="false" outlineLevel="0" collapsed="false">
      <c r="A1471" s="39"/>
      <c r="B1471" s="44"/>
      <c r="C1471" s="39"/>
      <c r="D1471" s="39"/>
      <c r="E1471" s="39"/>
      <c r="F1471" s="45"/>
      <c r="G1471" s="40"/>
      <c r="H1471" s="39"/>
      <c r="I1471" s="39" t="str">
        <f aca="false">IF(ISBLANK(H1471),"", IF($H$2:$H2970 = "Gohar Rehan","Overnight",IF($H$2:$H2970 = "Taufeeq Akhtar ","Overnight",IF($H$2:$H2970 = "Zeeshan Ali Malik","Audit",IF($H$2:$H2970 = "Ali Raza ","Receiving",IF($H$2:$H2970 = "Ali Ahmad","Full-In"))))))</f>
        <v/>
      </c>
      <c r="J1471" s="29"/>
      <c r="K1471" s="40"/>
      <c r="L1471" s="40"/>
      <c r="M1471" s="41"/>
      <c r="N1471" s="39" t="s">
        <v>2335</v>
      </c>
      <c r="O1471" s="46" t="b">
        <f aca="false">FALSE()</f>
        <v>0</v>
      </c>
      <c r="P1471" s="20"/>
      <c r="Q1471" s="45" t="n">
        <v>0</v>
      </c>
      <c r="R1471" s="20"/>
      <c r="S1471" s="20"/>
    </row>
    <row r="1472" customFormat="false" ht="15.75" hidden="false" customHeight="false" outlineLevel="0" collapsed="false">
      <c r="A1472" s="39"/>
      <c r="B1472" s="44"/>
      <c r="C1472" s="39"/>
      <c r="D1472" s="39"/>
      <c r="E1472" s="39"/>
      <c r="F1472" s="45"/>
      <c r="G1472" s="40"/>
      <c r="H1472" s="39"/>
      <c r="I1472" s="39" t="str">
        <f aca="false">IF(ISBLANK(H1472),"", IF($H$2:$H2971 = "Gohar Rehan","Overnight",IF($H$2:$H2971 = "Taufeeq Akhtar ","Overnight",IF($H$2:$H2971 = "Zeeshan Ali Malik","Audit",IF($H$2:$H2971 = "Ali Raza ","Receiving",IF($H$2:$H2971 = "Ali Ahmad","Full-In"))))))</f>
        <v/>
      </c>
      <c r="J1472" s="29"/>
      <c r="K1472" s="40"/>
      <c r="L1472" s="40"/>
      <c r="M1472" s="41"/>
      <c r="N1472" s="39" t="s">
        <v>2335</v>
      </c>
      <c r="O1472" s="46" t="b">
        <f aca="false">FALSE()</f>
        <v>0</v>
      </c>
      <c r="P1472" s="20"/>
      <c r="Q1472" s="45" t="n">
        <v>0</v>
      </c>
      <c r="R1472" s="20"/>
      <c r="S1472" s="20"/>
    </row>
    <row r="1473" customFormat="false" ht="15.75" hidden="false" customHeight="false" outlineLevel="0" collapsed="false">
      <c r="A1473" s="39"/>
      <c r="B1473" s="44"/>
      <c r="C1473" s="39"/>
      <c r="D1473" s="39"/>
      <c r="E1473" s="39"/>
      <c r="F1473" s="45"/>
      <c r="G1473" s="40"/>
      <c r="H1473" s="39"/>
      <c r="I1473" s="39" t="str">
        <f aca="false">IF(ISBLANK(H1473),"", IF($H$2:$H2972 = "Gohar Rehan","Overnight",IF($H$2:$H2972 = "Taufeeq Akhtar ","Overnight",IF($H$2:$H2972 = "Zeeshan Ali Malik","Audit",IF($H$2:$H2972 = "Ali Raza ","Receiving",IF($H$2:$H2972 = "Ali Ahmad","Full-In"))))))</f>
        <v/>
      </c>
      <c r="J1473" s="29"/>
      <c r="K1473" s="40"/>
      <c r="L1473" s="40"/>
      <c r="M1473" s="41"/>
      <c r="N1473" s="39" t="s">
        <v>2335</v>
      </c>
      <c r="O1473" s="46" t="b">
        <f aca="false">FALSE()</f>
        <v>0</v>
      </c>
      <c r="P1473" s="20"/>
      <c r="Q1473" s="45" t="n">
        <v>0</v>
      </c>
      <c r="R1473" s="20"/>
      <c r="S1473" s="20"/>
    </row>
    <row r="1474" customFormat="false" ht="15.75" hidden="false" customHeight="false" outlineLevel="0" collapsed="false">
      <c r="A1474" s="39"/>
      <c r="B1474" s="44"/>
      <c r="C1474" s="39"/>
      <c r="D1474" s="39"/>
      <c r="E1474" s="39"/>
      <c r="F1474" s="45"/>
      <c r="G1474" s="40"/>
      <c r="H1474" s="39"/>
      <c r="I1474" s="39" t="str">
        <f aca="false">IF(ISBLANK(H1474),"", IF($H$2:$H2973 = "Gohar Rehan","Overnight",IF($H$2:$H2973 = "Taufeeq Akhtar ","Overnight",IF($H$2:$H2973 = "Zeeshan Ali Malik","Audit",IF($H$2:$H2973 = "Ali Raza ","Receiving",IF($H$2:$H2973 = "Ali Ahmad","Full-In"))))))</f>
        <v/>
      </c>
      <c r="J1474" s="29"/>
      <c r="K1474" s="40"/>
      <c r="L1474" s="40"/>
      <c r="M1474" s="41"/>
      <c r="N1474" s="39" t="s">
        <v>2335</v>
      </c>
      <c r="O1474" s="46" t="b">
        <f aca="false">FALSE()</f>
        <v>0</v>
      </c>
      <c r="P1474" s="20"/>
      <c r="Q1474" s="45" t="n">
        <v>0</v>
      </c>
      <c r="R1474" s="20"/>
      <c r="S1474" s="20"/>
    </row>
    <row r="1475" customFormat="false" ht="15.75" hidden="false" customHeight="false" outlineLevel="0" collapsed="false">
      <c r="A1475" s="39"/>
      <c r="B1475" s="44"/>
      <c r="C1475" s="39"/>
      <c r="D1475" s="39"/>
      <c r="E1475" s="39"/>
      <c r="F1475" s="45"/>
      <c r="G1475" s="40"/>
      <c r="H1475" s="39"/>
      <c r="I1475" s="39" t="str">
        <f aca="false">IF(ISBLANK(H1475),"", IF($H$2:$H2974 = "Gohar Rehan","Overnight",IF($H$2:$H2974 = "Taufeeq Akhtar ","Overnight",IF($H$2:$H2974 = "Zeeshan Ali Malik","Audit",IF($H$2:$H2974 = "Ali Raza ","Receiving",IF($H$2:$H2974 = "Ali Ahmad","Full-In"))))))</f>
        <v/>
      </c>
      <c r="J1475" s="29"/>
      <c r="K1475" s="40"/>
      <c r="L1475" s="40"/>
      <c r="M1475" s="41"/>
      <c r="N1475" s="39" t="s">
        <v>2335</v>
      </c>
      <c r="O1475" s="46" t="b">
        <f aca="false">FALSE()</f>
        <v>0</v>
      </c>
      <c r="P1475" s="20"/>
      <c r="Q1475" s="45" t="n">
        <v>0</v>
      </c>
      <c r="R1475" s="20"/>
      <c r="S1475" s="20"/>
    </row>
    <row r="1476" customFormat="false" ht="15.75" hidden="false" customHeight="false" outlineLevel="0" collapsed="false">
      <c r="A1476" s="39"/>
      <c r="B1476" s="44"/>
      <c r="C1476" s="39"/>
      <c r="D1476" s="39"/>
      <c r="E1476" s="39"/>
      <c r="F1476" s="45"/>
      <c r="G1476" s="40"/>
      <c r="H1476" s="39"/>
      <c r="I1476" s="39" t="str">
        <f aca="false">IF(ISBLANK(H1476),"", IF($H$2:$H2975 = "Gohar Rehan","Overnight",IF($H$2:$H2975 = "Taufeeq Akhtar ","Overnight",IF($H$2:$H2975 = "Zeeshan Ali Malik","Audit",IF($H$2:$H2975 = "Ali Raza ","Receiving",IF($H$2:$H2975 = "Ali Ahmad","Full-In"))))))</f>
        <v/>
      </c>
      <c r="J1476" s="29"/>
      <c r="K1476" s="40"/>
      <c r="L1476" s="40"/>
      <c r="M1476" s="41"/>
      <c r="N1476" s="39" t="s">
        <v>2335</v>
      </c>
      <c r="O1476" s="46" t="b">
        <f aca="false">FALSE()</f>
        <v>0</v>
      </c>
      <c r="P1476" s="20"/>
      <c r="Q1476" s="45" t="n">
        <v>0</v>
      </c>
      <c r="R1476" s="20"/>
      <c r="S1476" s="20"/>
    </row>
    <row r="1477" customFormat="false" ht="15.75" hidden="false" customHeight="false" outlineLevel="0" collapsed="false">
      <c r="A1477" s="39"/>
      <c r="B1477" s="44"/>
      <c r="C1477" s="39"/>
      <c r="D1477" s="39"/>
      <c r="E1477" s="39"/>
      <c r="F1477" s="45"/>
      <c r="G1477" s="40"/>
      <c r="H1477" s="39"/>
      <c r="I1477" s="39" t="str">
        <f aca="false">IF(ISBLANK(H1477),"", IF($H$2:$H2976 = "Gohar Rehan","Overnight",IF($H$2:$H2976 = "Taufeeq Akhtar ","Overnight",IF($H$2:$H2976 = "Zeeshan Ali Malik","Audit",IF($H$2:$H2976 = "Ali Raza ","Receiving",IF($H$2:$H2976 = "Ali Ahmad","Full-In"))))))</f>
        <v/>
      </c>
      <c r="J1477" s="29"/>
      <c r="K1477" s="40"/>
      <c r="L1477" s="40"/>
      <c r="M1477" s="41"/>
      <c r="N1477" s="39" t="s">
        <v>2335</v>
      </c>
      <c r="O1477" s="46" t="b">
        <f aca="false">FALSE()</f>
        <v>0</v>
      </c>
      <c r="P1477" s="20"/>
      <c r="Q1477" s="45" t="n">
        <v>0</v>
      </c>
      <c r="R1477" s="20"/>
      <c r="S1477" s="20"/>
    </row>
    <row r="1478" customFormat="false" ht="15.75" hidden="false" customHeight="false" outlineLevel="0" collapsed="false">
      <c r="A1478" s="39"/>
      <c r="B1478" s="44"/>
      <c r="C1478" s="39"/>
      <c r="D1478" s="39"/>
      <c r="E1478" s="39"/>
      <c r="F1478" s="45"/>
      <c r="G1478" s="40"/>
      <c r="H1478" s="39"/>
      <c r="I1478" s="39" t="str">
        <f aca="false">IF(ISBLANK(H1478),"", IF($H$2:$H2977 = "Gohar Rehan","Overnight",IF($H$2:$H2977 = "Taufeeq Akhtar ","Overnight",IF($H$2:$H2977 = "Zeeshan Ali Malik","Audit",IF($H$2:$H2977 = "Ali Raza ","Receiving",IF($H$2:$H2977 = "Ali Ahmad","Full-In"))))))</f>
        <v/>
      </c>
      <c r="J1478" s="29"/>
      <c r="K1478" s="40"/>
      <c r="L1478" s="40"/>
      <c r="M1478" s="41"/>
      <c r="N1478" s="39" t="s">
        <v>2335</v>
      </c>
      <c r="O1478" s="46" t="b">
        <f aca="false">FALSE()</f>
        <v>0</v>
      </c>
      <c r="P1478" s="20"/>
      <c r="Q1478" s="45" t="n">
        <v>0</v>
      </c>
      <c r="R1478" s="20"/>
      <c r="S1478" s="20"/>
    </row>
    <row r="1479" customFormat="false" ht="15.75" hidden="false" customHeight="false" outlineLevel="0" collapsed="false">
      <c r="A1479" s="39"/>
      <c r="B1479" s="44"/>
      <c r="C1479" s="39"/>
      <c r="D1479" s="39"/>
      <c r="E1479" s="39"/>
      <c r="F1479" s="45"/>
      <c r="G1479" s="40"/>
      <c r="H1479" s="39"/>
      <c r="I1479" s="39" t="str">
        <f aca="false">IF(ISBLANK(H1479),"", IF($H$2:$H2978 = "Gohar Rehan","Overnight",IF($H$2:$H2978 = "Taufeeq Akhtar ","Overnight",IF($H$2:$H2978 = "Zeeshan Ali Malik","Audit",IF($H$2:$H2978 = "Ali Raza ","Receiving",IF($H$2:$H2978 = "Ali Ahmad","Full-In"))))))</f>
        <v/>
      </c>
      <c r="J1479" s="29"/>
      <c r="K1479" s="40"/>
      <c r="L1479" s="40"/>
      <c r="M1479" s="41"/>
      <c r="N1479" s="39" t="s">
        <v>2335</v>
      </c>
      <c r="O1479" s="46" t="b">
        <f aca="false">FALSE()</f>
        <v>0</v>
      </c>
      <c r="P1479" s="20"/>
      <c r="Q1479" s="45" t="n">
        <v>0</v>
      </c>
      <c r="R1479" s="20"/>
      <c r="S1479" s="20"/>
    </row>
    <row r="1480" customFormat="false" ht="15.75" hidden="false" customHeight="false" outlineLevel="0" collapsed="false">
      <c r="A1480" s="39"/>
      <c r="B1480" s="44"/>
      <c r="C1480" s="39"/>
      <c r="D1480" s="39"/>
      <c r="E1480" s="39"/>
      <c r="F1480" s="45"/>
      <c r="G1480" s="40"/>
      <c r="H1480" s="39"/>
      <c r="I1480" s="39" t="str">
        <f aca="false">IF(ISBLANK(H1480),"", IF($H$2:$H2979 = "Gohar Rehan","Overnight",IF($H$2:$H2979 = "Taufeeq Akhtar ","Overnight",IF($H$2:$H2979 = "Zeeshan Ali Malik","Audit",IF($H$2:$H2979 = "Ali Raza ","Receiving",IF($H$2:$H2979 = "Ali Ahmad","Full-In"))))))</f>
        <v/>
      </c>
      <c r="J1480" s="29"/>
      <c r="K1480" s="40"/>
      <c r="L1480" s="40"/>
      <c r="M1480" s="41"/>
      <c r="N1480" s="39" t="s">
        <v>2335</v>
      </c>
      <c r="O1480" s="46" t="b">
        <f aca="false">FALSE()</f>
        <v>0</v>
      </c>
      <c r="P1480" s="20"/>
      <c r="Q1480" s="45" t="n">
        <v>0</v>
      </c>
      <c r="R1480" s="20"/>
      <c r="S1480" s="20"/>
    </row>
    <row r="1481" customFormat="false" ht="15.75" hidden="false" customHeight="false" outlineLevel="0" collapsed="false">
      <c r="A1481" s="39"/>
      <c r="B1481" s="44"/>
      <c r="C1481" s="39"/>
      <c r="D1481" s="39"/>
      <c r="E1481" s="39"/>
      <c r="F1481" s="45"/>
      <c r="G1481" s="40"/>
      <c r="H1481" s="39"/>
      <c r="I1481" s="39" t="str">
        <f aca="false">IF(ISBLANK(H1481),"", IF($H$2:$H2980 = "Gohar Rehan","Overnight",IF($H$2:$H2980 = "Taufeeq Akhtar ","Overnight",IF($H$2:$H2980 = "Zeeshan Ali Malik","Audit",IF($H$2:$H2980 = "Ali Raza ","Receiving",IF($H$2:$H2980 = "Ali Ahmad","Full-In"))))))</f>
        <v/>
      </c>
      <c r="J1481" s="29"/>
      <c r="K1481" s="40"/>
      <c r="L1481" s="40"/>
      <c r="M1481" s="41"/>
      <c r="N1481" s="39" t="s">
        <v>2335</v>
      </c>
      <c r="O1481" s="46" t="b">
        <f aca="false">FALSE()</f>
        <v>0</v>
      </c>
      <c r="P1481" s="20"/>
      <c r="Q1481" s="45" t="n">
        <v>0</v>
      </c>
      <c r="R1481" s="20"/>
      <c r="S1481" s="20"/>
    </row>
    <row r="1482" customFormat="false" ht="15.75" hidden="false" customHeight="false" outlineLevel="0" collapsed="false">
      <c r="A1482" s="39"/>
      <c r="B1482" s="44"/>
      <c r="C1482" s="39"/>
      <c r="D1482" s="39"/>
      <c r="E1482" s="39"/>
      <c r="F1482" s="45"/>
      <c r="G1482" s="40"/>
      <c r="H1482" s="39"/>
      <c r="I1482" s="39" t="str">
        <f aca="false">IF(ISBLANK(H1482),"", IF($H$2:$H2981 = "Gohar Rehan","Overnight",IF($H$2:$H2981 = "Taufeeq Akhtar ","Overnight",IF($H$2:$H2981 = "Zeeshan Ali Malik","Audit",IF($H$2:$H2981 = "Ali Raza ","Receiving",IF($H$2:$H2981 = "Ali Ahmad","Full-In"))))))</f>
        <v/>
      </c>
      <c r="J1482" s="29"/>
      <c r="K1482" s="40"/>
      <c r="L1482" s="40"/>
      <c r="M1482" s="41"/>
      <c r="N1482" s="39" t="s">
        <v>2335</v>
      </c>
      <c r="O1482" s="46" t="b">
        <f aca="false">FALSE()</f>
        <v>0</v>
      </c>
      <c r="P1482" s="20"/>
      <c r="Q1482" s="45" t="n">
        <v>0</v>
      </c>
      <c r="R1482" s="20"/>
      <c r="S1482" s="20"/>
    </row>
    <row r="1483" customFormat="false" ht="15.75" hidden="false" customHeight="false" outlineLevel="0" collapsed="false">
      <c r="A1483" s="39"/>
      <c r="B1483" s="44"/>
      <c r="C1483" s="39"/>
      <c r="D1483" s="39"/>
      <c r="E1483" s="39"/>
      <c r="F1483" s="45"/>
      <c r="G1483" s="40"/>
      <c r="H1483" s="39"/>
      <c r="I1483" s="39" t="str">
        <f aca="false">IF(ISBLANK(H1483),"", IF($H$2:$H2982 = "Gohar Rehan","Overnight",IF($H$2:$H2982 = "Taufeeq Akhtar ","Overnight",IF($H$2:$H2982 = "Zeeshan Ali Malik","Audit",IF($H$2:$H2982 = "Ali Raza ","Receiving",IF($H$2:$H2982 = "Ali Ahmad","Full-In"))))))</f>
        <v/>
      </c>
      <c r="J1483" s="29"/>
      <c r="K1483" s="40"/>
      <c r="L1483" s="40"/>
      <c r="M1483" s="41"/>
      <c r="N1483" s="39" t="s">
        <v>2335</v>
      </c>
      <c r="O1483" s="46" t="b">
        <f aca="false">FALSE()</f>
        <v>0</v>
      </c>
      <c r="P1483" s="20"/>
      <c r="Q1483" s="45" t="n">
        <v>0</v>
      </c>
      <c r="R1483" s="20"/>
      <c r="S1483" s="20"/>
    </row>
    <row r="1484" customFormat="false" ht="15.75" hidden="false" customHeight="false" outlineLevel="0" collapsed="false">
      <c r="A1484" s="39"/>
      <c r="B1484" s="44"/>
      <c r="C1484" s="39"/>
      <c r="D1484" s="39"/>
      <c r="E1484" s="39"/>
      <c r="F1484" s="45"/>
      <c r="G1484" s="40"/>
      <c r="H1484" s="39"/>
      <c r="I1484" s="39" t="str">
        <f aca="false">IF(ISBLANK(H1484),"", IF($H$2:$H2983 = "Gohar Rehan","Overnight",IF($H$2:$H2983 = "Taufeeq Akhtar ","Overnight",IF($H$2:$H2983 = "Zeeshan Ali Malik","Audit",IF($H$2:$H2983 = "Ali Raza ","Receiving",IF($H$2:$H2983 = "Ali Ahmad","Full-In"))))))</f>
        <v/>
      </c>
      <c r="J1484" s="29"/>
      <c r="K1484" s="40"/>
      <c r="L1484" s="40"/>
      <c r="M1484" s="41"/>
      <c r="N1484" s="39" t="s">
        <v>2335</v>
      </c>
      <c r="O1484" s="46" t="b">
        <f aca="false">FALSE()</f>
        <v>0</v>
      </c>
      <c r="P1484" s="20"/>
      <c r="Q1484" s="45" t="n">
        <v>0</v>
      </c>
      <c r="R1484" s="20"/>
      <c r="S1484" s="20"/>
    </row>
    <row r="1485" customFormat="false" ht="15.75" hidden="false" customHeight="false" outlineLevel="0" collapsed="false">
      <c r="A1485" s="39"/>
      <c r="B1485" s="44"/>
      <c r="C1485" s="39"/>
      <c r="D1485" s="39"/>
      <c r="E1485" s="39"/>
      <c r="F1485" s="45"/>
      <c r="G1485" s="40"/>
      <c r="H1485" s="39"/>
      <c r="I1485" s="39" t="str">
        <f aca="false">IF(ISBLANK(H1485),"", IF($H$2:$H2984 = "Gohar Rehan","Overnight",IF($H$2:$H2984 = "Taufeeq Akhtar ","Overnight",IF($H$2:$H2984 = "Zeeshan Ali Malik","Audit",IF($H$2:$H2984 = "Ali Raza ","Receiving",IF($H$2:$H2984 = "Ali Ahmad","Full-In"))))))</f>
        <v/>
      </c>
      <c r="J1485" s="29"/>
      <c r="K1485" s="40"/>
      <c r="L1485" s="40"/>
      <c r="M1485" s="41"/>
      <c r="N1485" s="39" t="s">
        <v>2335</v>
      </c>
      <c r="O1485" s="46" t="b">
        <f aca="false">FALSE()</f>
        <v>0</v>
      </c>
      <c r="P1485" s="20"/>
      <c r="Q1485" s="45" t="n">
        <v>0</v>
      </c>
      <c r="R1485" s="20"/>
      <c r="S1485" s="20"/>
    </row>
    <row r="1486" customFormat="false" ht="15.75" hidden="false" customHeight="false" outlineLevel="0" collapsed="false">
      <c r="A1486" s="39"/>
      <c r="B1486" s="44"/>
      <c r="C1486" s="39"/>
      <c r="D1486" s="39"/>
      <c r="E1486" s="39"/>
      <c r="F1486" s="45"/>
      <c r="G1486" s="40"/>
      <c r="H1486" s="39"/>
      <c r="I1486" s="39" t="str">
        <f aca="false">IF(ISBLANK(H1486),"", IF($H$2:$H2985 = "Gohar Rehan","Overnight",IF($H$2:$H2985 = "Taufeeq Akhtar ","Overnight",IF($H$2:$H2985 = "Zeeshan Ali Malik","Audit",IF($H$2:$H2985 = "Ali Raza ","Receiving",IF($H$2:$H2985 = "Ali Ahmad","Full-In"))))))</f>
        <v/>
      </c>
      <c r="J1486" s="29"/>
      <c r="K1486" s="40"/>
      <c r="L1486" s="40"/>
      <c r="M1486" s="41"/>
      <c r="N1486" s="39" t="s">
        <v>2335</v>
      </c>
      <c r="O1486" s="46" t="b">
        <f aca="false">FALSE()</f>
        <v>0</v>
      </c>
      <c r="P1486" s="20"/>
      <c r="Q1486" s="45" t="n">
        <v>0</v>
      </c>
      <c r="R1486" s="20"/>
      <c r="S1486" s="20"/>
    </row>
    <row r="1487" customFormat="false" ht="15.75" hidden="false" customHeight="false" outlineLevel="0" collapsed="false">
      <c r="A1487" s="39"/>
      <c r="B1487" s="44"/>
      <c r="C1487" s="39"/>
      <c r="D1487" s="39"/>
      <c r="E1487" s="39"/>
      <c r="F1487" s="45"/>
      <c r="G1487" s="40"/>
      <c r="H1487" s="39"/>
      <c r="I1487" s="39" t="str">
        <f aca="false">IF(ISBLANK(H1487),"", IF($H$2:$H2986 = "Gohar Rehan","Overnight",IF($H$2:$H2986 = "Taufeeq Akhtar ","Overnight",IF($H$2:$H2986 = "Zeeshan Ali Malik","Audit",IF($H$2:$H2986 = "Ali Raza ","Receiving",IF($H$2:$H2986 = "Ali Ahmad","Full-In"))))))</f>
        <v/>
      </c>
      <c r="J1487" s="29"/>
      <c r="K1487" s="40"/>
      <c r="L1487" s="40"/>
      <c r="M1487" s="41"/>
      <c r="N1487" s="39" t="s">
        <v>2335</v>
      </c>
      <c r="O1487" s="46" t="b">
        <f aca="false">FALSE()</f>
        <v>0</v>
      </c>
      <c r="P1487" s="20"/>
      <c r="Q1487" s="45" t="n">
        <v>0</v>
      </c>
      <c r="R1487" s="20"/>
      <c r="S1487" s="20"/>
    </row>
    <row r="1488" customFormat="false" ht="15.75" hidden="false" customHeight="false" outlineLevel="0" collapsed="false">
      <c r="A1488" s="39"/>
      <c r="B1488" s="44"/>
      <c r="C1488" s="39"/>
      <c r="D1488" s="39"/>
      <c r="E1488" s="39"/>
      <c r="F1488" s="45"/>
      <c r="G1488" s="40"/>
      <c r="H1488" s="39"/>
      <c r="I1488" s="39" t="str">
        <f aca="false">IF(ISBLANK(H1488),"", IF($H$2:$H2987 = "Gohar Rehan","Overnight",IF($H$2:$H2987 = "Taufeeq Akhtar ","Overnight",IF($H$2:$H2987 = "Zeeshan Ali Malik","Audit",IF($H$2:$H2987 = "Ali Raza ","Receiving",IF($H$2:$H2987 = "Ali Ahmad","Full-In"))))))</f>
        <v/>
      </c>
      <c r="J1488" s="29"/>
      <c r="K1488" s="40"/>
      <c r="L1488" s="40"/>
      <c r="M1488" s="41"/>
      <c r="N1488" s="39" t="s">
        <v>2335</v>
      </c>
      <c r="O1488" s="46" t="b">
        <f aca="false">FALSE()</f>
        <v>0</v>
      </c>
      <c r="P1488" s="20"/>
      <c r="Q1488" s="45" t="n">
        <v>0</v>
      </c>
      <c r="R1488" s="20"/>
      <c r="S1488" s="20"/>
    </row>
    <row r="1489" customFormat="false" ht="15.75" hidden="false" customHeight="false" outlineLevel="0" collapsed="false">
      <c r="A1489" s="39"/>
      <c r="B1489" s="44"/>
      <c r="C1489" s="39"/>
      <c r="D1489" s="39"/>
      <c r="E1489" s="39"/>
      <c r="F1489" s="45"/>
      <c r="G1489" s="40"/>
      <c r="H1489" s="39"/>
      <c r="I1489" s="39" t="str">
        <f aca="false">IF(ISBLANK(H1489),"", IF($H$2:$H2988 = "Gohar Rehan","Overnight",IF($H$2:$H2988 = "Taufeeq Akhtar ","Overnight",IF($H$2:$H2988 = "Zeeshan Ali Malik","Audit",IF($H$2:$H2988 = "Ali Raza ","Receiving",IF($H$2:$H2988 = "Ali Ahmad","Full-In"))))))</f>
        <v/>
      </c>
      <c r="J1489" s="29"/>
      <c r="K1489" s="40"/>
      <c r="L1489" s="40"/>
      <c r="M1489" s="41"/>
      <c r="N1489" s="39" t="s">
        <v>2335</v>
      </c>
      <c r="O1489" s="46" t="b">
        <f aca="false">FALSE()</f>
        <v>0</v>
      </c>
      <c r="P1489" s="20"/>
      <c r="Q1489" s="45" t="n">
        <v>0</v>
      </c>
      <c r="R1489" s="20"/>
      <c r="S1489" s="20"/>
    </row>
    <row r="1490" customFormat="false" ht="15.75" hidden="false" customHeight="false" outlineLevel="0" collapsed="false">
      <c r="A1490" s="39"/>
      <c r="B1490" s="44"/>
      <c r="C1490" s="39"/>
      <c r="D1490" s="39"/>
      <c r="E1490" s="39"/>
      <c r="F1490" s="45"/>
      <c r="G1490" s="40"/>
      <c r="H1490" s="39"/>
      <c r="I1490" s="39" t="str">
        <f aca="false">IF(ISBLANK(H1490),"", IF($H$2:$H2989 = "Gohar Rehan","Overnight",IF($H$2:$H2989 = "Taufeeq Akhtar ","Overnight",IF($H$2:$H2989 = "Zeeshan Ali Malik","Audit",IF($H$2:$H2989 = "Ali Raza ","Receiving",IF($H$2:$H2989 = "Ali Ahmad","Full-In"))))))</f>
        <v/>
      </c>
      <c r="J1490" s="29"/>
      <c r="K1490" s="40"/>
      <c r="L1490" s="40"/>
      <c r="M1490" s="41"/>
      <c r="N1490" s="39" t="s">
        <v>2335</v>
      </c>
      <c r="O1490" s="46" t="b">
        <f aca="false">FALSE()</f>
        <v>0</v>
      </c>
      <c r="P1490" s="20"/>
      <c r="Q1490" s="45" t="n">
        <v>0</v>
      </c>
      <c r="R1490" s="20"/>
      <c r="S1490" s="20"/>
    </row>
    <row r="1491" customFormat="false" ht="15.75" hidden="false" customHeight="false" outlineLevel="0" collapsed="false">
      <c r="A1491" s="39"/>
      <c r="B1491" s="44"/>
      <c r="C1491" s="39"/>
      <c r="D1491" s="39"/>
      <c r="E1491" s="39"/>
      <c r="F1491" s="45"/>
      <c r="G1491" s="40"/>
      <c r="H1491" s="39"/>
      <c r="I1491" s="39" t="str">
        <f aca="false">IF(ISBLANK(H1491),"", IF($H$2:$H2990 = "Gohar Rehan","Overnight",IF($H$2:$H2990 = "Taufeeq Akhtar ","Overnight",IF($H$2:$H2990 = "Zeeshan Ali Malik","Audit",IF($H$2:$H2990 = "Ali Raza ","Receiving",IF($H$2:$H2990 = "Ali Ahmad","Full-In"))))))</f>
        <v/>
      </c>
      <c r="J1491" s="29"/>
      <c r="K1491" s="40"/>
      <c r="L1491" s="40"/>
      <c r="M1491" s="41"/>
      <c r="N1491" s="39" t="s">
        <v>2335</v>
      </c>
      <c r="O1491" s="46" t="b">
        <f aca="false">FALSE()</f>
        <v>0</v>
      </c>
      <c r="P1491" s="20"/>
      <c r="Q1491" s="45" t="n">
        <v>0</v>
      </c>
      <c r="R1491" s="20"/>
      <c r="S1491" s="20"/>
    </row>
    <row r="1492" customFormat="false" ht="15.75" hidden="false" customHeight="false" outlineLevel="0" collapsed="false">
      <c r="A1492" s="39"/>
      <c r="B1492" s="44"/>
      <c r="C1492" s="39"/>
      <c r="D1492" s="39"/>
      <c r="E1492" s="39"/>
      <c r="F1492" s="45"/>
      <c r="G1492" s="40"/>
      <c r="H1492" s="39"/>
      <c r="I1492" s="39" t="str">
        <f aca="false">IF(ISBLANK(H1492),"", IF($H$2:$H2991 = "Gohar Rehan","Overnight",IF($H$2:$H2991 = "Taufeeq Akhtar ","Overnight",IF($H$2:$H2991 = "Zeeshan Ali Malik","Audit",IF($H$2:$H2991 = "Ali Raza ","Receiving",IF($H$2:$H2991 = "Ali Ahmad","Full-In"))))))</f>
        <v/>
      </c>
      <c r="J1492" s="29"/>
      <c r="K1492" s="40"/>
      <c r="L1492" s="40"/>
      <c r="M1492" s="41"/>
      <c r="N1492" s="39" t="s">
        <v>2335</v>
      </c>
      <c r="O1492" s="46" t="b">
        <f aca="false">FALSE()</f>
        <v>0</v>
      </c>
      <c r="P1492" s="20"/>
      <c r="Q1492" s="45" t="n">
        <v>0</v>
      </c>
      <c r="R1492" s="20"/>
      <c r="S1492" s="20"/>
    </row>
    <row r="1493" customFormat="false" ht="15.75" hidden="false" customHeight="false" outlineLevel="0" collapsed="false">
      <c r="A1493" s="39"/>
      <c r="B1493" s="44"/>
      <c r="C1493" s="39"/>
      <c r="D1493" s="39"/>
      <c r="E1493" s="39"/>
      <c r="F1493" s="45"/>
      <c r="G1493" s="40"/>
      <c r="H1493" s="39"/>
      <c r="I1493" s="39" t="str">
        <f aca="false">IF(ISBLANK(H1493),"", IF($H$2:$H2992 = "Gohar Rehan","Overnight",IF($H$2:$H2992 = "Taufeeq Akhtar ","Overnight",IF($H$2:$H2992 = "Zeeshan Ali Malik","Audit",IF($H$2:$H2992 = "Ali Raza ","Receiving",IF($H$2:$H2992 = "Ali Ahmad","Full-In"))))))</f>
        <v/>
      </c>
      <c r="J1493" s="29"/>
      <c r="K1493" s="40"/>
      <c r="L1493" s="40"/>
      <c r="M1493" s="41"/>
      <c r="N1493" s="39" t="s">
        <v>2335</v>
      </c>
      <c r="O1493" s="46" t="b">
        <f aca="false">FALSE()</f>
        <v>0</v>
      </c>
      <c r="P1493" s="20"/>
      <c r="Q1493" s="45" t="n">
        <v>0</v>
      </c>
      <c r="R1493" s="20"/>
      <c r="S1493" s="20"/>
    </row>
    <row r="1494" customFormat="false" ht="15.75" hidden="false" customHeight="false" outlineLevel="0" collapsed="false">
      <c r="A1494" s="39"/>
      <c r="B1494" s="44"/>
      <c r="C1494" s="39"/>
      <c r="D1494" s="39"/>
      <c r="E1494" s="39"/>
      <c r="F1494" s="45"/>
      <c r="G1494" s="40"/>
      <c r="H1494" s="39"/>
      <c r="I1494" s="39" t="str">
        <f aca="false">IF(ISBLANK(H1494),"", IF($H$2:$H2993 = "Gohar Rehan","Overnight",IF($H$2:$H2993 = "Taufeeq Akhtar ","Overnight",IF($H$2:$H2993 = "Zeeshan Ali Malik","Audit",IF($H$2:$H2993 = "Ali Raza ","Receiving",IF($H$2:$H2993 = "Ali Ahmad","Full-In"))))))</f>
        <v/>
      </c>
      <c r="J1494" s="29"/>
      <c r="K1494" s="40"/>
      <c r="L1494" s="40"/>
      <c r="M1494" s="41"/>
      <c r="N1494" s="39" t="s">
        <v>2335</v>
      </c>
      <c r="O1494" s="46" t="b">
        <f aca="false">FALSE()</f>
        <v>0</v>
      </c>
      <c r="P1494" s="20"/>
      <c r="Q1494" s="45" t="n">
        <v>0</v>
      </c>
      <c r="R1494" s="20"/>
      <c r="S1494" s="20"/>
    </row>
    <row r="1495" customFormat="false" ht="15.75" hidden="false" customHeight="false" outlineLevel="0" collapsed="false">
      <c r="A1495" s="39"/>
      <c r="B1495" s="44"/>
      <c r="C1495" s="39"/>
      <c r="D1495" s="39"/>
      <c r="E1495" s="39"/>
      <c r="F1495" s="45"/>
      <c r="G1495" s="40"/>
      <c r="H1495" s="39"/>
      <c r="I1495" s="39" t="str">
        <f aca="false">IF(ISBLANK(H1495),"", IF($H$2:$H2994 = "Gohar Rehan","Overnight",IF($H$2:$H2994 = "Taufeeq Akhtar ","Overnight",IF($H$2:$H2994 = "Zeeshan Ali Malik","Audit",IF($H$2:$H2994 = "Ali Raza ","Receiving",IF($H$2:$H2994 = "Ali Ahmad","Full-In"))))))</f>
        <v/>
      </c>
      <c r="J1495" s="29"/>
      <c r="K1495" s="40"/>
      <c r="L1495" s="40"/>
      <c r="M1495" s="41"/>
      <c r="N1495" s="39" t="s">
        <v>2335</v>
      </c>
      <c r="O1495" s="46" t="b">
        <f aca="false">FALSE()</f>
        <v>0</v>
      </c>
      <c r="P1495" s="20"/>
      <c r="Q1495" s="45" t="n">
        <v>0</v>
      </c>
      <c r="R1495" s="20"/>
      <c r="S1495" s="20"/>
    </row>
    <row r="1496" customFormat="false" ht="15.75" hidden="false" customHeight="false" outlineLevel="0" collapsed="false">
      <c r="A1496" s="39"/>
      <c r="B1496" s="44"/>
      <c r="C1496" s="39"/>
      <c r="D1496" s="39"/>
      <c r="E1496" s="39"/>
      <c r="F1496" s="45"/>
      <c r="G1496" s="40"/>
      <c r="H1496" s="39"/>
      <c r="I1496" s="39" t="str">
        <f aca="false">IF(ISBLANK(H1496),"", IF($H$2:$H2995 = "Gohar Rehan","Overnight",IF($H$2:$H2995 = "Taufeeq Akhtar ","Overnight",IF($H$2:$H2995 = "Zeeshan Ali Malik","Audit",IF($H$2:$H2995 = "Ali Raza ","Receiving",IF($H$2:$H2995 = "Ali Ahmad","Full-In"))))))</f>
        <v/>
      </c>
      <c r="J1496" s="29"/>
      <c r="K1496" s="40"/>
      <c r="L1496" s="40"/>
      <c r="M1496" s="41"/>
      <c r="N1496" s="39" t="s">
        <v>2335</v>
      </c>
      <c r="O1496" s="46" t="b">
        <f aca="false">FALSE()</f>
        <v>0</v>
      </c>
      <c r="P1496" s="20"/>
      <c r="Q1496" s="45" t="n">
        <v>0</v>
      </c>
      <c r="R1496" s="20"/>
      <c r="S1496" s="20"/>
    </row>
    <row r="1497" customFormat="false" ht="15.75" hidden="false" customHeight="false" outlineLevel="0" collapsed="false">
      <c r="A1497" s="39"/>
      <c r="B1497" s="44"/>
      <c r="C1497" s="39"/>
      <c r="D1497" s="39"/>
      <c r="E1497" s="39"/>
      <c r="F1497" s="45"/>
      <c r="G1497" s="40"/>
      <c r="H1497" s="39"/>
      <c r="I1497" s="39" t="str">
        <f aca="false">IF(ISBLANK(H1497),"", IF($H$2:$H2996 = "Gohar Rehan","Overnight",IF($H$2:$H2996 = "Taufeeq Akhtar ","Overnight",IF($H$2:$H2996 = "Zeeshan Ali Malik","Audit",IF($H$2:$H2996 = "Ali Raza ","Receiving",IF($H$2:$H2996 = "Ali Ahmad","Full-In"))))))</f>
        <v/>
      </c>
      <c r="J1497" s="29"/>
      <c r="K1497" s="40"/>
      <c r="L1497" s="40"/>
      <c r="M1497" s="41"/>
      <c r="N1497" s="39" t="s">
        <v>2335</v>
      </c>
      <c r="O1497" s="46" t="b">
        <f aca="false">FALSE()</f>
        <v>0</v>
      </c>
      <c r="P1497" s="20"/>
      <c r="Q1497" s="45" t="n">
        <v>0</v>
      </c>
      <c r="R1497" s="20"/>
      <c r="S1497" s="20"/>
    </row>
    <row r="1498" customFormat="false" ht="15.75" hidden="false" customHeight="false" outlineLevel="0" collapsed="false">
      <c r="A1498" s="39"/>
      <c r="B1498" s="44"/>
      <c r="C1498" s="39"/>
      <c r="D1498" s="39"/>
      <c r="E1498" s="39"/>
      <c r="F1498" s="45"/>
      <c r="G1498" s="40"/>
      <c r="H1498" s="39"/>
      <c r="I1498" s="39" t="str">
        <f aca="false">IF(ISBLANK(H1498),"", IF($H$2:$H2997 = "Gohar Rehan","Overnight",IF($H$2:$H2997 = "Taufeeq Akhtar ","Overnight",IF($H$2:$H2997 = "Zeeshan Ali Malik","Audit",IF($H$2:$H2997 = "Ali Raza ","Receiving",IF($H$2:$H2997 = "Ali Ahmad","Full-In"))))))</f>
        <v/>
      </c>
      <c r="J1498" s="29"/>
      <c r="K1498" s="40"/>
      <c r="L1498" s="40"/>
      <c r="M1498" s="41"/>
      <c r="N1498" s="39" t="s">
        <v>2335</v>
      </c>
      <c r="O1498" s="46" t="b">
        <f aca="false">FALSE()</f>
        <v>0</v>
      </c>
      <c r="P1498" s="20"/>
      <c r="Q1498" s="45" t="n">
        <v>0</v>
      </c>
      <c r="R1498" s="20"/>
      <c r="S1498" s="20"/>
    </row>
    <row r="1499" customFormat="false" ht="15.75" hidden="false" customHeight="false" outlineLevel="0" collapsed="false">
      <c r="A1499" s="39"/>
      <c r="B1499" s="44"/>
      <c r="C1499" s="39"/>
      <c r="D1499" s="39"/>
      <c r="E1499" s="39"/>
      <c r="F1499" s="45"/>
      <c r="G1499" s="40"/>
      <c r="H1499" s="39"/>
      <c r="I1499" s="39" t="str">
        <f aca="false">IF(ISBLANK(H1499),"", IF($H$2:$H2998 = "Gohar Rehan","Overnight",IF($H$2:$H2998 = "Taufeeq Akhtar ","Overnight",IF($H$2:$H2998 = "Zeeshan Ali Malik","Audit",IF($H$2:$H2998 = "Ali Raza ","Receiving",IF($H$2:$H2998 = "Ali Ahmad","Full-In"))))))</f>
        <v/>
      </c>
      <c r="J1499" s="29"/>
      <c r="K1499" s="40"/>
      <c r="L1499" s="40"/>
      <c r="M1499" s="41"/>
      <c r="N1499" s="39" t="s">
        <v>2335</v>
      </c>
      <c r="O1499" s="46" t="b">
        <f aca="false">FALSE()</f>
        <v>0</v>
      </c>
      <c r="P1499" s="20"/>
      <c r="Q1499" s="45" t="n">
        <v>0</v>
      </c>
      <c r="R1499" s="20"/>
      <c r="S1499" s="20"/>
    </row>
    <row r="1500" customFormat="false" ht="15.75" hidden="false" customHeight="false" outlineLevel="0" collapsed="false">
      <c r="A1500" s="39"/>
      <c r="B1500" s="44"/>
      <c r="C1500" s="39"/>
      <c r="D1500" s="39"/>
      <c r="E1500" s="39"/>
      <c r="F1500" s="45"/>
      <c r="G1500" s="40"/>
      <c r="H1500" s="39"/>
      <c r="I1500" s="39" t="str">
        <f aca="false">IF(ISBLANK(H1500),"", IF($H$2:$H2999 = "Gohar Rehan","Overnight",IF($H$2:$H2999 = "Taufeeq Akhtar ","Overnight",IF($H$2:$H2999 = "Zeeshan Ali Malik","Audit",IF($H$2:$H2999 = "Ali Raza ","Receiving",IF($H$2:$H2999 = "Ali Ahmad","Full-In"))))))</f>
        <v/>
      </c>
      <c r="J1500" s="29"/>
      <c r="K1500" s="40"/>
      <c r="L1500" s="40"/>
      <c r="M1500" s="41"/>
      <c r="N1500" s="39" t="s">
        <v>2335</v>
      </c>
      <c r="O1500" s="46" t="b">
        <f aca="false">FALSE()</f>
        <v>0</v>
      </c>
      <c r="P1500" s="20"/>
      <c r="Q1500" s="45" t="n">
        <v>0</v>
      </c>
      <c r="R1500" s="20"/>
      <c r="S1500" s="20"/>
    </row>
    <row r="1501" customFormat="false" ht="15.75" hidden="false" customHeight="false" outlineLevel="0" collapsed="false">
      <c r="A1501" s="39"/>
      <c r="B1501" s="44"/>
      <c r="C1501" s="39"/>
      <c r="D1501" s="39"/>
      <c r="E1501" s="39"/>
      <c r="F1501" s="45"/>
      <c r="G1501" s="40"/>
      <c r="H1501" s="39"/>
      <c r="I1501" s="39" t="str">
        <f aca="false">IF(ISBLANK(H1501),"", IF($H$2:$H3000 = "Gohar Rehan","Overnight",IF($H$2:$H3000 = "Taufeeq Akhtar ","Overnight",IF($H$2:$H3000 = "Zeeshan Ali Malik","Audit",IF($H$2:$H3000 = "Ali Raza ","Receiving",IF($H$2:$H3000 = "Ali Ahmad","Full-In"))))))</f>
        <v/>
      </c>
      <c r="J1501" s="29"/>
      <c r="K1501" s="40"/>
      <c r="L1501" s="40"/>
      <c r="M1501" s="41"/>
      <c r="N1501" s="39" t="s">
        <v>2335</v>
      </c>
      <c r="O1501" s="46" t="b">
        <f aca="false">FALSE()</f>
        <v>0</v>
      </c>
      <c r="P1501" s="20"/>
      <c r="Q1501" s="45" t="n">
        <v>0</v>
      </c>
      <c r="R1501" s="20"/>
      <c r="S1501" s="20"/>
    </row>
    <row r="1502" customFormat="false" ht="15.75" hidden="false" customHeight="false" outlineLevel="0" collapsed="false">
      <c r="A1502" s="39"/>
      <c r="B1502" s="44"/>
      <c r="C1502" s="39"/>
      <c r="D1502" s="39"/>
      <c r="E1502" s="39"/>
      <c r="F1502" s="45"/>
      <c r="G1502" s="40"/>
      <c r="H1502" s="39"/>
      <c r="I1502" s="39" t="str">
        <f aca="false">IF(ISBLANK(H1502),"", IF($H$2:$H3001 = "Gohar Rehan","Overnight",IF($H$2:$H3001 = "Taufeeq Akhtar ","Overnight",IF($H$2:$H3001 = "Zeeshan Ali Malik","Audit",IF($H$2:$H3001 = "Ali Raza ","Receiving",IF($H$2:$H3001 = "Ali Ahmad","Full-In"))))))</f>
        <v/>
      </c>
      <c r="J1502" s="29"/>
      <c r="K1502" s="40"/>
      <c r="L1502" s="40"/>
      <c r="M1502" s="41"/>
      <c r="N1502" s="39" t="s">
        <v>2335</v>
      </c>
      <c r="O1502" s="46" t="b">
        <f aca="false">FALSE()</f>
        <v>0</v>
      </c>
      <c r="P1502" s="20"/>
      <c r="Q1502" s="45" t="n">
        <v>0</v>
      </c>
      <c r="R1502" s="20"/>
      <c r="S1502" s="20"/>
    </row>
  </sheetData>
  <autoFilter ref="A1:S1502"/>
  <dataValidations count="1">
    <dataValidation allowBlank="true" errorStyle="stop" operator="between" showDropDown="false" showErrorMessage="true" showInputMessage="false" sqref="N3:N1502" type="list">
      <formula1>"Closed,Examined,not closed,Pending"</formula1>
      <formula2>0</formula2>
    </dataValidation>
  </dataValidations>
  <hyperlinks>
    <hyperlink ref="L31" r:id="rId2" display="As per instruction of junaid.mehmood@tajir-app.com damaged stock handed over to vendor  on 07-Jun-2023"/>
    <hyperlink ref="L41" r:id="rId3" display="As per Discussion with furqan.ahmad@tajir-app.com, we will replace damage stock with fresh stock in next supply which will receive before 30-NOV-2023"/>
    <hyperlink ref="L43" r:id="rId4" display="As per instruction of junaid.mehmood@tajir-app.com damaged stock handed over to vendor  on 07-Jun-2023"/>
    <hyperlink ref="L46" r:id="rId5" display="As per instruction of junaid.mehmood@tajir-app.com damaged stock handed over to vendor  on 07-Jun-2023"/>
    <hyperlink ref="L47" r:id="rId6" display="As per instruction of junaid.mehmood@tajir-app.com damaged stock handed over to vendor  on 07-Jun-2023"/>
    <hyperlink ref="L51" r:id="rId7" display="As per Discussion with furqan.ahmad@tajir-app.com, we will replace damage stock with fresh stock in next supply which will receive before 30-NOV-2023"/>
    <hyperlink ref="L68" r:id="rId8" display="As per Discussion with furqan.ahmad@tajir-app.com, we will replace damage stock with fresh stock in next supply which will receive before 30-NOV-2023"/>
    <hyperlink ref="L69" r:id="rId9" display="As per Discussion with furqan.ahmad@tajir-app.com, we will replace damage stock with fresh stock in next supply which will receive before 30-NOV-2023"/>
    <hyperlink ref="L79" r:id="rId10" display="As per instruction of junaid.mehmood@tajir-app.com damaged stock handed over to vendor  on 07-Jun-2023"/>
    <hyperlink ref="L80" r:id="rId11" display="As per instruction of junaid.mehmood@tajir-app.com damaged stock handed over to vendor  on 07-Jun-2023"/>
    <hyperlink ref="L91" r:id="rId12" display="As per Discussion with furqan.ahmad@tajir-app.com, we will replace damage stock with fresh stock in next supply which will receive before 30-NOV-2023"/>
    <hyperlink ref="L96" r:id="rId13" display="As per instruction of junaid.mehmood@tajir-app.com damaged stock handed over to vendor  on 07-Jun-2023"/>
    <hyperlink ref="L116" r:id="rId14" display="As per instruction of junaid.mehmood@tajir-app.com damaged stock handed over to vendor  on 07-Jun-2023"/>
    <hyperlink ref="L133" r:id="rId15" display="As per instruction of junaid.mehmood@tajir-app.com damaged stock handed over to vendor  on 07-Jun-2023"/>
    <hyperlink ref="L135" r:id="rId16" display="As per instruction of junaid.mehmood@tajir-app.com damaged stock handed over to vendor  on 07-Jun-2023"/>
    <hyperlink ref="L145" r:id="rId17" display="As per instruction abdur.rahim@tajir-app.comdamaged stock has returend to vendor "/>
    <hyperlink ref="L146" r:id="rId18" display="As per instruction of junaid.mehmood@tajir-app.com damaged stock handed over to vendor  on 07-Jun-2023"/>
    <hyperlink ref="L147" r:id="rId19" display="As per instruction of junaid.mehmood@tajir-app.com damaged stock handed over to vendor  on 07-Jun-2023"/>
    <hyperlink ref="L148" r:id="rId20" display="As per instruction of junaid.mehmood@tajir-app.com damaged stock handed over to vendor  on 07-Jun-2023"/>
    <hyperlink ref="L152" r:id="rId21" display="As per instruction of junaid.mehmood@tajir-app.com damaged stock handed over to vendor  on 07-Jun-2023"/>
    <hyperlink ref="L155" r:id="rId22" display="As per Discussion with furqan.ahmad@tajir-app.com, we will replace damage stock with fresh stock in next supply which will receive before 30-NOV-2023"/>
    <hyperlink ref="L156" r:id="rId23" display="As per Discussion with furqan.ahmad@tajir-app.com, we will replace damage stock with fresh stock in next supply which will receive before 30-NOV-2023"/>
    <hyperlink ref="L208" r:id="rId24" display="As per Discussion with furqan.ahmad@tajir-app.com, we will replace damage stock with fresh stock in next supply which will receive before 30-NOV-2023"/>
    <hyperlink ref="L211" r:id="rId25" display="As per Discussion with furqan.ahmad@tajir-app.com, we will replace damage stock with fresh stock in next supply which will receive before 30-NOV-2023"/>
    <hyperlink ref="L212" r:id="rId26" display="As per instruction of abdur.rehman@tajir-app.com damaged stock handed over to vendor  on 19-07-2023"/>
    <hyperlink ref="L213" r:id="rId27" display="As per instruction of abdur.rehman@tajir-app.com damaged stock handed over to vendor  on 19-07-2023"/>
    <hyperlink ref="L224" r:id="rId28" display="As per instruction of abdur.rehman@tajir-app.com damaged stock handed over to vendor  on 19-07-2023"/>
    <hyperlink ref="L229" r:id="rId29" display="As per instruction of abdur.rehman@tajir-app.com damaged stock handed over to vendor  on 19-07-2023"/>
    <hyperlink ref="L230" r:id="rId30" display="As per instruction of abdur.rehman@tajir-app.com damaged stock handed over to vendor  on 19-07-2023"/>
    <hyperlink ref="L231" r:id="rId31" display="As per instruction of abdur.rehman@tajir-app.com damaged stock handed over to vendor  on 19-07-2023"/>
    <hyperlink ref="L232" r:id="rId32" display="As per instruction of abdur.rehman@tajir-app.com damaged stock handed over to vendor  on 19-07-2023"/>
    <hyperlink ref="L317" r:id="rId33" display="As per Discussion with abdur.rahim@tajir-app.com, we will replace damage stock with fresh stock in next supply which will receive before 30-AUG-2023"/>
    <hyperlink ref="L318" r:id="rId34" display="As per Discussion with abdur.rahim@tajir-app.com, we will replace damage stock with fresh stock in next supply which will receive before 30-AUG-2023"/>
    <hyperlink ref="L319" r:id="rId35" display="As per Discussion with abdur.rahim@tajir-app.com, we will replace damage stock with fresh stock in next supply which will receive before 30-AUG-2023"/>
    <hyperlink ref="L320" r:id="rId36" display="As per Discussion with abdur.rahim@tajir-app.com, we will replace damage stock with fresh stock in next supply which will receive before 30-AUG-2023"/>
    <hyperlink ref="L321" r:id="rId37" display="As per Discussion with abdur.rahim@tajir-app.com, we will replace damage stock with fresh stock in next supply which will receive before 30-AUG-2023"/>
    <hyperlink ref="L322" r:id="rId38" display="As per Discussion with abdur.rahim@tajir-app.com, we will replace damage stock with fresh stock in next supply which will receive before 30-AUG-2023"/>
    <hyperlink ref="L323" r:id="rId39" display="As per Discussion with abdur.rahim@tajir-app.com, we will replace damage stock with fresh stock in next supply which will receive before 30-Sep-2023"/>
    <hyperlink ref="L324" r:id="rId40" display="As per Discussion with abdul.raheem@tajir-app.com, we will replace damage stock with fresh stock in next supply which will receive before 30-Sep-2023"/>
    <hyperlink ref="L325" r:id="rId41" display="As per Discussion with abdul.raheem@tajir-app.com, we will replace damage stock with fresh stock in next supply which will receive before 30-Sep-2023"/>
    <hyperlink ref="L326" r:id="rId42" display="As per Discussion with junaid.mehmood@tajir-app.com, we will replace damage stock with fresh stock in next supply which will receive before 30-SEP-2023"/>
    <hyperlink ref="L327" r:id="rId43" display="As per Discussion with abdur.rahim@tajir-app.com, we will replace damage stock with fresh stock in next supply which will receive before 30-Sep-2023"/>
    <hyperlink ref="L328" r:id="rId44" display="As per Discussion with asif.mushtaq@tajir-app.com, we will replace damage stock with fresh stock in next supply which will receive before 30-Sep-2023"/>
    <hyperlink ref="L329" r:id="rId45" display="As per Discussion with abdul.raheem@tajir-app.com, we will replace damage stock with fresh stock in next supply which will receive before 30-Sep-2023"/>
    <hyperlink ref="L330" r:id="rId46" display="As per Discussion with abdul.raheem@tajir-app.com, we will replace damage stock with fresh stock in next supply which will receive before 30-Sep-2023"/>
    <hyperlink ref="L331" r:id="rId47" display="As per Discussion with abdul.raheem@tajir-app.com, we will replace damage stock with fresh stock in next supply which will receive before 30-Sep-2023"/>
    <hyperlink ref="L332" r:id="rId48" display="As per Discussion with junaid.mehmood@tajir-app.com, we will replace damage stock with fresh stock in next supply which will receive before 30-SEP-2023"/>
    <hyperlink ref="L333" r:id="rId49" display="As per Discussion with junaid.mehmood@tajir-app.com, we will replace damage stock with fresh stock in next supply which will receive before 30-SEP-2023"/>
    <hyperlink ref="L334" r:id="rId50" display="As per Discussion with junaid.mehmood@tajir-app.com, we will replace damage stock with fresh stock in next supply which will receive before 30-SEP-2023"/>
    <hyperlink ref="L335" r:id="rId51" display="As per Discussion with abdur.rahim@tajir-app.com, we will replace damage stock with fresh stock in next supply which will receive before 30-Sep-2023"/>
    <hyperlink ref="L336" r:id="rId52" display="As per Discussion with junaid.mehmood@tajir-app.com, we will replace damage stock with fresh stock in next supply which will receive before 30-SEP-2023"/>
    <hyperlink ref="L337" r:id="rId53" display="As per Discussion with abdul.raheem@tajir-app.com, we will replace damage stock with fresh stock in next supply which will receive before 30-Sep-2023"/>
    <hyperlink ref="L338" r:id="rId54" display="As per Discussion with abdul.raheem@tajir-app.com, we will replace damage stock with fresh stock in next supply which will receive before 30-Sep-2023"/>
    <hyperlink ref="L339" r:id="rId55" display="As per Discussion with abdul.raheem@tajir-app.com, we will replace damage stock with fresh stock in next supply which will receive before 30-Sep-2023"/>
    <hyperlink ref="L340" r:id="rId56" display="As per Discussion with abdul.raheem@tajir-app.com, we will replace damage stock with fresh stock in next supply which will receive before 30-Sep-2023"/>
    <hyperlink ref="L341" r:id="rId57" display="As per Discussion with abdul.raheem@tajir-app.com, we will replace damage stock with fresh stock in next supply which will receive before 30-Sep-2023"/>
    <hyperlink ref="L342" r:id="rId58" display="As per Discussion with abdul.raheem@tajir-app.com, we will replace damage stock with fresh stock in next supply which will receive before 30-Sep-2023"/>
    <hyperlink ref="L343" r:id="rId59" display="As per Discussion with abdul.raheem@tajir-app.com, we will replace damage stock with fresh stock in next supply which will receive before 30-Sep-2023"/>
    <hyperlink ref="L344" r:id="rId60" display="As per Discussion with abdul.raheem@tajir-app.com, we will replace damage stock with fresh stock in next supply which will receive before 30-Sep-2023"/>
    <hyperlink ref="L345" r:id="rId61" display="As per Discussion with junaid.mehmood@tajir-app.com, we will replace damage stock with fresh stock in next supply which will receive before 30-SEP-2023"/>
    <hyperlink ref="L346" r:id="rId62" display="As per Discussion with abdul.raheem@tajir-app.com, we will replace damage stock with fresh stock in next supply which will receive before 30-Sep-2023"/>
    <hyperlink ref="L347" r:id="rId63" display="As per Discussion with abdul.raheem@tajir-app.com, we will replace damage stock with fresh stock in next supply which will receive before 30-Sep-2023"/>
    <hyperlink ref="L348" r:id="rId64" display="As per Discussion with abdul.raheem@tajir-app.com, we will replace damage stock with fresh stock in next supply which will receive before 30-Sep-2023"/>
    <hyperlink ref="L349" r:id="rId65" display="As per Discussion with abdul.raheem@tajir-app.com, we will replace damage stock with fresh stock in next supply which will receive before 30-Sep-2023"/>
    <hyperlink ref="L350" r:id="rId66" display="As per Discussion with abdul.raheem@tajir-app.com, we will replace damage stock with fresh stock in next supply which will receive before 30-Sep-2023"/>
    <hyperlink ref="L351" r:id="rId67" display="As per Discussion with abdul.raheem@tajir-app.com, we will replace damage stock with fresh stock in next supply which will receive before 30-Sep-2023"/>
    <hyperlink ref="L352" r:id="rId68" display="As per Discussion with abdul.raheem@tajir-app.com, we will replace damage stock with fresh stock in next supply which will receive before 30-Sep-2023"/>
    <hyperlink ref="L353" r:id="rId69" display="As per Discussion with abdul.raheem@tajir-app.com, we will replace damage stock with fresh stock in next supply which will receive before 30-Sep-2023"/>
    <hyperlink ref="L354" r:id="rId70" display="As per Discussion with abdul.raheem@tajir-app.com, we will replace damage stock with fresh stock in next supply which will receive before 30-Sep-2023"/>
    <hyperlink ref="L355" r:id="rId71" display="As per Discussion with abdul.raheem@tajir-app.com, we will replace damage stock with fresh stock in next supply which will receive before 30-Sep-2023"/>
    <hyperlink ref="L356" r:id="rId72" display="As per Discussion with junaid.mehmood@tajir-app.com, we will replace damage stock with fresh stock in next supply which will receive before 30-SEP-2023"/>
    <hyperlink ref="L357" r:id="rId73" display="As per Discussion with junaid.mehmood@tajir-app.com, we will replace damage stock with fresh stock in next supply which will receive before 30-SEP-2023"/>
    <hyperlink ref="L359" r:id="rId74" display="As per Discussion with abdul.raheem@tajir-app.com, we will replace damage stock with fresh stock in next supply which will receive before 30-Sep-2023"/>
    <hyperlink ref="L360" r:id="rId75" display="As per Discussion with abdul.raheem@tajir-app.com, we will replace damage stock with fresh stock in next supply which will receive before 30-Sep-2023"/>
    <hyperlink ref="L361" r:id="rId76" display="As per Discussion with abdul.raheem@tajir-app.com, we will replace damage stock with fresh stock in next supply which will receive before 30-Sep-2023"/>
    <hyperlink ref="L362" r:id="rId77" display="As per Discussion with abdul.raheem@tajir-app.com, we will replace damage stock with fresh stock in next supply which will receive before 30-Sep-2023"/>
    <hyperlink ref="L363" r:id="rId78" display="As per Discussion with abdul.raheem@tajir-app.com, we will replace damage stock with fresh stock in next supply which will receive before 30-Sep-2023"/>
    <hyperlink ref="L364" r:id="rId79" display="As per Discussion with abdul.raheem@tajir-app.com, we will replace damage stock with fresh stock in next supply which will receive before 30-Sep-2023"/>
    <hyperlink ref="L365" r:id="rId80" display="As per Discussion with abdul.raheem@tajir-app.com, we will replace damage stock with fresh stock in next supply which will receive before 30-Sep-2023"/>
    <hyperlink ref="L366" r:id="rId81" display="As per Discussion with abdul.raheem@tajir-app.com, we will replace damage stock with fresh stock in next supply which will receive before 30-Sep-2023"/>
    <hyperlink ref="L367" r:id="rId82" display="As per Discussion with abdul.raheem@tajir-app.com, we will replace damage stock with fresh stock in next supply which will receive before 30-Sep-2023"/>
    <hyperlink ref="L368" r:id="rId83" display="As per Discussion with abdul.raheem@tajir-app.com, we will replace damage stock with fresh stock in next supply which will receive before 30-Sep-2023"/>
    <hyperlink ref="L369" r:id="rId84" display="As per Discussion with abdul.raheem@tajir-app.com, we will replace damage stock with fresh stock in next supply which will receive before 30-Sep-2023"/>
    <hyperlink ref="L370" r:id="rId85" display="As per Discussion with junaid.mehmood@tajir-app.com, we will replace damage stock with fresh stock in next supply which will receive before 30-SEP-2023"/>
    <hyperlink ref="L371" r:id="rId86" display="As per Discussion with junaid.mehmood@tajir-app.com, we will replace damage stock with fresh stock in next supply which will receive before 30-SEP-2023"/>
    <hyperlink ref="L372" r:id="rId87" display="As per Discussion with abdul.raheem@tajir-app.com, we will replace damage stock with fresh stock in next supply which will receive before 30-Sep-2023"/>
    <hyperlink ref="L373" r:id="rId88" display="As per Discussion with abdul.raheem@tajir-app.com, we will replace damage stock with fresh stock in next supply which will receive before 30-Sep-2023"/>
    <hyperlink ref="L374" r:id="rId89" display="As per Discussion with junaid.mehmood@tajir-app.com, we will replace damage stock with fresh stock in next supply which will receive before 30-SEP-2023"/>
    <hyperlink ref="L375" r:id="rId90" display="As per Discussion with junaid.mehmood@tajir-app.com, we will replace damage stock with fresh stock in next supply which will receive before 30-SEP-2023"/>
    <hyperlink ref="L378" r:id="rId91" display="As per Discussion with junaid.mehmood@tajir-app.com, we will replace damage stock with fresh stock in next supply which will receive before 30-SEP-2023"/>
    <hyperlink ref="L379" r:id="rId92" display="As per Discussion with junaid.mehmood@tajir-app.com, we will replace damage stock with fresh stock in next supply which will receive before 31-OCT-2023"/>
    <hyperlink ref="L382" r:id="rId93" display="As per Discussion with junaid.mehmood@tajir-app.com, we will replace damage stock with fresh stock in next supply which will receive before 31-OCT-2023"/>
    <hyperlink ref="L383" r:id="rId94" display="As per Discussion with junaid.mehmood@tajir-app.com, we will replace damage stock with fresh stock in next supply which will receive before 31-OCT-2023"/>
    <hyperlink ref="L384" r:id="rId95" display="As per Discussion with junaid.mehmood@tajir-app.com, we will replace damage stock with fresh stock in next supply which will receive before 31-OCT-2023"/>
    <hyperlink ref="L387" r:id="rId96" display="As per Discussion with junaid.mehmood@tajir-app.com, we will replace damage stock with fresh stock in next supply which will receive before 31-OCT-2023"/>
    <hyperlink ref="L388" r:id="rId97" display="As per Discussion with junaid.mehmood@tajir-app.com, we will replace damage stock with fresh stock in next supply which will receive before 31-OCT-2023"/>
    <hyperlink ref="L389" r:id="rId98" display="As per Discussion with junaid.mehmood@tajir-app.com, we will replace damage stock with fresh stock in next supply which will receive before 31-OCT-2023"/>
    <hyperlink ref="L392" r:id="rId99" display="As per Discussion with junaid.mehmood@tajir-app.com, we will replace damage stock with fresh stock in next supply which will receive before 31-OCT-2023"/>
    <hyperlink ref="L393" r:id="rId100" display="As per Discussion with furqan.ahmad@tajir-app.com, we will replace damage stock with fresh stock in next supply which will receive before 30-NOV-2023"/>
    <hyperlink ref="L403" r:id="rId101" display="As per Discussion with junaid.mehmood@tajir-app.com, we will replace damage stock with fresh stock in next supply which will receive before 31-OCT-2023"/>
    <hyperlink ref="L404" r:id="rId102" display="As per Discussion with junaid.mehmood@tajir-app.com, we will replace damage stock with fresh stock in next supply which will receive before 31-OCT-2023"/>
    <hyperlink ref="L419" r:id="rId103" display="As per Discussion with junaid.mehmood@tajir-app.com, we will replace damage stock with fresh stock in next supply which will receive before 31-OCT-2023"/>
    <hyperlink ref="L420" r:id="rId104" display="As per Discussion with junaid.mehmood@tajir-app.com, we will replace damage stock with fresh stock in next supply which will receive before 31-OCT-2023"/>
    <hyperlink ref="L428" r:id="rId105" display="As per Discussion with furqan.ahmad@tajir-app.com, we will replace damage stock with fresh stock in next supply which will receive before 30-NOV-2023"/>
    <hyperlink ref="L436" r:id="rId106" display="As per Discussion with junaid.mehmood@tajir-app.com, we will replace damage stock with fresh stock in next supply which will receive before 31-OCT-2023"/>
    <hyperlink ref="L440" r:id="rId107" display="As per Discussion with furqan.ahmad@tajir-app.com, we will replace damage stock with fresh stock in next supply which will receive before 30-NOV-2023"/>
    <hyperlink ref="L452" r:id="rId108" display="As per Discussion with junaid.mehmood@tajir-app.com, we will replace damage stock with fresh stock in next supply which will receive before 31-OCT-2023"/>
    <hyperlink ref="L453" r:id="rId109" display="As per Discussion with junaid.mehmood@tajir-app.com, we will replace damage stock with fresh stock in next supply which will receive before 31-OCT-2023"/>
    <hyperlink ref="L456" r:id="rId110" display="As per Discussion with junaid.mehmood@tajir-app.com, we will replace damage stock with fresh stock in next supply which will receive before 31-OCT-2023"/>
    <hyperlink ref="L457" r:id="rId111" display="As per Discussion with junaid.mehmood@tajir-app.com, we will replace damage stock with fresh stock in next supply which will receive before 31-OCT-2023"/>
    <hyperlink ref="L469" r:id="rId112" display="As per Discussion with junaid.mehmood@tajir-app.com, we will replace damage stock with fresh stock in next supply which will receive before 31-OCT-2023"/>
    <hyperlink ref="L470" r:id="rId113" display="As per Discussion with junaid.mehmood@tajir-app.com, we will replace damage stock with fresh stock in next supply which will receive before 30-NOV-2023"/>
    <hyperlink ref="L473" r:id="rId114" display="As per Discussion with furqan.ahmad@tajir-app.com, we will replace damage stock with fresh stock in next supply which will receive before 30-NOV-2023"/>
    <hyperlink ref="L474" r:id="rId115" display="As per Discussion with junaid.mehmood@tajir-app.com, we will replace damage stock with fresh stock in next supply which will receive before 30-NOV-2023"/>
    <hyperlink ref="L475" r:id="rId116" display="As per Discussion with junaid.mehmood@tajir-app.com, we will replace damage stock with fresh stock in next supply which will receive before 30-NOV-2023"/>
    <hyperlink ref="L476" r:id="rId117" display="As per Discussion with junaid.mehmood@tajir-app.com, we will replace damage stock with fresh stock in next supply which will receive before 30-NOV-2023"/>
    <hyperlink ref="L479" r:id="rId118" display="As per Discussion with junaid.mehmood@tajir-app.com, we will replace damage stock with fresh stock in next supply which will receive before 30-NOV-2023"/>
    <hyperlink ref="L481" r:id="rId119" display="As per Discussion with junaid.mehmood@tajir-app.com, we will replace damage stock with fresh stock in next supply which will receive before 30-NOV-2023"/>
    <hyperlink ref="L482" r:id="rId120" display="As per Discussion with junaid.mehmood@tajir-app.com, we will replace damage stock with fresh stock in next supply which will receive before 30-NOV-2023"/>
    <hyperlink ref="L483" r:id="rId121" display="As per Discussion with junaid.mehmood@tajir-app.com, we will replace damage stock with fresh stock in next supply which will receive before 30-NOV-2023"/>
    <hyperlink ref="L484" r:id="rId122" display="As per Discussion with junaid.mehmood@tajir-app.com, we will replace damage stock with fresh stock in next supply which will receive before 30-NOV-2023"/>
    <hyperlink ref="L485" r:id="rId123" display="As per Discussion with junaid.mehmood@tajir-app.com, we will replace damage stock with fresh stock in next supply which will receive before 30-NOV-2023"/>
    <hyperlink ref="L486" r:id="rId124" display="As per Discussion with junaid.mehmood@tajir-app.com, we will replace damage stock with fresh stock in next supply which will receive before 30-NOV-2023"/>
    <hyperlink ref="L487" r:id="rId125" display="As per Discussion with junaid.mehmood@tajir-app.com, we will replace damage stock with fresh stock in next supply which will receive before 30-NOV-2023"/>
    <hyperlink ref="L488" r:id="rId126" display="As per Discussion with junaid.mehmood@tajir-app.com, we will replace damage stock with fresh stock in next supply which will receive before 30-NOV-2023"/>
    <hyperlink ref="L489" r:id="rId127" display="As per Discussion with junaid.mehmood@tajir-app.com, we will replace damage stock with fresh stock in next supply which will receive before 30-NOV-2023"/>
    <hyperlink ref="L490" r:id="rId128" display="As per Discussion with junaid.mehmood@tajir-app.com, we will replace damage stock with fresh stock in next supply which will receive before 30-NOV-2023"/>
    <hyperlink ref="L491" r:id="rId129" display="As per Discussion with junaid.mehmood@tajir-app.com, we will replace damage stock with fresh stock in next supply which will receive before 30-NOV-2023"/>
    <hyperlink ref="L494" r:id="rId130" display="As per Discussion with junaid.mehmood@tajir-app.com, we will replace damage stock with fresh stock in next supply which will receive before 30-NOV-2023"/>
    <hyperlink ref="L495" r:id="rId131" display="As per Discussion with junaid.mehmood@tajir-app.com, we will replace damage stock with fresh stock in next supply which will receive before 30-NOV-2023"/>
    <hyperlink ref="L497" r:id="rId132" display="As per Discussion with junaid.mehmood@tajir-app.com, we will replace damage stock with fresh stock in next supply which will receive before 30-NOV-2023"/>
    <hyperlink ref="L498" r:id="rId133" display="As per Discussion with junaid.mehmood@tajir-app.com, we will replace damage stock with fresh stock in next supply which will receive before 30-NOV-2023"/>
    <hyperlink ref="L499" r:id="rId134" display="As per Discussion with junaid.mehmood@tajir-app.com, we will replace damage stock with fresh stock in next supply which will receive before 30-NOV-2023"/>
    <hyperlink ref="L500" r:id="rId135" display="As per Discussion with junaid.mehmood@tajir-app.com, we will replace damage stock with fresh stock in next supply which will receive before 30-NOV-2023"/>
    <hyperlink ref="L502" r:id="rId136" display="As per Discussion with junaid.mehmood@tajir-app.com, we will replace damage stock with fresh stock in next supply which will receive before 30-NOV-2023"/>
    <hyperlink ref="L504" r:id="rId137" display="As per Discussion with junaid.mehmood@tajir-app.com, we will replace damage stock with fresh stock in next supply which will receive before 30-NOV-2023"/>
    <hyperlink ref="L505" r:id="rId138" display="As per Discussion with junaid.mehmood@tajir-app.com, we will replace damage stock with fresh stock in next supply which will receive before 30-NOV-2023"/>
    <hyperlink ref="L507" r:id="rId139" display="As per Discussion with junaid.mehmood@tajir-app.com, we will replace damage stock with fresh stock in next supply which will receive before 30-NOV-2023"/>
    <hyperlink ref="L508" r:id="rId140" display="As per Discussion with junaid.mehmood@tajir-app.com, we will replace damage stock with fresh stock in next supply which will receive before 30-NOV-2023"/>
    <hyperlink ref="L509" r:id="rId141" display="As per Discussion with junaid.mehmood@tajir-app.com, we will replace damage stock with fresh stock in next supply which will receive before 30-NOV-2023"/>
    <hyperlink ref="L510" r:id="rId142" display="As per Discussion with junaid.mehmood@tajir-app.com, we will replace damage stock with fresh stock in next supply which will receive before 30-NOV-2023"/>
    <hyperlink ref="L511" r:id="rId143" display="As per Discussion with junaid.mehmood@tajir-app.com, we will replace damage stock with fresh stock in next supply which will receive before 30-NOV-2023"/>
    <hyperlink ref="L512" r:id="rId144" display="As per Discussion with junaid.mehmood@tajir-app.com, we will replace damage stock with fresh stock in next supply which will receive before 30-NOV-2023"/>
  </hyperlinks>
  <printOptions headings="false" gridLines="true" gridLinesSet="true" horizontalCentered="true" verticalCentered="false"/>
  <pageMargins left="0.7" right="0.7" top="0.75" bottom="0.75" header="0.511811023622047" footer="0.511811023622047"/>
  <pageSetup paperSize="1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  <drawing r:id="rId145"/>
  <legacyDrawing r:id="rId146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7" min="17" style="0" width="58.26"/>
    <col collapsed="false" customWidth="true" hidden="false" outlineLevel="0" max="18" min="18" style="0" width="23.24"/>
    <col collapsed="false" customWidth="true" hidden="false" outlineLevel="0" max="20" min="20" style="0" width="23.24"/>
  </cols>
  <sheetData>
    <row r="1" customFormat="false" ht="15.75" hidden="false" customHeight="false" outlineLevel="0" collapsed="false">
      <c r="A1" s="54"/>
      <c r="B1" s="20"/>
      <c r="C1" s="20"/>
      <c r="D1" s="20"/>
      <c r="E1" s="55" t="n">
        <v>45047</v>
      </c>
      <c r="F1" s="43"/>
      <c r="G1" s="56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customFormat="false" ht="15.75" hidden="false" customHeight="false" outlineLevel="0" collapsed="false">
      <c r="A2" s="15" t="s">
        <v>0</v>
      </c>
      <c r="B2" s="15" t="s">
        <v>1</v>
      </c>
      <c r="C2" s="15" t="s">
        <v>2</v>
      </c>
      <c r="D2" s="15" t="s">
        <v>3</v>
      </c>
      <c r="E2" s="15" t="s">
        <v>4</v>
      </c>
      <c r="F2" s="17" t="s">
        <v>5</v>
      </c>
      <c r="G2" s="57" t="s">
        <v>6</v>
      </c>
      <c r="H2" s="15" t="s">
        <v>7</v>
      </c>
      <c r="I2" s="15" t="s">
        <v>8</v>
      </c>
      <c r="J2" s="15" t="s">
        <v>9</v>
      </c>
      <c r="K2" s="15" t="s">
        <v>10</v>
      </c>
      <c r="L2" s="15" t="s">
        <v>11</v>
      </c>
      <c r="M2" s="15" t="s">
        <v>12</v>
      </c>
      <c r="N2" s="15" t="s">
        <v>13</v>
      </c>
      <c r="O2" s="15" t="s">
        <v>14</v>
      </c>
      <c r="P2" s="15" t="s">
        <v>15</v>
      </c>
      <c r="Q2" s="15" t="s">
        <v>2152</v>
      </c>
      <c r="R2" s="15" t="s">
        <v>2153</v>
      </c>
      <c r="S2" s="15" t="s">
        <v>7</v>
      </c>
      <c r="T2" s="58" t="s">
        <v>2336</v>
      </c>
      <c r="U2" s="15"/>
      <c r="V2" s="15"/>
      <c r="W2" s="15"/>
      <c r="X2" s="15"/>
      <c r="Y2" s="15"/>
      <c r="Z2" s="15"/>
    </row>
    <row r="3" customFormat="false" ht="15.75" hidden="false" customHeight="false" outlineLevel="0" collapsed="false">
      <c r="A3" s="13" t="str">
        <f aca="false">IFERROR(__xludf.dummyfunction("sort(FILTER('Raw Data'!A:Q,'Raw Data'!H:H=""expired stock"",'Raw Data'!F:F&gt;=E1),6,1,7,1)"),"Metro DC Faisalabad")</f>
        <v>Metro DC Faisalabad</v>
      </c>
      <c r="B3" s="13" t="str">
        <f aca="false">IFERROR(__xludf.dummyfunction("""COMPUTED_VALUE"""),"4485a552-0e60-4f2e-8416-e5b7d925a5be")</f>
        <v>4485a552-0e60-4f2e-8416-e5b7d925a5be</v>
      </c>
      <c r="C3" s="13" t="str">
        <f aca="false">IFERROR(__xludf.dummyfunction("""COMPUTED_VALUE"""),"Bisconni Chocolate Chip Biscuits 25pcs Rs7")</f>
        <v>Bisconni Chocolate Chip Biscuits 25pcs Rs7</v>
      </c>
      <c r="D3" s="13" t="str">
        <f aca="false">IFERROR(__xludf.dummyfunction("""COMPUTED_VALUE"""),"Bisconni")</f>
        <v>Bisconni</v>
      </c>
      <c r="E3" s="13" t="str">
        <f aca="false">IFERROR(__xludf.dummyfunction("""COMPUTED_VALUE"""),"Biscuits, Wafers")</f>
        <v>Biscuits, Wafers</v>
      </c>
      <c r="F3" s="11" t="n">
        <f aca="false">IFERROR(__xludf.dummyfunction("""COMPUTED_VALUE"""),45063)</f>
        <v>45063</v>
      </c>
      <c r="G3" s="16" t="n">
        <f aca="false">IFERROR(__xludf.dummyfunction("""COMPUTED_VALUE"""),0.590170335649792)</f>
        <v>0.5901703356</v>
      </c>
      <c r="H3" s="13" t="str">
        <f aca="false">IFERROR(__xludf.dummyfunction("""COMPUTED_VALUE"""),"expired stock")</f>
        <v>expired stock</v>
      </c>
      <c r="I3" s="13" t="n">
        <f aca="false">IFERROR(__xludf.dummyfunction("""COMPUTED_VALUE"""),672)</f>
        <v>672</v>
      </c>
      <c r="J3" s="13" t="n">
        <f aca="false">IFERROR(__xludf.dummyfunction("""COMPUTED_VALUE"""),153)</f>
        <v>153</v>
      </c>
      <c r="K3" s="13" t="n">
        <f aca="false">IFERROR(__xludf.dummyfunction("""COMPUTED_VALUE"""),102816)</f>
        <v>102816</v>
      </c>
      <c r="L3" s="13" t="str">
        <f aca="false">IFERROR(__xludf.dummyfunction("""COMPUTED_VALUE"""),"[Code: 58DDEE] [Expiry: 19 May, 2023] Short Expiry Stock")</f>
        <v>[Code: 58DDEE] [Expiry: 19 May, 2023] Short Expiry Stock</v>
      </c>
      <c r="M3" s="13" t="str">
        <f aca="false">IFERROR(__xludf.dummyfunction("""COMPUTED_VALUE"""),"58DDEE")</f>
        <v>58DDEE</v>
      </c>
      <c r="N3" s="13" t="str">
        <f aca="false">IFERROR(__xludf.dummyfunction("""COMPUTED_VALUE"""),"19 May, 2023")</f>
        <v>19 May, 2023</v>
      </c>
      <c r="O3" s="13" t="str">
        <f aca="false">IFERROR(__xludf.dummyfunction("""COMPUTED_VALUE"""),"ali.raza@tajir-app.com")</f>
        <v>ali.raza@tajir-app.com</v>
      </c>
      <c r="P3" s="13" t="str">
        <f aca="false">IFERROR(__xludf.dummyfunction("""COMPUTED_VALUE"""),"Ali Raza ")</f>
        <v>Ali Raza </v>
      </c>
      <c r="Q3" s="13" t="str">
        <f aca="false">IFERROR(__xludf.dummyfunction("""COMPUTED_VALUE"""),"[Code: 58DDEE] [Expiry: 19 May, 2023] Short Expiry Stock")</f>
        <v>[Code: 58DDEE] [Expiry: 19 May, 2023] Short Expiry Stock</v>
      </c>
      <c r="R3" s="20" t="str">
        <f aca="false" t="array" ref="R3:R1000">IF(ISBLANK(G3:G1000),"", TEXT(F3:F1000,"DDD, DD-MMM-YYYY")&amp;", "&amp;TEXT(G3:G1000,"HH:MM AM/PM"))</f>
        <v>Wed, 17-May-2023, 02:09 PM</v>
      </c>
      <c r="S3" s="20" t="str">
        <f aca="false" t="array" ref="S3:S1000">IF(H3:H1000="expired stock","Expired stock","")</f>
        <v>Expired stock</v>
      </c>
      <c r="T3" s="59" t="e">
        <f aca="false" t="array" ref="T3:T1000">IF(ISBLANK(N3:N1000),,(N3:N1000-F3:F1000))</f>
        <v>#VALUE!</v>
      </c>
    </row>
    <row r="4" customFormat="false" ht="15.75" hidden="false" customHeight="false" outlineLevel="0" collapsed="false">
      <c r="A4" s="13" t="str">
        <f aca="false">IFERROR(__xludf.dummyfunction("""COMPUTED_VALUE"""),"Metro DC Faisalabad")</f>
        <v>Metro DC Faisalabad</v>
      </c>
      <c r="B4" s="13" t="str">
        <f aca="false">IFERROR(__xludf.dummyfunction("""COMPUTED_VALUE"""),"aedc6661-7714-4dbb-a1ca-818b0f964c8e")</f>
        <v>aedc6661-7714-4dbb-a1ca-818b0f964c8e</v>
      </c>
      <c r="C4" s="13" t="str">
        <f aca="false">IFERROR(__xludf.dummyfunction("""COMPUTED_VALUE"""),"Sunridge Super Fortified Atta 15kg")</f>
        <v>Sunridge Super Fortified Atta 15kg</v>
      </c>
      <c r="D4" s="13" t="str">
        <f aca="false">IFERROR(__xludf.dummyfunction("""COMPUTED_VALUE"""),"Sunridge")</f>
        <v>Sunridge</v>
      </c>
      <c r="E4" s="13" t="str">
        <f aca="false">IFERROR(__xludf.dummyfunction("""COMPUTED_VALUE"""),"Flour")</f>
        <v>Flour</v>
      </c>
      <c r="F4" s="11" t="n">
        <f aca="false">IFERROR(__xludf.dummyfunction("""COMPUTED_VALUE"""),45078)</f>
        <v>45078</v>
      </c>
      <c r="G4" s="16" t="n">
        <f aca="false">IFERROR(__xludf.dummyfunction("""COMPUTED_VALUE"""),0.535605821757923)</f>
        <v>0.5356058218</v>
      </c>
      <c r="H4" s="13" t="str">
        <f aca="false">IFERROR(__xludf.dummyfunction("""COMPUTED_VALUE"""),"expired stock")</f>
        <v>expired stock</v>
      </c>
      <c r="I4" s="13" t="n">
        <f aca="false">IFERROR(__xludf.dummyfunction("""COMPUTED_VALUE"""),278)</f>
        <v>278</v>
      </c>
      <c r="J4" s="13" t="n">
        <f aca="false">IFERROR(__xludf.dummyfunction("""COMPUTED_VALUE"""),2200)</f>
        <v>2200</v>
      </c>
      <c r="K4" s="13" t="n">
        <f aca="false">IFERROR(__xludf.dummyfunction("""COMPUTED_VALUE"""),611600)</f>
        <v>611600</v>
      </c>
      <c r="L4" s="13" t="str">
        <f aca="false">IFERROR(__xludf.dummyfunction("""COMPUTED_VALUE"""),"[Code: 38899A] [Expiry: 4 Jun, 2023] AR: Stock Removed due to near to expiry ")</f>
        <v>[Code: 38899A] [Expiry: 4 Jun, 2023] AR: Stock Removed due to near to expiry </v>
      </c>
      <c r="M4" s="13" t="str">
        <f aca="false">IFERROR(__xludf.dummyfunction("""COMPUTED_VALUE"""),"38899A")</f>
        <v>38899A</v>
      </c>
      <c r="N4" s="13" t="str">
        <f aca="false">IFERROR(__xludf.dummyfunction("""COMPUTED_VALUE"""),"4 Jun, 2023")</f>
        <v>4 Jun, 2023</v>
      </c>
      <c r="O4" s="13" t="str">
        <f aca="false">IFERROR(__xludf.dummyfunction("""COMPUTED_VALUE"""),"ali.raza@tajir-app.com")</f>
        <v>ali.raza@tajir-app.com</v>
      </c>
      <c r="P4" s="13" t="str">
        <f aca="false">IFERROR(__xludf.dummyfunction("""COMPUTED_VALUE"""),"Ali Raza ")</f>
        <v>Ali Raza </v>
      </c>
      <c r="Q4" s="13" t="str">
        <f aca="false">IFERROR(__xludf.dummyfunction("""COMPUTED_VALUE"""),"[Code: 38899A] [Expiry: 4 Jun, 2023] AR: Stock Removed due to near to expiry ")</f>
        <v>[Code: 38899A] [Expiry: 4 Jun, 2023] AR: Stock Removed due to near to expiry </v>
      </c>
      <c r="R4" s="13" t="str">
        <v>Thu, 01-Jun-2023, 12:51 PM</v>
      </c>
      <c r="S4" s="13" t="str">
        <v>Expired stock</v>
      </c>
      <c r="T4" s="13" t="e">
        <v>#VALUE!</v>
      </c>
    </row>
    <row r="5" customFormat="false" ht="15.75" hidden="false" customHeight="false" outlineLevel="0" collapsed="false">
      <c r="A5" s="13" t="str">
        <f aca="false">IFERROR(__xludf.dummyfunction("""COMPUTED_VALUE"""),"Metro DC Faisalabad")</f>
        <v>Metro DC Faisalabad</v>
      </c>
      <c r="B5" s="13" t="str">
        <f aca="false">IFERROR(__xludf.dummyfunction("""COMPUTED_VALUE"""),"827ffe30-f763-442e-b6dc-a1da20601720")</f>
        <v>827ffe30-f763-442e-b6dc-a1da20601720</v>
      </c>
      <c r="C5" s="13" t="str">
        <f aca="false">IFERROR(__xludf.dummyfunction("""COMPUTED_VALUE"""),"Kolson Jam Hearts Strawberry and Vanilla Biscuits Bar Pack 12pcs Rs15")</f>
        <v>Kolson Jam Hearts Strawberry and Vanilla Biscuits Bar Pack 12pcs Rs15</v>
      </c>
      <c r="D5" s="13" t="str">
        <f aca="false">IFERROR(__xludf.dummyfunction("""COMPUTED_VALUE"""),"Kolson")</f>
        <v>Kolson</v>
      </c>
      <c r="E5" s="13" t="str">
        <f aca="false">IFERROR(__xludf.dummyfunction("""COMPUTED_VALUE"""),"Biscuits, Wafers")</f>
        <v>Biscuits, Wafers</v>
      </c>
      <c r="F5" s="11" t="n">
        <f aca="false">IFERROR(__xludf.dummyfunction("""COMPUTED_VALUE"""),45083)</f>
        <v>45083</v>
      </c>
      <c r="G5" s="16" t="n">
        <f aca="false">IFERROR(__xludf.dummyfunction("""COMPUTED_VALUE"""),0.516256990741323)</f>
        <v>0.5162569907</v>
      </c>
      <c r="H5" s="13" t="str">
        <f aca="false">IFERROR(__xludf.dummyfunction("""COMPUTED_VALUE"""),"expired stock")</f>
        <v>expired stock</v>
      </c>
      <c r="I5" s="13" t="n">
        <f aca="false">IFERROR(__xludf.dummyfunction("""COMPUTED_VALUE"""),80)</f>
        <v>80</v>
      </c>
      <c r="J5" s="13" t="n">
        <f aca="false">IFERROR(__xludf.dummyfunction("""COMPUTED_VALUE"""),159.8)</f>
        <v>159.8</v>
      </c>
      <c r="K5" s="13" t="n">
        <f aca="false">IFERROR(__xludf.dummyfunction("""COMPUTED_VALUE"""),12784)</f>
        <v>12784</v>
      </c>
      <c r="L5" s="13" t="str">
        <f aca="false">IFERROR(__xludf.dummyfunction("""COMPUTED_VALUE"""),"[Code: 44599A] [Expiry: 27 Jun, 2023] 80 units found short expiry")</f>
        <v>[Code: 44599A] [Expiry: 27 Jun, 2023] 80 units found short expiry</v>
      </c>
      <c r="M5" s="13" t="str">
        <f aca="false">IFERROR(__xludf.dummyfunction("""COMPUTED_VALUE"""),"44599A")</f>
        <v>44599A</v>
      </c>
      <c r="N5" s="13" t="str">
        <f aca="false">IFERROR(__xludf.dummyfunction("""COMPUTED_VALUE"""),"27 Jun, 2023")</f>
        <v>27 Jun, 2023</v>
      </c>
      <c r="O5" s="13" t="str">
        <f aca="false">IFERROR(__xludf.dummyfunction("""COMPUTED_VALUE"""),"ali.raza@tajir-app.com")</f>
        <v>ali.raza@tajir-app.com</v>
      </c>
      <c r="P5" s="13" t="str">
        <f aca="false">IFERROR(__xludf.dummyfunction("""COMPUTED_VALUE"""),"Ali Raza ")</f>
        <v>Ali Raza </v>
      </c>
      <c r="Q5" s="13" t="str">
        <f aca="false">IFERROR(__xludf.dummyfunction("""COMPUTED_VALUE"""),"[Code: 44599A] [Expiry: 27 Jun, 2023] 80 units found short expiry")</f>
        <v>[Code: 44599A] [Expiry: 27 Jun, 2023] 80 units found short expiry</v>
      </c>
      <c r="R5" s="13" t="str">
        <v>Tue, 06-Jun-2023, 12:23 PM</v>
      </c>
      <c r="S5" s="13" t="str">
        <v>Expired stock</v>
      </c>
      <c r="T5" s="13" t="e">
        <v>#VALUE!</v>
      </c>
    </row>
    <row r="6" customFormat="false" ht="15.75" hidden="false" customHeight="false" outlineLevel="0" collapsed="false">
      <c r="A6" s="13" t="str">
        <f aca="false">IFERROR(__xludf.dummyfunction("""COMPUTED_VALUE"""),"Metro DC Faisalabad")</f>
        <v>Metro DC Faisalabad</v>
      </c>
      <c r="B6" s="13" t="str">
        <f aca="false">IFERROR(__xludf.dummyfunction("""COMPUTED_VALUE"""),"e6bf5f33-817a-4aa8-b7f2-68b529324ca2")</f>
        <v>e6bf5f33-817a-4aa8-b7f2-68b529324ca2</v>
      </c>
      <c r="C6" s="13" t="str">
        <f aca="false">IFERROR(__xludf.dummyfunction("""COMPUTED_VALUE"""),"Top Breading Flour 11kg")</f>
        <v>Top Breading Flour 11kg</v>
      </c>
      <c r="D6" s="13" t="str">
        <f aca="false">IFERROR(__xludf.dummyfunction("""COMPUTED_VALUE"""),"Yadgar Atta")</f>
        <v>Yadgar Atta</v>
      </c>
      <c r="E6" s="13" t="str">
        <f aca="false">IFERROR(__xludf.dummyfunction("""COMPUTED_VALUE"""),"Flour")</f>
        <v>Flour</v>
      </c>
      <c r="F6" s="11" t="n">
        <f aca="false">IFERROR(__xludf.dummyfunction("""COMPUTED_VALUE"""),45085)</f>
        <v>45085</v>
      </c>
      <c r="G6" s="16" t="n">
        <f aca="false">IFERROR(__xludf.dummyfunction("""COMPUTED_VALUE"""),0.420089386573077)</f>
        <v>0.4200893866</v>
      </c>
      <c r="H6" s="13" t="str">
        <f aca="false">IFERROR(__xludf.dummyfunction("""COMPUTED_VALUE"""),"expired stock")</f>
        <v>expired stock</v>
      </c>
      <c r="I6" s="13" t="n">
        <f aca="false">IFERROR(__xludf.dummyfunction("""COMPUTED_VALUE"""),3)</f>
        <v>3</v>
      </c>
      <c r="J6" s="13" t="n">
        <f aca="false">IFERROR(__xludf.dummyfunction("""COMPUTED_VALUE"""),1825)</f>
        <v>1825</v>
      </c>
      <c r="K6" s="13" t="n">
        <f aca="false">IFERROR(__xludf.dummyfunction("""COMPUTED_VALUE"""),5475)</f>
        <v>5475</v>
      </c>
      <c r="L6" s="13" t="str">
        <f aca="false">IFERROR(__xludf.dummyfunction("""COMPUTED_VALUE"""),"[Code: 378AAA] [Expiry: 8 Jun, 2023] 3 units expire on 08-Jun-2023")</f>
        <v>[Code: 378AAA] [Expiry: 8 Jun, 2023] 3 units expire on 08-Jun-2023</v>
      </c>
      <c r="M6" s="13" t="str">
        <f aca="false">IFERROR(__xludf.dummyfunction("""COMPUTED_VALUE"""),"378AAA")</f>
        <v>378AAA</v>
      </c>
      <c r="N6" s="13" t="str">
        <f aca="false">IFERROR(__xludf.dummyfunction("""COMPUTED_VALUE"""),"8 Jun, 2023")</f>
        <v>8 Jun, 2023</v>
      </c>
      <c r="O6" s="13" t="str">
        <f aca="false">IFERROR(__xludf.dummyfunction("""COMPUTED_VALUE"""),"ali.raza@tajir-app.com")</f>
        <v>ali.raza@tajir-app.com</v>
      </c>
      <c r="P6" s="13" t="str">
        <f aca="false">IFERROR(__xludf.dummyfunction("""COMPUTED_VALUE"""),"Ali Raza ")</f>
        <v>Ali Raza </v>
      </c>
      <c r="Q6" s="13" t="str">
        <f aca="false">IFERROR(__xludf.dummyfunction("""COMPUTED_VALUE"""),"[Code: 378AAA] [Expiry: 8 Jun, 2023] 3 units expire on 08-Jun-2023")</f>
        <v>[Code: 378AAA] [Expiry: 8 Jun, 2023] 3 units expire on 08-Jun-2023</v>
      </c>
      <c r="R6" s="13" t="str">
        <v>Thu, 08-Jun-2023, 10:04 AM</v>
      </c>
      <c r="S6" s="13" t="str">
        <v>Expired stock</v>
      </c>
      <c r="T6" s="13" t="e">
        <v>#VALUE!</v>
      </c>
    </row>
    <row r="7" customFormat="false" ht="15.75" hidden="false" customHeight="false" outlineLevel="0" collapsed="false">
      <c r="A7" s="13" t="str">
        <f aca="false">IFERROR(__xludf.dummyfunction("""COMPUTED_VALUE"""),"Metro DC Faisalabad")</f>
        <v>Metro DC Faisalabad</v>
      </c>
      <c r="B7" s="13" t="str">
        <f aca="false">IFERROR(__xludf.dummyfunction("""COMPUTED_VALUE"""),"75d54c08-307e-4a4f-90f3-1310ae913c1b")</f>
        <v>75d54c08-307e-4a4f-90f3-1310ae913c1b</v>
      </c>
      <c r="C7" s="13" t="str">
        <f aca="false">IFERROR(__xludf.dummyfunction("""COMPUTED_VALUE"""),"Kolson Slanty Jalapeno 60Pcs Rs10 5g")</f>
        <v>Kolson Slanty Jalapeno 60Pcs Rs10 5g</v>
      </c>
      <c r="D7" s="13" t="str">
        <f aca="false">IFERROR(__xludf.dummyfunction("""COMPUTED_VALUE"""),"Kolson")</f>
        <v>Kolson</v>
      </c>
      <c r="E7" s="13" t="str">
        <f aca="false">IFERROR(__xludf.dummyfunction("""COMPUTED_VALUE"""),"Snacks")</f>
        <v>Snacks</v>
      </c>
      <c r="F7" s="11" t="n">
        <f aca="false">IFERROR(__xludf.dummyfunction("""COMPUTED_VALUE"""),45090)</f>
        <v>45090</v>
      </c>
      <c r="G7" s="16" t="n">
        <f aca="false">IFERROR(__xludf.dummyfunction("""COMPUTED_VALUE"""),0.637308148146537)</f>
        <v>0.6373081481</v>
      </c>
      <c r="H7" s="13" t="str">
        <f aca="false">IFERROR(__xludf.dummyfunction("""COMPUTED_VALUE"""),"expired stock")</f>
        <v>expired stock</v>
      </c>
      <c r="I7" s="13" t="n">
        <f aca="false">IFERROR(__xludf.dummyfunction("""COMPUTED_VALUE"""),5)</f>
        <v>5</v>
      </c>
      <c r="J7" s="13" t="n">
        <f aca="false">IFERROR(__xludf.dummyfunction("""COMPUTED_VALUE"""),519.82)</f>
        <v>519.82</v>
      </c>
      <c r="K7" s="13" t="n">
        <f aca="false">IFERROR(__xludf.dummyfunction("""COMPUTED_VALUE"""),2599.1)</f>
        <v>2599.1</v>
      </c>
      <c r="L7" s="13" t="str">
        <f aca="false">IFERROR(__xludf.dummyfunction("""COMPUTED_VALUE"""),"[Code: 26ABDG] [Expiry: 15 May, 2023] 5 units found expire from (Vendor End)")</f>
        <v>[Code: 26ABDG] [Expiry: 15 May, 2023] 5 units found expire from (Vendor End)</v>
      </c>
      <c r="M7" s="13" t="str">
        <f aca="false">IFERROR(__xludf.dummyfunction("""COMPUTED_VALUE"""),"26ABDG")</f>
        <v>26ABDG</v>
      </c>
      <c r="N7" s="13" t="str">
        <f aca="false">IFERROR(__xludf.dummyfunction("""COMPUTED_VALUE"""),"15 May, 2023")</f>
        <v>15 May, 2023</v>
      </c>
      <c r="O7" s="13" t="str">
        <f aca="false">IFERROR(__xludf.dummyfunction("""COMPUTED_VALUE"""),"ali.raza@tajir-app.com")</f>
        <v>ali.raza@tajir-app.com</v>
      </c>
      <c r="P7" s="13" t="str">
        <f aca="false">IFERROR(__xludf.dummyfunction("""COMPUTED_VALUE"""),"Ali Raza ")</f>
        <v>Ali Raza </v>
      </c>
      <c r="Q7" s="13" t="str">
        <f aca="false">IFERROR(__xludf.dummyfunction("""COMPUTED_VALUE"""),"[Code: 26ABDG] [Expiry: 15 May, 2023] 5 units found expire from (Vendor End)")</f>
        <v>[Code: 26ABDG] [Expiry: 15 May, 2023] 5 units found expire from (Vendor End)</v>
      </c>
      <c r="R7" s="13" t="str">
        <v>Tue, 13-Jun-2023, 03:17 PM</v>
      </c>
      <c r="S7" s="13" t="str">
        <v>Expired stock</v>
      </c>
      <c r="T7" s="13" t="e">
        <v>#VALUE!</v>
      </c>
    </row>
    <row r="8" customFormat="false" ht="15.75" hidden="false" customHeight="false" outlineLevel="0" collapsed="false">
      <c r="A8" s="13" t="str">
        <f aca="false">IFERROR(__xludf.dummyfunction("""COMPUTED_VALUE"""),"Metro DC Faisalabad")</f>
        <v>Metro DC Faisalabad</v>
      </c>
      <c r="B8" s="13" t="str">
        <f aca="false">IFERROR(__xludf.dummyfunction("""COMPUTED_VALUE"""),"75d54c08-307e-4a4f-90f3-1310ae913c1b")</f>
        <v>75d54c08-307e-4a4f-90f3-1310ae913c1b</v>
      </c>
      <c r="C8" s="13" t="str">
        <f aca="false">IFERROR(__xludf.dummyfunction("""COMPUTED_VALUE"""),"Kolson Slanty Jalapeno 60Pcs Rs10 5g")</f>
        <v>Kolson Slanty Jalapeno 60Pcs Rs10 5g</v>
      </c>
      <c r="D8" s="13" t="str">
        <f aca="false">IFERROR(__xludf.dummyfunction("""COMPUTED_VALUE"""),"Kolson")</f>
        <v>Kolson</v>
      </c>
      <c r="E8" s="13" t="str">
        <f aca="false">IFERROR(__xludf.dummyfunction("""COMPUTED_VALUE"""),"Snacks")</f>
        <v>Snacks</v>
      </c>
      <c r="F8" s="11" t="n">
        <f aca="false">IFERROR(__xludf.dummyfunction("""COMPUTED_VALUE"""),45090)</f>
        <v>45090</v>
      </c>
      <c r="G8" s="16" t="n">
        <f aca="false">IFERROR(__xludf.dummyfunction("""COMPUTED_VALUE"""),0.637900995372138)</f>
        <v>0.6379009954</v>
      </c>
      <c r="H8" s="13" t="str">
        <f aca="false">IFERROR(__xludf.dummyfunction("""COMPUTED_VALUE"""),"expired stock")</f>
        <v>expired stock</v>
      </c>
      <c r="I8" s="13" t="n">
        <f aca="false">IFERROR(__xludf.dummyfunction("""COMPUTED_VALUE"""),3)</f>
        <v>3</v>
      </c>
      <c r="J8" s="13" t="n">
        <f aca="false">IFERROR(__xludf.dummyfunction("""COMPUTED_VALUE"""),519.82)</f>
        <v>519.82</v>
      </c>
      <c r="K8" s="13" t="n">
        <f aca="false">IFERROR(__xludf.dummyfunction("""COMPUTED_VALUE"""),1559.46)</f>
        <v>1559.46</v>
      </c>
      <c r="L8" s="13" t="str">
        <f aca="false">IFERROR(__xludf.dummyfunction("""COMPUTED_VALUE"""),"[Code: 457DFG] [Expiry: 30 Jul, 2023] 3 units expire on 30-07-2023")</f>
        <v>[Code: 457DFG] [Expiry: 30 Jul, 2023] 3 units expire on 30-07-2023</v>
      </c>
      <c r="M8" s="13" t="str">
        <f aca="false">IFERROR(__xludf.dummyfunction("""COMPUTED_VALUE"""),"457DFG")</f>
        <v>457DFG</v>
      </c>
      <c r="N8" s="13" t="str">
        <f aca="false">IFERROR(__xludf.dummyfunction("""COMPUTED_VALUE"""),"30 Jul, 2023")</f>
        <v>30 Jul, 2023</v>
      </c>
      <c r="O8" s="13" t="str">
        <f aca="false">IFERROR(__xludf.dummyfunction("""COMPUTED_VALUE"""),"ali.raza@tajir-app.com")</f>
        <v>ali.raza@tajir-app.com</v>
      </c>
      <c r="P8" s="13" t="str">
        <f aca="false">IFERROR(__xludf.dummyfunction("""COMPUTED_VALUE"""),"Ali Raza ")</f>
        <v>Ali Raza </v>
      </c>
      <c r="Q8" s="13" t="str">
        <f aca="false">IFERROR(__xludf.dummyfunction("""COMPUTED_VALUE"""),"[Code: 457DFG] [Expiry: 30 Jul, 2023] 3 units expire on 30-07-2023")</f>
        <v>[Code: 457DFG] [Expiry: 30 Jul, 2023] 3 units expire on 30-07-2023</v>
      </c>
      <c r="R8" s="13" t="str">
        <v>Tue, 13-Jun-2023, 03:18 PM</v>
      </c>
      <c r="S8" s="13" t="str">
        <v>Expired stock</v>
      </c>
      <c r="T8" s="13" t="e">
        <v>#VALUE!</v>
      </c>
    </row>
    <row r="9" customFormat="false" ht="15.75" hidden="false" customHeight="false" outlineLevel="0" collapsed="false">
      <c r="A9" s="13" t="str">
        <f aca="false">IFERROR(__xludf.dummyfunction("""COMPUTED_VALUE"""),"Metro DC Faisalabad")</f>
        <v>Metro DC Faisalabad</v>
      </c>
      <c r="B9" s="13" t="str">
        <f aca="false">IFERROR(__xludf.dummyfunction("""COMPUTED_VALUE"""),"406c6b3c-ad2b-44f5-90ab-3864dcb92a83")</f>
        <v>406c6b3c-ad2b-44f5-90ab-3864dcb92a83</v>
      </c>
      <c r="C9" s="13" t="str">
        <f aca="false">IFERROR(__xludf.dummyfunction("""COMPUTED_VALUE"""),"LU Tuc Biscuits Ticky Rs7")</f>
        <v>LU Tuc Biscuits Ticky Rs7</v>
      </c>
      <c r="D9" s="13" t="str">
        <f aca="false">IFERROR(__xludf.dummyfunction("""COMPUTED_VALUE"""),"LU")</f>
        <v>LU</v>
      </c>
      <c r="E9" s="13" t="str">
        <f aca="false">IFERROR(__xludf.dummyfunction("""COMPUTED_VALUE"""),"Biscuits, Wafers")</f>
        <v>Biscuits, Wafers</v>
      </c>
      <c r="F9" s="11" t="n">
        <f aca="false">IFERROR(__xludf.dummyfunction("""COMPUTED_VALUE"""),45098)</f>
        <v>45098</v>
      </c>
      <c r="G9" s="16" t="n">
        <f aca="false">IFERROR(__xludf.dummyfunction("""COMPUTED_VALUE"""),0.946062314813349)</f>
        <v>0.9460623148</v>
      </c>
      <c r="H9" s="13" t="str">
        <f aca="false">IFERROR(__xludf.dummyfunction("""COMPUTED_VALUE"""),"expired stock")</f>
        <v>expired stock</v>
      </c>
      <c r="I9" s="13" t="n">
        <f aca="false">IFERROR(__xludf.dummyfunction("""COMPUTED_VALUE"""),11)</f>
        <v>11</v>
      </c>
      <c r="J9" s="13" t="n">
        <f aca="false">IFERROR(__xludf.dummyfunction("""COMPUTED_VALUE"""),148.14)</f>
        <v>148.14</v>
      </c>
      <c r="K9" s="13" t="n">
        <f aca="false">IFERROR(__xludf.dummyfunction("""COMPUTED_VALUE"""),1629.54)</f>
        <v>1629.54</v>
      </c>
      <c r="L9" s="13" t="str">
        <f aca="false">IFERROR(__xludf.dummyfunction("""COMPUTED_VALUE"""),"[Code: 8AFFGJ] [Expiry: 30 Jun, 2023] TA: Short Expired Stock only 11 units where in floor.")</f>
        <v>[Code: 8AFFGJ] [Expiry: 30 Jun, 2023] TA: Short Expired Stock only 11 units where in floor.</v>
      </c>
      <c r="M9" s="13" t="str">
        <f aca="false">IFERROR(__xludf.dummyfunction("""COMPUTED_VALUE"""),"8AFFGJ")</f>
        <v>8AFFGJ</v>
      </c>
      <c r="N9" s="13" t="str">
        <f aca="false">IFERROR(__xludf.dummyfunction("""COMPUTED_VALUE"""),"30 Jun, 2023")</f>
        <v>30 Jun, 2023</v>
      </c>
      <c r="O9" s="13" t="str">
        <f aca="false">IFERROR(__xludf.dummyfunction("""COMPUTED_VALUE"""),"taufeeq.akhtar@tajir-app.com")</f>
        <v>taufeeq.akhtar@tajir-app.com</v>
      </c>
      <c r="P9" s="13" t="str">
        <f aca="false">IFERROR(__xludf.dummyfunction("""COMPUTED_VALUE"""),"Taufeeq Akhtar ")</f>
        <v>Taufeeq Akhtar </v>
      </c>
      <c r="Q9" s="13" t="str">
        <f aca="false">IFERROR(__xludf.dummyfunction("""COMPUTED_VALUE"""),"[Code: 8AFFGJ] [Expiry: 30 Jun, 2023] TA: Short Expired Stock only 11 units where in floor.")</f>
        <v>[Code: 8AFFGJ] [Expiry: 30 Jun, 2023] TA: Short Expired Stock only 11 units where in floor.</v>
      </c>
      <c r="R9" s="13" t="str">
        <v>Wed, 21-Jun-2023, 10:42 PM</v>
      </c>
      <c r="S9" s="13" t="str">
        <v>Expired stock</v>
      </c>
      <c r="T9" s="13" t="e">
        <v>#VALUE!</v>
      </c>
    </row>
    <row r="10" customFormat="false" ht="15.75" hidden="false" customHeight="false" outlineLevel="0" collapsed="false">
      <c r="A10" s="13" t="str">
        <f aca="false">IFERROR(__xludf.dummyfunction("""COMPUTED_VALUE"""),"Metro DC Faisalabad")</f>
        <v>Metro DC Faisalabad</v>
      </c>
      <c r="B10" s="13" t="str">
        <f aca="false">IFERROR(__xludf.dummyfunction("""COMPUTED_VALUE"""),"19e5dc4d-029c-48c4-ac76-f5a2b0735223")</f>
        <v>19e5dc4d-029c-48c4-ac76-f5a2b0735223</v>
      </c>
      <c r="C10" s="13" t="str">
        <f aca="false">IFERROR(__xludf.dummyfunction("""COMPUTED_VALUE"""),"Top Pizza Flour 10kg")</f>
        <v>Top Pizza Flour 10kg</v>
      </c>
      <c r="D10" s="13" t="str">
        <f aca="false">IFERROR(__xludf.dummyfunction("""COMPUTED_VALUE"""),"Yadgar Atta")</f>
        <v>Yadgar Atta</v>
      </c>
      <c r="E10" s="13" t="str">
        <f aca="false">IFERROR(__xludf.dummyfunction("""COMPUTED_VALUE"""),"Flour")</f>
        <v>Flour</v>
      </c>
      <c r="F10" s="11" t="n">
        <f aca="false">IFERROR(__xludf.dummyfunction("""COMPUTED_VALUE"""),45104)</f>
        <v>45104</v>
      </c>
      <c r="G10" s="16" t="n">
        <f aca="false">IFERROR(__xludf.dummyfunction("""COMPUTED_VALUE"""),0.353449050927672)</f>
        <v>0.3534490509</v>
      </c>
      <c r="H10" s="13" t="str">
        <f aca="false">IFERROR(__xludf.dummyfunction("""COMPUTED_VALUE"""),"expired stock")</f>
        <v>expired stock</v>
      </c>
      <c r="I10" s="13" t="n">
        <f aca="false">IFERROR(__xludf.dummyfunction("""COMPUTED_VALUE"""),3)</f>
        <v>3</v>
      </c>
      <c r="J10" s="13" t="n">
        <f aca="false">IFERROR(__xludf.dummyfunction("""COMPUTED_VALUE"""),1450)</f>
        <v>1450</v>
      </c>
      <c r="K10" s="13" t="n">
        <f aca="false">IFERROR(__xludf.dummyfunction("""COMPUTED_VALUE"""),4350)</f>
        <v>4350</v>
      </c>
      <c r="L10" s="13" t="str">
        <f aca="false">IFERROR(__xludf.dummyfunction("""COMPUTED_VALUE"""),"[Code: 39ACFG] [Expiry: 12 Jul, 2023] AR : short expiry ")</f>
        <v>[Code: 39ACFG] [Expiry: 12 Jul, 2023] AR : short expiry </v>
      </c>
      <c r="M10" s="13" t="str">
        <f aca="false">IFERROR(__xludf.dummyfunction("""COMPUTED_VALUE"""),"39ACFG")</f>
        <v>39ACFG</v>
      </c>
      <c r="N10" s="13" t="str">
        <f aca="false">IFERROR(__xludf.dummyfunction("""COMPUTED_VALUE"""),"12 Jul, 2023")</f>
        <v>12 Jul, 2023</v>
      </c>
      <c r="O10" s="13" t="str">
        <f aca="false">IFERROR(__xludf.dummyfunction("""COMPUTED_VALUE"""),"ali.raza@tajir-app.com")</f>
        <v>ali.raza@tajir-app.com</v>
      </c>
      <c r="P10" s="13" t="str">
        <f aca="false">IFERROR(__xludf.dummyfunction("""COMPUTED_VALUE"""),"Ali Raza ")</f>
        <v>Ali Raza </v>
      </c>
      <c r="Q10" s="13" t="str">
        <f aca="false">IFERROR(__xludf.dummyfunction("""COMPUTED_VALUE"""),"[Code: 39ACFG] [Expiry: 12 Jul, 2023] AR : short expiry ")</f>
        <v>[Code: 39ACFG] [Expiry: 12 Jul, 2023] AR : short expiry </v>
      </c>
      <c r="R10" s="13" t="str">
        <v>Tue, 27-Jun-2023, 08:28 AM</v>
      </c>
      <c r="S10" s="13" t="str">
        <v>Expired stock</v>
      </c>
      <c r="T10" s="13" t="e">
        <v>#VALUE!</v>
      </c>
    </row>
    <row r="11" customFormat="false" ht="15.75" hidden="false" customHeight="false" outlineLevel="0" collapsed="false">
      <c r="A11" s="13" t="str">
        <f aca="false">IFERROR(__xludf.dummyfunction("""COMPUTED_VALUE"""),"Metro DC Faisalabad")</f>
        <v>Metro DC Faisalabad</v>
      </c>
      <c r="B11" s="13" t="str">
        <f aca="false">IFERROR(__xludf.dummyfunction("""COMPUTED_VALUE"""),"38f91ed7-8c25-4061-b1cb-85ac528c02dc")</f>
        <v>38f91ed7-8c25-4061-b1cb-85ac528c02dc</v>
      </c>
      <c r="C11" s="13" t="str">
        <f aca="false">IFERROR(__xludf.dummyfunction("""COMPUTED_VALUE"""),"Shangrila Tomato Ketchup x6 Bundle 70g")</f>
        <v>Shangrila Tomato Ketchup x6 Bundle 70g</v>
      </c>
      <c r="D11" s="13" t="str">
        <f aca="false">IFERROR(__xludf.dummyfunction("""COMPUTED_VALUE"""),"Shangrila")</f>
        <v>Shangrila</v>
      </c>
      <c r="E11" s="13" t="str">
        <f aca="false">IFERROR(__xludf.dummyfunction("""COMPUTED_VALUE"""),"Sauces")</f>
        <v>Sauces</v>
      </c>
      <c r="F11" s="11" t="n">
        <f aca="false">IFERROR(__xludf.dummyfunction("""COMPUTED_VALUE"""),45112)</f>
        <v>45112</v>
      </c>
      <c r="G11" s="16" t="n">
        <f aca="false">IFERROR(__xludf.dummyfunction("""COMPUTED_VALUE"""),0.649570185185692)</f>
        <v>0.6495701852</v>
      </c>
      <c r="H11" s="13" t="str">
        <f aca="false">IFERROR(__xludf.dummyfunction("""COMPUTED_VALUE"""),"expired stock")</f>
        <v>expired stock</v>
      </c>
      <c r="I11" s="13" t="n">
        <f aca="false">IFERROR(__xludf.dummyfunction("""COMPUTED_VALUE"""),576)</f>
        <v>576</v>
      </c>
      <c r="J11" s="13" t="n">
        <f aca="false">IFERROR(__xludf.dummyfunction("""COMPUTED_VALUE"""),188.49)</f>
        <v>188.49</v>
      </c>
      <c r="K11" s="13" t="n">
        <f aca="false">IFERROR(__xludf.dummyfunction("""COMPUTED_VALUE"""),108570.24)</f>
        <v>108570.24</v>
      </c>
      <c r="L11" s="13" t="str">
        <f aca="false">IFERROR(__xludf.dummyfunction("""COMPUTED_VALUE"""),"[Code: 34ABDD] [Expiry: 5 Jul, 2023] 576 units removed due to misprint of expiry date")</f>
        <v>[Code: 34ABDD] [Expiry: 5 Jul, 2023] 576 units removed due to misprint of expiry date</v>
      </c>
      <c r="M11" s="13" t="str">
        <f aca="false">IFERROR(__xludf.dummyfunction("""COMPUTED_VALUE"""),"34ABDD")</f>
        <v>34ABDD</v>
      </c>
      <c r="N11" s="13" t="str">
        <f aca="false">IFERROR(__xludf.dummyfunction("""COMPUTED_VALUE"""),"5 Jul, 2023")</f>
        <v>5 Jul, 2023</v>
      </c>
      <c r="O11" s="13" t="str">
        <f aca="false">IFERROR(__xludf.dummyfunction("""COMPUTED_VALUE"""),"ali.raza@tajir-app.com")</f>
        <v>ali.raza@tajir-app.com</v>
      </c>
      <c r="P11" s="13" t="str">
        <f aca="false">IFERROR(__xludf.dummyfunction("""COMPUTED_VALUE"""),"Ali Raza ")</f>
        <v>Ali Raza </v>
      </c>
      <c r="Q11" s="13" t="str">
        <f aca="false">IFERROR(__xludf.dummyfunction("""COMPUTED_VALUE"""),"[Code: 34ABDD] [Expiry: 5 Jul, 2023] 576 units removed due to misprint of expiry date")</f>
        <v>[Code: 34ABDD] [Expiry: 5 Jul, 2023] 576 units removed due to misprint of expiry date</v>
      </c>
      <c r="R11" s="13" t="str">
        <v>Wed, 05-Jul-2023, 03:35 PM</v>
      </c>
      <c r="S11" s="13" t="str">
        <v>Expired stock</v>
      </c>
      <c r="T11" s="13" t="e">
        <v>#VALUE!</v>
      </c>
    </row>
    <row r="12" customFormat="false" ht="15.75" hidden="false" customHeight="false" outlineLevel="0" collapsed="false">
      <c r="A12" s="13" t="str">
        <f aca="false">IFERROR(__xludf.dummyfunction("""COMPUTED_VALUE"""),"Metro DC Faisalabad")</f>
        <v>Metro DC Faisalabad</v>
      </c>
      <c r="B12" s="13" t="str">
        <f aca="false">IFERROR(__xludf.dummyfunction("""COMPUTED_VALUE"""),"90f9d692-0595-469e-a8a1-d4c4335cc3b4")</f>
        <v>90f9d692-0595-469e-a8a1-d4c4335cc3b4</v>
      </c>
      <c r="C12" s="13" t="str">
        <f aca="false">IFERROR(__xludf.dummyfunction("""COMPUTED_VALUE"""),"Kolson Jam Hearts Lemon Cream Biscuits Bar Pack 12pcs Rs15")</f>
        <v>Kolson Jam Hearts Lemon Cream Biscuits Bar Pack 12pcs Rs15</v>
      </c>
      <c r="D12" s="13" t="str">
        <f aca="false">IFERROR(__xludf.dummyfunction("""COMPUTED_VALUE"""),"Kolson")</f>
        <v>Kolson</v>
      </c>
      <c r="E12" s="13" t="str">
        <f aca="false">IFERROR(__xludf.dummyfunction("""COMPUTED_VALUE"""),"Biscuits, Wafers")</f>
        <v>Biscuits, Wafers</v>
      </c>
      <c r="F12" s="11" t="n">
        <f aca="false">IFERROR(__xludf.dummyfunction("""COMPUTED_VALUE"""),45113)</f>
        <v>45113</v>
      </c>
      <c r="G12" s="16" t="n">
        <f aca="false">IFERROR(__xludf.dummyfunction("""COMPUTED_VALUE"""),0.655101273146801)</f>
        <v>0.6551012731</v>
      </c>
      <c r="H12" s="13" t="str">
        <f aca="false">IFERROR(__xludf.dummyfunction("""COMPUTED_VALUE"""),"expired stock")</f>
        <v>expired stock</v>
      </c>
      <c r="I12" s="13" t="n">
        <f aca="false">IFERROR(__xludf.dummyfunction("""COMPUTED_VALUE"""),69)</f>
        <v>69</v>
      </c>
      <c r="J12" s="13" t="n">
        <f aca="false">IFERROR(__xludf.dummyfunction("""COMPUTED_VALUE"""),159.8)</f>
        <v>159.8</v>
      </c>
      <c r="K12" s="13" t="n">
        <f aca="false">IFERROR(__xludf.dummyfunction("""COMPUTED_VALUE"""),11026.2)</f>
        <v>11026.2</v>
      </c>
      <c r="L12" s="13" t="str">
        <f aca="false">IFERROR(__xludf.dummyfunction("""COMPUTED_VALUE"""),"[Code: 568899] [Expiry: 17 Jul, 2023] AR: Stock Expiry stock")</f>
        <v>[Code: 568899] [Expiry: 17 Jul, 2023] AR: Stock Expiry stock</v>
      </c>
      <c r="M12" s="13" t="str">
        <f aca="false">IFERROR(__xludf.dummyfunction("""COMPUTED_VALUE"""),"568899")</f>
        <v>568899</v>
      </c>
      <c r="N12" s="13" t="str">
        <f aca="false">IFERROR(__xludf.dummyfunction("""COMPUTED_VALUE"""),"17 Jul, 2023")</f>
        <v>17 Jul, 2023</v>
      </c>
      <c r="O12" s="13" t="str">
        <f aca="false">IFERROR(__xludf.dummyfunction("""COMPUTED_VALUE"""),"ali.raza@tajir-app.com")</f>
        <v>ali.raza@tajir-app.com</v>
      </c>
      <c r="P12" s="13" t="str">
        <f aca="false">IFERROR(__xludf.dummyfunction("""COMPUTED_VALUE"""),"Ali Raza ")</f>
        <v>Ali Raza </v>
      </c>
      <c r="Q12" s="13" t="str">
        <f aca="false">IFERROR(__xludf.dummyfunction("""COMPUTED_VALUE"""),"[Code: 568899] [Expiry: 17 Jul, 2023] AR: Stock Expiry stock")</f>
        <v>[Code: 568899] [Expiry: 17 Jul, 2023] AR: Stock Expiry stock</v>
      </c>
      <c r="R12" s="13" t="str">
        <v>Thu, 06-Jul-2023, 03:43 PM</v>
      </c>
      <c r="S12" s="13" t="str">
        <v>Expired stock</v>
      </c>
      <c r="T12" s="13" t="e">
        <v>#VALUE!</v>
      </c>
    </row>
    <row r="13" customFormat="false" ht="15.75" hidden="false" customHeight="false" outlineLevel="0" collapsed="false">
      <c r="A13" s="13" t="str">
        <f aca="false">IFERROR(__xludf.dummyfunction("""COMPUTED_VALUE"""),"Metro DC Faisalabad")</f>
        <v>Metro DC Faisalabad</v>
      </c>
      <c r="B13" s="13" t="str">
        <f aca="false">IFERROR(__xludf.dummyfunction("""COMPUTED_VALUE"""),"0eac6d2f-01cf-4c5c-b580-2e1371626413")</f>
        <v>0eac6d2f-01cf-4c5c-b580-2e1371626413</v>
      </c>
      <c r="C13" s="13" t="str">
        <f aca="false">IFERROR(__xludf.dummyfunction("""COMPUTED_VALUE"""),"Kolson Jam Hearts Strawberry and Vanilla Biscuits Snack Pack 6pcs Rs30")</f>
        <v>Kolson Jam Hearts Strawberry and Vanilla Biscuits Snack Pack 6pcs Rs30</v>
      </c>
      <c r="D13" s="13" t="str">
        <f aca="false">IFERROR(__xludf.dummyfunction("""COMPUTED_VALUE"""),"Kolson")</f>
        <v>Kolson</v>
      </c>
      <c r="E13" s="13" t="str">
        <f aca="false">IFERROR(__xludf.dummyfunction("""COMPUTED_VALUE"""),"Biscuits, Wafers")</f>
        <v>Biscuits, Wafers</v>
      </c>
      <c r="F13" s="11" t="n">
        <f aca="false">IFERROR(__xludf.dummyfunction("""COMPUTED_VALUE"""),45116)</f>
        <v>45116</v>
      </c>
      <c r="G13" s="16" t="n">
        <f aca="false">IFERROR(__xludf.dummyfunction("""COMPUTED_VALUE"""),0.742285497685002)</f>
        <v>0.7422854977</v>
      </c>
      <c r="H13" s="13" t="str">
        <f aca="false">IFERROR(__xludf.dummyfunction("""COMPUTED_VALUE"""),"expired stock")</f>
        <v>expired stock</v>
      </c>
      <c r="I13" s="13" t="n">
        <f aca="false">IFERROR(__xludf.dummyfunction("""COMPUTED_VALUE"""),203)</f>
        <v>203</v>
      </c>
      <c r="J13" s="13" t="n">
        <f aca="false">IFERROR(__xludf.dummyfunction("""COMPUTED_VALUE"""),159.81)</f>
        <v>159.81</v>
      </c>
      <c r="K13" s="13" t="n">
        <f aca="false">IFERROR(__xludf.dummyfunction("""COMPUTED_VALUE"""),32441.43)</f>
        <v>32441.43</v>
      </c>
      <c r="L13" s="13" t="str">
        <f aca="false">IFERROR(__xludf.dummyfunction("""COMPUTED_VALUE"""),"[Code: 278FFJ] [Expiry: 4 Aug, 2023] AR: Stock removed due to short Expiry")</f>
        <v>[Code: 278FFJ] [Expiry: 4 Aug, 2023] AR: Stock removed due to short Expiry</v>
      </c>
      <c r="M13" s="13" t="str">
        <f aca="false">IFERROR(__xludf.dummyfunction("""COMPUTED_VALUE"""),"278FFJ")</f>
        <v>278FFJ</v>
      </c>
      <c r="N13" s="13" t="str">
        <f aca="false">IFERROR(__xludf.dummyfunction("""COMPUTED_VALUE"""),"4 Aug, 2023")</f>
        <v>4 Aug, 2023</v>
      </c>
      <c r="O13" s="13" t="str">
        <f aca="false">IFERROR(__xludf.dummyfunction("""COMPUTED_VALUE"""),"ali.raza@tajir-app.com")</f>
        <v>ali.raza@tajir-app.com</v>
      </c>
      <c r="P13" s="13" t="str">
        <f aca="false">IFERROR(__xludf.dummyfunction("""COMPUTED_VALUE"""),"Ali Raza ")</f>
        <v>Ali Raza </v>
      </c>
      <c r="Q13" s="13" t="str">
        <f aca="false">IFERROR(__xludf.dummyfunction("""COMPUTED_VALUE"""),"[Code: 278FFJ] [Expiry: 4 Aug, 2023] AR: Stock removed due to short Expiry")</f>
        <v>[Code: 278FFJ] [Expiry: 4 Aug, 2023] AR: Stock removed due to short Expiry</v>
      </c>
      <c r="R13" s="13" t="str">
        <v>Sun, 09-Jul-2023, 05:48 PM</v>
      </c>
      <c r="S13" s="13" t="str">
        <v>Expired stock</v>
      </c>
      <c r="T13" s="13" t="e">
        <v>#VALUE!</v>
      </c>
    </row>
    <row r="14" customFormat="false" ht="15.75" hidden="false" customHeight="false" outlineLevel="0" collapsed="false">
      <c r="A14" s="13" t="str">
        <f aca="false">IFERROR(__xludf.dummyfunction("""COMPUTED_VALUE"""),"Metro DC Faisalabad")</f>
        <v>Metro DC Faisalabad</v>
      </c>
      <c r="B14" s="13" t="str">
        <f aca="false">IFERROR(__xludf.dummyfunction("""COMPUTED_VALUE"""),"2953fe5f-00e3-4ab4-83b9-39d0133c3ce6")</f>
        <v>2953fe5f-00e3-4ab4-83b9-39d0133c3ce6</v>
      </c>
      <c r="C14" s="13" t="str">
        <f aca="false">IFERROR(__xludf.dummyfunction("""COMPUTED_VALUE"""),"Peek Freans Zeera Click Biscuits Half Roll Rs40")</f>
        <v>Peek Freans Zeera Click Biscuits Half Roll Rs40</v>
      </c>
      <c r="D14" s="13" t="str">
        <f aca="false">IFERROR(__xludf.dummyfunction("""COMPUTED_VALUE"""),"Peek Freans")</f>
        <v>Peek Freans</v>
      </c>
      <c r="E14" s="13" t="str">
        <f aca="false">IFERROR(__xludf.dummyfunction("""COMPUTED_VALUE"""),"Biscuits, Wafers")</f>
        <v>Biscuits, Wafers</v>
      </c>
      <c r="F14" s="11" t="n">
        <f aca="false">IFERROR(__xludf.dummyfunction("""COMPUTED_VALUE"""),45117)</f>
        <v>45117</v>
      </c>
      <c r="G14" s="16" t="n">
        <f aca="false">IFERROR(__xludf.dummyfunction("""COMPUTED_VALUE"""),0.402296851850591)</f>
        <v>0.4022968519</v>
      </c>
      <c r="H14" s="13" t="str">
        <f aca="false">IFERROR(__xludf.dummyfunction("""COMPUTED_VALUE"""),"expired stock")</f>
        <v>expired stock</v>
      </c>
      <c r="I14" s="13" t="n">
        <f aca="false">IFERROR(__xludf.dummyfunction("""COMPUTED_VALUE"""),39)</f>
        <v>39</v>
      </c>
      <c r="J14" s="13" t="n">
        <f aca="false">IFERROR(__xludf.dummyfunction("""COMPUTED_VALUE"""),216)</f>
        <v>216</v>
      </c>
      <c r="K14" s="13" t="n">
        <f aca="false">IFERROR(__xludf.dummyfunction("""COMPUTED_VALUE"""),8424)</f>
        <v>8424</v>
      </c>
      <c r="L14" s="13" t="str">
        <f aca="false">IFERROR(__xludf.dummyfunction("""COMPUTED_VALUE"""),"[Code: 667EGJ] [Expiry: 31 Jul, 2023] AR : 39 selling unit found near expire")</f>
        <v>[Code: 667EGJ] [Expiry: 31 Jul, 2023] AR : 39 selling unit found near expire</v>
      </c>
      <c r="M14" s="13" t="str">
        <f aca="false">IFERROR(__xludf.dummyfunction("""COMPUTED_VALUE"""),"667EGJ")</f>
        <v>667EGJ</v>
      </c>
      <c r="N14" s="13" t="str">
        <f aca="false">IFERROR(__xludf.dummyfunction("""COMPUTED_VALUE"""),"31 Jul, 2023")</f>
        <v>31 Jul, 2023</v>
      </c>
      <c r="O14" s="13" t="str">
        <f aca="false">IFERROR(__xludf.dummyfunction("""COMPUTED_VALUE"""),"ali.raza@tajir-app.com")</f>
        <v>ali.raza@tajir-app.com</v>
      </c>
      <c r="P14" s="13" t="str">
        <f aca="false">IFERROR(__xludf.dummyfunction("""COMPUTED_VALUE"""),"Ali Raza ")</f>
        <v>Ali Raza </v>
      </c>
      <c r="Q14" s="13" t="str">
        <f aca="false">IFERROR(__xludf.dummyfunction("""COMPUTED_VALUE"""),"[Code: 667EGJ] [Expiry: 31 Jul, 2023] AR : 39 selling unit found near expire")</f>
        <v>[Code: 667EGJ] [Expiry: 31 Jul, 2023] AR : 39 selling unit found near expire</v>
      </c>
      <c r="R14" s="13" t="str">
        <v>Mon, 10-Jul-2023, 09:39 AM</v>
      </c>
      <c r="S14" s="13" t="str">
        <v>Expired stock</v>
      </c>
      <c r="T14" s="13" t="e">
        <v>#VALUE!</v>
      </c>
    </row>
    <row r="15" customFormat="false" ht="15.75" hidden="false" customHeight="false" outlineLevel="0" collapsed="false">
      <c r="A15" s="13" t="str">
        <f aca="false">IFERROR(__xludf.dummyfunction("""COMPUTED_VALUE"""),"Metro DC Faisalabad")</f>
        <v>Metro DC Faisalabad</v>
      </c>
      <c r="B15" s="13" t="str">
        <f aca="false">IFERROR(__xludf.dummyfunction("""COMPUTED_VALUE"""),"5398c7c5-109d-4225-97cb-0237bb7c8aed")</f>
        <v>5398c7c5-109d-4225-97cb-0237bb7c8aed</v>
      </c>
      <c r="C15" s="13" t="str">
        <f aca="false">IFERROR(__xludf.dummyfunction("""COMPUTED_VALUE"""),"Mountain Dew plastic 345ml (Other city stock)")</f>
        <v>Mountain Dew plastic 345ml (Other city stock)</v>
      </c>
      <c r="D15" s="13" t="str">
        <f aca="false">IFERROR(__xludf.dummyfunction("""COMPUTED_VALUE"""),"Mountain Dew")</f>
        <v>Mountain Dew</v>
      </c>
      <c r="E15" s="13" t="str">
        <f aca="false">IFERROR(__xludf.dummyfunction("""COMPUTED_VALUE"""),"Beverages")</f>
        <v>Beverages</v>
      </c>
      <c r="F15" s="11" t="n">
        <f aca="false">IFERROR(__xludf.dummyfunction("""COMPUTED_VALUE"""),45117)</f>
        <v>45117</v>
      </c>
      <c r="G15" s="16" t="n">
        <f aca="false">IFERROR(__xludf.dummyfunction("""COMPUTED_VALUE"""),0.4879944328705)</f>
        <v>0.4879944329</v>
      </c>
      <c r="H15" s="13" t="str">
        <f aca="false">IFERROR(__xludf.dummyfunction("""COMPUTED_VALUE"""),"expired stock")</f>
        <v>expired stock</v>
      </c>
      <c r="I15" s="13" t="n">
        <f aca="false">IFERROR(__xludf.dummyfunction("""COMPUTED_VALUE"""),264)</f>
        <v>264</v>
      </c>
      <c r="J15" s="13" t="n">
        <f aca="false">IFERROR(__xludf.dummyfunction("""COMPUTED_VALUE"""),520)</f>
        <v>520</v>
      </c>
      <c r="K15" s="13" t="n">
        <f aca="false">IFERROR(__xludf.dummyfunction("""COMPUTED_VALUE"""),137280)</f>
        <v>137280</v>
      </c>
      <c r="L15" s="13" t="str">
        <f aca="false">IFERROR(__xludf.dummyfunction("""COMPUTED_VALUE"""),"[Code: 457BBC] [Expiry: 31 Jul, 2023] 264 units having Short expiry")</f>
        <v>[Code: 457BBC] [Expiry: 31 Jul, 2023] 264 units having Short expiry</v>
      </c>
      <c r="M15" s="13" t="str">
        <f aca="false">IFERROR(__xludf.dummyfunction("""COMPUTED_VALUE"""),"457BBC")</f>
        <v>457BBC</v>
      </c>
      <c r="N15" s="13" t="str">
        <f aca="false">IFERROR(__xludf.dummyfunction("""COMPUTED_VALUE"""),"31 Jul, 2023")</f>
        <v>31 Jul, 2023</v>
      </c>
      <c r="O15" s="13" t="str">
        <f aca="false">IFERROR(__xludf.dummyfunction("""COMPUTED_VALUE"""),"ali.raza@tajir-app.com")</f>
        <v>ali.raza@tajir-app.com</v>
      </c>
      <c r="P15" s="13" t="str">
        <f aca="false">IFERROR(__xludf.dummyfunction("""COMPUTED_VALUE"""),"Ali Raza ")</f>
        <v>Ali Raza </v>
      </c>
      <c r="Q15" s="13" t="str">
        <f aca="false">IFERROR(__xludf.dummyfunction("""COMPUTED_VALUE"""),"[Code: 457BBC] [Expiry: 31 Jul, 2023] 264 units having Short expiry")</f>
        <v>[Code: 457BBC] [Expiry: 31 Jul, 2023] 264 units having Short expiry</v>
      </c>
      <c r="R15" s="13" t="str">
        <v>Mon, 10-Jul-2023, 11:42 AM</v>
      </c>
      <c r="S15" s="13" t="str">
        <v>Expired stock</v>
      </c>
      <c r="T15" s="13" t="e">
        <v>#VALUE!</v>
      </c>
    </row>
    <row r="16" customFormat="false" ht="15.75" hidden="false" customHeight="false" outlineLevel="0" collapsed="false">
      <c r="A16" s="13" t="str">
        <f aca="false">IFERROR(__xludf.dummyfunction("""COMPUTED_VALUE"""),"Metro DC Faisalabad")</f>
        <v>Metro DC Faisalabad</v>
      </c>
      <c r="B16" s="13" t="str">
        <f aca="false">IFERROR(__xludf.dummyfunction("""COMPUTED_VALUE"""),"a77e7abe-7b3d-461d-917c-4e23bdad2720")</f>
        <v>a77e7abe-7b3d-461d-917c-4e23bdad2720</v>
      </c>
      <c r="C16" s="13" t="str">
        <f aca="false">IFERROR(__xludf.dummyfunction("""COMPUTED_VALUE"""),"Engro Olpers Chocolate Flavored Milk x24 180mL")</f>
        <v>Engro Olpers Chocolate Flavored Milk x24 180mL</v>
      </c>
      <c r="D16" s="13" t="str">
        <f aca="false">IFERROR(__xludf.dummyfunction("""COMPUTED_VALUE"""),"Olpers")</f>
        <v>Olpers</v>
      </c>
      <c r="E16" s="13" t="str">
        <f aca="false">IFERROR(__xludf.dummyfunction("""COMPUTED_VALUE"""),"Dairy")</f>
        <v>Dairy</v>
      </c>
      <c r="F16" s="11" t="n">
        <f aca="false">IFERROR(__xludf.dummyfunction("""COMPUTED_VALUE"""),45132)</f>
        <v>45132</v>
      </c>
      <c r="G16" s="16" t="n">
        <f aca="false">IFERROR(__xludf.dummyfunction("""COMPUTED_VALUE"""),0.535988055556192)</f>
        <v>0.5359880556</v>
      </c>
      <c r="H16" s="13" t="str">
        <f aca="false">IFERROR(__xludf.dummyfunction("""COMPUTED_VALUE"""),"expired stock")</f>
        <v>expired stock</v>
      </c>
      <c r="I16" s="13" t="n">
        <f aca="false">IFERROR(__xludf.dummyfunction("""COMPUTED_VALUE"""),56)</f>
        <v>56</v>
      </c>
      <c r="J16" s="13" t="n">
        <f aca="false">IFERROR(__xludf.dummyfunction("""COMPUTED_VALUE"""),1520)</f>
        <v>1520</v>
      </c>
      <c r="K16" s="13" t="n">
        <f aca="false">IFERROR(__xludf.dummyfunction("""COMPUTED_VALUE"""),85120)</f>
        <v>85120</v>
      </c>
      <c r="L16" s="13" t="str">
        <f aca="false">IFERROR(__xludf.dummyfunction("""COMPUTED_VALUE"""),"[Code: 44579A] [Expiry: 13 Aug, 2023] 56 selling unit found short expiry")</f>
        <v>[Code: 44579A] [Expiry: 13 Aug, 2023] 56 selling unit found short expiry</v>
      </c>
      <c r="M16" s="13" t="str">
        <f aca="false">IFERROR(__xludf.dummyfunction("""COMPUTED_VALUE"""),"44579A")</f>
        <v>44579A</v>
      </c>
      <c r="N16" s="13" t="str">
        <f aca="false">IFERROR(__xludf.dummyfunction("""COMPUTED_VALUE"""),"13 Aug, 2023")</f>
        <v>13 Aug, 2023</v>
      </c>
      <c r="O16" s="13" t="str">
        <f aca="false">IFERROR(__xludf.dummyfunction("""COMPUTED_VALUE"""),"ali.raza@tajir-app.com")</f>
        <v>ali.raza@tajir-app.com</v>
      </c>
      <c r="P16" s="13" t="str">
        <f aca="false">IFERROR(__xludf.dummyfunction("""COMPUTED_VALUE"""),"Ali Raza ")</f>
        <v>Ali Raza </v>
      </c>
      <c r="Q16" s="13" t="str">
        <f aca="false">IFERROR(__xludf.dummyfunction("""COMPUTED_VALUE"""),"[Code: 44579A] [Expiry: 13 Aug, 2023] 56 selling unit found short expiry")</f>
        <v>[Code: 44579A] [Expiry: 13 Aug, 2023] 56 selling unit found short expiry</v>
      </c>
      <c r="R16" s="13" t="str">
        <v>Tue, 25-Jul-2023, 12:51 PM</v>
      </c>
      <c r="S16" s="13" t="str">
        <v>Expired stock</v>
      </c>
      <c r="T16" s="13" t="e">
        <v>#VALUE!</v>
      </c>
    </row>
    <row r="17" customFormat="false" ht="15.75" hidden="false" customHeight="false" outlineLevel="0" collapsed="false">
      <c r="A17" s="13" t="str">
        <f aca="false">IFERROR(__xludf.dummyfunction("""COMPUTED_VALUE"""),"Metro DC Faisalabad")</f>
        <v>Metro DC Faisalabad</v>
      </c>
      <c r="B17" s="13" t="str">
        <f aca="false">IFERROR(__xludf.dummyfunction("""COMPUTED_VALUE"""),"9ebce01f-fcea-44e5-9f2d-4acec2b54956")</f>
        <v>9ebce01f-fcea-44e5-9f2d-4acec2b54956</v>
      </c>
      <c r="C17" s="13" t="str">
        <f aca="false">IFERROR(__xludf.dummyfunction("""COMPUTED_VALUE"""),"Yadgar Maida 1kg")</f>
        <v>Yadgar Maida 1kg</v>
      </c>
      <c r="D17" s="13" t="str">
        <f aca="false">IFERROR(__xludf.dummyfunction("""COMPUTED_VALUE"""),"Yadgar Atta")</f>
        <v>Yadgar Atta</v>
      </c>
      <c r="E17" s="13" t="str">
        <f aca="false">IFERROR(__xludf.dummyfunction("""COMPUTED_VALUE"""),"Flour")</f>
        <v>Flour</v>
      </c>
      <c r="F17" s="11" t="n">
        <f aca="false">IFERROR(__xludf.dummyfunction("""COMPUTED_VALUE"""),45134)</f>
        <v>45134</v>
      </c>
      <c r="G17" s="16" t="n">
        <f aca="false">IFERROR(__xludf.dummyfunction("""COMPUTED_VALUE"""),0.587264120369578)</f>
        <v>0.5872641204</v>
      </c>
      <c r="H17" s="13" t="str">
        <f aca="false">IFERROR(__xludf.dummyfunction("""COMPUTED_VALUE"""),"expired stock")</f>
        <v>expired stock</v>
      </c>
      <c r="I17" s="13" t="n">
        <f aca="false">IFERROR(__xludf.dummyfunction("""COMPUTED_VALUE"""),25)</f>
        <v>25</v>
      </c>
      <c r="J17" s="13" t="n">
        <f aca="false">IFERROR(__xludf.dummyfunction("""COMPUTED_VALUE"""),215)</f>
        <v>215</v>
      </c>
      <c r="K17" s="13" t="n">
        <f aca="false">IFERROR(__xludf.dummyfunction("""COMPUTED_VALUE"""),5375)</f>
        <v>5375</v>
      </c>
      <c r="L17" s="13" t="str">
        <f aca="false">IFERROR(__xludf.dummyfunction("""COMPUTED_VALUE"""),"[Code: 222359] [Expiry: 8 Aug, 2023] 25 units expire in next month")</f>
        <v>[Code: 222359] [Expiry: 8 Aug, 2023] 25 units expire in next month</v>
      </c>
      <c r="M17" s="13" t="str">
        <f aca="false">IFERROR(__xludf.dummyfunction("""COMPUTED_VALUE"""),"222359")</f>
        <v>222359</v>
      </c>
      <c r="N17" s="13" t="str">
        <f aca="false">IFERROR(__xludf.dummyfunction("""COMPUTED_VALUE"""),"8 Aug, 2023")</f>
        <v>8 Aug, 2023</v>
      </c>
      <c r="O17" s="13" t="str">
        <f aca="false">IFERROR(__xludf.dummyfunction("""COMPUTED_VALUE"""),"ali.raza@tajir-app.com")</f>
        <v>ali.raza@tajir-app.com</v>
      </c>
      <c r="P17" s="13" t="str">
        <f aca="false">IFERROR(__xludf.dummyfunction("""COMPUTED_VALUE"""),"Ali Raza ")</f>
        <v>Ali Raza </v>
      </c>
      <c r="Q17" s="13" t="str">
        <f aca="false">IFERROR(__xludf.dummyfunction("""COMPUTED_VALUE"""),"[Code: 222359] [Expiry: 8 Aug, 2023] 25 units expire in next month")</f>
        <v>[Code: 222359] [Expiry: 8 Aug, 2023] 25 units expire in next month</v>
      </c>
      <c r="R17" s="13" t="str">
        <v>Thu, 27-Jul-2023, 02:05 PM</v>
      </c>
      <c r="S17" s="13" t="str">
        <v>Expired stock</v>
      </c>
      <c r="T17" s="13" t="e">
        <v>#VALUE!</v>
      </c>
    </row>
    <row r="18" customFormat="false" ht="15.75" hidden="false" customHeight="false" outlineLevel="0" collapsed="false">
      <c r="A18" s="13" t="str">
        <f aca="false">IFERROR(__xludf.dummyfunction("""COMPUTED_VALUE"""),"Metro DC Faisalabad")</f>
        <v>Metro DC Faisalabad</v>
      </c>
      <c r="B18" s="13" t="str">
        <f aca="false">IFERROR(__xludf.dummyfunction("""COMPUTED_VALUE"""),"e2b23a59-5b91-40c2-99b0-67c3e3509d5d")</f>
        <v>e2b23a59-5b91-40c2-99b0-67c3e3509d5d</v>
      </c>
      <c r="C18" s="13" t="str">
        <f aca="false">IFERROR(__xludf.dummyfunction("""COMPUTED_VALUE"""),"Yadgar Whole Wheat Atta 5kg")</f>
        <v>Yadgar Whole Wheat Atta 5kg</v>
      </c>
      <c r="D18" s="13" t="str">
        <f aca="false">IFERROR(__xludf.dummyfunction("""COMPUTED_VALUE"""),"Yadgar Atta")</f>
        <v>Yadgar Atta</v>
      </c>
      <c r="E18" s="13" t="str">
        <f aca="false">IFERROR(__xludf.dummyfunction("""COMPUTED_VALUE"""),"Flour")</f>
        <v>Flour</v>
      </c>
      <c r="F18" s="11" t="n">
        <f aca="false">IFERROR(__xludf.dummyfunction("""COMPUTED_VALUE"""),45134)</f>
        <v>45134</v>
      </c>
      <c r="G18" s="16" t="n">
        <f aca="false">IFERROR(__xludf.dummyfunction("""COMPUTED_VALUE"""),0.587884004629419)</f>
        <v>0.5878840046</v>
      </c>
      <c r="H18" s="13" t="str">
        <f aca="false">IFERROR(__xludf.dummyfunction("""COMPUTED_VALUE"""),"expired stock")</f>
        <v>expired stock</v>
      </c>
      <c r="I18" s="13" t="n">
        <f aca="false">IFERROR(__xludf.dummyfunction("""COMPUTED_VALUE"""),58)</f>
        <v>58</v>
      </c>
      <c r="J18" s="13" t="n">
        <f aca="false">IFERROR(__xludf.dummyfunction("""COMPUTED_VALUE"""),660)</f>
        <v>660</v>
      </c>
      <c r="K18" s="13" t="n">
        <f aca="false">IFERROR(__xludf.dummyfunction("""COMPUTED_VALUE"""),38280)</f>
        <v>38280</v>
      </c>
      <c r="L18" s="13" t="str">
        <f aca="false">IFERROR(__xludf.dummyfunction("""COMPUTED_VALUE"""),"[Code: 57899A] [Expiry: 10 Aug, 2023] 58 units expire in next month")</f>
        <v>[Code: 57899A] [Expiry: 10 Aug, 2023] 58 units expire in next month</v>
      </c>
      <c r="M18" s="13" t="str">
        <f aca="false">IFERROR(__xludf.dummyfunction("""COMPUTED_VALUE"""),"57899A")</f>
        <v>57899A</v>
      </c>
      <c r="N18" s="13" t="str">
        <f aca="false">IFERROR(__xludf.dummyfunction("""COMPUTED_VALUE"""),"10 Aug, 2023")</f>
        <v>10 Aug, 2023</v>
      </c>
      <c r="O18" s="13" t="str">
        <f aca="false">IFERROR(__xludf.dummyfunction("""COMPUTED_VALUE"""),"ali.raza@tajir-app.com")</f>
        <v>ali.raza@tajir-app.com</v>
      </c>
      <c r="P18" s="13" t="str">
        <f aca="false">IFERROR(__xludf.dummyfunction("""COMPUTED_VALUE"""),"Ali Raza ")</f>
        <v>Ali Raza </v>
      </c>
      <c r="Q18" s="13" t="str">
        <f aca="false">IFERROR(__xludf.dummyfunction("""COMPUTED_VALUE"""),"[Code: 57899A] [Expiry: 10 Aug, 2023] 58 units expire in next month")</f>
        <v>[Code: 57899A] [Expiry: 10 Aug, 2023] 58 units expire in next month</v>
      </c>
      <c r="R18" s="13" t="str">
        <v>Thu, 27-Jul-2023, 02:06 PM</v>
      </c>
      <c r="S18" s="13" t="str">
        <v>Expired stock</v>
      </c>
      <c r="T18" s="13" t="e">
        <v>#VALUE!</v>
      </c>
    </row>
    <row r="19" customFormat="false" ht="15.75" hidden="false" customHeight="false" outlineLevel="0" collapsed="false">
      <c r="A19" s="13" t="str">
        <f aca="false">IFERROR(__xludf.dummyfunction("""COMPUTED_VALUE"""),"Metro DC Faisalabad")</f>
        <v>Metro DC Faisalabad</v>
      </c>
      <c r="B19" s="13" t="str">
        <f aca="false">IFERROR(__xludf.dummyfunction("""COMPUTED_VALUE"""),"19e5dc4d-029c-48c4-ac76-f5a2b0735223")</f>
        <v>19e5dc4d-029c-48c4-ac76-f5a2b0735223</v>
      </c>
      <c r="C19" s="13" t="str">
        <f aca="false">IFERROR(__xludf.dummyfunction("""COMPUTED_VALUE"""),"Top Pizza Flour 10kg")</f>
        <v>Top Pizza Flour 10kg</v>
      </c>
      <c r="D19" s="13" t="str">
        <f aca="false">IFERROR(__xludf.dummyfunction("""COMPUTED_VALUE"""),"Yadgar Atta")</f>
        <v>Yadgar Atta</v>
      </c>
      <c r="E19" s="13" t="str">
        <f aca="false">IFERROR(__xludf.dummyfunction("""COMPUTED_VALUE"""),"Flour")</f>
        <v>Flour</v>
      </c>
      <c r="F19" s="11" t="n">
        <f aca="false">IFERROR(__xludf.dummyfunction("""COMPUTED_VALUE"""),45134)</f>
        <v>45134</v>
      </c>
      <c r="G19" s="16" t="n">
        <f aca="false">IFERROR(__xludf.dummyfunction("""COMPUTED_VALUE"""),0.58835166666554)</f>
        <v>0.5883516667</v>
      </c>
      <c r="H19" s="13" t="str">
        <f aca="false">IFERROR(__xludf.dummyfunction("""COMPUTED_VALUE"""),"expired stock")</f>
        <v>expired stock</v>
      </c>
      <c r="I19" s="13" t="n">
        <f aca="false">IFERROR(__xludf.dummyfunction("""COMPUTED_VALUE"""),3)</f>
        <v>3</v>
      </c>
      <c r="J19" s="13" t="n">
        <f aca="false">IFERROR(__xludf.dummyfunction("""COMPUTED_VALUE"""),1450)</f>
        <v>1450</v>
      </c>
      <c r="K19" s="13" t="n">
        <f aca="false">IFERROR(__xludf.dummyfunction("""COMPUTED_VALUE"""),4350)</f>
        <v>4350</v>
      </c>
      <c r="L19" s="13" t="str">
        <f aca="false">IFERROR(__xludf.dummyfunction("""COMPUTED_VALUE"""),"[Code: 22456C] [Expiry: 10 Aug, 2023] 3 units expire in next month")</f>
        <v>[Code: 22456C] [Expiry: 10 Aug, 2023] 3 units expire in next month</v>
      </c>
      <c r="M19" s="13" t="str">
        <f aca="false">IFERROR(__xludf.dummyfunction("""COMPUTED_VALUE"""),"22456C")</f>
        <v>22456C</v>
      </c>
      <c r="N19" s="13" t="str">
        <f aca="false">IFERROR(__xludf.dummyfunction("""COMPUTED_VALUE"""),"10 Aug, 2023")</f>
        <v>10 Aug, 2023</v>
      </c>
      <c r="O19" s="13" t="str">
        <f aca="false">IFERROR(__xludf.dummyfunction("""COMPUTED_VALUE"""),"ali.raza@tajir-app.com")</f>
        <v>ali.raza@tajir-app.com</v>
      </c>
      <c r="P19" s="13" t="str">
        <f aca="false">IFERROR(__xludf.dummyfunction("""COMPUTED_VALUE"""),"Ali Raza ")</f>
        <v>Ali Raza </v>
      </c>
      <c r="Q19" s="13" t="str">
        <f aca="false">IFERROR(__xludf.dummyfunction("""COMPUTED_VALUE"""),"[Code: 22456C] [Expiry: 10 Aug, 2023] 3 units expire in next month")</f>
        <v>[Code: 22456C] [Expiry: 10 Aug, 2023] 3 units expire in next month</v>
      </c>
      <c r="R19" s="13" t="str">
        <v>Thu, 27-Jul-2023, 02:07 PM</v>
      </c>
      <c r="S19" s="13" t="str">
        <v>Expired stock</v>
      </c>
      <c r="T19" s="13" t="e">
        <v>#VALUE!</v>
      </c>
    </row>
    <row r="20" customFormat="false" ht="15.75" hidden="false" customHeight="false" outlineLevel="0" collapsed="false">
      <c r="A20" s="13" t="str">
        <f aca="false">IFERROR(__xludf.dummyfunction("""COMPUTED_VALUE"""),"Metro DC Faisalabad")</f>
        <v>Metro DC Faisalabad</v>
      </c>
      <c r="B20" s="13" t="str">
        <f aca="false">IFERROR(__xludf.dummyfunction("""COMPUTED_VALUE"""),"de8d9d67-55e7-41cc-a256-7ae18bd528aa")</f>
        <v>de8d9d67-55e7-41cc-a256-7ae18bd528aa</v>
      </c>
      <c r="C20" s="13" t="str">
        <f aca="false">IFERROR(__xludf.dummyfunction("""COMPUTED_VALUE"""),"Yadgar Whole Wheat Atta 10kg")</f>
        <v>Yadgar Whole Wheat Atta 10kg</v>
      </c>
      <c r="D20" s="13" t="str">
        <f aca="false">IFERROR(__xludf.dummyfunction("""COMPUTED_VALUE"""),"Yadgar Atta")</f>
        <v>Yadgar Atta</v>
      </c>
      <c r="E20" s="13" t="str">
        <f aca="false">IFERROR(__xludf.dummyfunction("""COMPUTED_VALUE"""),"Flour")</f>
        <v>Flour</v>
      </c>
      <c r="F20" s="11" t="n">
        <f aca="false">IFERROR(__xludf.dummyfunction("""COMPUTED_VALUE"""),45134)</f>
        <v>45134</v>
      </c>
      <c r="G20" s="16" t="n">
        <f aca="false">IFERROR(__xludf.dummyfunction("""COMPUTED_VALUE"""),0.615314652776032)</f>
        <v>0.6153146528</v>
      </c>
      <c r="H20" s="13" t="str">
        <f aca="false">IFERROR(__xludf.dummyfunction("""COMPUTED_VALUE"""),"expired stock")</f>
        <v>expired stock</v>
      </c>
      <c r="I20" s="13" t="n">
        <f aca="false">IFERROR(__xludf.dummyfunction("""COMPUTED_VALUE"""),45)</f>
        <v>45</v>
      </c>
      <c r="J20" s="13" t="n">
        <f aca="false">IFERROR(__xludf.dummyfunction("""COMPUTED_VALUE"""),1310)</f>
        <v>1310</v>
      </c>
      <c r="K20" s="13" t="n">
        <f aca="false">IFERROR(__xludf.dummyfunction("""COMPUTED_VALUE"""),58950)</f>
        <v>58950</v>
      </c>
      <c r="L20" s="13" t="str">
        <f aca="false">IFERROR(__xludf.dummyfunction("""COMPUTED_VALUE"""),"[Code: 2489CC] [Expiry: 10 Sep, 2023] 45 units found damaged due to susri")</f>
        <v>[Code: 2489CC] [Expiry: 10 Sep, 2023] 45 units found damaged due to susri</v>
      </c>
      <c r="M20" s="13" t="str">
        <f aca="false">IFERROR(__xludf.dummyfunction("""COMPUTED_VALUE"""),"2489CC")</f>
        <v>2489CC</v>
      </c>
      <c r="N20" s="13" t="str">
        <f aca="false">IFERROR(__xludf.dummyfunction("""COMPUTED_VALUE"""),"10 Sep, 2023")</f>
        <v>10 Sep, 2023</v>
      </c>
      <c r="O20" s="13" t="str">
        <f aca="false">IFERROR(__xludf.dummyfunction("""COMPUTED_VALUE"""),"ali.raza@tajir-app.com")</f>
        <v>ali.raza@tajir-app.com</v>
      </c>
      <c r="P20" s="13" t="str">
        <f aca="false">IFERROR(__xludf.dummyfunction("""COMPUTED_VALUE"""),"Ali Raza ")</f>
        <v>Ali Raza </v>
      </c>
      <c r="Q20" s="13" t="str">
        <f aca="false">IFERROR(__xludf.dummyfunction("""COMPUTED_VALUE"""),"[Code: 2489CC] [Expiry: 10 Sep, 2023] 45 units found damaged due to susri")</f>
        <v>[Code: 2489CC] [Expiry: 10 Sep, 2023] 45 units found damaged due to susri</v>
      </c>
      <c r="R20" s="13" t="str">
        <v>Thu, 27-Jul-2023, 02:46 PM</v>
      </c>
      <c r="S20" s="13" t="str">
        <v>Expired stock</v>
      </c>
      <c r="T20" s="13" t="e">
        <v>#VALUE!</v>
      </c>
    </row>
    <row r="21" customFormat="false" ht="15.75" hidden="false" customHeight="false" outlineLevel="0" collapsed="false">
      <c r="A21" s="13" t="str">
        <f aca="false">IFERROR(__xludf.dummyfunction("""COMPUTED_VALUE"""),"Metro DC Faisalabad")</f>
        <v>Metro DC Faisalabad</v>
      </c>
      <c r="B21" s="13" t="str">
        <f aca="false">IFERROR(__xludf.dummyfunction("""COMPUTED_VALUE"""),"2a7fb319-7f21-4145-a915-5d8177e531d9")</f>
        <v>2a7fb319-7f21-4145-a915-5d8177e531d9</v>
      </c>
      <c r="C21" s="13" t="str">
        <f aca="false">IFERROR(__xludf.dummyfunction("""COMPUTED_VALUE"""),"Fruita Vitals Red Grape x24 Crate 200mL Rs57")</f>
        <v>Fruita Vitals Red Grape x24 Crate 200mL Rs57</v>
      </c>
      <c r="D21" s="13" t="str">
        <f aca="false">IFERROR(__xludf.dummyfunction("""COMPUTED_VALUE"""),"Fruita Vitals")</f>
        <v>Fruita Vitals</v>
      </c>
      <c r="E21" s="13" t="str">
        <f aca="false">IFERROR(__xludf.dummyfunction("""COMPUTED_VALUE"""),"Juice, Syrup, Squash")</f>
        <v>Juice, Syrup, Squash</v>
      </c>
      <c r="F21" s="11" t="n">
        <f aca="false">IFERROR(__xludf.dummyfunction("""COMPUTED_VALUE"""),45137)</f>
        <v>45137</v>
      </c>
      <c r="G21" s="16" t="n">
        <f aca="false">IFERROR(__xludf.dummyfunction("""COMPUTED_VALUE"""),0.515801608796862)</f>
        <v>0.5158016088</v>
      </c>
      <c r="H21" s="13" t="str">
        <f aca="false">IFERROR(__xludf.dummyfunction("""COMPUTED_VALUE"""),"expired stock")</f>
        <v>expired stock</v>
      </c>
      <c r="I21" s="13" t="n">
        <f aca="false">IFERROR(__xludf.dummyfunction("""COMPUTED_VALUE"""),30)</f>
        <v>30</v>
      </c>
      <c r="J21" s="13" t="n">
        <f aca="false">IFERROR(__xludf.dummyfunction("""COMPUTED_VALUE"""),1230)</f>
        <v>1230</v>
      </c>
      <c r="K21" s="13" t="n">
        <f aca="false">IFERROR(__xludf.dummyfunction("""COMPUTED_VALUE"""),36900)</f>
        <v>36900</v>
      </c>
      <c r="L21" s="13" t="str">
        <f aca="false">IFERROR(__xludf.dummyfunction("""COMPUTED_VALUE"""),"[Code: 2678FG] [Expiry: 21 Aug, 2023] AR: Short date stock")</f>
        <v>[Code: 2678FG] [Expiry: 21 Aug, 2023] AR: Short date stock</v>
      </c>
      <c r="M21" s="13" t="str">
        <f aca="false">IFERROR(__xludf.dummyfunction("""COMPUTED_VALUE"""),"2678FG")</f>
        <v>2678FG</v>
      </c>
      <c r="N21" s="13" t="str">
        <f aca="false">IFERROR(__xludf.dummyfunction("""COMPUTED_VALUE"""),"21 Aug, 2023")</f>
        <v>21 Aug, 2023</v>
      </c>
      <c r="O21" s="13" t="str">
        <f aca="false">IFERROR(__xludf.dummyfunction("""COMPUTED_VALUE"""),"ali.raza@tajir-app.com")</f>
        <v>ali.raza@tajir-app.com</v>
      </c>
      <c r="P21" s="13" t="str">
        <f aca="false">IFERROR(__xludf.dummyfunction("""COMPUTED_VALUE"""),"Ali Raza ")</f>
        <v>Ali Raza </v>
      </c>
      <c r="Q21" s="13" t="str">
        <f aca="false">IFERROR(__xludf.dummyfunction("""COMPUTED_VALUE"""),"[Code: 2678FG] [Expiry: 21 Aug, 2023] AR: Short date stock")</f>
        <v>[Code: 2678FG] [Expiry: 21 Aug, 2023] AR: Short date stock</v>
      </c>
      <c r="R21" s="13" t="str">
        <v>Sun, 30-Jul-2023, 12:22 PM</v>
      </c>
      <c r="S21" s="13" t="str">
        <v>Expired stock</v>
      </c>
      <c r="T21" s="13" t="e">
        <v>#VALUE!</v>
      </c>
    </row>
    <row r="22" customFormat="false" ht="15.75" hidden="false" customHeight="false" outlineLevel="0" collapsed="false">
      <c r="A22" s="13" t="str">
        <f aca="false">IFERROR(__xludf.dummyfunction("""COMPUTED_VALUE"""),"Metro DC Faisalabad")</f>
        <v>Metro DC Faisalabad</v>
      </c>
      <c r="B22" s="13" t="str">
        <f aca="false">IFERROR(__xludf.dummyfunction("""COMPUTED_VALUE"""),"2a7fb319-7f21-4145-a915-5d8177e531d9")</f>
        <v>2a7fb319-7f21-4145-a915-5d8177e531d9</v>
      </c>
      <c r="C22" s="13" t="str">
        <f aca="false">IFERROR(__xludf.dummyfunction("""COMPUTED_VALUE"""),"Fruita Vitals Red Grape x24 Crate 200mL Rs57")</f>
        <v>Fruita Vitals Red Grape x24 Crate 200mL Rs57</v>
      </c>
      <c r="D22" s="13" t="str">
        <f aca="false">IFERROR(__xludf.dummyfunction("""COMPUTED_VALUE"""),"Fruita Vitals")</f>
        <v>Fruita Vitals</v>
      </c>
      <c r="E22" s="13" t="str">
        <f aca="false">IFERROR(__xludf.dummyfunction("""COMPUTED_VALUE"""),"Juice, Syrup, Squash")</f>
        <v>Juice, Syrup, Squash</v>
      </c>
      <c r="F22" s="11" t="n">
        <f aca="false">IFERROR(__xludf.dummyfunction("""COMPUTED_VALUE"""),45137)</f>
        <v>45137</v>
      </c>
      <c r="G22" s="16" t="n">
        <f aca="false">IFERROR(__xludf.dummyfunction("""COMPUTED_VALUE"""),0.82051326388759)</f>
        <v>0.8205132639</v>
      </c>
      <c r="H22" s="13" t="str">
        <f aca="false">IFERROR(__xludf.dummyfunction("""COMPUTED_VALUE"""),"expired stock")</f>
        <v>expired stock</v>
      </c>
      <c r="I22" s="13" t="n">
        <f aca="false">IFERROR(__xludf.dummyfunction("""COMPUTED_VALUE"""),16)</f>
        <v>16</v>
      </c>
      <c r="J22" s="13" t="n">
        <f aca="false">IFERROR(__xludf.dummyfunction("""COMPUTED_VALUE"""),1230)</f>
        <v>1230</v>
      </c>
      <c r="K22" s="13" t="n">
        <f aca="false">IFERROR(__xludf.dummyfunction("""COMPUTED_VALUE"""),19680)</f>
        <v>19680</v>
      </c>
      <c r="L22" s="13" t="str">
        <f aca="false">IFERROR(__xludf.dummyfunction("""COMPUTED_VALUE"""),"[Code: 233559] [Expiry: 21 Aug, 2023] AR: short expiry stock ")</f>
        <v>[Code: 233559] [Expiry: 21 Aug, 2023] AR: short expiry stock </v>
      </c>
      <c r="M22" s="13" t="str">
        <f aca="false">IFERROR(__xludf.dummyfunction("""COMPUTED_VALUE"""),"233559")</f>
        <v>233559</v>
      </c>
      <c r="N22" s="13" t="str">
        <f aca="false">IFERROR(__xludf.dummyfunction("""COMPUTED_VALUE"""),"21 Aug, 2023")</f>
        <v>21 Aug, 2023</v>
      </c>
      <c r="O22" s="13" t="str">
        <f aca="false">IFERROR(__xludf.dummyfunction("""COMPUTED_VALUE"""),"ali.raza@tajir-app.com")</f>
        <v>ali.raza@tajir-app.com</v>
      </c>
      <c r="P22" s="13" t="str">
        <f aca="false">IFERROR(__xludf.dummyfunction("""COMPUTED_VALUE"""),"Ali Raza ")</f>
        <v>Ali Raza </v>
      </c>
      <c r="Q22" s="13" t="str">
        <f aca="false">IFERROR(__xludf.dummyfunction("""COMPUTED_VALUE"""),"[Code: 233559] [Expiry: 21 Aug, 2023] AR: short expiry stock ")</f>
        <v>[Code: 233559] [Expiry: 21 Aug, 2023] AR: short expiry stock </v>
      </c>
      <c r="R22" s="13" t="str">
        <v>Sun, 30-Jul-2023, 07:41 PM</v>
      </c>
      <c r="S22" s="13" t="str">
        <v>Expired stock</v>
      </c>
      <c r="T22" s="13" t="e">
        <v>#VALUE!</v>
      </c>
    </row>
    <row r="23" customFormat="false" ht="15.75" hidden="false" customHeight="false" outlineLevel="0" collapsed="false">
      <c r="A23" s="13" t="str">
        <f aca="false">IFERROR(__xludf.dummyfunction("""COMPUTED_VALUE"""),"Metro DC Faisalabad")</f>
        <v>Metro DC Faisalabad</v>
      </c>
      <c r="B23" s="13" t="str">
        <f aca="false">IFERROR(__xludf.dummyfunction("""COMPUTED_VALUE"""),"60e2bb1e-d374-4b6c-82f1-86fc0c5cdcdb")</f>
        <v>60e2bb1e-d374-4b6c-82f1-86fc0c5cdcdb</v>
      </c>
      <c r="C23" s="13" t="str">
        <f aca="false">IFERROR(__xludf.dummyfunction("""COMPUTED_VALUE"""),"Fruita Vitals Red Grape 1L Rs313")</f>
        <v>Fruita Vitals Red Grape 1L Rs313</v>
      </c>
      <c r="D23" s="13" t="str">
        <f aca="false">IFERROR(__xludf.dummyfunction("""COMPUTED_VALUE"""),"Fruita Vitals")</f>
        <v>Fruita Vitals</v>
      </c>
      <c r="E23" s="13" t="str">
        <f aca="false">IFERROR(__xludf.dummyfunction("""COMPUTED_VALUE"""),"Juice, Syrup, Squash")</f>
        <v>Juice, Syrup, Squash</v>
      </c>
      <c r="F23" s="11" t="n">
        <f aca="false">IFERROR(__xludf.dummyfunction("""COMPUTED_VALUE"""),45138)</f>
        <v>45138</v>
      </c>
      <c r="G23" s="16" t="n">
        <f aca="false">IFERROR(__xludf.dummyfunction("""COMPUTED_VALUE"""),0.791135486111558)</f>
        <v>0.7911354861</v>
      </c>
      <c r="H23" s="13" t="str">
        <f aca="false">IFERROR(__xludf.dummyfunction("""COMPUTED_VALUE"""),"expired stock")</f>
        <v>expired stock</v>
      </c>
      <c r="I23" s="13" t="n">
        <f aca="false">IFERROR(__xludf.dummyfunction("""COMPUTED_VALUE"""),1349)</f>
        <v>1349</v>
      </c>
      <c r="J23" s="13" t="n">
        <f aca="false">IFERROR(__xludf.dummyfunction("""COMPUTED_VALUE"""),291.35)</f>
        <v>291.35</v>
      </c>
      <c r="K23" s="13" t="n">
        <f aca="false">IFERROR(__xludf.dummyfunction("""COMPUTED_VALUE"""),393031.15)</f>
        <v>393031.15</v>
      </c>
      <c r="L23" s="13" t="str">
        <f aca="false">IFERROR(__xludf.dummyfunction("""COMPUTED_VALUE"""),"[Code: 5ACDEG] [Expiry: 6 Aug, 2023] ZA: Stock removed due to short expiry.")</f>
        <v>[Code: 5ACDEG] [Expiry: 6 Aug, 2023] ZA: Stock removed due to short expiry.</v>
      </c>
      <c r="M23" s="13" t="str">
        <f aca="false">IFERROR(__xludf.dummyfunction("""COMPUTED_VALUE"""),"5ACDEG")</f>
        <v>5ACDEG</v>
      </c>
      <c r="N23" s="13" t="str">
        <f aca="false">IFERROR(__xludf.dummyfunction("""COMPUTED_VALUE"""),"6 Aug, 2023")</f>
        <v>6 Aug, 2023</v>
      </c>
      <c r="O23" s="13" t="str">
        <f aca="false">IFERROR(__xludf.dummyfunction("""COMPUTED_VALUE"""),"ali.raza@tajir-app.com")</f>
        <v>ali.raza@tajir-app.com</v>
      </c>
      <c r="P23" s="13" t="str">
        <f aca="false">IFERROR(__xludf.dummyfunction("""COMPUTED_VALUE"""),"Ali Raza ")</f>
        <v>Ali Raza </v>
      </c>
      <c r="Q23" s="13" t="str">
        <f aca="false">IFERROR(__xludf.dummyfunction("""COMPUTED_VALUE"""),"[Code: 5ACDEG] [Expiry: 6 Aug, 2023] ZA: Stock removed due to short expiry.")</f>
        <v>[Code: 5ACDEG] [Expiry: 6 Aug, 2023] ZA: Stock removed due to short expiry.</v>
      </c>
      <c r="R23" s="13" t="str">
        <v>Mon, 31-Jul-2023, 06:59 PM</v>
      </c>
      <c r="S23" s="13" t="str">
        <v>Expired stock</v>
      </c>
      <c r="T23" s="13" t="e">
        <v>#VALUE!</v>
      </c>
    </row>
    <row r="24" customFormat="false" ht="15.75" hidden="false" customHeight="false" outlineLevel="0" collapsed="false">
      <c r="A24" s="13" t="str">
        <f aca="false">IFERROR(__xludf.dummyfunction("""COMPUTED_VALUE"""),"Metro DC Faisalabad")</f>
        <v>Metro DC Faisalabad</v>
      </c>
      <c r="B24" s="13" t="str">
        <f aca="false">IFERROR(__xludf.dummyfunction("""COMPUTED_VALUE"""),"db1281d2-b45b-4883-8f8c-596859595064")</f>
        <v>db1281d2-b45b-4883-8f8c-596859595064</v>
      </c>
      <c r="C24" s="13" t="str">
        <f aca="false">IFERROR(__xludf.dummyfunction("""COMPUTED_VALUE"""),"Swadi Surkh Mirch Pissi Hoi 5kg")</f>
        <v>Swadi Surkh Mirch Pissi Hoi 5kg</v>
      </c>
      <c r="D24" s="13" t="str">
        <f aca="false">IFERROR(__xludf.dummyfunction("""COMPUTED_VALUE"""),"Swadi")</f>
        <v>Swadi</v>
      </c>
      <c r="E24" s="13" t="str">
        <f aca="false">IFERROR(__xludf.dummyfunction("""COMPUTED_VALUE"""),"Spices")</f>
        <v>Spices</v>
      </c>
      <c r="F24" s="11" t="n">
        <f aca="false">IFERROR(__xludf.dummyfunction("""COMPUTED_VALUE"""),45143)</f>
        <v>45143</v>
      </c>
      <c r="G24" s="16" t="n">
        <f aca="false">IFERROR(__xludf.dummyfunction("""COMPUTED_VALUE"""),0.979309432871308)</f>
        <v>0.9793094329</v>
      </c>
      <c r="H24" s="13" t="str">
        <f aca="false">IFERROR(__xludf.dummyfunction("""COMPUTED_VALUE"""),"expired stock")</f>
        <v>expired stock</v>
      </c>
      <c r="I24" s="13" t="n">
        <f aca="false">IFERROR(__xludf.dummyfunction("""COMPUTED_VALUE"""),1)</f>
        <v>1</v>
      </c>
      <c r="J24" s="13" t="n">
        <f aca="false">IFERROR(__xludf.dummyfunction("""COMPUTED_VALUE"""),2750)</f>
        <v>2750</v>
      </c>
      <c r="K24" s="13" t="n">
        <f aca="false">IFERROR(__xludf.dummyfunction("""COMPUTED_VALUE"""),2750)</f>
        <v>2750</v>
      </c>
      <c r="L24" s="13" t="str">
        <f aca="false">IFERROR(__xludf.dummyfunction("""COMPUTED_VALUE"""),"[Code: 569AAB] [Expiry: 20 May, 2023] TA; 1 unit found  Expire ( date 20/5/2023)")</f>
        <v>[Code: 569AAB] [Expiry: 20 May, 2023] TA; 1 unit found  Expire ( date 20/5/2023)</v>
      </c>
      <c r="M24" s="13" t="str">
        <f aca="false">IFERROR(__xludf.dummyfunction("""COMPUTED_VALUE"""),"569AAB")</f>
        <v>569AAB</v>
      </c>
      <c r="N24" s="13" t="str">
        <f aca="false">IFERROR(__xludf.dummyfunction("""COMPUTED_VALUE"""),"20 May, 2023")</f>
        <v>20 May, 2023</v>
      </c>
      <c r="O24" s="13" t="str">
        <f aca="false">IFERROR(__xludf.dummyfunction("""COMPUTED_VALUE"""),"taufeeq.akhtar@tajir-app.com")</f>
        <v>taufeeq.akhtar@tajir-app.com</v>
      </c>
      <c r="P24" s="13" t="str">
        <f aca="false">IFERROR(__xludf.dummyfunction("""COMPUTED_VALUE"""),"Taufeeq Akhtar ")</f>
        <v>Taufeeq Akhtar </v>
      </c>
      <c r="Q24" s="13" t="str">
        <f aca="false">IFERROR(__xludf.dummyfunction("""COMPUTED_VALUE"""),"[Code: 569AAB] [Expiry: 20 May, 2023] TA; 1 unit found  Expire ( date 20/5/2023)")</f>
        <v>[Code: 569AAB] [Expiry: 20 May, 2023] TA; 1 unit found  Expire ( date 20/5/2023)</v>
      </c>
      <c r="R24" s="13" t="str">
        <v>Sat, 05-Aug-2023, 11:30 PM</v>
      </c>
      <c r="S24" s="13" t="str">
        <v>Expired stock</v>
      </c>
      <c r="T24" s="13" t="e">
        <v>#VALUE!</v>
      </c>
    </row>
    <row r="25" customFormat="false" ht="15.75" hidden="false" customHeight="false" outlineLevel="0" collapsed="false">
      <c r="A25" s="13" t="str">
        <f aca="false">IFERROR(__xludf.dummyfunction("""COMPUTED_VALUE"""),"Metro DC Faisalabad")</f>
        <v>Metro DC Faisalabad</v>
      </c>
      <c r="B25" s="13" t="str">
        <f aca="false">IFERROR(__xludf.dummyfunction("""COMPUTED_VALUE"""),"68e18f16-9746-430b-a32a-2b6c62dba9c3")</f>
        <v>68e18f16-9746-430b-a32a-2b6c62dba9c3</v>
      </c>
      <c r="C25" s="13" t="str">
        <f aca="false">IFERROR(__xludf.dummyfunction("""COMPUTED_VALUE"""),"Sherdil Daal Mash Chilka 5kg")</f>
        <v>Sherdil Daal Mash Chilka 5kg</v>
      </c>
      <c r="D25" s="13" t="str">
        <f aca="false">IFERROR(__xludf.dummyfunction("""COMPUTED_VALUE"""),"Sherdil")</f>
        <v>Sherdil</v>
      </c>
      <c r="E25" s="13" t="str">
        <f aca="false">IFERROR(__xludf.dummyfunction("""COMPUTED_VALUE"""),"Pulses")</f>
        <v>Pulses</v>
      </c>
      <c r="F25" s="11" t="n">
        <f aca="false">IFERROR(__xludf.dummyfunction("""COMPUTED_VALUE"""),45147)</f>
        <v>45147</v>
      </c>
      <c r="G25" s="16" t="n">
        <f aca="false">IFERROR(__xludf.dummyfunction("""COMPUTED_VALUE"""),0.71261281250034)</f>
        <v>0.7126128125</v>
      </c>
      <c r="H25" s="13" t="str">
        <f aca="false">IFERROR(__xludf.dummyfunction("""COMPUTED_VALUE"""),"expired stock")</f>
        <v>expired stock</v>
      </c>
      <c r="I25" s="13" t="n">
        <f aca="false">IFERROR(__xludf.dummyfunction("""COMPUTED_VALUE"""),5)</f>
        <v>5</v>
      </c>
      <c r="J25" s="13" t="n">
        <f aca="false">IFERROR(__xludf.dummyfunction("""COMPUTED_VALUE"""),2021)</f>
        <v>2021</v>
      </c>
      <c r="K25" s="13" t="n">
        <f aca="false">IFERROR(__xludf.dummyfunction("""COMPUTED_VALUE"""),10105)</f>
        <v>10105</v>
      </c>
      <c r="L25" s="13" t="str">
        <f aca="false">IFERROR(__xludf.dummyfunction("""COMPUTED_VALUE"""),"[Code: 44DEFH] [Expiry: 28 Sep, 2023] 05 units expire in next month")</f>
        <v>[Code: 44DEFH] [Expiry: 28 Sep, 2023] 05 units expire in next month</v>
      </c>
      <c r="M25" s="13" t="str">
        <f aca="false">IFERROR(__xludf.dummyfunction("""COMPUTED_VALUE"""),"44DEFH")</f>
        <v>44DEFH</v>
      </c>
      <c r="N25" s="13" t="str">
        <f aca="false">IFERROR(__xludf.dummyfunction("""COMPUTED_VALUE"""),"28 Sep, 2023")</f>
        <v>28 Sep, 2023</v>
      </c>
      <c r="O25" s="13" t="str">
        <f aca="false">IFERROR(__xludf.dummyfunction("""COMPUTED_VALUE"""),"ali.raza@tajir-app.com")</f>
        <v>ali.raza@tajir-app.com</v>
      </c>
      <c r="P25" s="13" t="str">
        <f aca="false">IFERROR(__xludf.dummyfunction("""COMPUTED_VALUE"""),"Ali Raza ")</f>
        <v>Ali Raza </v>
      </c>
      <c r="Q25" s="13" t="str">
        <f aca="false">IFERROR(__xludf.dummyfunction("""COMPUTED_VALUE"""),"[Code: 44DEFH] [Expiry: 28 Sep, 2023] 05 units expire in next month")</f>
        <v>[Code: 44DEFH] [Expiry: 28 Sep, 2023] 05 units expire in next month</v>
      </c>
      <c r="R25" s="13" t="str">
        <v>Wed, 09-Aug-2023, 05:06 PM</v>
      </c>
      <c r="S25" s="13" t="str">
        <v>Expired stock</v>
      </c>
      <c r="T25" s="13" t="e">
        <v>#VALUE!</v>
      </c>
    </row>
    <row r="26" customFormat="false" ht="15.75" hidden="false" customHeight="false" outlineLevel="0" collapsed="false">
      <c r="A26" s="13" t="str">
        <f aca="false">IFERROR(__xludf.dummyfunction("""COMPUTED_VALUE"""),"Metro DC Faisalabad")</f>
        <v>Metro DC Faisalabad</v>
      </c>
      <c r="B26" s="13" t="str">
        <f aca="false">IFERROR(__xludf.dummyfunction("""COMPUTED_VALUE"""),"ef5292a1-b576-440d-a0a7-7557c23acc14")</f>
        <v>ef5292a1-b576-440d-a0a7-7557c23acc14</v>
      </c>
      <c r="C26" s="13" t="str">
        <f aca="false">IFERROR(__xludf.dummyfunction("""COMPUTED_VALUE"""),"Sherdil Masar Desi 5kg")</f>
        <v>Sherdil Masar Desi 5kg</v>
      </c>
      <c r="D26" s="13" t="str">
        <f aca="false">IFERROR(__xludf.dummyfunction("""COMPUTED_VALUE"""),"Sherdil")</f>
        <v>Sherdil</v>
      </c>
      <c r="E26" s="13" t="str">
        <f aca="false">IFERROR(__xludf.dummyfunction("""COMPUTED_VALUE"""),"Pulses")</f>
        <v>Pulses</v>
      </c>
      <c r="F26" s="11" t="n">
        <f aca="false">IFERROR(__xludf.dummyfunction("""COMPUTED_VALUE"""),45147)</f>
        <v>45147</v>
      </c>
      <c r="G26" s="16" t="n">
        <f aca="false">IFERROR(__xludf.dummyfunction("""COMPUTED_VALUE"""),0.713911261575486)</f>
        <v>0.7139112616</v>
      </c>
      <c r="H26" s="13" t="str">
        <f aca="false">IFERROR(__xludf.dummyfunction("""COMPUTED_VALUE"""),"expired stock")</f>
        <v>expired stock</v>
      </c>
      <c r="I26" s="13" t="n">
        <f aca="false">IFERROR(__xludf.dummyfunction("""COMPUTED_VALUE"""),3)</f>
        <v>3</v>
      </c>
      <c r="J26" s="13" t="n">
        <f aca="false">IFERROR(__xludf.dummyfunction("""COMPUTED_VALUE"""),2737)</f>
        <v>2737</v>
      </c>
      <c r="K26" s="13" t="n">
        <f aca="false">IFERROR(__xludf.dummyfunction("""COMPUTED_VALUE"""),8211)</f>
        <v>8211</v>
      </c>
      <c r="L26" s="13" t="str">
        <f aca="false">IFERROR(__xludf.dummyfunction("""COMPUTED_VALUE"""),"[Code: 223334] [Expiry: 20 Sep, 2023] 03 units expire in next month ")</f>
        <v>[Code: 223334] [Expiry: 20 Sep, 2023] 03 units expire in next month </v>
      </c>
      <c r="M26" s="13" t="str">
        <f aca="false">IFERROR(__xludf.dummyfunction("""COMPUTED_VALUE"""),"223334")</f>
        <v>223334</v>
      </c>
      <c r="N26" s="13" t="str">
        <f aca="false">IFERROR(__xludf.dummyfunction("""COMPUTED_VALUE"""),"20 Sep, 2023")</f>
        <v>20 Sep, 2023</v>
      </c>
      <c r="O26" s="13" t="str">
        <f aca="false">IFERROR(__xludf.dummyfunction("""COMPUTED_VALUE"""),"ali.raza@tajir-app.com")</f>
        <v>ali.raza@tajir-app.com</v>
      </c>
      <c r="P26" s="13" t="str">
        <f aca="false">IFERROR(__xludf.dummyfunction("""COMPUTED_VALUE"""),"Ali Raza ")</f>
        <v>Ali Raza </v>
      </c>
      <c r="Q26" s="13" t="str">
        <f aca="false">IFERROR(__xludf.dummyfunction("""COMPUTED_VALUE"""),"[Code: 223334] [Expiry: 20 Sep, 2023] 03 units expire in next month ")</f>
        <v>[Code: 223334] [Expiry: 20 Sep, 2023] 03 units expire in next month </v>
      </c>
      <c r="R26" s="13" t="str">
        <v>Wed, 09-Aug-2023, 05:08 PM</v>
      </c>
      <c r="S26" s="13" t="str">
        <v>Expired stock</v>
      </c>
      <c r="T26" s="13" t="e">
        <v>#VALUE!</v>
      </c>
    </row>
    <row r="27" customFormat="false" ht="15.75" hidden="false" customHeight="false" outlineLevel="0" collapsed="false">
      <c r="A27" s="13" t="str">
        <f aca="false">IFERROR(__xludf.dummyfunction("""COMPUTED_VALUE"""),"Metro DC Faisalabad")</f>
        <v>Metro DC Faisalabad</v>
      </c>
      <c r="B27" s="13" t="str">
        <f aca="false">IFERROR(__xludf.dummyfunction("""COMPUTED_VALUE"""),"efa208eb-1570-4637-96a6-831cf6fcd3cb")</f>
        <v>efa208eb-1570-4637-96a6-831cf6fcd3cb</v>
      </c>
      <c r="C27" s="13" t="str">
        <f aca="false">IFERROR(__xludf.dummyfunction("""COMPUTED_VALUE"""),"Sherdil Red Chili Crushed 1Kg")</f>
        <v>Sherdil Red Chili Crushed 1Kg</v>
      </c>
      <c r="D27" s="13" t="str">
        <f aca="false">IFERROR(__xludf.dummyfunction("""COMPUTED_VALUE"""),"Sherdil")</f>
        <v>Sherdil</v>
      </c>
      <c r="E27" s="13" t="str">
        <f aca="false">IFERROR(__xludf.dummyfunction("""COMPUTED_VALUE"""),"Spices")</f>
        <v>Spices</v>
      </c>
      <c r="F27" s="11" t="n">
        <f aca="false">IFERROR(__xludf.dummyfunction("""COMPUTED_VALUE"""),45147)</f>
        <v>45147</v>
      </c>
      <c r="G27" s="16" t="n">
        <f aca="false">IFERROR(__xludf.dummyfunction("""COMPUTED_VALUE"""),0.71482283564866)</f>
        <v>0.7148228356</v>
      </c>
      <c r="H27" s="13" t="str">
        <f aca="false">IFERROR(__xludf.dummyfunction("""COMPUTED_VALUE"""),"expired stock")</f>
        <v>expired stock</v>
      </c>
      <c r="I27" s="13" t="n">
        <f aca="false">IFERROR(__xludf.dummyfunction("""COMPUTED_VALUE"""),7)</f>
        <v>7</v>
      </c>
      <c r="J27" s="13" t="n">
        <f aca="false">IFERROR(__xludf.dummyfunction("""COMPUTED_VALUE"""),740)</f>
        <v>740</v>
      </c>
      <c r="K27" s="13" t="n">
        <f aca="false">IFERROR(__xludf.dummyfunction("""COMPUTED_VALUE"""),5180)</f>
        <v>5180</v>
      </c>
      <c r="L27" s="13" t="str">
        <f aca="false">IFERROR(__xludf.dummyfunction("""COMPUTED_VALUE"""),"[Code: 224566] [Expiry: 25 Aug, 2023] 07 units found short expiry")</f>
        <v>[Code: 224566] [Expiry: 25 Aug, 2023] 07 units found short expiry</v>
      </c>
      <c r="M27" s="13" t="str">
        <f aca="false">IFERROR(__xludf.dummyfunction("""COMPUTED_VALUE"""),"224566")</f>
        <v>224566</v>
      </c>
      <c r="N27" s="13" t="str">
        <f aca="false">IFERROR(__xludf.dummyfunction("""COMPUTED_VALUE"""),"25 Aug, 2023")</f>
        <v>25 Aug, 2023</v>
      </c>
      <c r="O27" s="13" t="str">
        <f aca="false">IFERROR(__xludf.dummyfunction("""COMPUTED_VALUE"""),"ali.raza@tajir-app.com")</f>
        <v>ali.raza@tajir-app.com</v>
      </c>
      <c r="P27" s="13" t="str">
        <f aca="false">IFERROR(__xludf.dummyfunction("""COMPUTED_VALUE"""),"Ali Raza ")</f>
        <v>Ali Raza </v>
      </c>
      <c r="Q27" s="13" t="str">
        <f aca="false">IFERROR(__xludf.dummyfunction("""COMPUTED_VALUE"""),"[Code: 224566] [Expiry: 25 Aug, 2023] 07 units found short expiry")</f>
        <v>[Code: 224566] [Expiry: 25 Aug, 2023] 07 units found short expiry</v>
      </c>
      <c r="R27" s="13" t="str">
        <v>Wed, 09-Aug-2023, 05:09 PM</v>
      </c>
      <c r="S27" s="13" t="str">
        <v>Expired stock</v>
      </c>
      <c r="T27" s="13" t="e">
        <v>#VALUE!</v>
      </c>
    </row>
    <row r="28" customFormat="false" ht="15.75" hidden="false" customHeight="false" outlineLevel="0" collapsed="false">
      <c r="A28" s="13" t="str">
        <f aca="false">IFERROR(__xludf.dummyfunction("""COMPUTED_VALUE"""),"Metro DC Faisalabad")</f>
        <v>Metro DC Faisalabad</v>
      </c>
      <c r="B28" s="13" t="str">
        <f aca="false">IFERROR(__xludf.dummyfunction("""COMPUTED_VALUE"""),"06d6c9b1-99eb-425f-87fc-dcf844091b3c")</f>
        <v>06d6c9b1-99eb-425f-87fc-dcf844091b3c</v>
      </c>
      <c r="C28" s="13" t="str">
        <f aca="false">IFERROR(__xludf.dummyfunction("""COMPUTED_VALUE"""),"Sherdil Red Chili Crushed 500g")</f>
        <v>Sherdil Red Chili Crushed 500g</v>
      </c>
      <c r="D28" s="13" t="str">
        <f aca="false">IFERROR(__xludf.dummyfunction("""COMPUTED_VALUE"""),"Sherdil")</f>
        <v>Sherdil</v>
      </c>
      <c r="E28" s="13" t="str">
        <f aca="false">IFERROR(__xludf.dummyfunction("""COMPUTED_VALUE"""),"Spices")</f>
        <v>Spices</v>
      </c>
      <c r="F28" s="11" t="n">
        <f aca="false">IFERROR(__xludf.dummyfunction("""COMPUTED_VALUE"""),45147)</f>
        <v>45147</v>
      </c>
      <c r="G28" s="16" t="n">
        <f aca="false">IFERROR(__xludf.dummyfunction("""COMPUTED_VALUE"""),0.715397835649334)</f>
        <v>0.7153978356</v>
      </c>
      <c r="H28" s="13" t="str">
        <f aca="false">IFERROR(__xludf.dummyfunction("""COMPUTED_VALUE"""),"expired stock")</f>
        <v>expired stock</v>
      </c>
      <c r="I28" s="13" t="n">
        <f aca="false">IFERROR(__xludf.dummyfunction("""COMPUTED_VALUE"""),15)</f>
        <v>15</v>
      </c>
      <c r="J28" s="13" t="n">
        <f aca="false">IFERROR(__xludf.dummyfunction("""COMPUTED_VALUE"""),400)</f>
        <v>400</v>
      </c>
      <c r="K28" s="13" t="n">
        <f aca="false">IFERROR(__xludf.dummyfunction("""COMPUTED_VALUE"""),6000)</f>
        <v>6000</v>
      </c>
      <c r="L28" s="13" t="str">
        <f aca="false">IFERROR(__xludf.dummyfunction("""COMPUTED_VALUE"""),"[Code: 4577AB] [Expiry: 20 Sep, 2023] 15 units found short expiry")</f>
        <v>[Code: 4577AB] [Expiry: 20 Sep, 2023] 15 units found short expiry</v>
      </c>
      <c r="M28" s="13" t="str">
        <f aca="false">IFERROR(__xludf.dummyfunction("""COMPUTED_VALUE"""),"4577AB")</f>
        <v>4577AB</v>
      </c>
      <c r="N28" s="13" t="str">
        <f aca="false">IFERROR(__xludf.dummyfunction("""COMPUTED_VALUE"""),"20 Sep, 2023")</f>
        <v>20 Sep, 2023</v>
      </c>
      <c r="O28" s="13" t="str">
        <f aca="false">IFERROR(__xludf.dummyfunction("""COMPUTED_VALUE"""),"ali.raza@tajir-app.com")</f>
        <v>ali.raza@tajir-app.com</v>
      </c>
      <c r="P28" s="13" t="str">
        <f aca="false">IFERROR(__xludf.dummyfunction("""COMPUTED_VALUE"""),"Ali Raza ")</f>
        <v>Ali Raza </v>
      </c>
      <c r="Q28" s="13" t="str">
        <f aca="false">IFERROR(__xludf.dummyfunction("""COMPUTED_VALUE"""),"[Code: 4577AB] [Expiry: 20 Sep, 2023] 15 units found short expiry")</f>
        <v>[Code: 4577AB] [Expiry: 20 Sep, 2023] 15 units found short expiry</v>
      </c>
      <c r="R28" s="13" t="str">
        <v>Wed, 09-Aug-2023, 05:10 PM</v>
      </c>
      <c r="S28" s="13" t="str">
        <v>Expired stock</v>
      </c>
      <c r="T28" s="13" t="e">
        <v>#VALUE!</v>
      </c>
    </row>
    <row r="29" customFormat="false" ht="15.75" hidden="false" customHeight="false" outlineLevel="0" collapsed="false">
      <c r="A29" s="13" t="str">
        <f aca="false">IFERROR(__xludf.dummyfunction("""COMPUTED_VALUE"""),"Metro DC Faisalabad")</f>
        <v>Metro DC Faisalabad</v>
      </c>
      <c r="B29" s="13" t="str">
        <f aca="false">IFERROR(__xludf.dummyfunction("""COMPUTED_VALUE"""),"6c568402-1788-466b-8f61-43acc83fa9d1")</f>
        <v>6c568402-1788-466b-8f61-43acc83fa9d1</v>
      </c>
      <c r="C29" s="13" t="str">
        <f aca="false">IFERROR(__xludf.dummyfunction("""COMPUTED_VALUE"""),"Sherdil White Chana Mota 5kg")</f>
        <v>Sherdil White Chana Mota 5kg</v>
      </c>
      <c r="D29" s="13" t="str">
        <f aca="false">IFERROR(__xludf.dummyfunction("""COMPUTED_VALUE"""),"Sherdil")</f>
        <v>Sherdil</v>
      </c>
      <c r="E29" s="13" t="str">
        <f aca="false">IFERROR(__xludf.dummyfunction("""COMPUTED_VALUE"""),"Pulses")</f>
        <v>Pulses</v>
      </c>
      <c r="F29" s="11" t="n">
        <f aca="false">IFERROR(__xludf.dummyfunction("""COMPUTED_VALUE"""),45147)</f>
        <v>45147</v>
      </c>
      <c r="G29" s="16" t="n">
        <f aca="false">IFERROR(__xludf.dummyfunction("""COMPUTED_VALUE"""),0.716053761573045)</f>
        <v>0.7160537616</v>
      </c>
      <c r="H29" s="13" t="str">
        <f aca="false">IFERROR(__xludf.dummyfunction("""COMPUTED_VALUE"""),"expired stock")</f>
        <v>expired stock</v>
      </c>
      <c r="I29" s="13" t="n">
        <f aca="false">IFERROR(__xludf.dummyfunction("""COMPUTED_VALUE"""),1)</f>
        <v>1</v>
      </c>
      <c r="J29" s="13" t="n">
        <f aca="false">IFERROR(__xludf.dummyfunction("""COMPUTED_VALUE"""),2045)</f>
        <v>2045</v>
      </c>
      <c r="K29" s="13" t="n">
        <f aca="false">IFERROR(__xludf.dummyfunction("""COMPUTED_VALUE"""),2045)</f>
        <v>2045</v>
      </c>
      <c r="L29" s="13" t="str">
        <f aca="false">IFERROR(__xludf.dummyfunction("""COMPUTED_VALUE"""),"[Code: 2377HK] [Expiry: 25 Aug, 2023] 1 unit found short epxiry")</f>
        <v>[Code: 2377HK] [Expiry: 25 Aug, 2023] 1 unit found short epxiry</v>
      </c>
      <c r="M29" s="13" t="str">
        <f aca="false">IFERROR(__xludf.dummyfunction("""COMPUTED_VALUE"""),"2377HK")</f>
        <v>2377HK</v>
      </c>
      <c r="N29" s="13" t="str">
        <f aca="false">IFERROR(__xludf.dummyfunction("""COMPUTED_VALUE"""),"25 Aug, 2023")</f>
        <v>25 Aug, 2023</v>
      </c>
      <c r="O29" s="13" t="str">
        <f aca="false">IFERROR(__xludf.dummyfunction("""COMPUTED_VALUE"""),"ali.raza@tajir-app.com")</f>
        <v>ali.raza@tajir-app.com</v>
      </c>
      <c r="P29" s="13" t="str">
        <f aca="false">IFERROR(__xludf.dummyfunction("""COMPUTED_VALUE"""),"Ali Raza ")</f>
        <v>Ali Raza </v>
      </c>
      <c r="Q29" s="13" t="str">
        <f aca="false">IFERROR(__xludf.dummyfunction("""COMPUTED_VALUE"""),"[Code: 2377HK] [Expiry: 25 Aug, 2023] 1 unit found short epxiry")</f>
        <v>[Code: 2377HK] [Expiry: 25 Aug, 2023] 1 unit found short epxiry</v>
      </c>
      <c r="R29" s="13" t="str">
        <v>Wed, 09-Aug-2023, 05:11 PM</v>
      </c>
      <c r="S29" s="13" t="str">
        <v>Expired stock</v>
      </c>
      <c r="T29" s="13" t="e">
        <v>#VALUE!</v>
      </c>
    </row>
    <row r="30" customFormat="false" ht="15.75" hidden="false" customHeight="false" outlineLevel="0" collapsed="false">
      <c r="A30" s="13" t="str">
        <f aca="false">IFERROR(__xludf.dummyfunction("""COMPUTED_VALUE"""),"Metro DC Faisalabad")</f>
        <v>Metro DC Faisalabad</v>
      </c>
      <c r="B30" s="13" t="str">
        <f aca="false">IFERROR(__xludf.dummyfunction("""COMPUTED_VALUE"""),"cc634f8e-33ec-46b5-8ea6-33ed0432f243")</f>
        <v>cc634f8e-33ec-46b5-8ea6-33ed0432f243</v>
      </c>
      <c r="C30" s="13" t="str">
        <f aca="false">IFERROR(__xludf.dummyfunction("""COMPUTED_VALUE"""),"Sherdil Taatri 100g")</f>
        <v>Sherdil Taatri 100g</v>
      </c>
      <c r="D30" s="13" t="str">
        <f aca="false">IFERROR(__xludf.dummyfunction("""COMPUTED_VALUE"""),"Sherdil")</f>
        <v>Sherdil</v>
      </c>
      <c r="E30" s="13" t="str">
        <f aca="false">IFERROR(__xludf.dummyfunction("""COMPUTED_VALUE"""),"Spices")</f>
        <v>Spices</v>
      </c>
      <c r="F30" s="11" t="n">
        <f aca="false">IFERROR(__xludf.dummyfunction("""COMPUTED_VALUE"""),45147)</f>
        <v>45147</v>
      </c>
      <c r="G30" s="16" t="n">
        <f aca="false">IFERROR(__xludf.dummyfunction("""COMPUTED_VALUE"""),0.732521273149108)</f>
        <v>0.7325212731</v>
      </c>
      <c r="H30" s="13" t="str">
        <f aca="false">IFERROR(__xludf.dummyfunction("""COMPUTED_VALUE"""),"expired stock")</f>
        <v>expired stock</v>
      </c>
      <c r="I30" s="13" t="n">
        <f aca="false">IFERROR(__xludf.dummyfunction("""COMPUTED_VALUE"""),13)</f>
        <v>13</v>
      </c>
      <c r="J30" s="13" t="n">
        <f aca="false">IFERROR(__xludf.dummyfunction("""COMPUTED_VALUE"""),104)</f>
        <v>104</v>
      </c>
      <c r="K30" s="13" t="n">
        <f aca="false">IFERROR(__xludf.dummyfunction("""COMPUTED_VALUE"""),1352)</f>
        <v>1352</v>
      </c>
      <c r="L30" s="13" t="str">
        <f aca="false">IFERROR(__xludf.dummyfunction("""COMPUTED_VALUE"""),"[Code: 2789DG] [Expiry: 20 Sep, 2023] 13 units found short expriy")</f>
        <v>[Code: 2789DG] [Expiry: 20 Sep, 2023] 13 units found short expriy</v>
      </c>
      <c r="M30" s="13" t="str">
        <f aca="false">IFERROR(__xludf.dummyfunction("""COMPUTED_VALUE"""),"2789DG")</f>
        <v>2789DG</v>
      </c>
      <c r="N30" s="13" t="str">
        <f aca="false">IFERROR(__xludf.dummyfunction("""COMPUTED_VALUE"""),"20 Sep, 2023")</f>
        <v>20 Sep, 2023</v>
      </c>
      <c r="O30" s="13" t="str">
        <f aca="false">IFERROR(__xludf.dummyfunction("""COMPUTED_VALUE"""),"ali.raza@tajir-app.com")</f>
        <v>ali.raza@tajir-app.com</v>
      </c>
      <c r="P30" s="13" t="str">
        <f aca="false">IFERROR(__xludf.dummyfunction("""COMPUTED_VALUE"""),"Ali Raza ")</f>
        <v>Ali Raza </v>
      </c>
      <c r="Q30" s="13" t="str">
        <f aca="false">IFERROR(__xludf.dummyfunction("""COMPUTED_VALUE"""),"[Code: 2789DG] [Expiry: 20 Sep, 2023] 13 units found short expriy")</f>
        <v>[Code: 2789DG] [Expiry: 20 Sep, 2023] 13 units found short expriy</v>
      </c>
      <c r="R30" s="13" t="str">
        <v>Wed, 09-Aug-2023, 05:34 PM</v>
      </c>
      <c r="S30" s="13" t="str">
        <v>Expired stock</v>
      </c>
      <c r="T30" s="13" t="e">
        <v>#VALUE!</v>
      </c>
    </row>
    <row r="31" customFormat="false" ht="15.75" hidden="false" customHeight="false" outlineLevel="0" collapsed="false">
      <c r="A31" s="13" t="str">
        <f aca="false">IFERROR(__xludf.dummyfunction("""COMPUTED_VALUE"""),"Metro DC Faisalabad")</f>
        <v>Metro DC Faisalabad</v>
      </c>
      <c r="B31" s="13" t="str">
        <f aca="false">IFERROR(__xludf.dummyfunction("""COMPUTED_VALUE"""),"a9577abb-135c-47b0-ad5b-cf249da9f0f0")</f>
        <v>a9577abb-135c-47b0-ad5b-cf249da9f0f0</v>
      </c>
      <c r="C31" s="13" t="str">
        <f aca="false">IFERROR(__xludf.dummyfunction("""COMPUTED_VALUE"""),"Bisconni Double Vanilla Rollies Swiss Roll 8pcs Rs35")</f>
        <v>Bisconni Double Vanilla Rollies Swiss Roll 8pcs Rs35</v>
      </c>
      <c r="D31" s="13" t="str">
        <f aca="false">IFERROR(__xludf.dummyfunction("""COMPUTED_VALUE"""),"Bisconni")</f>
        <v>Bisconni</v>
      </c>
      <c r="E31" s="13" t="str">
        <f aca="false">IFERROR(__xludf.dummyfunction("""COMPUTED_VALUE"""),"Confectionary")</f>
        <v>Confectionary</v>
      </c>
      <c r="F31" s="11" t="n">
        <f aca="false">IFERROR(__xludf.dummyfunction("""COMPUTED_VALUE"""),45161)</f>
        <v>45161</v>
      </c>
      <c r="G31" s="16" t="n">
        <f aca="false">IFERROR(__xludf.dummyfunction("""COMPUTED_VALUE"""),0.486489907408695)</f>
        <v>0.4864899074</v>
      </c>
      <c r="H31" s="13" t="str">
        <f aca="false">IFERROR(__xludf.dummyfunction("""COMPUTED_VALUE"""),"expired stock")</f>
        <v>expired stock</v>
      </c>
      <c r="I31" s="13" t="n">
        <f aca="false">IFERROR(__xludf.dummyfunction("""COMPUTED_VALUE"""),16)</f>
        <v>16</v>
      </c>
      <c r="J31" s="13" t="n">
        <f aca="false">IFERROR(__xludf.dummyfunction("""COMPUTED_VALUE"""),243)</f>
        <v>243</v>
      </c>
      <c r="K31" s="13" t="n">
        <f aca="false">IFERROR(__xludf.dummyfunction("""COMPUTED_VALUE"""),3888)</f>
        <v>3888</v>
      </c>
      <c r="L31" s="13" t="str">
        <f aca="false">IFERROR(__xludf.dummyfunction("""COMPUTED_VALUE"""),"[Code: 33346B] [Expiry: 28 Aug, 2023] 16 units short expiry")</f>
        <v>[Code: 33346B] [Expiry: 28 Aug, 2023] 16 units short expiry</v>
      </c>
      <c r="M31" s="13" t="str">
        <f aca="false">IFERROR(__xludf.dummyfunction("""COMPUTED_VALUE"""),"33346B")</f>
        <v>33346B</v>
      </c>
      <c r="N31" s="13" t="str">
        <f aca="false">IFERROR(__xludf.dummyfunction("""COMPUTED_VALUE"""),"28 Aug, 2023")</f>
        <v>28 Aug, 2023</v>
      </c>
      <c r="O31" s="13" t="str">
        <f aca="false">IFERROR(__xludf.dummyfunction("""COMPUTED_VALUE"""),"ali.raza@tajir-app.com")</f>
        <v>ali.raza@tajir-app.com</v>
      </c>
      <c r="P31" s="13" t="str">
        <f aca="false">IFERROR(__xludf.dummyfunction("""COMPUTED_VALUE"""),"Ali Raza ")</f>
        <v>Ali Raza </v>
      </c>
      <c r="Q31" s="13" t="str">
        <f aca="false">IFERROR(__xludf.dummyfunction("""COMPUTED_VALUE"""),"[Code: 33346B] [Expiry: 28 Aug, 2023] 16 units short expiry")</f>
        <v>[Code: 33346B] [Expiry: 28 Aug, 2023] 16 units short expiry</v>
      </c>
      <c r="R31" s="13" t="str">
        <v>Wed, 23-Aug-2023, 11:40 AM</v>
      </c>
      <c r="S31" s="13" t="str">
        <v>Expired stock</v>
      </c>
      <c r="T31" s="13" t="e">
        <v>#VALUE!</v>
      </c>
    </row>
    <row r="32" customFormat="false" ht="15.75" hidden="false" customHeight="false" outlineLevel="0" collapsed="false">
      <c r="A32" s="13" t="str">
        <f aca="false">IFERROR(__xludf.dummyfunction("""COMPUTED_VALUE"""),"Metro DC Faisalabad")</f>
        <v>Metro DC Faisalabad</v>
      </c>
      <c r="B32" s="13" t="str">
        <f aca="false">IFERROR(__xludf.dummyfunction("""COMPUTED_VALUE"""),"698bcc4f-3133-4d6c-9eb4-4b6886ad40b3")</f>
        <v>698bcc4f-3133-4d6c-9eb4-4b6886ad40b3</v>
      </c>
      <c r="C32" s="13" t="str">
        <f aca="false">IFERROR(__xludf.dummyfunction("""COMPUTED_VALUE"""),"Kolson Pasta Large Shell 400g")</f>
        <v>Kolson Pasta Large Shell 400g</v>
      </c>
      <c r="D32" s="13" t="str">
        <f aca="false">IFERROR(__xludf.dummyfunction("""COMPUTED_VALUE"""),"Kolson")</f>
        <v>Kolson</v>
      </c>
      <c r="E32" s="13" t="str">
        <f aca="false">IFERROR(__xludf.dummyfunction("""COMPUTED_VALUE"""),"Grocery")</f>
        <v>Grocery</v>
      </c>
      <c r="F32" s="11" t="n">
        <f aca="false">IFERROR(__xludf.dummyfunction("""COMPUTED_VALUE"""),45181)</f>
        <v>45181</v>
      </c>
      <c r="G32" s="16" t="n">
        <f aca="false">IFERROR(__xludf.dummyfunction("""COMPUTED_VALUE"""),0.466776736110481)</f>
        <v>0.4667767361</v>
      </c>
      <c r="H32" s="13" t="str">
        <f aca="false">IFERROR(__xludf.dummyfunction("""COMPUTED_VALUE"""),"expired stock")</f>
        <v>expired stock</v>
      </c>
      <c r="I32" s="13" t="n">
        <f aca="false">IFERROR(__xludf.dummyfunction("""COMPUTED_VALUE"""),20)</f>
        <v>20</v>
      </c>
      <c r="J32" s="13" t="n">
        <f aca="false">IFERROR(__xludf.dummyfunction("""COMPUTED_VALUE"""),142.78)</f>
        <v>142.78</v>
      </c>
      <c r="K32" s="13" t="n">
        <f aca="false">IFERROR(__xludf.dummyfunction("""COMPUTED_VALUE"""),2855.6)</f>
        <v>2855.6</v>
      </c>
      <c r="L32" s="13" t="str">
        <f aca="false">IFERROR(__xludf.dummyfunction("""COMPUTED_VALUE"""),"[Code: 22448ACF] [Expiry: 23 Sep, 2023] 1 ctn have short expiry")</f>
        <v>[Code: 22448ACF] [Expiry: 23 Sep, 2023] 1 ctn have short expiry</v>
      </c>
      <c r="M32" s="13" t="str">
        <f aca="false">IFERROR(__xludf.dummyfunction("""COMPUTED_VALUE"""),"22448ACF")</f>
        <v>22448ACF</v>
      </c>
      <c r="N32" s="13" t="str">
        <f aca="false">IFERROR(__xludf.dummyfunction("""COMPUTED_VALUE"""),"23 Sep, 2023")</f>
        <v>23 Sep, 2023</v>
      </c>
      <c r="O32" s="13" t="str">
        <f aca="false">IFERROR(__xludf.dummyfunction("""COMPUTED_VALUE"""),"ali.raza@tajir-app.com")</f>
        <v>ali.raza@tajir-app.com</v>
      </c>
      <c r="P32" s="13" t="str">
        <f aca="false">IFERROR(__xludf.dummyfunction("""COMPUTED_VALUE"""),"Ali Raza ")</f>
        <v>Ali Raza </v>
      </c>
      <c r="Q32" s="13" t="str">
        <f aca="false">IFERROR(__xludf.dummyfunction("""COMPUTED_VALUE"""),"[Code: 22448ACF] [Expiry: 23 Sep, 2023] 1 ctn have short expiry")</f>
        <v>[Code: 22448ACF] [Expiry: 23 Sep, 2023] 1 ctn have short expiry</v>
      </c>
      <c r="R32" s="13" t="str">
        <v>Tue, 12-Sep-2023, 11:12 AM</v>
      </c>
      <c r="S32" s="13" t="str">
        <v>Expired stock</v>
      </c>
      <c r="T32" s="13" t="e">
        <v>#VALUE!</v>
      </c>
    </row>
    <row r="33" customFormat="false" ht="15.75" hidden="false" customHeight="false" outlineLevel="0" collapsed="false">
      <c r="A33" s="13" t="str">
        <f aca="false">IFERROR(__xludf.dummyfunction("""COMPUTED_VALUE"""),"Metro DC Faisalabad")</f>
        <v>Metro DC Faisalabad</v>
      </c>
      <c r="B33" s="13" t="str">
        <f aca="false">IFERROR(__xludf.dummyfunction("""COMPUTED_VALUE"""),"37c67563-5af0-4d7f-a91c-c6e2e4a6a68e")</f>
        <v>37c67563-5af0-4d7f-a91c-c6e2e4a6a68e</v>
      </c>
      <c r="C33" s="13" t="str">
        <f aca="false">IFERROR(__xludf.dummyfunction("""COMPUTED_VALUE"""),"Engro Olpers Badam Zafran Flavored Milk x24 180mL")</f>
        <v>Engro Olpers Badam Zafran Flavored Milk x24 180mL</v>
      </c>
      <c r="D33" s="13" t="str">
        <f aca="false">IFERROR(__xludf.dummyfunction("""COMPUTED_VALUE"""),"Olpers")</f>
        <v>Olpers</v>
      </c>
      <c r="E33" s="13" t="str">
        <f aca="false">IFERROR(__xludf.dummyfunction("""COMPUTED_VALUE"""),"Dairy")</f>
        <v>Dairy</v>
      </c>
      <c r="F33" s="11" t="n">
        <f aca="false">IFERROR(__xludf.dummyfunction("""COMPUTED_VALUE"""),45200)</f>
        <v>45200</v>
      </c>
      <c r="G33" s="16" t="n">
        <f aca="false">IFERROR(__xludf.dummyfunction("""COMPUTED_VALUE"""),0.520779976851663)</f>
        <v>0.5207799769</v>
      </c>
      <c r="H33" s="13" t="str">
        <f aca="false">IFERROR(__xludf.dummyfunction("""COMPUTED_VALUE"""),"expired stock")</f>
        <v>expired stock</v>
      </c>
      <c r="I33" s="13" t="n">
        <f aca="false">IFERROR(__xludf.dummyfunction("""COMPUTED_VALUE"""),21)</f>
        <v>21</v>
      </c>
      <c r="J33" s="13" t="n">
        <f aca="false">IFERROR(__xludf.dummyfunction("""COMPUTED_VALUE"""),1675.15)</f>
        <v>1675.15</v>
      </c>
      <c r="K33" s="13" t="n">
        <f aca="false">IFERROR(__xludf.dummyfunction("""COMPUTED_VALUE"""),35178.15)</f>
        <v>35178.15</v>
      </c>
      <c r="L33" s="13" t="str">
        <f aca="false">IFERROR(__xludf.dummyfunction("""COMPUTED_VALUE"""),"[Code: 346BCLMM] [Expiry: 14 Oct, 2023] AR : 21 selliong unit found short expiry ")</f>
        <v>[Code: 346BCLMM] [Expiry: 14 Oct, 2023] AR : 21 selliong unit found short expiry </v>
      </c>
      <c r="M33" s="13" t="str">
        <f aca="false">IFERROR(__xludf.dummyfunction("""COMPUTED_VALUE"""),"346BCLMM")</f>
        <v>346BCLMM</v>
      </c>
      <c r="N33" s="13" t="str">
        <f aca="false">IFERROR(__xludf.dummyfunction("""COMPUTED_VALUE"""),"14 Oct, 2023")</f>
        <v>14 Oct, 2023</v>
      </c>
      <c r="O33" s="13" t="str">
        <f aca="false">IFERROR(__xludf.dummyfunction("""COMPUTED_VALUE"""),"ali.raza@tajir-app.com")</f>
        <v>ali.raza@tajir-app.com</v>
      </c>
      <c r="P33" s="13" t="str">
        <f aca="false">IFERROR(__xludf.dummyfunction("""COMPUTED_VALUE"""),"Ali Raza ")</f>
        <v>Ali Raza </v>
      </c>
      <c r="Q33" s="13" t="str">
        <f aca="false">IFERROR(__xludf.dummyfunction("""COMPUTED_VALUE"""),"[Code: 346BCLMM] [Expiry: 14 Oct, 2023] AR : 21 selliong unit found short expiry ")</f>
        <v>[Code: 346BCLMM] [Expiry: 14 Oct, 2023] AR : 21 selliong unit found short expiry </v>
      </c>
      <c r="R33" s="13" t="str">
        <v>Sun, 01-Oct-2023, 12:29 PM</v>
      </c>
      <c r="S33" s="13" t="str">
        <v>Expired stock</v>
      </c>
      <c r="T33" s="13" t="e">
        <v>#VALUE!</v>
      </c>
    </row>
    <row r="34" customFormat="false" ht="15.75" hidden="false" customHeight="false" outlineLevel="0" collapsed="false">
      <c r="A34" s="13" t="str">
        <f aca="false">IFERROR(__xludf.dummyfunction("""COMPUTED_VALUE"""),"Metro DC Faisalabad")</f>
        <v>Metro DC Faisalabad</v>
      </c>
      <c r="B34" s="13" t="str">
        <f aca="false">IFERROR(__xludf.dummyfunction("""COMPUTED_VALUE"""),"37c67563-5af0-4d7f-a91c-c6e2e4a6a68e")</f>
        <v>37c67563-5af0-4d7f-a91c-c6e2e4a6a68e</v>
      </c>
      <c r="C34" s="13" t="str">
        <f aca="false">IFERROR(__xludf.dummyfunction("""COMPUTED_VALUE"""),"Engro Olpers Badam Zafran Flavored Milk x24 180mL")</f>
        <v>Engro Olpers Badam Zafran Flavored Milk x24 180mL</v>
      </c>
      <c r="D34" s="13" t="str">
        <f aca="false">IFERROR(__xludf.dummyfunction("""COMPUTED_VALUE"""),"Olpers")</f>
        <v>Olpers</v>
      </c>
      <c r="E34" s="13" t="str">
        <f aca="false">IFERROR(__xludf.dummyfunction("""COMPUTED_VALUE"""),"Dairy")</f>
        <v>Dairy</v>
      </c>
      <c r="F34" s="11" t="n">
        <f aca="false">IFERROR(__xludf.dummyfunction("""COMPUTED_VALUE"""),45201)</f>
        <v>45201</v>
      </c>
      <c r="G34" s="16" t="n">
        <f aca="false">IFERROR(__xludf.dummyfunction("""COMPUTED_VALUE"""),0.670684074075524)</f>
        <v>0.6706840741</v>
      </c>
      <c r="H34" s="13" t="str">
        <f aca="false">IFERROR(__xludf.dummyfunction("""COMPUTED_VALUE"""),"expired stock")</f>
        <v>expired stock</v>
      </c>
      <c r="I34" s="13" t="n">
        <f aca="false">IFERROR(__xludf.dummyfunction("""COMPUTED_VALUE"""),1)</f>
        <v>1</v>
      </c>
      <c r="J34" s="13" t="n">
        <f aca="false">IFERROR(__xludf.dummyfunction("""COMPUTED_VALUE"""),1675.15)</f>
        <v>1675.15</v>
      </c>
      <c r="K34" s="13" t="n">
        <f aca="false">IFERROR(__xludf.dummyfunction("""COMPUTED_VALUE"""),1675.15)</f>
        <v>1675.15</v>
      </c>
      <c r="L34" s="13" t="str">
        <f aca="false">IFERROR(__xludf.dummyfunction("""COMPUTED_VALUE"""),"[Code: 3BCCCEGH] [Expiry: 14 Oct, 2023] 1 unit found expiry")</f>
        <v>[Code: 3BCCCEGH] [Expiry: 14 Oct, 2023] 1 unit found expiry</v>
      </c>
      <c r="M34" s="13" t="str">
        <f aca="false">IFERROR(__xludf.dummyfunction("""COMPUTED_VALUE"""),"3BCCCEGH")</f>
        <v>3BCCCEGH</v>
      </c>
      <c r="N34" s="13" t="str">
        <f aca="false">IFERROR(__xludf.dummyfunction("""COMPUTED_VALUE"""),"14 Oct, 2023")</f>
        <v>14 Oct, 2023</v>
      </c>
      <c r="O34" s="13" t="str">
        <f aca="false">IFERROR(__xludf.dummyfunction("""COMPUTED_VALUE"""),"ali.raza@tajir-app.com")</f>
        <v>ali.raza@tajir-app.com</v>
      </c>
      <c r="P34" s="13" t="str">
        <f aca="false">IFERROR(__xludf.dummyfunction("""COMPUTED_VALUE"""),"Ali Raza ")</f>
        <v>Ali Raza </v>
      </c>
      <c r="Q34" s="13" t="str">
        <f aca="false">IFERROR(__xludf.dummyfunction("""COMPUTED_VALUE"""),"[Code: 3BCCCEGH] [Expiry: 14 Oct, 2023] 1 unit found expiry")</f>
        <v>[Code: 3BCCCEGH] [Expiry: 14 Oct, 2023] 1 unit found expiry</v>
      </c>
      <c r="R34" s="13" t="str">
        <v>Mon, 02-Oct-2023, 04:05 PM</v>
      </c>
      <c r="S34" s="13" t="str">
        <v>Expired stock</v>
      </c>
      <c r="T34" s="13" t="e">
        <v>#VALUE!</v>
      </c>
    </row>
    <row r="35" customFormat="false" ht="15.75" hidden="false" customHeight="false" outlineLevel="0" collapsed="false">
      <c r="A35" s="13" t="str">
        <f aca="false">IFERROR(__xludf.dummyfunction("""COMPUTED_VALUE"""),"Metro DC Faisalabad")</f>
        <v>Metro DC Faisalabad</v>
      </c>
      <c r="B35" s="13" t="str">
        <f aca="false">IFERROR(__xludf.dummyfunction("""COMPUTED_VALUE"""),"298f7ff6-cb06-44cc-8db9-94fbb78c15cd")</f>
        <v>298f7ff6-cb06-44cc-8db9-94fbb78c15cd</v>
      </c>
      <c r="C35" s="13" t="str">
        <f aca="false">IFERROR(__xludf.dummyfunction("""COMPUTED_VALUE"""),"Kolson Snackers Hot Masala 6g 60pcs Rs10")</f>
        <v>Kolson Snackers Hot Masala 6g 60pcs Rs10</v>
      </c>
      <c r="D35" s="13" t="str">
        <f aca="false">IFERROR(__xludf.dummyfunction("""COMPUTED_VALUE"""),"Kolson")</f>
        <v>Kolson</v>
      </c>
      <c r="E35" s="13" t="str">
        <f aca="false">IFERROR(__xludf.dummyfunction("""COMPUTED_VALUE"""),"Snacks")</f>
        <v>Snacks</v>
      </c>
      <c r="F35" s="11" t="n">
        <f aca="false">IFERROR(__xludf.dummyfunction("""COMPUTED_VALUE"""),45202)</f>
        <v>45202</v>
      </c>
      <c r="G35" s="16" t="n">
        <f aca="false">IFERROR(__xludf.dummyfunction("""COMPUTED_VALUE"""),0.615328750000959)</f>
        <v>0.61532875</v>
      </c>
      <c r="H35" s="13" t="str">
        <f aca="false">IFERROR(__xludf.dummyfunction("""COMPUTED_VALUE"""),"expired stock")</f>
        <v>expired stock</v>
      </c>
      <c r="I35" s="13" t="n">
        <f aca="false">IFERROR(__xludf.dummyfunction("""COMPUTED_VALUE"""),1)</f>
        <v>1</v>
      </c>
      <c r="J35" s="13" t="n">
        <f aca="false">IFERROR(__xludf.dummyfunction("""COMPUTED_VALUE"""),519.83)</f>
        <v>519.83</v>
      </c>
      <c r="K35" s="13" t="n">
        <f aca="false">IFERROR(__xludf.dummyfunction("""COMPUTED_VALUE"""),519.83)</f>
        <v>519.83</v>
      </c>
      <c r="L35" s="13" t="str">
        <f aca="false">IFERROR(__xludf.dummyfunction("""COMPUTED_VALUE"""),"[Code: 56889CCE] [Expiry: 13 Oct, 2023] 1 unit found short expiry")</f>
        <v>[Code: 56889CCE] [Expiry: 13 Oct, 2023] 1 unit found short expiry</v>
      </c>
      <c r="M35" s="13" t="str">
        <f aca="false">IFERROR(__xludf.dummyfunction("""COMPUTED_VALUE"""),"56889CCE")</f>
        <v>56889CCE</v>
      </c>
      <c r="N35" s="13" t="str">
        <f aca="false">IFERROR(__xludf.dummyfunction("""COMPUTED_VALUE"""),"13 Oct, 2023")</f>
        <v>13 Oct, 2023</v>
      </c>
      <c r="O35" s="13" t="str">
        <f aca="false">IFERROR(__xludf.dummyfunction("""COMPUTED_VALUE"""),"ali.raza@tajir-app.com")</f>
        <v>ali.raza@tajir-app.com</v>
      </c>
      <c r="P35" s="13" t="str">
        <f aca="false">IFERROR(__xludf.dummyfunction("""COMPUTED_VALUE"""),"Ali Raza ")</f>
        <v>Ali Raza </v>
      </c>
      <c r="Q35" s="13" t="str">
        <f aca="false">IFERROR(__xludf.dummyfunction("""COMPUTED_VALUE"""),"[Code: 56889CCE] [Expiry: 13 Oct, 2023] 1 unit found short expiry")</f>
        <v>[Code: 56889CCE] [Expiry: 13 Oct, 2023] 1 unit found short expiry</v>
      </c>
      <c r="R35" s="13" t="str">
        <v>Tue, 03-Oct-2023, 02:46 PM</v>
      </c>
      <c r="S35" s="13" t="str">
        <v>Expired stock</v>
      </c>
      <c r="T35" s="13" t="e">
        <v>#VALUE!</v>
      </c>
    </row>
    <row r="36" customFormat="false" ht="15.75" hidden="false" customHeight="false" outlineLevel="0" collapsed="false">
      <c r="A36" s="13" t="str">
        <f aca="false">IFERROR(__xludf.dummyfunction("""COMPUTED_VALUE"""),"Metro DC Faisalabad")</f>
        <v>Metro DC Faisalabad</v>
      </c>
      <c r="B36" s="13" t="str">
        <f aca="false">IFERROR(__xludf.dummyfunction("""COMPUTED_VALUE"""),"52258fdc-8b0c-4343-9884-310c160a213d")</f>
        <v>52258fdc-8b0c-4343-9884-310c160a213d</v>
      </c>
      <c r="C36" s="13" t="str">
        <f aca="false">IFERROR(__xludf.dummyfunction("""COMPUTED_VALUE"""),"Sunridge Fortified Chakki Atta 5kg")</f>
        <v>Sunridge Fortified Chakki Atta 5kg</v>
      </c>
      <c r="D36" s="13" t="str">
        <f aca="false">IFERROR(__xludf.dummyfunction("""COMPUTED_VALUE"""),"Sunridge")</f>
        <v>Sunridge</v>
      </c>
      <c r="E36" s="13" t="str">
        <f aca="false">IFERROR(__xludf.dummyfunction("""COMPUTED_VALUE"""),"Flour")</f>
        <v>Flour</v>
      </c>
      <c r="F36" s="11" t="n">
        <f aca="false">IFERROR(__xludf.dummyfunction("""COMPUTED_VALUE"""),45204)</f>
        <v>45204</v>
      </c>
      <c r="G36" s="16" t="n">
        <f aca="false">IFERROR(__xludf.dummyfunction("""COMPUTED_VALUE"""),0.655984675925543)</f>
        <v>0.6559846759</v>
      </c>
      <c r="H36" s="13" t="str">
        <f aca="false">IFERROR(__xludf.dummyfunction("""COMPUTED_VALUE"""),"expired stock")</f>
        <v>expired stock</v>
      </c>
      <c r="I36" s="13" t="n">
        <f aca="false">IFERROR(__xludf.dummyfunction("""COMPUTED_VALUE"""),39)</f>
        <v>39</v>
      </c>
      <c r="J36" s="13" t="n">
        <f aca="false">IFERROR(__xludf.dummyfunction("""COMPUTED_VALUE"""),864.9)</f>
        <v>864.9</v>
      </c>
      <c r="K36" s="13" t="n">
        <f aca="false">IFERROR(__xludf.dummyfunction("""COMPUTED_VALUE"""),33731.1)</f>
        <v>33731.1</v>
      </c>
      <c r="L36" s="13" t="str">
        <f aca="false">IFERROR(__xludf.dummyfunction("""COMPUTED_VALUE"""),"[Code: 4678ADEH] [Expiry: 16 Oct, 2023] 39 units found short expiry ")</f>
        <v>[Code: 4678ADEH] [Expiry: 16 Oct, 2023] 39 units found short expiry </v>
      </c>
      <c r="M36" s="13" t="str">
        <f aca="false">IFERROR(__xludf.dummyfunction("""COMPUTED_VALUE"""),"4678ADEH")</f>
        <v>4678ADEH</v>
      </c>
      <c r="N36" s="13" t="str">
        <f aca="false">IFERROR(__xludf.dummyfunction("""COMPUTED_VALUE"""),"16 Oct, 2023")</f>
        <v>16 Oct, 2023</v>
      </c>
      <c r="O36" s="13" t="str">
        <f aca="false">IFERROR(__xludf.dummyfunction("""COMPUTED_VALUE"""),"ali.raza@tajir-app.com")</f>
        <v>ali.raza@tajir-app.com</v>
      </c>
      <c r="P36" s="13" t="str">
        <f aca="false">IFERROR(__xludf.dummyfunction("""COMPUTED_VALUE"""),"Ali Raza ")</f>
        <v>Ali Raza </v>
      </c>
      <c r="Q36" s="13" t="str">
        <f aca="false">IFERROR(__xludf.dummyfunction("""COMPUTED_VALUE"""),"[Code: 4678ADEH] [Expiry: 16 Oct, 2023] 39 units found short expiry ")</f>
        <v>[Code: 4678ADEH] [Expiry: 16 Oct, 2023] 39 units found short expiry </v>
      </c>
      <c r="R36" s="13" t="str">
        <v>Thu, 05-Oct-2023, 03:44 PM</v>
      </c>
      <c r="S36" s="13" t="str">
        <v>Expired stock</v>
      </c>
      <c r="T36" s="13" t="e">
        <v>#VALUE!</v>
      </c>
    </row>
    <row r="37" customFormat="false" ht="15.75" hidden="false" customHeight="false" outlineLevel="0" collapsed="false">
      <c r="A37" s="13" t="str">
        <f aca="false">IFERROR(__xludf.dummyfunction("""COMPUTED_VALUE"""),"Metro DC Faisalabad")</f>
        <v>Metro DC Faisalabad</v>
      </c>
      <c r="B37" s="13" t="str">
        <f aca="false">IFERROR(__xludf.dummyfunction("""COMPUTED_VALUE"""),"7313919c-9135-494f-8e7e-e790ec3945e4")</f>
        <v>7313919c-9135-494f-8e7e-e790ec3945e4</v>
      </c>
      <c r="C37" s="13" t="str">
        <f aca="false">IFERROR(__xludf.dummyfunction("""COMPUTED_VALUE"""),"Sunridge Fortified Chakki Atta 10kg")</f>
        <v>Sunridge Fortified Chakki Atta 10kg</v>
      </c>
      <c r="D37" s="13" t="str">
        <f aca="false">IFERROR(__xludf.dummyfunction("""COMPUTED_VALUE"""),"Sunridge")</f>
        <v>Sunridge</v>
      </c>
      <c r="E37" s="13" t="str">
        <f aca="false">IFERROR(__xludf.dummyfunction("""COMPUTED_VALUE"""),"Flour")</f>
        <v>Flour</v>
      </c>
      <c r="F37" s="11" t="n">
        <f aca="false">IFERROR(__xludf.dummyfunction("""COMPUTED_VALUE"""),45204)</f>
        <v>45204</v>
      </c>
      <c r="G37" s="16" t="n">
        <f aca="false">IFERROR(__xludf.dummyfunction("""COMPUTED_VALUE"""),0.656425972222788)</f>
        <v>0.6564259722</v>
      </c>
      <c r="H37" s="13" t="str">
        <f aca="false">IFERROR(__xludf.dummyfunction("""COMPUTED_VALUE"""),"expired stock")</f>
        <v>expired stock</v>
      </c>
      <c r="I37" s="13" t="n">
        <f aca="false">IFERROR(__xludf.dummyfunction("""COMPUTED_VALUE"""),4)</f>
        <v>4</v>
      </c>
      <c r="J37" s="13" t="n">
        <f aca="false">IFERROR(__xludf.dummyfunction("""COMPUTED_VALUE"""),1720.5)</f>
        <v>1720.5</v>
      </c>
      <c r="K37" s="13" t="n">
        <f aca="false">IFERROR(__xludf.dummyfunction("""COMPUTED_VALUE"""),6882)</f>
        <v>6882</v>
      </c>
      <c r="L37" s="13" t="str">
        <f aca="false">IFERROR(__xludf.dummyfunction("""COMPUTED_VALUE"""),"[Code: 558BBCCD] [Expiry: 19 Oct, 2023] 4 units found short expiry")</f>
        <v>[Code: 558BBCCD] [Expiry: 19 Oct, 2023] 4 units found short expiry</v>
      </c>
      <c r="M37" s="13" t="str">
        <f aca="false">IFERROR(__xludf.dummyfunction("""COMPUTED_VALUE"""),"558BBCCD")</f>
        <v>558BBCCD</v>
      </c>
      <c r="N37" s="13" t="str">
        <f aca="false">IFERROR(__xludf.dummyfunction("""COMPUTED_VALUE"""),"19 Oct, 2023")</f>
        <v>19 Oct, 2023</v>
      </c>
      <c r="O37" s="13" t="str">
        <f aca="false">IFERROR(__xludf.dummyfunction("""COMPUTED_VALUE"""),"ali.raza@tajir-app.com")</f>
        <v>ali.raza@tajir-app.com</v>
      </c>
      <c r="P37" s="13" t="str">
        <f aca="false">IFERROR(__xludf.dummyfunction("""COMPUTED_VALUE"""),"Ali Raza ")</f>
        <v>Ali Raza </v>
      </c>
      <c r="Q37" s="13" t="str">
        <f aca="false">IFERROR(__xludf.dummyfunction("""COMPUTED_VALUE"""),"[Code: 558BBCCD] [Expiry: 19 Oct, 2023] 4 units found short expiry")</f>
        <v>[Code: 558BBCCD] [Expiry: 19 Oct, 2023] 4 units found short expiry</v>
      </c>
      <c r="R37" s="13" t="str">
        <v>Thu, 05-Oct-2023, 03:45 PM</v>
      </c>
      <c r="S37" s="13" t="str">
        <v>Expired stock</v>
      </c>
      <c r="T37" s="13" t="e">
        <v>#VALUE!</v>
      </c>
    </row>
    <row r="38" customFormat="false" ht="15.75" hidden="false" customHeight="false" outlineLevel="0" collapsed="false">
      <c r="A38" s="13" t="str">
        <f aca="false">IFERROR(__xludf.dummyfunction("""COMPUTED_VALUE"""),"Metro DC Faisalabad")</f>
        <v>Metro DC Faisalabad</v>
      </c>
      <c r="B38" s="13" t="str">
        <f aca="false">IFERROR(__xludf.dummyfunction("""COMPUTED_VALUE"""),"2085bdff-5f5a-49c6-ae7c-7591efe72a07")</f>
        <v>2085bdff-5f5a-49c6-ae7c-7591efe72a07</v>
      </c>
      <c r="C38" s="13" t="str">
        <f aca="false">IFERROR(__xludf.dummyfunction("""COMPUTED_VALUE"""),"Sunridge Super White Atta 5kg")</f>
        <v>Sunridge Super White Atta 5kg</v>
      </c>
      <c r="D38" s="13" t="str">
        <f aca="false">IFERROR(__xludf.dummyfunction("""COMPUTED_VALUE"""),"Sunridge")</f>
        <v>Sunridge</v>
      </c>
      <c r="E38" s="13" t="str">
        <f aca="false">IFERROR(__xludf.dummyfunction("""COMPUTED_VALUE"""),"Flour")</f>
        <v>Flour</v>
      </c>
      <c r="F38" s="11" t="n">
        <f aca="false">IFERROR(__xludf.dummyfunction("""COMPUTED_VALUE"""),45204)</f>
        <v>45204</v>
      </c>
      <c r="G38" s="16" t="n">
        <f aca="false">IFERROR(__xludf.dummyfunction("""COMPUTED_VALUE"""),0.657645972223112)</f>
        <v>0.6576459722</v>
      </c>
      <c r="H38" s="13" t="str">
        <f aca="false">IFERROR(__xludf.dummyfunction("""COMPUTED_VALUE"""),"expired stock")</f>
        <v>expired stock</v>
      </c>
      <c r="I38" s="13" t="n">
        <f aca="false">IFERROR(__xludf.dummyfunction("""COMPUTED_VALUE"""),40)</f>
        <v>40</v>
      </c>
      <c r="J38" s="13" t="n">
        <f aca="false">IFERROR(__xludf.dummyfunction("""COMPUTED_VALUE"""),846.3)</f>
        <v>846.3</v>
      </c>
      <c r="K38" s="13" t="n">
        <f aca="false">IFERROR(__xludf.dummyfunction("""COMPUTED_VALUE"""),33852)</f>
        <v>33852</v>
      </c>
      <c r="L38" s="13" t="str">
        <f aca="false">IFERROR(__xludf.dummyfunction("""COMPUTED_VALUE"""),"[Code: 378BFHLL] [Expiry: 13 Oct, 2023] 40 units found short expiry")</f>
        <v>[Code: 378BFHLL] [Expiry: 13 Oct, 2023] 40 units found short expiry</v>
      </c>
      <c r="M38" s="13" t="str">
        <f aca="false">IFERROR(__xludf.dummyfunction("""COMPUTED_VALUE"""),"378BFHLL")</f>
        <v>378BFHLL</v>
      </c>
      <c r="N38" s="13" t="str">
        <f aca="false">IFERROR(__xludf.dummyfunction("""COMPUTED_VALUE"""),"13 Oct, 2023")</f>
        <v>13 Oct, 2023</v>
      </c>
      <c r="O38" s="13" t="str">
        <f aca="false">IFERROR(__xludf.dummyfunction("""COMPUTED_VALUE"""),"ali.raza@tajir-app.com")</f>
        <v>ali.raza@tajir-app.com</v>
      </c>
      <c r="P38" s="13" t="str">
        <f aca="false">IFERROR(__xludf.dummyfunction("""COMPUTED_VALUE"""),"Ali Raza ")</f>
        <v>Ali Raza </v>
      </c>
      <c r="Q38" s="13" t="str">
        <f aca="false">IFERROR(__xludf.dummyfunction("""COMPUTED_VALUE"""),"[Code: 378BFHLL] [Expiry: 13 Oct, 2023] 40 units found short expiry")</f>
        <v>[Code: 378BFHLL] [Expiry: 13 Oct, 2023] 40 units found short expiry</v>
      </c>
      <c r="R38" s="13" t="str">
        <v>Thu, 05-Oct-2023, 03:47 PM</v>
      </c>
      <c r="S38" s="13" t="str">
        <v>Expired stock</v>
      </c>
      <c r="T38" s="13" t="e">
        <v>#VALUE!</v>
      </c>
    </row>
    <row r="39" customFormat="false" ht="15.75" hidden="false" customHeight="false" outlineLevel="0" collapsed="false">
      <c r="A39" s="13" t="str">
        <f aca="false">IFERROR(__xludf.dummyfunction("""COMPUTED_VALUE"""),"Metro DC Faisalabad")</f>
        <v>Metro DC Faisalabad</v>
      </c>
      <c r="B39" s="13" t="str">
        <f aca="false">IFERROR(__xludf.dummyfunction("""COMPUTED_VALUE"""),"52258fdc-8b0c-4343-9884-310c160a213d")</f>
        <v>52258fdc-8b0c-4343-9884-310c160a213d</v>
      </c>
      <c r="C39" s="13" t="str">
        <f aca="false">IFERROR(__xludf.dummyfunction("""COMPUTED_VALUE"""),"Sunridge Fortified Chakki Atta 5kg")</f>
        <v>Sunridge Fortified Chakki Atta 5kg</v>
      </c>
      <c r="D39" s="13" t="str">
        <f aca="false">IFERROR(__xludf.dummyfunction("""COMPUTED_VALUE"""),"Sunridge")</f>
        <v>Sunridge</v>
      </c>
      <c r="E39" s="13" t="str">
        <f aca="false">IFERROR(__xludf.dummyfunction("""COMPUTED_VALUE"""),"Flour")</f>
        <v>Flour</v>
      </c>
      <c r="F39" s="11" t="n">
        <f aca="false">IFERROR(__xludf.dummyfunction("""COMPUTED_VALUE"""),45206)</f>
        <v>45206</v>
      </c>
      <c r="G39" s="16" t="n">
        <f aca="false">IFERROR(__xludf.dummyfunction("""COMPUTED_VALUE"""),0.540855740739032)</f>
        <v>0.5408557407</v>
      </c>
      <c r="H39" s="13" t="str">
        <f aca="false">IFERROR(__xludf.dummyfunction("""COMPUTED_VALUE"""),"expired stock")</f>
        <v>expired stock</v>
      </c>
      <c r="I39" s="13" t="n">
        <f aca="false">IFERROR(__xludf.dummyfunction("""COMPUTED_VALUE"""),1)</f>
        <v>1</v>
      </c>
      <c r="J39" s="13" t="n">
        <f aca="false">IFERROR(__xludf.dummyfunction("""COMPUTED_VALUE"""),828)</f>
        <v>828</v>
      </c>
      <c r="K39" s="13" t="n">
        <f aca="false">IFERROR(__xludf.dummyfunction("""COMPUTED_VALUE"""),828)</f>
        <v>828</v>
      </c>
      <c r="L39" s="13" t="str">
        <f aca="false">IFERROR(__xludf.dummyfunction("""COMPUTED_VALUE"""),"[Code: 334556AB] [Expiry: 16 Oct, 2023] 1 unit found short expiry ")</f>
        <v>[Code: 334556AB] [Expiry: 16 Oct, 2023] 1 unit found short expiry </v>
      </c>
      <c r="M39" s="13" t="str">
        <f aca="false">IFERROR(__xludf.dummyfunction("""COMPUTED_VALUE"""),"334556AB")</f>
        <v>334556AB</v>
      </c>
      <c r="N39" s="13" t="str">
        <f aca="false">IFERROR(__xludf.dummyfunction("""COMPUTED_VALUE"""),"16 Oct, 2023")</f>
        <v>16 Oct, 2023</v>
      </c>
      <c r="O39" s="13" t="str">
        <f aca="false">IFERROR(__xludf.dummyfunction("""COMPUTED_VALUE"""),"ali.raza@tajir-app.com")</f>
        <v>ali.raza@tajir-app.com</v>
      </c>
      <c r="P39" s="13" t="str">
        <f aca="false">IFERROR(__xludf.dummyfunction("""COMPUTED_VALUE"""),"Ali Raza ")</f>
        <v>Ali Raza </v>
      </c>
      <c r="Q39" s="13" t="str">
        <f aca="false">IFERROR(__xludf.dummyfunction("""COMPUTED_VALUE"""),"[Code: 334556AB] [Expiry: 16 Oct, 2023] 1 unit found short expiry ")</f>
        <v>[Code: 334556AB] [Expiry: 16 Oct, 2023] 1 unit found short expiry </v>
      </c>
      <c r="R39" s="13" t="str">
        <v>Sat, 07-Oct-2023, 12:58 PM</v>
      </c>
      <c r="S39" s="13" t="str">
        <v>Expired stock</v>
      </c>
      <c r="T39" s="13" t="e">
        <v>#VALUE!</v>
      </c>
    </row>
    <row r="40" customFormat="false" ht="15.75" hidden="false" customHeight="false" outlineLevel="0" collapsed="false">
      <c r="A40" s="13" t="str">
        <f aca="false">IFERROR(__xludf.dummyfunction("""COMPUTED_VALUE"""),"Metro DC Faisalabad")</f>
        <v>Metro DC Faisalabad</v>
      </c>
      <c r="B40" s="13" t="str">
        <f aca="false">IFERROR(__xludf.dummyfunction("""COMPUTED_VALUE"""),"4df466f2-5062-4b23-a5b8-e471d0f47b18")</f>
        <v>4df466f2-5062-4b23-a5b8-e471d0f47b18</v>
      </c>
      <c r="C40" s="13" t="str">
        <f aca="false">IFERROR(__xludf.dummyfunction("""COMPUTED_VALUE"""),"Engro Tarang Liquid Tea Whitener x24 Crate 175ml")</f>
        <v>Engro Tarang Liquid Tea Whitener x24 Crate 175ml</v>
      </c>
      <c r="D40" s="13" t="str">
        <f aca="false">IFERROR(__xludf.dummyfunction("""COMPUTED_VALUE"""),"Tarang")</f>
        <v>Tarang</v>
      </c>
      <c r="E40" s="13" t="str">
        <f aca="false">IFERROR(__xludf.dummyfunction("""COMPUTED_VALUE"""),"Dairy")</f>
        <v>Dairy</v>
      </c>
      <c r="F40" s="11" t="n">
        <f aca="false">IFERROR(__xludf.dummyfunction("""COMPUTED_VALUE"""),45208)</f>
        <v>45208</v>
      </c>
      <c r="G40" s="16" t="n">
        <f aca="false">IFERROR(__xludf.dummyfunction("""COMPUTED_VALUE"""),0.514307245371163)</f>
        <v>0.5143072454</v>
      </c>
      <c r="H40" s="13" t="str">
        <f aca="false">IFERROR(__xludf.dummyfunction("""COMPUTED_VALUE"""),"expired stock")</f>
        <v>expired stock</v>
      </c>
      <c r="I40" s="13" t="n">
        <f aca="false">IFERROR(__xludf.dummyfunction("""COMPUTED_VALUE"""),98)</f>
        <v>98</v>
      </c>
      <c r="J40" s="13" t="n">
        <f aca="false">IFERROR(__xludf.dummyfunction("""COMPUTED_VALUE"""),980)</f>
        <v>980</v>
      </c>
      <c r="K40" s="13" t="n">
        <f aca="false">IFERROR(__xludf.dummyfunction("""COMPUTED_VALUE"""),96040)</f>
        <v>96040</v>
      </c>
      <c r="L40" s="13" t="str">
        <f aca="false">IFERROR(__xludf.dummyfunction("""COMPUTED_VALUE"""),"[Code: 4678AACC] [Expiry: 1 Nov, 2023] AR : all stock found short expiry")</f>
        <v>[Code: 4678AACC] [Expiry: 1 Nov, 2023] AR : all stock found short expiry</v>
      </c>
      <c r="M40" s="13" t="str">
        <f aca="false">IFERROR(__xludf.dummyfunction("""COMPUTED_VALUE"""),"4678AACC")</f>
        <v>4678AACC</v>
      </c>
      <c r="N40" s="13" t="str">
        <f aca="false">IFERROR(__xludf.dummyfunction("""COMPUTED_VALUE"""),"1 Nov, 2023")</f>
        <v>1 Nov, 2023</v>
      </c>
      <c r="O40" s="13" t="str">
        <f aca="false">IFERROR(__xludf.dummyfunction("""COMPUTED_VALUE"""),"ali.raza@tajir-app.com")</f>
        <v>ali.raza@tajir-app.com</v>
      </c>
      <c r="P40" s="13" t="str">
        <f aca="false">IFERROR(__xludf.dummyfunction("""COMPUTED_VALUE"""),"Ali Raza ")</f>
        <v>Ali Raza </v>
      </c>
      <c r="Q40" s="13" t="str">
        <f aca="false">IFERROR(__xludf.dummyfunction("""COMPUTED_VALUE"""),"[Code: 4678AACC] [Expiry: 1 Nov, 2023] AR : all stock found short expiry")</f>
        <v>[Code: 4678AACC] [Expiry: 1 Nov, 2023] AR : all stock found short expiry</v>
      </c>
      <c r="R40" s="13" t="str">
        <v>Mon, 09-Oct-2023, 12:20 PM</v>
      </c>
      <c r="S40" s="13" t="str">
        <v>Expired stock</v>
      </c>
      <c r="T40" s="13" t="e">
        <v>#VALUE!</v>
      </c>
    </row>
    <row r="41" customFormat="false" ht="15.75" hidden="false" customHeight="false" outlineLevel="0" collapsed="false">
      <c r="A41" s="13" t="str">
        <f aca="false">IFERROR(__xludf.dummyfunction("""COMPUTED_VALUE"""),"Metro DC Faisalabad")</f>
        <v>Metro DC Faisalabad</v>
      </c>
      <c r="B41" s="13" t="str">
        <f aca="false">IFERROR(__xludf.dummyfunction("""COMPUTED_VALUE"""),"295d36d9-6897-41bf-8a72-7486d721cf17")</f>
        <v>295d36d9-6897-41bf-8a72-7486d721cf17</v>
      </c>
      <c r="C41" s="13" t="str">
        <f aca="false">IFERROR(__xludf.dummyfunction("""COMPUTED_VALUE"""),"Engro Olpers Milk Ecolean Pouch x28 Crate 250ml")</f>
        <v>Engro Olpers Milk Ecolean Pouch x28 Crate 250ml</v>
      </c>
      <c r="D41" s="13" t="str">
        <f aca="false">IFERROR(__xludf.dummyfunction("""COMPUTED_VALUE"""),"Olpers")</f>
        <v>Olpers</v>
      </c>
      <c r="E41" s="13" t="str">
        <f aca="false">IFERROR(__xludf.dummyfunction("""COMPUTED_VALUE"""),"Dairy")</f>
        <v>Dairy</v>
      </c>
      <c r="F41" s="11" t="n">
        <f aca="false">IFERROR(__xludf.dummyfunction("""COMPUTED_VALUE"""),45210)</f>
        <v>45210</v>
      </c>
      <c r="G41" s="16" t="n">
        <f aca="false">IFERROR(__xludf.dummyfunction("""COMPUTED_VALUE"""),0.467671701389223)</f>
        <v>0.4676717014</v>
      </c>
      <c r="H41" s="13" t="str">
        <f aca="false">IFERROR(__xludf.dummyfunction("""COMPUTED_VALUE"""),"expired stock")</f>
        <v>expired stock</v>
      </c>
      <c r="I41" s="13" t="n">
        <f aca="false">IFERROR(__xludf.dummyfunction("""COMPUTED_VALUE"""),58)</f>
        <v>58</v>
      </c>
      <c r="J41" s="13" t="n">
        <f aca="false">IFERROR(__xludf.dummyfunction("""COMPUTED_VALUE"""),1790)</f>
        <v>1790</v>
      </c>
      <c r="K41" s="13" t="n">
        <f aca="false">IFERROR(__xludf.dummyfunction("""COMPUTED_VALUE"""),103820)</f>
        <v>103820</v>
      </c>
      <c r="L41" s="13" t="str">
        <f aca="false">IFERROR(__xludf.dummyfunction("""COMPUTED_VALUE"""),"[Code: 2268BEEF] [Expiry: 5 Nov, 2023] 58 units found short expiry ")</f>
        <v>[Code: 2268BEEF] [Expiry: 5 Nov, 2023] 58 units found short expiry </v>
      </c>
      <c r="M41" s="13" t="str">
        <f aca="false">IFERROR(__xludf.dummyfunction("""COMPUTED_VALUE"""),"2268BEEF")</f>
        <v>2268BEEF</v>
      </c>
      <c r="N41" s="13" t="str">
        <f aca="false">IFERROR(__xludf.dummyfunction("""COMPUTED_VALUE"""),"5 Nov, 2023")</f>
        <v>5 Nov, 2023</v>
      </c>
      <c r="O41" s="13" t="str">
        <f aca="false">IFERROR(__xludf.dummyfunction("""COMPUTED_VALUE"""),"ali.raza@tajir-app.com")</f>
        <v>ali.raza@tajir-app.com</v>
      </c>
      <c r="P41" s="13" t="str">
        <f aca="false">IFERROR(__xludf.dummyfunction("""COMPUTED_VALUE"""),"Ali Raza ")</f>
        <v>Ali Raza </v>
      </c>
      <c r="Q41" s="13" t="str">
        <f aca="false">IFERROR(__xludf.dummyfunction("""COMPUTED_VALUE"""),"[Code: 2268BEEF] [Expiry: 5 Nov, 2023] 58 units found short expiry ")</f>
        <v>[Code: 2268BEEF] [Expiry: 5 Nov, 2023] 58 units found short expiry </v>
      </c>
      <c r="R41" s="13" t="str">
        <v>Wed, 11-Oct-2023, 11:13 AM</v>
      </c>
      <c r="S41" s="13" t="str">
        <v>Expired stock</v>
      </c>
      <c r="T41" s="13" t="e">
        <v>#VALUE!</v>
      </c>
    </row>
    <row r="42" customFormat="false" ht="15.75" hidden="false" customHeight="false" outlineLevel="0" collapsed="false">
      <c r="A42" s="13" t="str">
        <f aca="false">IFERROR(__xludf.dummyfunction("""COMPUTED_VALUE"""),"Metro DC Faisalabad")</f>
        <v>Metro DC Faisalabad</v>
      </c>
      <c r="B42" s="13" t="str">
        <f aca="false">IFERROR(__xludf.dummyfunction("""COMPUTED_VALUE"""),"187245c1-bd74-424d-861b-e9271a9a0af9")</f>
        <v>187245c1-bd74-424d-861b-e9271a9a0af9</v>
      </c>
      <c r="C42" s="13" t="str">
        <f aca="false">IFERROR(__xludf.dummyfunction("""COMPUTED_VALUE"""),"Engro Dairy Omung Milk x12 Carton 1L")</f>
        <v>Engro Dairy Omung Milk x12 Carton 1L</v>
      </c>
      <c r="D42" s="13" t="str">
        <f aca="false">IFERROR(__xludf.dummyfunction("""COMPUTED_VALUE"""),"Omung")</f>
        <v>Omung</v>
      </c>
      <c r="E42" s="13" t="str">
        <f aca="false">IFERROR(__xludf.dummyfunction("""COMPUTED_VALUE"""),"Dairy")</f>
        <v>Dairy</v>
      </c>
      <c r="F42" s="11" t="n">
        <f aca="false">IFERROR(__xludf.dummyfunction("""COMPUTED_VALUE"""),45210)</f>
        <v>45210</v>
      </c>
      <c r="G42" s="16" t="n">
        <f aca="false">IFERROR(__xludf.dummyfunction("""COMPUTED_VALUE"""),0.469569456018734)</f>
        <v>0.469569456</v>
      </c>
      <c r="H42" s="13" t="str">
        <f aca="false">IFERROR(__xludf.dummyfunction("""COMPUTED_VALUE"""),"expired stock")</f>
        <v>expired stock</v>
      </c>
      <c r="I42" s="13" t="n">
        <f aca="false">IFERROR(__xludf.dummyfunction("""COMPUTED_VALUE"""),25)</f>
        <v>25</v>
      </c>
      <c r="J42" s="13" t="n">
        <f aca="false">IFERROR(__xludf.dummyfunction("""COMPUTED_VALUE"""),2130)</f>
        <v>2130</v>
      </c>
      <c r="K42" s="13" t="n">
        <f aca="false">IFERROR(__xludf.dummyfunction("""COMPUTED_VALUE"""),53250)</f>
        <v>53250</v>
      </c>
      <c r="L42" s="13" t="str">
        <f aca="false">IFERROR(__xludf.dummyfunction("""COMPUTED_VALUE"""),"[Code: 23369HHK] [Expiry: 11 Nov, 2023] 25 units found short expiry")</f>
        <v>[Code: 23369HHK] [Expiry: 11 Nov, 2023] 25 units found short expiry</v>
      </c>
      <c r="M42" s="13" t="str">
        <f aca="false">IFERROR(__xludf.dummyfunction("""COMPUTED_VALUE"""),"23369HHK")</f>
        <v>23369HHK</v>
      </c>
      <c r="N42" s="13" t="str">
        <f aca="false">IFERROR(__xludf.dummyfunction("""COMPUTED_VALUE"""),"11 Nov, 2023")</f>
        <v>11 Nov, 2023</v>
      </c>
      <c r="O42" s="13" t="str">
        <f aca="false">IFERROR(__xludf.dummyfunction("""COMPUTED_VALUE"""),"ali.raza@tajir-app.com")</f>
        <v>ali.raza@tajir-app.com</v>
      </c>
      <c r="P42" s="13" t="str">
        <f aca="false">IFERROR(__xludf.dummyfunction("""COMPUTED_VALUE"""),"Ali Raza ")</f>
        <v>Ali Raza </v>
      </c>
      <c r="Q42" s="13" t="str">
        <f aca="false">IFERROR(__xludf.dummyfunction("""COMPUTED_VALUE"""),"[Code: 23369HHK] [Expiry: 11 Nov, 2023] 25 units found short expiry")</f>
        <v>[Code: 23369HHK] [Expiry: 11 Nov, 2023] 25 units found short expiry</v>
      </c>
      <c r="R42" s="13" t="str">
        <v>Wed, 11-Oct-2023, 11:16 AM</v>
      </c>
      <c r="S42" s="13" t="str">
        <v>Expired stock</v>
      </c>
      <c r="T42" s="13" t="e">
        <v>#VALUE!</v>
      </c>
    </row>
    <row r="43" customFormat="false" ht="15.75" hidden="false" customHeight="false" outlineLevel="0" collapsed="false">
      <c r="A43" s="13" t="str">
        <f aca="false">IFERROR(__xludf.dummyfunction("""COMPUTED_VALUE"""),"Metro DC Faisalabad")</f>
        <v>Metro DC Faisalabad</v>
      </c>
      <c r="B43" s="13" t="str">
        <f aca="false">IFERROR(__xludf.dummyfunction("""COMPUTED_VALUE"""),"4df466f2-5062-4b23-a5b8-e471d0f47b18")</f>
        <v>4df466f2-5062-4b23-a5b8-e471d0f47b18</v>
      </c>
      <c r="C43" s="13" t="str">
        <f aca="false">IFERROR(__xludf.dummyfunction("""COMPUTED_VALUE"""),"Engro Tarang Liquid Tea Whitener x24 Crate 175ml")</f>
        <v>Engro Tarang Liquid Tea Whitener x24 Crate 175ml</v>
      </c>
      <c r="D43" s="13" t="str">
        <f aca="false">IFERROR(__xludf.dummyfunction("""COMPUTED_VALUE"""),"Tarang")</f>
        <v>Tarang</v>
      </c>
      <c r="E43" s="13" t="str">
        <f aca="false">IFERROR(__xludf.dummyfunction("""COMPUTED_VALUE"""),"Dairy")</f>
        <v>Dairy</v>
      </c>
      <c r="F43" s="11" t="n">
        <f aca="false">IFERROR(__xludf.dummyfunction("""COMPUTED_VALUE"""),45210)</f>
        <v>45210</v>
      </c>
      <c r="G43" s="16" t="n">
        <f aca="false">IFERROR(__xludf.dummyfunction("""COMPUTED_VALUE"""),0.487265578704367)</f>
        <v>0.4872655787</v>
      </c>
      <c r="H43" s="13" t="str">
        <f aca="false">IFERROR(__xludf.dummyfunction("""COMPUTED_VALUE"""),"expired stock")</f>
        <v>expired stock</v>
      </c>
      <c r="I43" s="13" t="n">
        <f aca="false">IFERROR(__xludf.dummyfunction("""COMPUTED_VALUE"""),11)</f>
        <v>11</v>
      </c>
      <c r="J43" s="13" t="n">
        <f aca="false">IFERROR(__xludf.dummyfunction("""COMPUTED_VALUE"""),980)</f>
        <v>980</v>
      </c>
      <c r="K43" s="13" t="n">
        <f aca="false">IFERROR(__xludf.dummyfunction("""COMPUTED_VALUE"""),10780)</f>
        <v>10780</v>
      </c>
      <c r="L43" s="13" t="str">
        <f aca="false">IFERROR(__xludf.dummyfunction("""COMPUTED_VALUE"""),"[Code: 2234489A] [Expiry: 1 Nov, 2023] 11 units short expiry ")</f>
        <v>[Code: 2234489A] [Expiry: 1 Nov, 2023] 11 units short expiry </v>
      </c>
      <c r="M43" s="13" t="str">
        <f aca="false">IFERROR(__xludf.dummyfunction("""COMPUTED_VALUE"""),"2234489A")</f>
        <v>2234489A</v>
      </c>
      <c r="N43" s="13" t="str">
        <f aca="false">IFERROR(__xludf.dummyfunction("""COMPUTED_VALUE"""),"1 Nov, 2023")</f>
        <v>1 Nov, 2023</v>
      </c>
      <c r="O43" s="13" t="str">
        <f aca="false">IFERROR(__xludf.dummyfunction("""COMPUTED_VALUE"""),"ali.raza@tajir-app.com")</f>
        <v>ali.raza@tajir-app.com</v>
      </c>
      <c r="P43" s="13" t="str">
        <f aca="false">IFERROR(__xludf.dummyfunction("""COMPUTED_VALUE"""),"Ali Raza ")</f>
        <v>Ali Raza </v>
      </c>
      <c r="Q43" s="13" t="str">
        <f aca="false">IFERROR(__xludf.dummyfunction("""COMPUTED_VALUE"""),"[Code: 2234489A] [Expiry: 1 Nov, 2023] 11 units short expiry ")</f>
        <v>[Code: 2234489A] [Expiry: 1 Nov, 2023] 11 units short expiry </v>
      </c>
      <c r="R43" s="13" t="str">
        <v>Wed, 11-Oct-2023, 11:41 AM</v>
      </c>
      <c r="S43" s="13" t="str">
        <v>Expired stock</v>
      </c>
      <c r="T43" s="13" t="e">
        <v>#VALUE!</v>
      </c>
    </row>
    <row r="44" customFormat="false" ht="15.75" hidden="false" customHeight="false" outlineLevel="0" collapsed="false">
      <c r="A44" s="13" t="str">
        <f aca="false">IFERROR(__xludf.dummyfunction("""COMPUTED_VALUE"""),"Metro DC Faisalabad")</f>
        <v>Metro DC Faisalabad</v>
      </c>
      <c r="B44" s="13" t="str">
        <f aca="false">IFERROR(__xludf.dummyfunction("""COMPUTED_VALUE"""),"9b648a63-345b-46ae-a3ee-2fe74a6951d8")</f>
        <v>9b648a63-345b-46ae-a3ee-2fe74a6951d8</v>
      </c>
      <c r="C44" s="13" t="str">
        <f aca="false">IFERROR(__xludf.dummyfunction("""COMPUTED_VALUE"""),"Lipton Danedar Tea Jar 475g (Orange) Rs1500")</f>
        <v>Lipton Danedar Tea Jar 475g (Orange) Rs1500</v>
      </c>
      <c r="D44" s="13" t="str">
        <f aca="false">IFERROR(__xludf.dummyfunction("""COMPUTED_VALUE"""),"Lipton")</f>
        <v>Lipton</v>
      </c>
      <c r="E44" s="13" t="str">
        <f aca="false">IFERROR(__xludf.dummyfunction("""COMPUTED_VALUE"""),"Tea, Coffee")</f>
        <v>Tea, Coffee</v>
      </c>
      <c r="F44" s="11" t="n">
        <f aca="false">IFERROR(__xludf.dummyfunction("""COMPUTED_VALUE"""),45210)</f>
        <v>45210</v>
      </c>
      <c r="G44" s="16" t="n">
        <f aca="false">IFERROR(__xludf.dummyfunction("""COMPUTED_VALUE"""),0.495080983796959)</f>
        <v>0.4950809838</v>
      </c>
      <c r="H44" s="13" t="str">
        <f aca="false">IFERROR(__xludf.dummyfunction("""COMPUTED_VALUE"""),"expired stock")</f>
        <v>expired stock</v>
      </c>
      <c r="I44" s="13" t="n">
        <f aca="false">IFERROR(__xludf.dummyfunction("""COMPUTED_VALUE"""),6)</f>
        <v>6</v>
      </c>
      <c r="J44" s="13" t="n">
        <f aca="false">IFERROR(__xludf.dummyfunction("""COMPUTED_VALUE"""),1426.67)</f>
        <v>1426.67</v>
      </c>
      <c r="K44" s="13" t="n">
        <f aca="false">IFERROR(__xludf.dummyfunction("""COMPUTED_VALUE"""),8560.02)</f>
        <v>8560.02</v>
      </c>
      <c r="L44" s="13" t="str">
        <f aca="false">IFERROR(__xludf.dummyfunction("""COMPUTED_VALUE"""),"[Code: 2346ABCF] [Expiry: 2 Oct, 2023] 6 units expire in next month short expiry")</f>
        <v>[Code: 2346ABCF] [Expiry: 2 Oct, 2023] 6 units expire in next month short expiry</v>
      </c>
      <c r="M44" s="13" t="str">
        <f aca="false">IFERROR(__xludf.dummyfunction("""COMPUTED_VALUE"""),"2346ABCF")</f>
        <v>2346ABCF</v>
      </c>
      <c r="N44" s="13" t="str">
        <f aca="false">IFERROR(__xludf.dummyfunction("""COMPUTED_VALUE"""),"2 Oct, 2023")</f>
        <v>2 Oct, 2023</v>
      </c>
      <c r="O44" s="13" t="str">
        <f aca="false">IFERROR(__xludf.dummyfunction("""COMPUTED_VALUE"""),"ali.raza@tajir-app.com")</f>
        <v>ali.raza@tajir-app.com</v>
      </c>
      <c r="P44" s="13" t="str">
        <f aca="false">IFERROR(__xludf.dummyfunction("""COMPUTED_VALUE"""),"Ali Raza ")</f>
        <v>Ali Raza </v>
      </c>
      <c r="Q44" s="13" t="str">
        <f aca="false">IFERROR(__xludf.dummyfunction("""COMPUTED_VALUE"""),"[Code: 2346ABCF] [Expiry: 2 Oct, 2023] 6 units expire in next month short expiry")</f>
        <v>[Code: 2346ABCF] [Expiry: 2 Oct, 2023] 6 units expire in next month short expiry</v>
      </c>
      <c r="R44" s="13" t="str">
        <v>Wed, 11-Oct-2023, 11:52 AM</v>
      </c>
      <c r="S44" s="13" t="str">
        <v>Expired stock</v>
      </c>
      <c r="T44" s="13" t="e">
        <v>#VALUE!</v>
      </c>
    </row>
    <row r="45" customFormat="false" ht="15.75" hidden="false" customHeight="false" outlineLevel="0" collapsed="false">
      <c r="A45" s="13" t="str">
        <f aca="false">IFERROR(__xludf.dummyfunction("""COMPUTED_VALUE"""),"Metro DC Faisalabad")</f>
        <v>Metro DC Faisalabad</v>
      </c>
      <c r="B45" s="13" t="str">
        <f aca="false">IFERROR(__xludf.dummyfunction("""COMPUTED_VALUE"""),"295d36d9-6897-41bf-8a72-7486d721cf17")</f>
        <v>295d36d9-6897-41bf-8a72-7486d721cf17</v>
      </c>
      <c r="C45" s="13" t="str">
        <f aca="false">IFERROR(__xludf.dummyfunction("""COMPUTED_VALUE"""),"Engro Olpers Milk Ecolean Pouch x28 Crate 250ml")</f>
        <v>Engro Olpers Milk Ecolean Pouch x28 Crate 250ml</v>
      </c>
      <c r="D45" s="13" t="str">
        <f aca="false">IFERROR(__xludf.dummyfunction("""COMPUTED_VALUE"""),"Olpers")</f>
        <v>Olpers</v>
      </c>
      <c r="E45" s="13" t="str">
        <f aca="false">IFERROR(__xludf.dummyfunction("""COMPUTED_VALUE"""),"Dairy")</f>
        <v>Dairy</v>
      </c>
      <c r="F45" s="11" t="n">
        <f aca="false">IFERROR(__xludf.dummyfunction("""COMPUTED_VALUE"""),45214)</f>
        <v>45214</v>
      </c>
      <c r="G45" s="16" t="n">
        <f aca="false">IFERROR(__xludf.dummyfunction("""COMPUTED_VALUE"""),0.564581793981929)</f>
        <v>0.564581794</v>
      </c>
      <c r="H45" s="13" t="str">
        <f aca="false">IFERROR(__xludf.dummyfunction("""COMPUTED_VALUE"""),"expired stock")</f>
        <v>expired stock</v>
      </c>
      <c r="I45" s="13" t="n">
        <f aca="false">IFERROR(__xludf.dummyfunction("""COMPUTED_VALUE"""),1)</f>
        <v>1</v>
      </c>
      <c r="J45" s="13" t="n">
        <f aca="false">IFERROR(__xludf.dummyfunction("""COMPUTED_VALUE"""),1790)</f>
        <v>1790</v>
      </c>
      <c r="K45" s="13" t="n">
        <f aca="false">IFERROR(__xludf.dummyfunction("""COMPUTED_VALUE"""),1790)</f>
        <v>1790</v>
      </c>
      <c r="L45" s="13" t="str">
        <f aca="false">IFERROR(__xludf.dummyfunction("""COMPUTED_VALUE"""),"[Code: 23366669] [Expiry: 5 Nov, 2023] 1 unit found short expiry")</f>
        <v>[Code: 23366669] [Expiry: 5 Nov, 2023] 1 unit found short expiry</v>
      </c>
      <c r="M45" s="13" t="str">
        <f aca="false">IFERROR(__xludf.dummyfunction("""COMPUTED_VALUE"""),"23366669")</f>
        <v>23366669</v>
      </c>
      <c r="N45" s="13" t="str">
        <f aca="false">IFERROR(__xludf.dummyfunction("""COMPUTED_VALUE"""),"5 Nov, 2023")</f>
        <v>5 Nov, 2023</v>
      </c>
      <c r="O45" s="13" t="str">
        <f aca="false">IFERROR(__xludf.dummyfunction("""COMPUTED_VALUE"""),"ali.raza@tajir-app.com")</f>
        <v>ali.raza@tajir-app.com</v>
      </c>
      <c r="P45" s="13" t="str">
        <f aca="false">IFERROR(__xludf.dummyfunction("""COMPUTED_VALUE"""),"Ali Raza ")</f>
        <v>Ali Raza </v>
      </c>
      <c r="Q45" s="13" t="str">
        <f aca="false">IFERROR(__xludf.dummyfunction("""COMPUTED_VALUE"""),"[Code: 23366669] [Expiry: 5 Nov, 2023] 1 unit found short expiry")</f>
        <v>[Code: 23366669] [Expiry: 5 Nov, 2023] 1 unit found short expiry</v>
      </c>
      <c r="R45" s="13" t="str">
        <v>Sun, 15-Oct-2023, 01:32 PM</v>
      </c>
      <c r="S45" s="13" t="str">
        <v>Expired stock</v>
      </c>
      <c r="T45" s="13" t="e">
        <v>#VALUE!</v>
      </c>
    </row>
    <row r="46" customFormat="false" ht="15.75" hidden="false" customHeight="false" outlineLevel="0" collapsed="false">
      <c r="A46" s="13" t="str">
        <f aca="false">IFERROR(__xludf.dummyfunction("""COMPUTED_VALUE"""),"Metro DC Faisalabad")</f>
        <v>Metro DC Faisalabad</v>
      </c>
      <c r="B46" s="13" t="str">
        <f aca="false">IFERROR(__xludf.dummyfunction("""COMPUTED_VALUE"""),"7f923b69-80d3-47fb-9441-450eab46eb8e")</f>
        <v>7f923b69-80d3-47fb-9441-450eab46eb8e</v>
      </c>
      <c r="C46" s="13" t="str">
        <f aca="false">IFERROR(__xludf.dummyfunction("""COMPUTED_VALUE"""),"Gibs Real Taste Quality Biscuits 40pcs Rs5")</f>
        <v>Gibs Real Taste Quality Biscuits 40pcs Rs5</v>
      </c>
      <c r="D46" s="13" t="str">
        <f aca="false">IFERROR(__xludf.dummyfunction("""COMPUTED_VALUE"""),"Gibs")</f>
        <v>Gibs</v>
      </c>
      <c r="E46" s="13" t="str">
        <f aca="false">IFERROR(__xludf.dummyfunction("""COMPUTED_VALUE"""),"Biscuits, Wafers")</f>
        <v>Biscuits, Wafers</v>
      </c>
      <c r="F46" s="11" t="n">
        <f aca="false">IFERROR(__xludf.dummyfunction("""COMPUTED_VALUE"""),45215)</f>
        <v>45215</v>
      </c>
      <c r="G46" s="16" t="n">
        <f aca="false">IFERROR(__xludf.dummyfunction("""COMPUTED_VALUE"""),0.449924201388867)</f>
        <v>0.4499242014</v>
      </c>
      <c r="H46" s="13" t="str">
        <f aca="false">IFERROR(__xludf.dummyfunction("""COMPUTED_VALUE"""),"expired stock")</f>
        <v>expired stock</v>
      </c>
      <c r="I46" s="13" t="n">
        <f aca="false">IFERROR(__xludf.dummyfunction("""COMPUTED_VALUE"""),241)</f>
        <v>241</v>
      </c>
      <c r="J46" s="13" t="n">
        <f aca="false">IFERROR(__xludf.dummyfunction("""COMPUTED_VALUE"""),171.6)</f>
        <v>171.6</v>
      </c>
      <c r="K46" s="13" t="n">
        <f aca="false">IFERROR(__xludf.dummyfunction("""COMPUTED_VALUE"""),41355.6)</f>
        <v>41355.6</v>
      </c>
      <c r="L46" s="13" t="str">
        <f aca="false">IFERROR(__xludf.dummyfunction("""COMPUTED_VALUE"""),"[Code: 22689FHH] [Expiry: 30 Oct, 2023] AR : 241  selling unit found short expiry ")</f>
        <v>[Code: 22689FHH] [Expiry: 30 Oct, 2023] AR : 241  selling unit found short expiry </v>
      </c>
      <c r="M46" s="13" t="str">
        <f aca="false">IFERROR(__xludf.dummyfunction("""COMPUTED_VALUE"""),"22689FHH")</f>
        <v>22689FHH</v>
      </c>
      <c r="N46" s="13" t="str">
        <f aca="false">IFERROR(__xludf.dummyfunction("""COMPUTED_VALUE"""),"30 Oct, 2023")</f>
        <v>30 Oct, 2023</v>
      </c>
      <c r="O46" s="13" t="str">
        <f aca="false">IFERROR(__xludf.dummyfunction("""COMPUTED_VALUE"""),"ali.raza@tajir-app.com")</f>
        <v>ali.raza@tajir-app.com</v>
      </c>
      <c r="P46" s="13" t="str">
        <f aca="false">IFERROR(__xludf.dummyfunction("""COMPUTED_VALUE"""),"Ali Raza ")</f>
        <v>Ali Raza </v>
      </c>
      <c r="Q46" s="13" t="str">
        <f aca="false">IFERROR(__xludf.dummyfunction("""COMPUTED_VALUE"""),"[Code: 22689FHH] [Expiry: 30 Oct, 2023] AR : 241  selling unit found short expiry ")</f>
        <v>[Code: 22689FHH] [Expiry: 30 Oct, 2023] AR : 241  selling unit found short expiry </v>
      </c>
      <c r="R46" s="13" t="str">
        <v>Mon, 16-Oct-2023, 10:47 AM</v>
      </c>
      <c r="S46" s="13" t="str">
        <v>Expired stock</v>
      </c>
      <c r="T46" s="13" t="e">
        <v>#VALUE!</v>
      </c>
    </row>
    <row r="47" customFormat="false" ht="15.75" hidden="false" customHeight="false" outlineLevel="0" collapsed="false">
      <c r="A47" s="13" t="str">
        <f aca="false">IFERROR(__xludf.dummyfunction("""COMPUTED_VALUE"""),"Metro DC Faisalabad")</f>
        <v>Metro DC Faisalabad</v>
      </c>
      <c r="B47" s="13" t="str">
        <f aca="false">IFERROR(__xludf.dummyfunction("""COMPUTED_VALUE"""),"f75700db-db97-4687-a243-8c9ae89def23")</f>
        <v>f75700db-db97-4687-a243-8c9ae89def23</v>
      </c>
      <c r="C47" s="13" t="str">
        <f aca="false">IFERROR(__xludf.dummyfunction("""COMPUTED_VALUE"""),"Juice Time Guava 1L")</f>
        <v>Juice Time Guava 1L</v>
      </c>
      <c r="D47" s="13" t="str">
        <f aca="false">IFERROR(__xludf.dummyfunction("""COMPUTED_VALUE"""),"Juice Time")</f>
        <v>Juice Time</v>
      </c>
      <c r="E47" s="13" t="str">
        <f aca="false">IFERROR(__xludf.dummyfunction("""COMPUTED_VALUE"""),"Juice, Syrup, Squash")</f>
        <v>Juice, Syrup, Squash</v>
      </c>
      <c r="F47" s="11" t="n">
        <f aca="false">IFERROR(__xludf.dummyfunction("""COMPUTED_VALUE"""),45219)</f>
        <v>45219</v>
      </c>
      <c r="G47" s="16" t="n">
        <f aca="false">IFERROR(__xludf.dummyfunction("""COMPUTED_VALUE"""),0.691538738425231)</f>
        <v>0.6915387384</v>
      </c>
      <c r="H47" s="13" t="str">
        <f aca="false">IFERROR(__xludf.dummyfunction("""COMPUTED_VALUE"""),"expired stock")</f>
        <v>expired stock</v>
      </c>
      <c r="I47" s="13" t="n">
        <f aca="false">IFERROR(__xludf.dummyfunction("""COMPUTED_VALUE"""),36)</f>
        <v>36</v>
      </c>
      <c r="J47" s="13" t="n">
        <f aca="false">IFERROR(__xludf.dummyfunction("""COMPUTED_VALUE"""),126.67)</f>
        <v>126.67</v>
      </c>
      <c r="K47" s="13" t="n">
        <f aca="false">IFERROR(__xludf.dummyfunction("""COMPUTED_VALUE"""),4560.12)</f>
        <v>4560.12</v>
      </c>
      <c r="L47" s="13" t="str">
        <f aca="false">IFERROR(__xludf.dummyfunction("""COMPUTED_VALUE"""),"[Code: 3345BGJL] [Expiry: 1 Sep, 2023] TA: 36 units found  expired during night audit.")</f>
        <v>[Code: 3345BGJL] [Expiry: 1 Sep, 2023] TA: 36 units found  expired during night audit.</v>
      </c>
      <c r="M47" s="13" t="str">
        <f aca="false">IFERROR(__xludf.dummyfunction("""COMPUTED_VALUE"""),"3345BGJL")</f>
        <v>3345BGJL</v>
      </c>
      <c r="N47" s="13" t="str">
        <f aca="false">IFERROR(__xludf.dummyfunction("""COMPUTED_VALUE"""),"1 Sep, 2023")</f>
        <v>1 Sep, 2023</v>
      </c>
      <c r="O47" s="13" t="str">
        <f aca="false">IFERROR(__xludf.dummyfunction("""COMPUTED_VALUE"""),"taufeeq.akhtar@tajir-app.com")</f>
        <v>taufeeq.akhtar@tajir-app.com</v>
      </c>
      <c r="P47" s="13" t="str">
        <f aca="false">IFERROR(__xludf.dummyfunction("""COMPUTED_VALUE"""),"Taufeeq Akhtar ")</f>
        <v>Taufeeq Akhtar </v>
      </c>
      <c r="Q47" s="13" t="str">
        <f aca="false">IFERROR(__xludf.dummyfunction("""COMPUTED_VALUE"""),"[Code: 3345BGJL] [Expiry: 1 Sep, 2023] TA: 36 units found  expired during night audit.")</f>
        <v>[Code: 3345BGJL] [Expiry: 1 Sep, 2023] TA: 36 units found  expired during night audit.</v>
      </c>
      <c r="R47" s="13" t="str">
        <v>Fri, 20-Oct-2023, 04:35 PM</v>
      </c>
      <c r="S47" s="13" t="str">
        <v>Expired stock</v>
      </c>
      <c r="T47" s="13" t="e">
        <v>#VALUE!</v>
      </c>
    </row>
    <row r="48" customFormat="false" ht="15.75" hidden="false" customHeight="false" outlineLevel="0" collapsed="false">
      <c r="A48" s="13" t="str">
        <f aca="false">IFERROR(__xludf.dummyfunction("""COMPUTED_VALUE"""),"Metro DC Faisalabad")</f>
        <v>Metro DC Faisalabad</v>
      </c>
      <c r="B48" s="13" t="str">
        <f aca="false">IFERROR(__xludf.dummyfunction("""COMPUTED_VALUE"""),"af76431c-0024-4bb6-a5ba-665052444ae5")</f>
        <v>af76431c-0024-4bb6-a5ba-665052444ae5</v>
      </c>
      <c r="C48" s="13" t="str">
        <f aca="false">IFERROR(__xludf.dummyfunction("""COMPUTED_VALUE"""),"Candyland Toss Peach and Mango Jelly 50pcs Rs5")</f>
        <v>Candyland Toss Peach and Mango Jelly 50pcs Rs5</v>
      </c>
      <c r="D48" s="13" t="str">
        <f aca="false">IFERROR(__xludf.dummyfunction("""COMPUTED_VALUE"""),"Candyland")</f>
        <v>Candyland</v>
      </c>
      <c r="E48" s="13" t="str">
        <f aca="false">IFERROR(__xludf.dummyfunction("""COMPUTED_VALUE"""),"Confectionary")</f>
        <v>Confectionary</v>
      </c>
      <c r="F48" s="11" t="n">
        <f aca="false">IFERROR(__xludf.dummyfunction("""COMPUTED_VALUE"""),45222)</f>
        <v>45222</v>
      </c>
      <c r="G48" s="16" t="n">
        <f aca="false">IFERROR(__xludf.dummyfunction("""COMPUTED_VALUE"""),0.640041562500259)</f>
        <v>0.6400415625</v>
      </c>
      <c r="H48" s="13" t="str">
        <f aca="false">IFERROR(__xludf.dummyfunction("""COMPUTED_VALUE"""),"expired stock")</f>
        <v>expired stock</v>
      </c>
      <c r="I48" s="13" t="n">
        <f aca="false">IFERROR(__xludf.dummyfunction("""COMPUTED_VALUE"""),4)</f>
        <v>4</v>
      </c>
      <c r="J48" s="13" t="n">
        <f aca="false">IFERROR(__xludf.dummyfunction("""COMPUTED_VALUE"""),200.8)</f>
        <v>200.8</v>
      </c>
      <c r="K48" s="13" t="n">
        <f aca="false">IFERROR(__xludf.dummyfunction("""COMPUTED_VALUE"""),803.2)</f>
        <v>803.2</v>
      </c>
      <c r="L48" s="13" t="str">
        <f aca="false">IFERROR(__xludf.dummyfunction("""COMPUTED_VALUE"""),"[Code: 2257ADEG] [Expiry: 29 Oct, 2023] 4 units found short expiry")</f>
        <v>[Code: 2257ADEG] [Expiry: 29 Oct, 2023] 4 units found short expiry</v>
      </c>
      <c r="M48" s="13" t="str">
        <f aca="false">IFERROR(__xludf.dummyfunction("""COMPUTED_VALUE"""),"2257ADEG")</f>
        <v>2257ADEG</v>
      </c>
      <c r="N48" s="13" t="str">
        <f aca="false">IFERROR(__xludf.dummyfunction("""COMPUTED_VALUE"""),"29 Oct, 2023")</f>
        <v>29 Oct, 2023</v>
      </c>
      <c r="O48" s="13" t="str">
        <f aca="false">IFERROR(__xludf.dummyfunction("""COMPUTED_VALUE"""),"ali.raza@tajir-app.com")</f>
        <v>ali.raza@tajir-app.com</v>
      </c>
      <c r="P48" s="13" t="str">
        <f aca="false">IFERROR(__xludf.dummyfunction("""COMPUTED_VALUE"""),"Ali Raza ")</f>
        <v>Ali Raza </v>
      </c>
      <c r="Q48" s="13" t="str">
        <f aca="false">IFERROR(__xludf.dummyfunction("""COMPUTED_VALUE"""),"[Code: 2257ADEG] [Expiry: 29 Oct, 2023] 4 units found short expiry")</f>
        <v>[Code: 2257ADEG] [Expiry: 29 Oct, 2023] 4 units found short expiry</v>
      </c>
      <c r="R48" s="13" t="str">
        <v>Mon, 23-Oct-2023, 03:21 PM</v>
      </c>
      <c r="S48" s="13" t="str">
        <v>Expired stock</v>
      </c>
      <c r="T48" s="13" t="e">
        <v>#VALUE!</v>
      </c>
    </row>
    <row r="49" customFormat="false" ht="15.75" hidden="false" customHeight="false" outlineLevel="0" collapsed="false">
      <c r="A49" s="13" t="str">
        <f aca="false">IFERROR(__xludf.dummyfunction("""COMPUTED_VALUE"""),"Metro DC Faisalabad")</f>
        <v>Metro DC Faisalabad</v>
      </c>
      <c r="B49" s="13" t="str">
        <f aca="false">IFERROR(__xludf.dummyfunction("""COMPUTED_VALUE"""),"2afbf43d-075e-4e77-a688-ea8b11212b92")</f>
        <v>2afbf43d-075e-4e77-a688-ea8b11212b92</v>
      </c>
      <c r="C49" s="13" t="str">
        <f aca="false">IFERROR(__xludf.dummyfunction("""COMPUTED_VALUE"""),"Gourmet Red Anaar 300ml")</f>
        <v>Gourmet Red Anaar 300ml</v>
      </c>
      <c r="D49" s="13" t="str">
        <f aca="false">IFERROR(__xludf.dummyfunction("""COMPUTED_VALUE"""),"Gourmet")</f>
        <v>Gourmet</v>
      </c>
      <c r="E49" s="13" t="str">
        <f aca="false">IFERROR(__xludf.dummyfunction("""COMPUTED_VALUE"""),"Beverages")</f>
        <v>Beverages</v>
      </c>
      <c r="F49" s="11" t="n">
        <f aca="false">IFERROR(__xludf.dummyfunction("""COMPUTED_VALUE"""),45230)</f>
        <v>45230</v>
      </c>
      <c r="G49" s="16" t="n">
        <f aca="false">IFERROR(__xludf.dummyfunction("""COMPUTED_VALUE"""),0.507252025461357)</f>
        <v>0.5072520255</v>
      </c>
      <c r="H49" s="13" t="str">
        <f aca="false">IFERROR(__xludf.dummyfunction("""COMPUTED_VALUE"""),"expired stock")</f>
        <v>expired stock</v>
      </c>
      <c r="I49" s="13" t="n">
        <f aca="false">IFERROR(__xludf.dummyfunction("""COMPUTED_VALUE"""),320)</f>
        <v>320</v>
      </c>
      <c r="J49" s="13" t="n">
        <f aca="false">IFERROR(__xludf.dummyfunction("""COMPUTED_VALUE"""),463.26)</f>
        <v>463.26</v>
      </c>
      <c r="K49" s="13" t="n">
        <f aca="false">IFERROR(__xludf.dummyfunction("""COMPUTED_VALUE"""),148243.2)</f>
        <v>148243.2</v>
      </c>
      <c r="L49" s="13" t="str">
        <f aca="false">IFERROR(__xludf.dummyfunction("""COMPUTED_VALUE"""),"[Code: 233467AD] [Expiry: 12 Nov, 2023] AR: Stock Removed due to short Expiry")</f>
        <v>[Code: 233467AD] [Expiry: 12 Nov, 2023] AR: Stock Removed due to short Expiry</v>
      </c>
      <c r="M49" s="13" t="str">
        <f aca="false">IFERROR(__xludf.dummyfunction("""COMPUTED_VALUE"""),"233467AD")</f>
        <v>233467AD</v>
      </c>
      <c r="N49" s="13" t="str">
        <f aca="false">IFERROR(__xludf.dummyfunction("""COMPUTED_VALUE"""),"12 Nov, 2023")</f>
        <v>12 Nov, 2023</v>
      </c>
      <c r="O49" s="13" t="str">
        <f aca="false">IFERROR(__xludf.dummyfunction("""COMPUTED_VALUE"""),"ali.raza@tajir-app.com")</f>
        <v>ali.raza@tajir-app.com</v>
      </c>
      <c r="P49" s="13" t="str">
        <f aca="false">IFERROR(__xludf.dummyfunction("""COMPUTED_VALUE"""),"Ali Raza ")</f>
        <v>Ali Raza </v>
      </c>
      <c r="Q49" s="13" t="str">
        <f aca="false">IFERROR(__xludf.dummyfunction("""COMPUTED_VALUE"""),"[Code: 233467AD] [Expiry: 12 Nov, 2023] AR: Stock Removed due to short Expiry")</f>
        <v>[Code: 233467AD] [Expiry: 12 Nov, 2023] AR: Stock Removed due to short Expiry</v>
      </c>
      <c r="R49" s="13" t="str">
        <v>Tue, 31-Oct-2023, 12:10 PM</v>
      </c>
      <c r="S49" s="13" t="str">
        <v>Expired stock</v>
      </c>
      <c r="T49" s="13" t="e">
        <v>#VALUE!</v>
      </c>
    </row>
    <row r="50" customFormat="false" ht="15.75" hidden="false" customHeight="false" outlineLevel="0" collapsed="false">
      <c r="A50" s="13" t="str">
        <f aca="false">IFERROR(__xludf.dummyfunction("""COMPUTED_VALUE"""),"Metro DC Faisalabad")</f>
        <v>Metro DC Faisalabad</v>
      </c>
      <c r="B50" s="13" t="str">
        <f aca="false">IFERROR(__xludf.dummyfunction("""COMPUTED_VALUE"""),"610ed5aa-0bc3-4e7f-b38e-96d957357fb2")</f>
        <v>610ed5aa-0bc3-4e7f-b38e-96d957357fb2</v>
      </c>
      <c r="C50" s="13" t="str">
        <f aca="false">IFERROR(__xludf.dummyfunction("""COMPUTED_VALUE"""),"Nestle Milkpak with cap 1L")</f>
        <v>Nestle Milkpak with cap 1L</v>
      </c>
      <c r="D50" s="13" t="str">
        <f aca="false">IFERROR(__xludf.dummyfunction("""COMPUTED_VALUE"""),"Milkpak")</f>
        <v>Milkpak</v>
      </c>
      <c r="E50" s="13" t="str">
        <f aca="false">IFERROR(__xludf.dummyfunction("""COMPUTED_VALUE"""),"Dairy")</f>
        <v>Dairy</v>
      </c>
      <c r="F50" s="11" t="n">
        <f aca="false">IFERROR(__xludf.dummyfunction("""COMPUTED_VALUE"""),45234)</f>
        <v>45234</v>
      </c>
      <c r="G50" s="16" t="n">
        <f aca="false">IFERROR(__xludf.dummyfunction("""COMPUTED_VALUE"""),0.620722384258639)</f>
        <v>0.6207223843</v>
      </c>
      <c r="H50" s="13" t="str">
        <f aca="false">IFERROR(__xludf.dummyfunction("""COMPUTED_VALUE"""),"expired stock")</f>
        <v>expired stock</v>
      </c>
      <c r="I50" s="13" t="n">
        <f aca="false">IFERROR(__xludf.dummyfunction("""COMPUTED_VALUE"""),12)</f>
        <v>12</v>
      </c>
      <c r="J50" s="13" t="n">
        <f aca="false">IFERROR(__xludf.dummyfunction("""COMPUTED_VALUE"""),3056.6)</f>
        <v>3056.6</v>
      </c>
      <c r="K50" s="13" t="n">
        <f aca="false">IFERROR(__xludf.dummyfunction("""COMPUTED_VALUE"""),36679.2)</f>
        <v>36679.2</v>
      </c>
      <c r="L50" s="13" t="str">
        <f aca="false">IFERROR(__xludf.dummyfunction("""COMPUTED_VALUE"""),"[Code: 223388AB] [Expiry: 25 Nov, 2023] 12 units found short expiry")</f>
        <v>[Code: 223388AB] [Expiry: 25 Nov, 2023] 12 units found short expiry</v>
      </c>
      <c r="M50" s="13" t="str">
        <f aca="false">IFERROR(__xludf.dummyfunction("""COMPUTED_VALUE"""),"223388AB")</f>
        <v>223388AB</v>
      </c>
      <c r="N50" s="13" t="str">
        <f aca="false">IFERROR(__xludf.dummyfunction("""COMPUTED_VALUE"""),"25 Nov, 2023")</f>
        <v>25 Nov, 2023</v>
      </c>
      <c r="O50" s="13" t="str">
        <f aca="false">IFERROR(__xludf.dummyfunction("""COMPUTED_VALUE"""),"ali.raza@tajir-app.com")</f>
        <v>ali.raza@tajir-app.com</v>
      </c>
      <c r="P50" s="13" t="str">
        <f aca="false">IFERROR(__xludf.dummyfunction("""COMPUTED_VALUE"""),"Ali Raza ")</f>
        <v>Ali Raza </v>
      </c>
      <c r="Q50" s="13" t="str">
        <f aca="false">IFERROR(__xludf.dummyfunction("""COMPUTED_VALUE"""),"[Code: 223388AB] [Expiry: 25 Nov, 2023] 12 units found short expiry")</f>
        <v>[Code: 223388AB] [Expiry: 25 Nov, 2023] 12 units found short expiry</v>
      </c>
      <c r="R50" s="13" t="str">
        <v>Sat, 04-Nov-2023, 02:53 PM</v>
      </c>
      <c r="S50" s="13" t="str">
        <v>Expired stock</v>
      </c>
      <c r="T50" s="13" t="e">
        <v>#VALUE!</v>
      </c>
    </row>
    <row r="51" customFormat="false" ht="15.75" hidden="false" customHeight="false" outlineLevel="0" collapsed="false">
      <c r="A51" s="13" t="str">
        <f aca="false">IFERROR(__xludf.dummyfunction("""COMPUTED_VALUE"""),"Metro DC Faisalabad")</f>
        <v>Metro DC Faisalabad</v>
      </c>
      <c r="B51" s="13" t="str">
        <f aca="false">IFERROR(__xludf.dummyfunction("""COMPUTED_VALUE"""),"51fecb38-2956-4620-8fde-e0883acd8cd4")</f>
        <v>51fecb38-2956-4620-8fde-e0883acd8cd4</v>
      </c>
      <c r="C51" s="13" t="str">
        <f aca="false">IFERROR(__xludf.dummyfunction("""COMPUTED_VALUE"""),"Candyland Toss Orange and Mango Jelly 50pcs Rs5")</f>
        <v>Candyland Toss Orange and Mango Jelly 50pcs Rs5</v>
      </c>
      <c r="D51" s="13" t="str">
        <f aca="false">IFERROR(__xludf.dummyfunction("""COMPUTED_VALUE"""),"Candyland")</f>
        <v>Candyland</v>
      </c>
      <c r="E51" s="13" t="str">
        <f aca="false">IFERROR(__xludf.dummyfunction("""COMPUTED_VALUE"""),"Confectionary")</f>
        <v>Confectionary</v>
      </c>
      <c r="F51" s="11" t="n">
        <f aca="false">IFERROR(__xludf.dummyfunction("""COMPUTED_VALUE"""),45235)</f>
        <v>45235</v>
      </c>
      <c r="G51" s="16" t="n">
        <f aca="false">IFERROR(__xludf.dummyfunction("""COMPUTED_VALUE"""),0.646870266203181)</f>
        <v>0.6468702662</v>
      </c>
      <c r="H51" s="13" t="str">
        <f aca="false">IFERROR(__xludf.dummyfunction("""COMPUTED_VALUE"""),"expired stock")</f>
        <v>expired stock</v>
      </c>
      <c r="I51" s="13" t="n">
        <f aca="false">IFERROR(__xludf.dummyfunction("""COMPUTED_VALUE"""),19)</f>
        <v>19</v>
      </c>
      <c r="J51" s="13" t="n">
        <f aca="false">IFERROR(__xludf.dummyfunction("""COMPUTED_VALUE"""),197.64)</f>
        <v>197.64</v>
      </c>
      <c r="K51" s="13" t="n">
        <f aca="false">IFERROR(__xludf.dummyfunction("""COMPUTED_VALUE"""),3755.16)</f>
        <v>3755.16</v>
      </c>
      <c r="L51" s="13" t="str">
        <f aca="false">IFERROR(__xludf.dummyfunction("""COMPUTED_VALUE"""),"[Code: 3456AEFJ] [Expiry: 25 Nov, 2023] AR: Near to Expiry stock removed.")</f>
        <v>[Code: 3456AEFJ] [Expiry: 25 Nov, 2023] AR: Near to Expiry stock removed.</v>
      </c>
      <c r="M51" s="13" t="str">
        <f aca="false">IFERROR(__xludf.dummyfunction("""COMPUTED_VALUE"""),"3456AEFJ")</f>
        <v>3456AEFJ</v>
      </c>
      <c r="N51" s="13" t="str">
        <f aca="false">IFERROR(__xludf.dummyfunction("""COMPUTED_VALUE"""),"25 Nov, 2023")</f>
        <v>25 Nov, 2023</v>
      </c>
      <c r="O51" s="13" t="str">
        <f aca="false">IFERROR(__xludf.dummyfunction("""COMPUTED_VALUE"""),"ali.raza@tajir-app.com")</f>
        <v>ali.raza@tajir-app.com</v>
      </c>
      <c r="P51" s="13" t="str">
        <f aca="false">IFERROR(__xludf.dummyfunction("""COMPUTED_VALUE"""),"Ali Raza ")</f>
        <v>Ali Raza </v>
      </c>
      <c r="Q51" s="13" t="str">
        <f aca="false">IFERROR(__xludf.dummyfunction("""COMPUTED_VALUE"""),"[Code: 3456AEFJ] [Expiry: 25 Nov, 2023] AR: Near to Expiry stock removed.")</f>
        <v>[Code: 3456AEFJ] [Expiry: 25 Nov, 2023] AR: Near to Expiry stock removed.</v>
      </c>
      <c r="R51" s="13" t="str">
        <v>Sun, 05-Nov-2023, 03:31 PM</v>
      </c>
      <c r="S51" s="13" t="str">
        <v>Expired stock</v>
      </c>
      <c r="T51" s="13" t="e">
        <v>#VALUE!</v>
      </c>
    </row>
    <row r="52" customFormat="false" ht="15.75" hidden="false" customHeight="false" outlineLevel="0" collapsed="false">
      <c r="A52" s="13" t="str">
        <f aca="false">IFERROR(__xludf.dummyfunction("""COMPUTED_VALUE"""),"Metro DC Faisalabad")</f>
        <v>Metro DC Faisalabad</v>
      </c>
      <c r="B52" s="13" t="str">
        <f aca="false">IFERROR(__xludf.dummyfunction("""COMPUTED_VALUE"""),"af76431c-0024-4bb6-a5ba-665052444ae5")</f>
        <v>af76431c-0024-4bb6-a5ba-665052444ae5</v>
      </c>
      <c r="C52" s="13" t="str">
        <f aca="false">IFERROR(__xludf.dummyfunction("""COMPUTED_VALUE"""),"Candyland Toss Peach and Mango Jelly 50pcs Rs5")</f>
        <v>Candyland Toss Peach and Mango Jelly 50pcs Rs5</v>
      </c>
      <c r="D52" s="13" t="str">
        <f aca="false">IFERROR(__xludf.dummyfunction("""COMPUTED_VALUE"""),"Candyland")</f>
        <v>Candyland</v>
      </c>
      <c r="E52" s="13" t="str">
        <f aca="false">IFERROR(__xludf.dummyfunction("""COMPUTED_VALUE"""),"Confectionary")</f>
        <v>Confectionary</v>
      </c>
      <c r="F52" s="11" t="n">
        <f aca="false">IFERROR(__xludf.dummyfunction("""COMPUTED_VALUE"""),45235)</f>
        <v>45235</v>
      </c>
      <c r="G52" s="16" t="n">
        <f aca="false">IFERROR(__xludf.dummyfunction("""COMPUTED_VALUE"""),0.647245231480226)</f>
        <v>0.6472452315</v>
      </c>
      <c r="H52" s="13" t="str">
        <f aca="false">IFERROR(__xludf.dummyfunction("""COMPUTED_VALUE"""),"expired stock")</f>
        <v>expired stock</v>
      </c>
      <c r="I52" s="13" t="n">
        <f aca="false">IFERROR(__xludf.dummyfunction("""COMPUTED_VALUE"""),18)</f>
        <v>18</v>
      </c>
      <c r="J52" s="13" t="n">
        <f aca="false">IFERROR(__xludf.dummyfunction("""COMPUTED_VALUE"""),200.8)</f>
        <v>200.8</v>
      </c>
      <c r="K52" s="13" t="n">
        <f aca="false">IFERROR(__xludf.dummyfunction("""COMPUTED_VALUE"""),3614.4)</f>
        <v>3614.4</v>
      </c>
      <c r="L52" s="13" t="str">
        <f aca="false">IFERROR(__xludf.dummyfunction("""COMPUTED_VALUE"""),"[Code: 24ADEFFH] [Expiry: 21 Nov, 2023] AR: Near to Expiry Stock removed.")</f>
        <v>[Code: 24ADEFFH] [Expiry: 21 Nov, 2023] AR: Near to Expiry Stock removed.</v>
      </c>
      <c r="M52" s="13" t="str">
        <f aca="false">IFERROR(__xludf.dummyfunction("""COMPUTED_VALUE"""),"24ADEFFH")</f>
        <v>24ADEFFH</v>
      </c>
      <c r="N52" s="13" t="str">
        <f aca="false">IFERROR(__xludf.dummyfunction("""COMPUTED_VALUE"""),"21 Nov, 2023")</f>
        <v>21 Nov, 2023</v>
      </c>
      <c r="O52" s="13" t="str">
        <f aca="false">IFERROR(__xludf.dummyfunction("""COMPUTED_VALUE"""),"ali.raza@tajir-app.com")</f>
        <v>ali.raza@tajir-app.com</v>
      </c>
      <c r="P52" s="13" t="str">
        <f aca="false">IFERROR(__xludf.dummyfunction("""COMPUTED_VALUE"""),"Ali Raza ")</f>
        <v>Ali Raza </v>
      </c>
      <c r="Q52" s="13" t="str">
        <f aca="false">IFERROR(__xludf.dummyfunction("""COMPUTED_VALUE"""),"[Code: 24ADEFFH] [Expiry: 21 Nov, 2023] AR: Near to Expiry Stock removed.")</f>
        <v>[Code: 24ADEFFH] [Expiry: 21 Nov, 2023] AR: Near to Expiry Stock removed.</v>
      </c>
      <c r="R52" s="13" t="str">
        <v>Sun, 05-Nov-2023, 03:32 PM</v>
      </c>
      <c r="S52" s="13" t="str">
        <v>Expired stock</v>
      </c>
      <c r="T52" s="13" t="e">
        <v>#VALUE!</v>
      </c>
    </row>
    <row r="53" customFormat="false" ht="15.75" hidden="false" customHeight="false" outlineLevel="0" collapsed="false">
      <c r="A53" s="13" t="str">
        <f aca="false">IFERROR(__xludf.dummyfunction("""COMPUTED_VALUE"""),"Metro DC Faisalabad")</f>
        <v>Metro DC Faisalabad</v>
      </c>
      <c r="B53" s="13" t="str">
        <f aca="false">IFERROR(__xludf.dummyfunction("""COMPUTED_VALUE"""),"23294e84-86d3-4867-bf69-7035fbfaef59")</f>
        <v>23294e84-86d3-4867-bf69-7035fbfaef59</v>
      </c>
      <c r="C53" s="13" t="str">
        <f aca="false">IFERROR(__xludf.dummyfunction("""COMPUTED_VALUE"""),"Bisconni Nice Biscuit 16pcs Rs15")</f>
        <v>Bisconni Nice Biscuit 16pcs Rs15</v>
      </c>
      <c r="D53" s="13" t="str">
        <f aca="false">IFERROR(__xludf.dummyfunction("""COMPUTED_VALUE"""),"Bisconni")</f>
        <v>Bisconni</v>
      </c>
      <c r="E53" s="13" t="str">
        <f aca="false">IFERROR(__xludf.dummyfunction("""COMPUTED_VALUE"""),"Biscuits, Wafers")</f>
        <v>Biscuits, Wafers</v>
      </c>
      <c r="F53" s="11" t="n">
        <f aca="false">IFERROR(__xludf.dummyfunction("""COMPUTED_VALUE"""),45243)</f>
        <v>45243</v>
      </c>
      <c r="G53" s="16" t="n">
        <f aca="false">IFERROR(__xludf.dummyfunction("""COMPUTED_VALUE"""),0.887758634257664)</f>
        <v>0.8877586343</v>
      </c>
      <c r="H53" s="13" t="str">
        <f aca="false">IFERROR(__xludf.dummyfunction("""COMPUTED_VALUE"""),"expired stock")</f>
        <v>expired stock</v>
      </c>
      <c r="I53" s="13" t="n">
        <f aca="false">IFERROR(__xludf.dummyfunction("""COMPUTED_VALUE"""),38)</f>
        <v>38</v>
      </c>
      <c r="J53" s="13" t="n">
        <f aca="false">IFERROR(__xludf.dummyfunction("""COMPUTED_VALUE"""),211.5)</f>
        <v>211.5</v>
      </c>
      <c r="K53" s="13" t="n">
        <f aca="false">IFERROR(__xludf.dummyfunction("""COMPUTED_VALUE"""),8037)</f>
        <v>8037</v>
      </c>
      <c r="L53" s="13" t="str">
        <f aca="false">IFERROR(__xludf.dummyfunction("""COMPUTED_VALUE"""),"[Code: 257CCDFF  { Expiry:30 nov,23 } TA; 38unit found Short expiry")</f>
        <v>[Code: 257CCDFF  { Expiry:30 nov,23 } TA; 38unit found Short expiry</v>
      </c>
      <c r="M53" s="13" t="str">
        <f aca="false">IFERROR(__xludf.dummyfunction("""COMPUTED_VALUE"""),"257CCDFF")</f>
        <v>257CCDFF</v>
      </c>
      <c r="N53" s="13"/>
      <c r="O53" s="13" t="str">
        <f aca="false">IFERROR(__xludf.dummyfunction("""COMPUTED_VALUE"""),"taufeeq.akhtar@tajir-app.com")</f>
        <v>taufeeq.akhtar@tajir-app.com</v>
      </c>
      <c r="P53" s="13" t="str">
        <f aca="false">IFERROR(__xludf.dummyfunction("""COMPUTED_VALUE"""),"Taufeeq Akhtar ")</f>
        <v>Taufeeq Akhtar </v>
      </c>
      <c r="Q53" s="13" t="str">
        <f aca="false">IFERROR(__xludf.dummyfunction("""COMPUTED_VALUE"""),"[Code: 257CCDFF  { Expiry:30 nov,23 } TA; 38unit found Short expiry")</f>
        <v>[Code: 257CCDFF  { Expiry:30 nov,23 } TA; 38unit found Short expiry</v>
      </c>
      <c r="R53" s="13" t="str">
        <v>Mon, 13-Nov-2023, 09:18 PM</v>
      </c>
      <c r="S53" s="13" t="str">
        <v>Expired stock</v>
      </c>
      <c r="T53" s="13" t="n">
        <v>0</v>
      </c>
    </row>
    <row r="54" customFormat="false" ht="15.75" hidden="false" customHeight="false" outlineLevel="0" collapsed="false">
      <c r="A54" s="13" t="str">
        <f aca="false">IFERROR(__xludf.dummyfunction("""COMPUTED_VALUE"""),"Metro DC Faisalabad")</f>
        <v>Metro DC Faisalabad</v>
      </c>
      <c r="B54" s="13" t="str">
        <f aca="false">IFERROR(__xludf.dummyfunction("""COMPUTED_VALUE"""),"23294e84-86d3-4867-bf69-7035fbfaef59")</f>
        <v>23294e84-86d3-4867-bf69-7035fbfaef59</v>
      </c>
      <c r="C54" s="13" t="str">
        <f aca="false">IFERROR(__xludf.dummyfunction("""COMPUTED_VALUE"""),"Bisconni Nice Biscuit 16pcs Rs15")</f>
        <v>Bisconni Nice Biscuit 16pcs Rs15</v>
      </c>
      <c r="D54" s="13" t="str">
        <f aca="false">IFERROR(__xludf.dummyfunction("""COMPUTED_VALUE"""),"Bisconni")</f>
        <v>Bisconni</v>
      </c>
      <c r="E54" s="13" t="str">
        <f aca="false">IFERROR(__xludf.dummyfunction("""COMPUTED_VALUE"""),"Biscuits, Wafers")</f>
        <v>Biscuits, Wafers</v>
      </c>
      <c r="F54" s="11" t="n">
        <f aca="false">IFERROR(__xludf.dummyfunction("""COMPUTED_VALUE"""),45244)</f>
        <v>45244</v>
      </c>
      <c r="G54" s="16" t="n">
        <f aca="false">IFERROR(__xludf.dummyfunction("""COMPUTED_VALUE"""),0.674194861110168)</f>
        <v>0.6741948611</v>
      </c>
      <c r="H54" s="13" t="str">
        <f aca="false">IFERROR(__xludf.dummyfunction("""COMPUTED_VALUE"""),"expired stock")</f>
        <v>expired stock</v>
      </c>
      <c r="I54" s="13" t="n">
        <f aca="false">IFERROR(__xludf.dummyfunction("""COMPUTED_VALUE"""),2)</f>
        <v>2</v>
      </c>
      <c r="J54" s="13" t="n">
        <f aca="false">IFERROR(__xludf.dummyfunction("""COMPUTED_VALUE"""),211.5)</f>
        <v>211.5</v>
      </c>
      <c r="K54" s="13" t="n">
        <f aca="false">IFERROR(__xludf.dummyfunction("""COMPUTED_VALUE"""),423)</f>
        <v>423</v>
      </c>
      <c r="L54" s="13" t="str">
        <f aca="false">IFERROR(__xludf.dummyfunction("""COMPUTED_VALUE"""),"[Code: 2345667D] [Expiry: 5 Dec, 2023] 2 units found short expiry")</f>
        <v>[Code: 2345667D] [Expiry: 5 Dec, 2023] 2 units found short expiry</v>
      </c>
      <c r="M54" s="13" t="str">
        <f aca="false">IFERROR(__xludf.dummyfunction("""COMPUTED_VALUE"""),"2345667D")</f>
        <v>2345667D</v>
      </c>
      <c r="N54" s="13" t="str">
        <f aca="false">IFERROR(__xludf.dummyfunction("""COMPUTED_VALUE"""),"5 Dec, 2023")</f>
        <v>5 Dec, 2023</v>
      </c>
      <c r="O54" s="13" t="str">
        <f aca="false">IFERROR(__xludf.dummyfunction("""COMPUTED_VALUE"""),"ali.raza@tajir-app.com")</f>
        <v>ali.raza@tajir-app.com</v>
      </c>
      <c r="P54" s="13" t="str">
        <f aca="false">IFERROR(__xludf.dummyfunction("""COMPUTED_VALUE"""),"Ali Raza ")</f>
        <v>Ali Raza </v>
      </c>
      <c r="Q54" s="13" t="str">
        <f aca="false">IFERROR(__xludf.dummyfunction("""COMPUTED_VALUE"""),"[Code: 2345667D] [Expiry: 5 Dec, 2023] 2 units found short expiry")</f>
        <v>[Code: 2345667D] [Expiry: 5 Dec, 2023] 2 units found short expiry</v>
      </c>
      <c r="R54" s="13" t="str">
        <v>Tue, 14-Nov-2023, 04:10 PM</v>
      </c>
      <c r="S54" s="13" t="str">
        <v>Expired stock</v>
      </c>
      <c r="T54" s="13" t="e">
        <v>#VALUE!</v>
      </c>
    </row>
    <row r="55" customFormat="false" ht="15.75" hidden="false" customHeight="false" outlineLevel="0" collapsed="false">
      <c r="A55" s="13" t="str">
        <f aca="false">IFERROR(__xludf.dummyfunction("""COMPUTED_VALUE"""),"Metro DC Faisalabad")</f>
        <v>Metro DC Faisalabad</v>
      </c>
      <c r="B55" s="13" t="str">
        <f aca="false">IFERROR(__xludf.dummyfunction("""COMPUTED_VALUE"""),"23294e84-86d3-4867-bf69-7035fbfaef59")</f>
        <v>23294e84-86d3-4867-bf69-7035fbfaef59</v>
      </c>
      <c r="C55" s="13" t="str">
        <f aca="false">IFERROR(__xludf.dummyfunction("""COMPUTED_VALUE"""),"Bisconni Nice Biscuit 16pcs Rs15")</f>
        <v>Bisconni Nice Biscuit 16pcs Rs15</v>
      </c>
      <c r="D55" s="13" t="str">
        <f aca="false">IFERROR(__xludf.dummyfunction("""COMPUTED_VALUE"""),"Bisconni")</f>
        <v>Bisconni</v>
      </c>
      <c r="E55" s="13" t="str">
        <f aca="false">IFERROR(__xludf.dummyfunction("""COMPUTED_VALUE"""),"Biscuits, Wafers")</f>
        <v>Biscuits, Wafers</v>
      </c>
      <c r="F55" s="11" t="n">
        <f aca="false">IFERROR(__xludf.dummyfunction("""COMPUTED_VALUE"""),45244)</f>
        <v>45244</v>
      </c>
      <c r="G55" s="16" t="n">
        <f aca="false">IFERROR(__xludf.dummyfunction("""COMPUTED_VALUE"""),0.674615798609343)</f>
        <v>0.6746157986</v>
      </c>
      <c r="H55" s="13" t="str">
        <f aca="false">IFERROR(__xludf.dummyfunction("""COMPUTED_VALUE"""),"expired stock")</f>
        <v>expired stock</v>
      </c>
      <c r="I55" s="13" t="n">
        <f aca="false">IFERROR(__xludf.dummyfunction("""COMPUTED_VALUE"""),5)</f>
        <v>5</v>
      </c>
      <c r="J55" s="13" t="n">
        <f aca="false">IFERROR(__xludf.dummyfunction("""COMPUTED_VALUE"""),211.5)</f>
        <v>211.5</v>
      </c>
      <c r="K55" s="13" t="n">
        <f aca="false">IFERROR(__xludf.dummyfunction("""COMPUTED_VALUE"""),1057.5)</f>
        <v>1057.5</v>
      </c>
      <c r="L55" s="13" t="str">
        <f aca="false">IFERROR(__xludf.dummyfunction("""COMPUTED_VALUE"""),"[Code: 24457CGL] [Expiry: 6 Dec, 2023] 5 units found short expiry")</f>
        <v>[Code: 24457CGL] [Expiry: 6 Dec, 2023] 5 units found short expiry</v>
      </c>
      <c r="M55" s="13" t="str">
        <f aca="false">IFERROR(__xludf.dummyfunction("""COMPUTED_VALUE"""),"24457CGL")</f>
        <v>24457CGL</v>
      </c>
      <c r="N55" s="13" t="str">
        <f aca="false">IFERROR(__xludf.dummyfunction("""COMPUTED_VALUE"""),"6 Dec, 2023")</f>
        <v>6 Dec, 2023</v>
      </c>
      <c r="O55" s="13" t="str">
        <f aca="false">IFERROR(__xludf.dummyfunction("""COMPUTED_VALUE"""),"ali.raza@tajir-app.com")</f>
        <v>ali.raza@tajir-app.com</v>
      </c>
      <c r="P55" s="13" t="str">
        <f aca="false">IFERROR(__xludf.dummyfunction("""COMPUTED_VALUE"""),"Ali Raza ")</f>
        <v>Ali Raza </v>
      </c>
      <c r="Q55" s="13" t="str">
        <f aca="false">IFERROR(__xludf.dummyfunction("""COMPUTED_VALUE"""),"[Code: 24457CGL] [Expiry: 6 Dec, 2023] 5 units found short expiry")</f>
        <v>[Code: 24457CGL] [Expiry: 6 Dec, 2023] 5 units found short expiry</v>
      </c>
      <c r="R55" s="13" t="str">
        <v>Tue, 14-Nov-2023, 04:11 PM</v>
      </c>
      <c r="S55" s="13" t="str">
        <v>Expired stock</v>
      </c>
      <c r="T55" s="13" t="e">
        <v>#VALUE!</v>
      </c>
    </row>
    <row r="56" customFormat="false" ht="15.75" hidden="false" customHeight="false" outlineLevel="0" collapsed="false">
      <c r="A56" s="13" t="str">
        <f aca="false">IFERROR(__xludf.dummyfunction("""COMPUTED_VALUE"""),"Metro DC Faisalabad")</f>
        <v>Metro DC Faisalabad</v>
      </c>
      <c r="B56" s="13" t="str">
        <f aca="false">IFERROR(__xludf.dummyfunction("""COMPUTED_VALUE"""),"23294e84-86d3-4867-bf69-7035fbfaef59")</f>
        <v>23294e84-86d3-4867-bf69-7035fbfaef59</v>
      </c>
      <c r="C56" s="13" t="str">
        <f aca="false">IFERROR(__xludf.dummyfunction("""COMPUTED_VALUE"""),"Bisconni Nice Biscuit 16pcs Rs15")</f>
        <v>Bisconni Nice Biscuit 16pcs Rs15</v>
      </c>
      <c r="D56" s="13" t="str">
        <f aca="false">IFERROR(__xludf.dummyfunction("""COMPUTED_VALUE"""),"Bisconni")</f>
        <v>Bisconni</v>
      </c>
      <c r="E56" s="13" t="str">
        <f aca="false">IFERROR(__xludf.dummyfunction("""COMPUTED_VALUE"""),"Biscuits, Wafers")</f>
        <v>Biscuits, Wafers</v>
      </c>
      <c r="F56" s="11" t="n">
        <f aca="false">IFERROR(__xludf.dummyfunction("""COMPUTED_VALUE"""),45244)</f>
        <v>45244</v>
      </c>
      <c r="G56" s="16" t="n">
        <f aca="false">IFERROR(__xludf.dummyfunction("""COMPUTED_VALUE"""),0.674936064816044)</f>
        <v>0.6749360648</v>
      </c>
      <c r="H56" s="13" t="str">
        <f aca="false">IFERROR(__xludf.dummyfunction("""COMPUTED_VALUE"""),"expired stock")</f>
        <v>expired stock</v>
      </c>
      <c r="I56" s="13" t="n">
        <f aca="false">IFERROR(__xludf.dummyfunction("""COMPUTED_VALUE"""),9)</f>
        <v>9</v>
      </c>
      <c r="J56" s="13" t="n">
        <f aca="false">IFERROR(__xludf.dummyfunction("""COMPUTED_VALUE"""),211.5)</f>
        <v>211.5</v>
      </c>
      <c r="K56" s="13" t="n">
        <f aca="false">IFERROR(__xludf.dummyfunction("""COMPUTED_VALUE"""),1903.5)</f>
        <v>1903.5</v>
      </c>
      <c r="L56" s="13" t="str">
        <f aca="false">IFERROR(__xludf.dummyfunction("""COMPUTED_VALUE"""),"[Code: 55CEFJLM] [Expiry: 7 Dec, 2023] 9 units found short expiry")</f>
        <v>[Code: 55CEFJLM] [Expiry: 7 Dec, 2023] 9 units found short expiry</v>
      </c>
      <c r="M56" s="13" t="str">
        <f aca="false">IFERROR(__xludf.dummyfunction("""COMPUTED_VALUE"""),"55CEFJLM")</f>
        <v>55CEFJLM</v>
      </c>
      <c r="N56" s="13" t="str">
        <f aca="false">IFERROR(__xludf.dummyfunction("""COMPUTED_VALUE"""),"7 Dec, 2023")</f>
        <v>7 Dec, 2023</v>
      </c>
      <c r="O56" s="13" t="str">
        <f aca="false">IFERROR(__xludf.dummyfunction("""COMPUTED_VALUE"""),"ali.raza@tajir-app.com")</f>
        <v>ali.raza@tajir-app.com</v>
      </c>
      <c r="P56" s="13" t="str">
        <f aca="false">IFERROR(__xludf.dummyfunction("""COMPUTED_VALUE"""),"Ali Raza ")</f>
        <v>Ali Raza </v>
      </c>
      <c r="Q56" s="13" t="str">
        <f aca="false">IFERROR(__xludf.dummyfunction("""COMPUTED_VALUE"""),"[Code: 55CEFJLM] [Expiry: 7 Dec, 2023] 9 units found short expiry")</f>
        <v>[Code: 55CEFJLM] [Expiry: 7 Dec, 2023] 9 units found short expiry</v>
      </c>
      <c r="R56" s="13" t="str">
        <v>Tue, 14-Nov-2023, 04:11 PM</v>
      </c>
      <c r="S56" s="13" t="str">
        <v>Expired stock</v>
      </c>
      <c r="T56" s="13" t="e">
        <v>#VALUE!</v>
      </c>
    </row>
    <row r="57" customFormat="false" ht="15.75" hidden="false" customHeight="false" outlineLevel="0" collapsed="false">
      <c r="A57" s="13" t="str">
        <f aca="false">IFERROR(__xludf.dummyfunction("""COMPUTED_VALUE"""),"Metro DC Faisalabad")</f>
        <v>Metro DC Faisalabad</v>
      </c>
      <c r="B57" s="13" t="str">
        <f aca="false">IFERROR(__xludf.dummyfunction("""COMPUTED_VALUE"""),"48e66272-abb5-4aab-a2b8-e935573e8137")</f>
        <v>48e66272-abb5-4aab-a2b8-e935573e8137</v>
      </c>
      <c r="C57" s="13" t="str">
        <f aca="false">IFERROR(__xludf.dummyfunction("""COMPUTED_VALUE"""),"Sunridge FiberFit Digestive Atta 2kg")</f>
        <v>Sunridge FiberFit Digestive Atta 2kg</v>
      </c>
      <c r="D57" s="13" t="str">
        <f aca="false">IFERROR(__xludf.dummyfunction("""COMPUTED_VALUE"""),"Sunridge")</f>
        <v>Sunridge</v>
      </c>
      <c r="E57" s="13" t="str">
        <f aca="false">IFERROR(__xludf.dummyfunction("""COMPUTED_VALUE"""),"Flour")</f>
        <v>Flour</v>
      </c>
      <c r="F57" s="11" t="n">
        <f aca="false">IFERROR(__xludf.dummyfunction("""COMPUTED_VALUE"""),45249)</f>
        <v>45249</v>
      </c>
      <c r="G57" s="16" t="n">
        <f aca="false">IFERROR(__xludf.dummyfunction("""COMPUTED_VALUE"""),0.417315011574004)</f>
        <v>0.4173150116</v>
      </c>
      <c r="H57" s="13" t="str">
        <f aca="false">IFERROR(__xludf.dummyfunction("""COMPUTED_VALUE"""),"expired stock")</f>
        <v>expired stock</v>
      </c>
      <c r="I57" s="13" t="n">
        <f aca="false">IFERROR(__xludf.dummyfunction("""COMPUTED_VALUE"""),8)</f>
        <v>8</v>
      </c>
      <c r="J57" s="13" t="n">
        <f aca="false">IFERROR(__xludf.dummyfunction("""COMPUTED_VALUE"""),335.8)</f>
        <v>335.8</v>
      </c>
      <c r="K57" s="13" t="n">
        <f aca="false">IFERROR(__xludf.dummyfunction("""COMPUTED_VALUE"""),2686.4)</f>
        <v>2686.4</v>
      </c>
      <c r="L57" s="13" t="str">
        <f aca="false">IFERROR(__xludf.dummyfunction("""COMPUTED_VALUE"""),"[Code: 24558ABD] [Expiry: 1 Dec, 2023] AR: Short expiry stock ")</f>
        <v>[Code: 24558ABD] [Expiry: 1 Dec, 2023] AR: Short expiry stock </v>
      </c>
      <c r="M57" s="13" t="str">
        <f aca="false">IFERROR(__xludf.dummyfunction("""COMPUTED_VALUE"""),"24558ABD")</f>
        <v>24558ABD</v>
      </c>
      <c r="N57" s="13" t="str">
        <f aca="false">IFERROR(__xludf.dummyfunction("""COMPUTED_VALUE"""),"1 Dec, 2023")</f>
        <v>1 Dec, 2023</v>
      </c>
      <c r="O57" s="13" t="str">
        <f aca="false">IFERROR(__xludf.dummyfunction("""COMPUTED_VALUE"""),"ali.raza@tajir-app.com")</f>
        <v>ali.raza@tajir-app.com</v>
      </c>
      <c r="P57" s="13" t="str">
        <f aca="false">IFERROR(__xludf.dummyfunction("""COMPUTED_VALUE"""),"Ali Raza ")</f>
        <v>Ali Raza </v>
      </c>
      <c r="Q57" s="13" t="str">
        <f aca="false">IFERROR(__xludf.dummyfunction("""COMPUTED_VALUE"""),"[Code: 24558ABD] [Expiry: 1 Dec, 2023] AR: Short expiry stock ")</f>
        <v>[Code: 24558ABD] [Expiry: 1 Dec, 2023] AR: Short expiry stock </v>
      </c>
      <c r="R57" s="13" t="str">
        <v>Sun, 19-Nov-2023, 10:00 AM</v>
      </c>
      <c r="S57" s="13" t="str">
        <v>Expired stock</v>
      </c>
      <c r="T57" s="13" t="e">
        <v>#VALUE!</v>
      </c>
    </row>
    <row r="58" customFormat="false" ht="15.75" hidden="false" customHeight="false" outlineLevel="0" collapsed="false">
      <c r="A58" s="13" t="str">
        <f aca="false">IFERROR(__xludf.dummyfunction("""COMPUTED_VALUE"""),"Metro DC Faisalabad")</f>
        <v>Metro DC Faisalabad</v>
      </c>
      <c r="B58" s="13" t="str">
        <f aca="false">IFERROR(__xludf.dummyfunction("""COMPUTED_VALUE"""),"81281dce-fe81-497a-88e9-fa44b8f2742d")</f>
        <v>81281dce-fe81-497a-88e9-fa44b8f2742d</v>
      </c>
      <c r="C58" s="13" t="str">
        <f aca="false">IFERROR(__xludf.dummyfunction("""COMPUTED_VALUE"""),"Sunridge FiberFit Digestive Atta 5kg")</f>
        <v>Sunridge FiberFit Digestive Atta 5kg</v>
      </c>
      <c r="D58" s="13" t="str">
        <f aca="false">IFERROR(__xludf.dummyfunction("""COMPUTED_VALUE"""),"Sunridge")</f>
        <v>Sunridge</v>
      </c>
      <c r="E58" s="13" t="str">
        <f aca="false">IFERROR(__xludf.dummyfunction("""COMPUTED_VALUE"""),"Flour")</f>
        <v>Flour</v>
      </c>
      <c r="F58" s="11" t="n">
        <f aca="false">IFERROR(__xludf.dummyfunction("""COMPUTED_VALUE"""),45249)</f>
        <v>45249</v>
      </c>
      <c r="G58" s="16" t="n">
        <f aca="false">IFERROR(__xludf.dummyfunction("""COMPUTED_VALUE"""),0.417973773146795)</f>
        <v>0.4179737731</v>
      </c>
      <c r="H58" s="13" t="str">
        <f aca="false">IFERROR(__xludf.dummyfunction("""COMPUTED_VALUE"""),"expired stock")</f>
        <v>expired stock</v>
      </c>
      <c r="I58" s="13" t="n">
        <f aca="false">IFERROR(__xludf.dummyfunction("""COMPUTED_VALUE"""),18)</f>
        <v>18</v>
      </c>
      <c r="J58" s="13" t="n">
        <f aca="false">IFERROR(__xludf.dummyfunction("""COMPUTED_VALUE"""),837.2)</f>
        <v>837.2</v>
      </c>
      <c r="K58" s="13" t="n">
        <f aca="false">IFERROR(__xludf.dummyfunction("""COMPUTED_VALUE"""),15069.6)</f>
        <v>15069.6</v>
      </c>
      <c r="L58" s="13" t="str">
        <f aca="false">IFERROR(__xludf.dummyfunction("""COMPUTED_VALUE"""),"[Code: 345668BE] [Expiry: 1 Dec, 2023] AR:short expiry stock ")</f>
        <v>[Code: 345668BE] [Expiry: 1 Dec, 2023] AR:short expiry stock </v>
      </c>
      <c r="M58" s="13" t="str">
        <f aca="false">IFERROR(__xludf.dummyfunction("""COMPUTED_VALUE"""),"345668BE")</f>
        <v>345668BE</v>
      </c>
      <c r="N58" s="13" t="str">
        <f aca="false">IFERROR(__xludf.dummyfunction("""COMPUTED_VALUE"""),"1 Dec, 2023")</f>
        <v>1 Dec, 2023</v>
      </c>
      <c r="O58" s="13" t="str">
        <f aca="false">IFERROR(__xludf.dummyfunction("""COMPUTED_VALUE"""),"ali.raza@tajir-app.com")</f>
        <v>ali.raza@tajir-app.com</v>
      </c>
      <c r="P58" s="13" t="str">
        <f aca="false">IFERROR(__xludf.dummyfunction("""COMPUTED_VALUE"""),"Ali Raza ")</f>
        <v>Ali Raza </v>
      </c>
      <c r="Q58" s="13" t="str">
        <f aca="false">IFERROR(__xludf.dummyfunction("""COMPUTED_VALUE"""),"[Code: 345668BE] [Expiry: 1 Dec, 2023] AR:short expiry stock ")</f>
        <v>[Code: 345668BE] [Expiry: 1 Dec, 2023] AR:short expiry stock </v>
      </c>
      <c r="R58" s="13" t="str">
        <v>Sun, 19-Nov-2023, 10:01 AM</v>
      </c>
      <c r="S58" s="13" t="str">
        <v>Expired stock</v>
      </c>
      <c r="T58" s="13" t="e">
        <v>#VALUE!</v>
      </c>
    </row>
    <row r="59" customFormat="false" ht="15.75" hidden="false" customHeight="false" outlineLevel="0" collapsed="false">
      <c r="R59" s="13" t="str">
        <v/>
      </c>
      <c r="S59" s="13" t="str">
        <v/>
      </c>
      <c r="T59" s="13" t="n">
        <v>0</v>
      </c>
    </row>
    <row r="60" customFormat="false" ht="15.75" hidden="false" customHeight="false" outlineLevel="0" collapsed="false">
      <c r="R60" s="13" t="str">
        <v/>
      </c>
      <c r="S60" s="13" t="str">
        <v/>
      </c>
      <c r="T60" s="13" t="n">
        <v>0</v>
      </c>
    </row>
    <row r="61" customFormat="false" ht="15.75" hidden="false" customHeight="false" outlineLevel="0" collapsed="false">
      <c r="R61" s="13" t="str">
        <v/>
      </c>
      <c r="S61" s="13" t="str">
        <v/>
      </c>
      <c r="T61" s="13" t="n">
        <v>0</v>
      </c>
    </row>
    <row r="62" customFormat="false" ht="15.75" hidden="false" customHeight="false" outlineLevel="0" collapsed="false">
      <c r="R62" s="13" t="str">
        <v/>
      </c>
      <c r="S62" s="13" t="str">
        <v/>
      </c>
      <c r="T62" s="13" t="n">
        <v>0</v>
      </c>
    </row>
    <row r="63" customFormat="false" ht="15.75" hidden="false" customHeight="false" outlineLevel="0" collapsed="false">
      <c r="R63" s="13" t="str">
        <v/>
      </c>
      <c r="S63" s="13" t="str">
        <v/>
      </c>
      <c r="T63" s="13" t="n">
        <v>0</v>
      </c>
    </row>
    <row r="64" customFormat="false" ht="15.75" hidden="false" customHeight="false" outlineLevel="0" collapsed="false">
      <c r="R64" s="13" t="str">
        <v/>
      </c>
      <c r="S64" s="13" t="str">
        <v/>
      </c>
      <c r="T64" s="13" t="n">
        <v>0</v>
      </c>
    </row>
    <row r="65" customFormat="false" ht="15.75" hidden="false" customHeight="false" outlineLevel="0" collapsed="false">
      <c r="R65" s="13" t="str">
        <v/>
      </c>
      <c r="S65" s="13" t="str">
        <v/>
      </c>
      <c r="T65" s="13" t="n">
        <v>0</v>
      </c>
    </row>
    <row r="66" customFormat="false" ht="15.75" hidden="false" customHeight="false" outlineLevel="0" collapsed="false">
      <c r="R66" s="13" t="str">
        <v/>
      </c>
      <c r="S66" s="13" t="str">
        <v/>
      </c>
      <c r="T66" s="13" t="n">
        <v>0</v>
      </c>
    </row>
    <row r="67" customFormat="false" ht="15.75" hidden="false" customHeight="false" outlineLevel="0" collapsed="false">
      <c r="R67" s="13" t="str">
        <v/>
      </c>
      <c r="S67" s="13" t="str">
        <v/>
      </c>
      <c r="T67" s="13" t="n">
        <v>0</v>
      </c>
    </row>
    <row r="68" customFormat="false" ht="15.75" hidden="false" customHeight="false" outlineLevel="0" collapsed="false">
      <c r="R68" s="13" t="str">
        <v/>
      </c>
      <c r="S68" s="13" t="str">
        <v/>
      </c>
      <c r="T68" s="13" t="n">
        <v>0</v>
      </c>
    </row>
    <row r="69" customFormat="false" ht="15.75" hidden="false" customHeight="false" outlineLevel="0" collapsed="false">
      <c r="R69" s="13" t="str">
        <v/>
      </c>
      <c r="S69" s="13" t="str">
        <v/>
      </c>
      <c r="T69" s="13" t="n">
        <v>0</v>
      </c>
    </row>
    <row r="70" customFormat="false" ht="15.75" hidden="false" customHeight="false" outlineLevel="0" collapsed="false">
      <c r="R70" s="13" t="str">
        <v/>
      </c>
      <c r="S70" s="13" t="str">
        <v/>
      </c>
      <c r="T70" s="13" t="n">
        <v>0</v>
      </c>
    </row>
    <row r="71" customFormat="false" ht="15.75" hidden="false" customHeight="false" outlineLevel="0" collapsed="false">
      <c r="R71" s="13" t="str">
        <v/>
      </c>
      <c r="S71" s="13" t="str">
        <v/>
      </c>
      <c r="T71" s="13" t="n">
        <v>0</v>
      </c>
    </row>
    <row r="72" customFormat="false" ht="15.75" hidden="false" customHeight="false" outlineLevel="0" collapsed="false">
      <c r="R72" s="13" t="str">
        <v/>
      </c>
      <c r="S72" s="13" t="str">
        <v/>
      </c>
      <c r="T72" s="13" t="n">
        <v>0</v>
      </c>
    </row>
    <row r="73" customFormat="false" ht="15.75" hidden="false" customHeight="false" outlineLevel="0" collapsed="false">
      <c r="R73" s="13" t="str">
        <v/>
      </c>
      <c r="S73" s="13" t="str">
        <v/>
      </c>
      <c r="T73" s="13" t="n">
        <v>0</v>
      </c>
    </row>
    <row r="74" customFormat="false" ht="15.75" hidden="false" customHeight="false" outlineLevel="0" collapsed="false">
      <c r="R74" s="13" t="str">
        <v/>
      </c>
      <c r="S74" s="13" t="str">
        <v/>
      </c>
      <c r="T74" s="13" t="n">
        <v>0</v>
      </c>
    </row>
    <row r="75" customFormat="false" ht="15.75" hidden="false" customHeight="false" outlineLevel="0" collapsed="false">
      <c r="R75" s="13" t="str">
        <v/>
      </c>
      <c r="S75" s="13" t="str">
        <v/>
      </c>
      <c r="T75" s="13" t="n">
        <v>0</v>
      </c>
    </row>
    <row r="76" customFormat="false" ht="15.75" hidden="false" customHeight="false" outlineLevel="0" collapsed="false">
      <c r="R76" s="13" t="str">
        <v/>
      </c>
      <c r="S76" s="13" t="str">
        <v/>
      </c>
      <c r="T76" s="13" t="n">
        <v>0</v>
      </c>
    </row>
    <row r="77" customFormat="false" ht="15.75" hidden="false" customHeight="false" outlineLevel="0" collapsed="false">
      <c r="R77" s="13" t="str">
        <v/>
      </c>
      <c r="S77" s="13" t="str">
        <v/>
      </c>
      <c r="T77" s="13" t="n">
        <v>0</v>
      </c>
    </row>
    <row r="78" customFormat="false" ht="15.75" hidden="false" customHeight="false" outlineLevel="0" collapsed="false">
      <c r="R78" s="13" t="str">
        <v/>
      </c>
      <c r="S78" s="13" t="str">
        <v/>
      </c>
      <c r="T78" s="13" t="n">
        <v>0</v>
      </c>
    </row>
    <row r="79" customFormat="false" ht="15.75" hidden="false" customHeight="false" outlineLevel="0" collapsed="false">
      <c r="R79" s="13" t="str">
        <v/>
      </c>
      <c r="S79" s="13" t="str">
        <v/>
      </c>
      <c r="T79" s="13" t="n">
        <v>0</v>
      </c>
    </row>
    <row r="80" customFormat="false" ht="15.75" hidden="false" customHeight="false" outlineLevel="0" collapsed="false">
      <c r="R80" s="13" t="str">
        <v/>
      </c>
      <c r="S80" s="13" t="str">
        <v/>
      </c>
      <c r="T80" s="13" t="n">
        <v>0</v>
      </c>
    </row>
    <row r="81" customFormat="false" ht="15.75" hidden="false" customHeight="false" outlineLevel="0" collapsed="false">
      <c r="R81" s="13" t="str">
        <v/>
      </c>
      <c r="S81" s="13" t="str">
        <v/>
      </c>
      <c r="T81" s="13" t="n">
        <v>0</v>
      </c>
    </row>
    <row r="82" customFormat="false" ht="15.75" hidden="false" customHeight="false" outlineLevel="0" collapsed="false">
      <c r="R82" s="13" t="str">
        <v/>
      </c>
      <c r="S82" s="13" t="str">
        <v/>
      </c>
      <c r="T82" s="13" t="n">
        <v>0</v>
      </c>
    </row>
    <row r="83" customFormat="false" ht="15.75" hidden="false" customHeight="false" outlineLevel="0" collapsed="false">
      <c r="R83" s="13" t="str">
        <v/>
      </c>
      <c r="S83" s="13" t="str">
        <v/>
      </c>
      <c r="T83" s="13" t="n">
        <v>0</v>
      </c>
    </row>
    <row r="84" customFormat="false" ht="15.75" hidden="false" customHeight="false" outlineLevel="0" collapsed="false">
      <c r="R84" s="13" t="str">
        <v/>
      </c>
      <c r="S84" s="13" t="str">
        <v/>
      </c>
      <c r="T84" s="13" t="n">
        <v>0</v>
      </c>
    </row>
    <row r="85" customFormat="false" ht="15.75" hidden="false" customHeight="false" outlineLevel="0" collapsed="false">
      <c r="R85" s="13" t="str">
        <v/>
      </c>
      <c r="S85" s="13" t="str">
        <v/>
      </c>
      <c r="T85" s="13" t="n">
        <v>0</v>
      </c>
    </row>
    <row r="86" customFormat="false" ht="15.75" hidden="false" customHeight="false" outlineLevel="0" collapsed="false">
      <c r="R86" s="13" t="str">
        <v/>
      </c>
      <c r="S86" s="13" t="str">
        <v/>
      </c>
      <c r="T86" s="13" t="n">
        <v>0</v>
      </c>
    </row>
    <row r="87" customFormat="false" ht="15.75" hidden="false" customHeight="false" outlineLevel="0" collapsed="false">
      <c r="R87" s="13" t="str">
        <v/>
      </c>
      <c r="S87" s="13" t="str">
        <v/>
      </c>
      <c r="T87" s="13" t="n">
        <v>0</v>
      </c>
    </row>
    <row r="88" customFormat="false" ht="15.75" hidden="false" customHeight="false" outlineLevel="0" collapsed="false">
      <c r="R88" s="13" t="str">
        <v/>
      </c>
      <c r="S88" s="13" t="str">
        <v/>
      </c>
      <c r="T88" s="13" t="n">
        <v>0</v>
      </c>
    </row>
    <row r="89" customFormat="false" ht="15.75" hidden="false" customHeight="false" outlineLevel="0" collapsed="false">
      <c r="R89" s="13" t="str">
        <v/>
      </c>
      <c r="S89" s="13" t="str">
        <v/>
      </c>
      <c r="T89" s="13" t="n">
        <v>0</v>
      </c>
    </row>
    <row r="90" customFormat="false" ht="15.75" hidden="false" customHeight="false" outlineLevel="0" collapsed="false">
      <c r="R90" s="13" t="str">
        <v/>
      </c>
      <c r="S90" s="13" t="str">
        <v/>
      </c>
      <c r="T90" s="13" t="n">
        <v>0</v>
      </c>
    </row>
    <row r="91" customFormat="false" ht="15.75" hidden="false" customHeight="false" outlineLevel="0" collapsed="false">
      <c r="R91" s="13" t="str">
        <v/>
      </c>
      <c r="S91" s="13" t="str">
        <v/>
      </c>
      <c r="T91" s="13" t="n">
        <v>0</v>
      </c>
    </row>
    <row r="92" customFormat="false" ht="15.75" hidden="false" customHeight="false" outlineLevel="0" collapsed="false">
      <c r="R92" s="13" t="str">
        <v/>
      </c>
      <c r="S92" s="13" t="str">
        <v/>
      </c>
      <c r="T92" s="13" t="n">
        <v>0</v>
      </c>
    </row>
    <row r="93" customFormat="false" ht="15.75" hidden="false" customHeight="false" outlineLevel="0" collapsed="false">
      <c r="R93" s="13" t="str">
        <v/>
      </c>
      <c r="S93" s="13" t="str">
        <v/>
      </c>
      <c r="T93" s="13" t="n">
        <v>0</v>
      </c>
    </row>
    <row r="94" customFormat="false" ht="15.75" hidden="false" customHeight="false" outlineLevel="0" collapsed="false">
      <c r="R94" s="13" t="str">
        <v/>
      </c>
      <c r="S94" s="13" t="str">
        <v/>
      </c>
      <c r="T94" s="13" t="n">
        <v>0</v>
      </c>
    </row>
    <row r="95" customFormat="false" ht="15.75" hidden="false" customHeight="false" outlineLevel="0" collapsed="false">
      <c r="R95" s="13" t="str">
        <v/>
      </c>
      <c r="S95" s="13" t="str">
        <v/>
      </c>
      <c r="T95" s="13" t="n">
        <v>0</v>
      </c>
    </row>
    <row r="96" customFormat="false" ht="15.75" hidden="false" customHeight="false" outlineLevel="0" collapsed="false">
      <c r="R96" s="13" t="str">
        <v/>
      </c>
      <c r="S96" s="13" t="str">
        <v/>
      </c>
      <c r="T96" s="13" t="n">
        <v>0</v>
      </c>
    </row>
    <row r="97" customFormat="false" ht="15.75" hidden="false" customHeight="false" outlineLevel="0" collapsed="false">
      <c r="R97" s="13" t="str">
        <v/>
      </c>
      <c r="S97" s="13" t="str">
        <v/>
      </c>
      <c r="T97" s="13" t="n">
        <v>0</v>
      </c>
    </row>
    <row r="98" customFormat="false" ht="15.75" hidden="false" customHeight="false" outlineLevel="0" collapsed="false">
      <c r="R98" s="13" t="str">
        <v/>
      </c>
      <c r="S98" s="13" t="str">
        <v/>
      </c>
      <c r="T98" s="13" t="n">
        <v>0</v>
      </c>
    </row>
    <row r="99" customFormat="false" ht="15.75" hidden="false" customHeight="false" outlineLevel="0" collapsed="false">
      <c r="R99" s="13" t="str">
        <v/>
      </c>
      <c r="S99" s="13" t="str">
        <v/>
      </c>
      <c r="T99" s="13" t="n">
        <v>0</v>
      </c>
    </row>
    <row r="100" customFormat="false" ht="15.75" hidden="false" customHeight="false" outlineLevel="0" collapsed="false">
      <c r="R100" s="13" t="str">
        <v/>
      </c>
      <c r="S100" s="13" t="str">
        <v/>
      </c>
      <c r="T100" s="13" t="n">
        <v>0</v>
      </c>
    </row>
    <row r="101" customFormat="false" ht="15.75" hidden="false" customHeight="false" outlineLevel="0" collapsed="false">
      <c r="R101" s="13" t="str">
        <v/>
      </c>
      <c r="S101" s="13" t="str">
        <v/>
      </c>
      <c r="T101" s="13" t="n">
        <v>0</v>
      </c>
    </row>
    <row r="102" customFormat="false" ht="15.75" hidden="false" customHeight="false" outlineLevel="0" collapsed="false">
      <c r="R102" s="13" t="str">
        <v/>
      </c>
      <c r="S102" s="13" t="str">
        <v/>
      </c>
      <c r="T102" s="13" t="n">
        <v>0</v>
      </c>
    </row>
    <row r="103" customFormat="false" ht="15.75" hidden="false" customHeight="false" outlineLevel="0" collapsed="false">
      <c r="R103" s="13" t="str">
        <v/>
      </c>
      <c r="S103" s="13" t="str">
        <v/>
      </c>
      <c r="T103" s="13" t="n">
        <v>0</v>
      </c>
    </row>
    <row r="104" customFormat="false" ht="15.75" hidden="false" customHeight="false" outlineLevel="0" collapsed="false">
      <c r="R104" s="13" t="str">
        <v/>
      </c>
      <c r="S104" s="13" t="str">
        <v/>
      </c>
      <c r="T104" s="13" t="n">
        <v>0</v>
      </c>
    </row>
    <row r="105" customFormat="false" ht="15.75" hidden="false" customHeight="false" outlineLevel="0" collapsed="false">
      <c r="R105" s="13" t="str">
        <v/>
      </c>
      <c r="S105" s="13" t="str">
        <v/>
      </c>
      <c r="T105" s="13" t="n">
        <v>0</v>
      </c>
    </row>
    <row r="106" customFormat="false" ht="15.75" hidden="false" customHeight="false" outlineLevel="0" collapsed="false">
      <c r="R106" s="13" t="str">
        <v/>
      </c>
      <c r="S106" s="13" t="str">
        <v/>
      </c>
      <c r="T106" s="13" t="n">
        <v>0</v>
      </c>
    </row>
    <row r="107" customFormat="false" ht="15.75" hidden="false" customHeight="false" outlineLevel="0" collapsed="false">
      <c r="R107" s="13" t="str">
        <v/>
      </c>
      <c r="S107" s="13" t="str">
        <v/>
      </c>
      <c r="T107" s="13" t="n">
        <v>0</v>
      </c>
    </row>
    <row r="108" customFormat="false" ht="15.75" hidden="false" customHeight="false" outlineLevel="0" collapsed="false">
      <c r="R108" s="13" t="str">
        <v/>
      </c>
      <c r="S108" s="13" t="str">
        <v/>
      </c>
      <c r="T108" s="13" t="n">
        <v>0</v>
      </c>
    </row>
    <row r="109" customFormat="false" ht="15.75" hidden="false" customHeight="false" outlineLevel="0" collapsed="false">
      <c r="R109" s="13" t="str">
        <v/>
      </c>
      <c r="S109" s="13" t="str">
        <v/>
      </c>
      <c r="T109" s="13" t="n">
        <v>0</v>
      </c>
    </row>
    <row r="110" customFormat="false" ht="15.75" hidden="false" customHeight="false" outlineLevel="0" collapsed="false">
      <c r="R110" s="13" t="str">
        <v/>
      </c>
      <c r="S110" s="13" t="str">
        <v/>
      </c>
      <c r="T110" s="13" t="n">
        <v>0</v>
      </c>
    </row>
    <row r="111" customFormat="false" ht="15.75" hidden="false" customHeight="false" outlineLevel="0" collapsed="false">
      <c r="R111" s="13" t="str">
        <v/>
      </c>
      <c r="S111" s="13" t="str">
        <v/>
      </c>
      <c r="T111" s="13" t="n">
        <v>0</v>
      </c>
    </row>
    <row r="112" customFormat="false" ht="15.75" hidden="false" customHeight="false" outlineLevel="0" collapsed="false">
      <c r="R112" s="13" t="str">
        <v/>
      </c>
      <c r="S112" s="13" t="str">
        <v/>
      </c>
      <c r="T112" s="13" t="n">
        <v>0</v>
      </c>
    </row>
    <row r="113" customFormat="false" ht="15.75" hidden="false" customHeight="false" outlineLevel="0" collapsed="false">
      <c r="R113" s="13" t="str">
        <v/>
      </c>
      <c r="S113" s="13" t="str">
        <v/>
      </c>
      <c r="T113" s="13" t="n">
        <v>0</v>
      </c>
    </row>
    <row r="114" customFormat="false" ht="15.75" hidden="false" customHeight="false" outlineLevel="0" collapsed="false">
      <c r="R114" s="13" t="str">
        <v/>
      </c>
      <c r="S114" s="13" t="str">
        <v/>
      </c>
      <c r="T114" s="13" t="n">
        <v>0</v>
      </c>
    </row>
    <row r="115" customFormat="false" ht="15.75" hidden="false" customHeight="false" outlineLevel="0" collapsed="false">
      <c r="R115" s="13" t="str">
        <v/>
      </c>
      <c r="S115" s="13" t="str">
        <v/>
      </c>
      <c r="T115" s="13" t="n">
        <v>0</v>
      </c>
    </row>
    <row r="116" customFormat="false" ht="15.75" hidden="false" customHeight="false" outlineLevel="0" collapsed="false">
      <c r="R116" s="13" t="str">
        <v/>
      </c>
      <c r="S116" s="13" t="str">
        <v/>
      </c>
      <c r="T116" s="13" t="n">
        <v>0</v>
      </c>
    </row>
    <row r="117" customFormat="false" ht="15.75" hidden="false" customHeight="false" outlineLevel="0" collapsed="false">
      <c r="R117" s="13" t="str">
        <v/>
      </c>
      <c r="S117" s="13" t="str">
        <v/>
      </c>
      <c r="T117" s="13" t="n">
        <v>0</v>
      </c>
    </row>
    <row r="118" customFormat="false" ht="15.75" hidden="false" customHeight="false" outlineLevel="0" collapsed="false">
      <c r="R118" s="13" t="str">
        <v/>
      </c>
      <c r="S118" s="13" t="str">
        <v/>
      </c>
      <c r="T118" s="13" t="n">
        <v>0</v>
      </c>
    </row>
    <row r="119" customFormat="false" ht="15.75" hidden="false" customHeight="false" outlineLevel="0" collapsed="false">
      <c r="R119" s="13" t="str">
        <v/>
      </c>
      <c r="S119" s="13" t="str">
        <v/>
      </c>
      <c r="T119" s="13" t="n">
        <v>0</v>
      </c>
    </row>
    <row r="120" customFormat="false" ht="15.75" hidden="false" customHeight="false" outlineLevel="0" collapsed="false">
      <c r="R120" s="13" t="str">
        <v/>
      </c>
      <c r="S120" s="13" t="str">
        <v/>
      </c>
      <c r="T120" s="13" t="n">
        <v>0</v>
      </c>
    </row>
    <row r="121" customFormat="false" ht="15.75" hidden="false" customHeight="false" outlineLevel="0" collapsed="false">
      <c r="R121" s="13" t="str">
        <v/>
      </c>
      <c r="S121" s="13" t="str">
        <v/>
      </c>
      <c r="T121" s="13" t="n">
        <v>0</v>
      </c>
    </row>
    <row r="122" customFormat="false" ht="15.75" hidden="false" customHeight="false" outlineLevel="0" collapsed="false">
      <c r="R122" s="13" t="str">
        <v/>
      </c>
      <c r="S122" s="13" t="str">
        <v/>
      </c>
      <c r="T122" s="13" t="n">
        <v>0</v>
      </c>
    </row>
    <row r="123" customFormat="false" ht="15.75" hidden="false" customHeight="false" outlineLevel="0" collapsed="false">
      <c r="R123" s="13" t="str">
        <v/>
      </c>
      <c r="S123" s="13" t="str">
        <v/>
      </c>
      <c r="T123" s="13" t="n">
        <v>0</v>
      </c>
    </row>
    <row r="124" customFormat="false" ht="15.75" hidden="false" customHeight="false" outlineLevel="0" collapsed="false">
      <c r="R124" s="13" t="str">
        <v/>
      </c>
      <c r="S124" s="13" t="str">
        <v/>
      </c>
      <c r="T124" s="13" t="n">
        <v>0</v>
      </c>
    </row>
    <row r="125" customFormat="false" ht="15.75" hidden="false" customHeight="false" outlineLevel="0" collapsed="false">
      <c r="R125" s="13" t="str">
        <v/>
      </c>
      <c r="S125" s="13" t="str">
        <v/>
      </c>
      <c r="T125" s="13" t="n">
        <v>0</v>
      </c>
    </row>
    <row r="126" customFormat="false" ht="15.75" hidden="false" customHeight="false" outlineLevel="0" collapsed="false">
      <c r="R126" s="13" t="str">
        <v/>
      </c>
      <c r="S126" s="13" t="str">
        <v/>
      </c>
      <c r="T126" s="13" t="n">
        <v>0</v>
      </c>
    </row>
    <row r="127" customFormat="false" ht="15.75" hidden="false" customHeight="false" outlineLevel="0" collapsed="false">
      <c r="R127" s="13" t="str">
        <v/>
      </c>
      <c r="S127" s="13" t="str">
        <v/>
      </c>
      <c r="T127" s="13" t="n">
        <v>0</v>
      </c>
    </row>
    <row r="128" customFormat="false" ht="15.75" hidden="false" customHeight="false" outlineLevel="0" collapsed="false">
      <c r="R128" s="13" t="str">
        <v/>
      </c>
      <c r="S128" s="13" t="str">
        <v/>
      </c>
      <c r="T128" s="13" t="n">
        <v>0</v>
      </c>
    </row>
    <row r="129" customFormat="false" ht="15.75" hidden="false" customHeight="false" outlineLevel="0" collapsed="false">
      <c r="R129" s="13" t="str">
        <v/>
      </c>
      <c r="S129" s="13" t="str">
        <v/>
      </c>
      <c r="T129" s="13" t="n">
        <v>0</v>
      </c>
    </row>
    <row r="130" customFormat="false" ht="15.75" hidden="false" customHeight="false" outlineLevel="0" collapsed="false">
      <c r="R130" s="13" t="str">
        <v/>
      </c>
      <c r="S130" s="13" t="str">
        <v/>
      </c>
      <c r="T130" s="13" t="n">
        <v>0</v>
      </c>
    </row>
    <row r="131" customFormat="false" ht="15.75" hidden="false" customHeight="false" outlineLevel="0" collapsed="false">
      <c r="R131" s="13" t="str">
        <v/>
      </c>
      <c r="S131" s="13" t="str">
        <v/>
      </c>
      <c r="T131" s="13" t="n">
        <v>0</v>
      </c>
    </row>
    <row r="132" customFormat="false" ht="15.75" hidden="false" customHeight="false" outlineLevel="0" collapsed="false">
      <c r="R132" s="13" t="str">
        <v/>
      </c>
      <c r="S132" s="13" t="str">
        <v/>
      </c>
      <c r="T132" s="13" t="n">
        <v>0</v>
      </c>
    </row>
    <row r="133" customFormat="false" ht="15.75" hidden="false" customHeight="false" outlineLevel="0" collapsed="false">
      <c r="R133" s="13" t="str">
        <v/>
      </c>
      <c r="S133" s="13" t="str">
        <v/>
      </c>
      <c r="T133" s="13" t="n">
        <v>0</v>
      </c>
    </row>
    <row r="134" customFormat="false" ht="15.75" hidden="false" customHeight="false" outlineLevel="0" collapsed="false">
      <c r="R134" s="13" t="str">
        <v/>
      </c>
      <c r="S134" s="13" t="str">
        <v/>
      </c>
      <c r="T134" s="13" t="n">
        <v>0</v>
      </c>
    </row>
    <row r="135" customFormat="false" ht="15.75" hidden="false" customHeight="false" outlineLevel="0" collapsed="false">
      <c r="R135" s="13" t="str">
        <v/>
      </c>
      <c r="S135" s="13" t="str">
        <v/>
      </c>
      <c r="T135" s="13" t="n">
        <v>0</v>
      </c>
    </row>
    <row r="136" customFormat="false" ht="15.75" hidden="false" customHeight="false" outlineLevel="0" collapsed="false">
      <c r="R136" s="13" t="str">
        <v/>
      </c>
      <c r="S136" s="13" t="str">
        <v/>
      </c>
      <c r="T136" s="13" t="n">
        <v>0</v>
      </c>
    </row>
    <row r="137" customFormat="false" ht="15.75" hidden="false" customHeight="false" outlineLevel="0" collapsed="false">
      <c r="R137" s="13" t="str">
        <v/>
      </c>
      <c r="S137" s="13" t="str">
        <v/>
      </c>
      <c r="T137" s="13" t="n">
        <v>0</v>
      </c>
    </row>
    <row r="138" customFormat="false" ht="15.75" hidden="false" customHeight="false" outlineLevel="0" collapsed="false">
      <c r="R138" s="13" t="str">
        <v/>
      </c>
      <c r="S138" s="13" t="str">
        <v/>
      </c>
      <c r="T138" s="13" t="n">
        <v>0</v>
      </c>
    </row>
    <row r="139" customFormat="false" ht="15.75" hidden="false" customHeight="false" outlineLevel="0" collapsed="false">
      <c r="R139" s="13" t="str">
        <v/>
      </c>
      <c r="S139" s="13" t="str">
        <v/>
      </c>
      <c r="T139" s="13" t="n">
        <v>0</v>
      </c>
    </row>
    <row r="140" customFormat="false" ht="15.75" hidden="false" customHeight="false" outlineLevel="0" collapsed="false">
      <c r="R140" s="13" t="str">
        <v/>
      </c>
      <c r="S140" s="13" t="str">
        <v/>
      </c>
      <c r="T140" s="13" t="n">
        <v>0</v>
      </c>
    </row>
    <row r="141" customFormat="false" ht="15.75" hidden="false" customHeight="false" outlineLevel="0" collapsed="false">
      <c r="R141" s="13" t="str">
        <v/>
      </c>
      <c r="S141" s="13" t="str">
        <v/>
      </c>
      <c r="T141" s="13" t="n">
        <v>0</v>
      </c>
    </row>
    <row r="142" customFormat="false" ht="15.75" hidden="false" customHeight="false" outlineLevel="0" collapsed="false">
      <c r="R142" s="13" t="str">
        <v/>
      </c>
      <c r="S142" s="13" t="str">
        <v/>
      </c>
      <c r="T142" s="13" t="n">
        <v>0</v>
      </c>
    </row>
    <row r="143" customFormat="false" ht="15.75" hidden="false" customHeight="false" outlineLevel="0" collapsed="false">
      <c r="R143" s="13" t="str">
        <v/>
      </c>
      <c r="S143" s="13" t="str">
        <v/>
      </c>
      <c r="T143" s="13" t="n">
        <v>0</v>
      </c>
    </row>
    <row r="144" customFormat="false" ht="15.75" hidden="false" customHeight="false" outlineLevel="0" collapsed="false">
      <c r="R144" s="13" t="str">
        <v/>
      </c>
      <c r="S144" s="13" t="str">
        <v/>
      </c>
      <c r="T144" s="13" t="n">
        <v>0</v>
      </c>
    </row>
    <row r="145" customFormat="false" ht="15.75" hidden="false" customHeight="false" outlineLevel="0" collapsed="false">
      <c r="R145" s="13" t="str">
        <v/>
      </c>
      <c r="S145" s="13" t="str">
        <v/>
      </c>
      <c r="T145" s="13" t="n">
        <v>0</v>
      </c>
    </row>
    <row r="146" customFormat="false" ht="15.75" hidden="false" customHeight="false" outlineLevel="0" collapsed="false">
      <c r="R146" s="13" t="str">
        <v/>
      </c>
      <c r="S146" s="13" t="str">
        <v/>
      </c>
      <c r="T146" s="13" t="n">
        <v>0</v>
      </c>
    </row>
    <row r="147" customFormat="false" ht="15.75" hidden="false" customHeight="false" outlineLevel="0" collapsed="false">
      <c r="R147" s="13" t="str">
        <v/>
      </c>
      <c r="S147" s="13" t="str">
        <v/>
      </c>
      <c r="T147" s="13" t="n">
        <v>0</v>
      </c>
    </row>
    <row r="148" customFormat="false" ht="15.75" hidden="false" customHeight="false" outlineLevel="0" collapsed="false">
      <c r="R148" s="13" t="str">
        <v/>
      </c>
      <c r="S148" s="13" t="str">
        <v/>
      </c>
      <c r="T148" s="13" t="n">
        <v>0</v>
      </c>
    </row>
    <row r="149" customFormat="false" ht="15.75" hidden="false" customHeight="false" outlineLevel="0" collapsed="false">
      <c r="R149" s="13" t="str">
        <v/>
      </c>
      <c r="S149" s="13" t="str">
        <v/>
      </c>
      <c r="T149" s="13" t="n">
        <v>0</v>
      </c>
    </row>
    <row r="150" customFormat="false" ht="15.75" hidden="false" customHeight="false" outlineLevel="0" collapsed="false">
      <c r="R150" s="13" t="str">
        <v/>
      </c>
      <c r="S150" s="13" t="str">
        <v/>
      </c>
      <c r="T150" s="13" t="n">
        <v>0</v>
      </c>
    </row>
    <row r="151" customFormat="false" ht="15.75" hidden="false" customHeight="false" outlineLevel="0" collapsed="false">
      <c r="R151" s="13" t="str">
        <v/>
      </c>
      <c r="S151" s="13" t="str">
        <v/>
      </c>
      <c r="T151" s="13" t="n">
        <v>0</v>
      </c>
    </row>
    <row r="152" customFormat="false" ht="15.75" hidden="false" customHeight="false" outlineLevel="0" collapsed="false">
      <c r="R152" s="13" t="str">
        <v/>
      </c>
      <c r="S152" s="13" t="str">
        <v/>
      </c>
      <c r="T152" s="13" t="n">
        <v>0</v>
      </c>
    </row>
    <row r="153" customFormat="false" ht="15.75" hidden="false" customHeight="false" outlineLevel="0" collapsed="false">
      <c r="R153" s="13" t="str">
        <v/>
      </c>
      <c r="S153" s="13" t="str">
        <v/>
      </c>
      <c r="T153" s="13" t="n">
        <v>0</v>
      </c>
    </row>
    <row r="154" customFormat="false" ht="15.75" hidden="false" customHeight="false" outlineLevel="0" collapsed="false">
      <c r="R154" s="13" t="str">
        <v/>
      </c>
      <c r="S154" s="13" t="str">
        <v/>
      </c>
      <c r="T154" s="13" t="n">
        <v>0</v>
      </c>
    </row>
    <row r="155" customFormat="false" ht="15.75" hidden="false" customHeight="false" outlineLevel="0" collapsed="false">
      <c r="R155" s="13" t="str">
        <v/>
      </c>
      <c r="S155" s="13" t="str">
        <v/>
      </c>
      <c r="T155" s="13" t="n">
        <v>0</v>
      </c>
    </row>
    <row r="156" customFormat="false" ht="15.75" hidden="false" customHeight="false" outlineLevel="0" collapsed="false">
      <c r="R156" s="13" t="str">
        <v/>
      </c>
      <c r="S156" s="13" t="str">
        <v/>
      </c>
      <c r="T156" s="13" t="n">
        <v>0</v>
      </c>
    </row>
    <row r="157" customFormat="false" ht="15.75" hidden="false" customHeight="false" outlineLevel="0" collapsed="false">
      <c r="R157" s="13" t="str">
        <v/>
      </c>
      <c r="S157" s="13" t="str">
        <v/>
      </c>
      <c r="T157" s="13" t="n">
        <v>0</v>
      </c>
    </row>
    <row r="158" customFormat="false" ht="15.75" hidden="false" customHeight="false" outlineLevel="0" collapsed="false">
      <c r="R158" s="13" t="str">
        <v/>
      </c>
      <c r="S158" s="13" t="str">
        <v/>
      </c>
      <c r="T158" s="13" t="n">
        <v>0</v>
      </c>
    </row>
    <row r="159" customFormat="false" ht="15.75" hidden="false" customHeight="false" outlineLevel="0" collapsed="false">
      <c r="R159" s="13" t="str">
        <v/>
      </c>
      <c r="S159" s="13" t="str">
        <v/>
      </c>
      <c r="T159" s="13" t="n">
        <v>0</v>
      </c>
    </row>
    <row r="160" customFormat="false" ht="15.75" hidden="false" customHeight="false" outlineLevel="0" collapsed="false">
      <c r="R160" s="13" t="str">
        <v/>
      </c>
      <c r="S160" s="13" t="str">
        <v/>
      </c>
      <c r="T160" s="13" t="n">
        <v>0</v>
      </c>
    </row>
    <row r="161" customFormat="false" ht="15.75" hidden="false" customHeight="false" outlineLevel="0" collapsed="false">
      <c r="R161" s="13" t="str">
        <v/>
      </c>
      <c r="S161" s="13" t="str">
        <v/>
      </c>
      <c r="T161" s="13" t="n">
        <v>0</v>
      </c>
    </row>
    <row r="162" customFormat="false" ht="15.75" hidden="false" customHeight="false" outlineLevel="0" collapsed="false">
      <c r="R162" s="13" t="str">
        <v/>
      </c>
      <c r="S162" s="13" t="str">
        <v/>
      </c>
      <c r="T162" s="13" t="n">
        <v>0</v>
      </c>
    </row>
    <row r="163" customFormat="false" ht="15.75" hidden="false" customHeight="false" outlineLevel="0" collapsed="false">
      <c r="R163" s="13" t="str">
        <v/>
      </c>
      <c r="S163" s="13" t="str">
        <v/>
      </c>
      <c r="T163" s="13" t="n">
        <v>0</v>
      </c>
    </row>
    <row r="164" customFormat="false" ht="15.75" hidden="false" customHeight="false" outlineLevel="0" collapsed="false">
      <c r="R164" s="13" t="str">
        <v/>
      </c>
      <c r="S164" s="13" t="str">
        <v/>
      </c>
      <c r="T164" s="13" t="n">
        <v>0</v>
      </c>
    </row>
    <row r="165" customFormat="false" ht="15.75" hidden="false" customHeight="false" outlineLevel="0" collapsed="false">
      <c r="R165" s="13" t="str">
        <v/>
      </c>
      <c r="S165" s="13" t="str">
        <v/>
      </c>
      <c r="T165" s="13" t="n">
        <v>0</v>
      </c>
    </row>
    <row r="166" customFormat="false" ht="15.75" hidden="false" customHeight="false" outlineLevel="0" collapsed="false">
      <c r="R166" s="13" t="str">
        <v/>
      </c>
      <c r="S166" s="13" t="str">
        <v/>
      </c>
      <c r="T166" s="13" t="n">
        <v>0</v>
      </c>
    </row>
    <row r="167" customFormat="false" ht="15.75" hidden="false" customHeight="false" outlineLevel="0" collapsed="false">
      <c r="R167" s="13" t="str">
        <v/>
      </c>
      <c r="S167" s="13" t="str">
        <v/>
      </c>
      <c r="T167" s="13" t="n">
        <v>0</v>
      </c>
    </row>
    <row r="168" customFormat="false" ht="15.75" hidden="false" customHeight="false" outlineLevel="0" collapsed="false">
      <c r="R168" s="13" t="str">
        <v/>
      </c>
      <c r="S168" s="13" t="str">
        <v/>
      </c>
      <c r="T168" s="13" t="n">
        <v>0</v>
      </c>
    </row>
    <row r="169" customFormat="false" ht="15.75" hidden="false" customHeight="false" outlineLevel="0" collapsed="false">
      <c r="R169" s="13" t="str">
        <v/>
      </c>
      <c r="S169" s="13" t="str">
        <v/>
      </c>
      <c r="T169" s="13" t="n">
        <v>0</v>
      </c>
    </row>
    <row r="170" customFormat="false" ht="15.75" hidden="false" customHeight="false" outlineLevel="0" collapsed="false">
      <c r="R170" s="13" t="str">
        <v/>
      </c>
      <c r="S170" s="13" t="str">
        <v/>
      </c>
      <c r="T170" s="13" t="n">
        <v>0</v>
      </c>
    </row>
    <row r="171" customFormat="false" ht="15.75" hidden="false" customHeight="false" outlineLevel="0" collapsed="false">
      <c r="R171" s="13" t="str">
        <v/>
      </c>
      <c r="S171" s="13" t="str">
        <v/>
      </c>
      <c r="T171" s="13" t="n">
        <v>0</v>
      </c>
    </row>
    <row r="172" customFormat="false" ht="15.75" hidden="false" customHeight="false" outlineLevel="0" collapsed="false">
      <c r="R172" s="13" t="str">
        <v/>
      </c>
      <c r="S172" s="13" t="str">
        <v/>
      </c>
      <c r="T172" s="13" t="n">
        <v>0</v>
      </c>
    </row>
    <row r="173" customFormat="false" ht="15.75" hidden="false" customHeight="false" outlineLevel="0" collapsed="false">
      <c r="R173" s="13" t="str">
        <v/>
      </c>
      <c r="S173" s="13" t="str">
        <v/>
      </c>
      <c r="T173" s="13" t="n">
        <v>0</v>
      </c>
    </row>
    <row r="174" customFormat="false" ht="15.75" hidden="false" customHeight="false" outlineLevel="0" collapsed="false">
      <c r="R174" s="13" t="str">
        <v/>
      </c>
      <c r="S174" s="13" t="str">
        <v/>
      </c>
      <c r="T174" s="13" t="n">
        <v>0</v>
      </c>
    </row>
    <row r="175" customFormat="false" ht="15.75" hidden="false" customHeight="false" outlineLevel="0" collapsed="false">
      <c r="R175" s="13" t="str">
        <v/>
      </c>
      <c r="S175" s="13" t="str">
        <v/>
      </c>
      <c r="T175" s="13" t="n">
        <v>0</v>
      </c>
    </row>
    <row r="176" customFormat="false" ht="15.75" hidden="false" customHeight="false" outlineLevel="0" collapsed="false">
      <c r="R176" s="13" t="str">
        <v/>
      </c>
      <c r="S176" s="13" t="str">
        <v/>
      </c>
      <c r="T176" s="13" t="n">
        <v>0</v>
      </c>
    </row>
    <row r="177" customFormat="false" ht="15.75" hidden="false" customHeight="false" outlineLevel="0" collapsed="false">
      <c r="R177" s="13" t="str">
        <v/>
      </c>
      <c r="S177" s="13" t="str">
        <v/>
      </c>
      <c r="T177" s="13" t="n">
        <v>0</v>
      </c>
    </row>
    <row r="178" customFormat="false" ht="15.75" hidden="false" customHeight="false" outlineLevel="0" collapsed="false">
      <c r="R178" s="13" t="str">
        <v/>
      </c>
      <c r="S178" s="13" t="str">
        <v/>
      </c>
      <c r="T178" s="13" t="n">
        <v>0</v>
      </c>
    </row>
    <row r="179" customFormat="false" ht="15.75" hidden="false" customHeight="false" outlineLevel="0" collapsed="false">
      <c r="R179" s="13" t="str">
        <v/>
      </c>
      <c r="S179" s="13" t="str">
        <v/>
      </c>
      <c r="T179" s="13" t="n">
        <v>0</v>
      </c>
    </row>
    <row r="180" customFormat="false" ht="15.75" hidden="false" customHeight="false" outlineLevel="0" collapsed="false">
      <c r="R180" s="13" t="str">
        <v/>
      </c>
      <c r="S180" s="13" t="str">
        <v/>
      </c>
      <c r="T180" s="13" t="n">
        <v>0</v>
      </c>
    </row>
    <row r="181" customFormat="false" ht="15.75" hidden="false" customHeight="false" outlineLevel="0" collapsed="false">
      <c r="R181" s="13" t="str">
        <v/>
      </c>
      <c r="S181" s="13" t="str">
        <v/>
      </c>
      <c r="T181" s="13" t="n">
        <v>0</v>
      </c>
    </row>
    <row r="182" customFormat="false" ht="15.75" hidden="false" customHeight="false" outlineLevel="0" collapsed="false">
      <c r="R182" s="13" t="str">
        <v/>
      </c>
      <c r="S182" s="13" t="str">
        <v/>
      </c>
      <c r="T182" s="13" t="n">
        <v>0</v>
      </c>
    </row>
    <row r="183" customFormat="false" ht="15.75" hidden="false" customHeight="false" outlineLevel="0" collapsed="false">
      <c r="R183" s="13" t="str">
        <v/>
      </c>
      <c r="S183" s="13" t="str">
        <v/>
      </c>
      <c r="T183" s="13" t="n">
        <v>0</v>
      </c>
    </row>
    <row r="184" customFormat="false" ht="15.75" hidden="false" customHeight="false" outlineLevel="0" collapsed="false">
      <c r="R184" s="13" t="str">
        <v/>
      </c>
      <c r="S184" s="13" t="str">
        <v/>
      </c>
      <c r="T184" s="13" t="n">
        <v>0</v>
      </c>
    </row>
    <row r="185" customFormat="false" ht="15.75" hidden="false" customHeight="false" outlineLevel="0" collapsed="false">
      <c r="R185" s="13" t="str">
        <v/>
      </c>
      <c r="S185" s="13" t="str">
        <v/>
      </c>
      <c r="T185" s="13" t="n">
        <v>0</v>
      </c>
    </row>
    <row r="186" customFormat="false" ht="15.75" hidden="false" customHeight="false" outlineLevel="0" collapsed="false">
      <c r="R186" s="13" t="str">
        <v/>
      </c>
      <c r="S186" s="13" t="str">
        <v/>
      </c>
      <c r="T186" s="13" t="n">
        <v>0</v>
      </c>
    </row>
    <row r="187" customFormat="false" ht="15.75" hidden="false" customHeight="false" outlineLevel="0" collapsed="false">
      <c r="R187" s="13" t="str">
        <v/>
      </c>
      <c r="S187" s="13" t="str">
        <v/>
      </c>
      <c r="T187" s="13" t="n">
        <v>0</v>
      </c>
    </row>
    <row r="188" customFormat="false" ht="15.75" hidden="false" customHeight="false" outlineLevel="0" collapsed="false">
      <c r="R188" s="13" t="str">
        <v/>
      </c>
      <c r="S188" s="13" t="str">
        <v/>
      </c>
      <c r="T188" s="13" t="n">
        <v>0</v>
      </c>
    </row>
    <row r="189" customFormat="false" ht="15.75" hidden="false" customHeight="false" outlineLevel="0" collapsed="false">
      <c r="R189" s="13" t="str">
        <v/>
      </c>
      <c r="S189" s="13" t="str">
        <v/>
      </c>
      <c r="T189" s="13" t="n">
        <v>0</v>
      </c>
    </row>
    <row r="190" customFormat="false" ht="15.75" hidden="false" customHeight="false" outlineLevel="0" collapsed="false">
      <c r="R190" s="13" t="str">
        <v/>
      </c>
      <c r="S190" s="13" t="str">
        <v/>
      </c>
      <c r="T190" s="13" t="n">
        <v>0</v>
      </c>
    </row>
    <row r="191" customFormat="false" ht="15.75" hidden="false" customHeight="false" outlineLevel="0" collapsed="false">
      <c r="R191" s="13" t="str">
        <v/>
      </c>
      <c r="S191" s="13" t="str">
        <v/>
      </c>
      <c r="T191" s="13" t="n">
        <v>0</v>
      </c>
    </row>
    <row r="192" customFormat="false" ht="15.75" hidden="false" customHeight="false" outlineLevel="0" collapsed="false">
      <c r="R192" s="13" t="str">
        <v/>
      </c>
      <c r="S192" s="13" t="str">
        <v/>
      </c>
      <c r="T192" s="13" t="n">
        <v>0</v>
      </c>
    </row>
    <row r="193" customFormat="false" ht="15.75" hidden="false" customHeight="false" outlineLevel="0" collapsed="false">
      <c r="R193" s="13" t="str">
        <v/>
      </c>
      <c r="S193" s="13" t="str">
        <v/>
      </c>
      <c r="T193" s="13" t="n">
        <v>0</v>
      </c>
    </row>
    <row r="194" customFormat="false" ht="15.75" hidden="false" customHeight="false" outlineLevel="0" collapsed="false">
      <c r="R194" s="13" t="str">
        <v/>
      </c>
      <c r="S194" s="13" t="str">
        <v/>
      </c>
      <c r="T194" s="13" t="n">
        <v>0</v>
      </c>
    </row>
    <row r="195" customFormat="false" ht="15.75" hidden="false" customHeight="false" outlineLevel="0" collapsed="false">
      <c r="R195" s="13" t="str">
        <v/>
      </c>
      <c r="S195" s="13" t="str">
        <v/>
      </c>
      <c r="T195" s="13" t="n">
        <v>0</v>
      </c>
    </row>
    <row r="196" customFormat="false" ht="15.75" hidden="false" customHeight="false" outlineLevel="0" collapsed="false">
      <c r="R196" s="13" t="str">
        <v/>
      </c>
      <c r="S196" s="13" t="str">
        <v/>
      </c>
      <c r="T196" s="13" t="n">
        <v>0</v>
      </c>
    </row>
    <row r="197" customFormat="false" ht="15.75" hidden="false" customHeight="false" outlineLevel="0" collapsed="false">
      <c r="R197" s="13" t="str">
        <v/>
      </c>
      <c r="S197" s="13" t="str">
        <v/>
      </c>
      <c r="T197" s="13" t="n">
        <v>0</v>
      </c>
    </row>
    <row r="198" customFormat="false" ht="15.75" hidden="false" customHeight="false" outlineLevel="0" collapsed="false">
      <c r="R198" s="13" t="str">
        <v/>
      </c>
      <c r="S198" s="13" t="str">
        <v/>
      </c>
      <c r="T198" s="13" t="n">
        <v>0</v>
      </c>
    </row>
    <row r="199" customFormat="false" ht="15.75" hidden="false" customHeight="false" outlineLevel="0" collapsed="false">
      <c r="R199" s="13" t="str">
        <v/>
      </c>
      <c r="S199" s="13" t="str">
        <v/>
      </c>
      <c r="T199" s="13" t="n">
        <v>0</v>
      </c>
    </row>
    <row r="200" customFormat="false" ht="15.75" hidden="false" customHeight="false" outlineLevel="0" collapsed="false">
      <c r="R200" s="13" t="str">
        <v/>
      </c>
      <c r="S200" s="13" t="str">
        <v/>
      </c>
      <c r="T200" s="13" t="n">
        <v>0</v>
      </c>
    </row>
    <row r="201" customFormat="false" ht="15.75" hidden="false" customHeight="false" outlineLevel="0" collapsed="false">
      <c r="R201" s="13" t="str">
        <v/>
      </c>
      <c r="S201" s="13" t="str">
        <v/>
      </c>
      <c r="T201" s="13" t="n">
        <v>0</v>
      </c>
    </row>
    <row r="202" customFormat="false" ht="15.75" hidden="false" customHeight="false" outlineLevel="0" collapsed="false">
      <c r="R202" s="13" t="str">
        <v/>
      </c>
      <c r="S202" s="13" t="str">
        <v/>
      </c>
      <c r="T202" s="13" t="n">
        <v>0</v>
      </c>
    </row>
    <row r="203" customFormat="false" ht="15.75" hidden="false" customHeight="false" outlineLevel="0" collapsed="false">
      <c r="R203" s="13" t="str">
        <v/>
      </c>
      <c r="S203" s="13" t="str">
        <v/>
      </c>
      <c r="T203" s="13" t="n">
        <v>0</v>
      </c>
    </row>
    <row r="204" customFormat="false" ht="15.75" hidden="false" customHeight="false" outlineLevel="0" collapsed="false">
      <c r="R204" s="13" t="str">
        <v/>
      </c>
      <c r="S204" s="13" t="str">
        <v/>
      </c>
      <c r="T204" s="13" t="n">
        <v>0</v>
      </c>
    </row>
    <row r="205" customFormat="false" ht="15.75" hidden="false" customHeight="false" outlineLevel="0" collapsed="false">
      <c r="R205" s="13" t="str">
        <v/>
      </c>
      <c r="S205" s="13" t="str">
        <v/>
      </c>
      <c r="T205" s="13" t="n">
        <v>0</v>
      </c>
    </row>
    <row r="206" customFormat="false" ht="15.75" hidden="false" customHeight="false" outlineLevel="0" collapsed="false">
      <c r="R206" s="13" t="str">
        <v/>
      </c>
      <c r="S206" s="13" t="str">
        <v/>
      </c>
      <c r="T206" s="13" t="n">
        <v>0</v>
      </c>
    </row>
    <row r="207" customFormat="false" ht="15.75" hidden="false" customHeight="false" outlineLevel="0" collapsed="false">
      <c r="R207" s="13" t="str">
        <v/>
      </c>
      <c r="S207" s="13" t="str">
        <v/>
      </c>
      <c r="T207" s="13" t="n">
        <v>0</v>
      </c>
    </row>
    <row r="208" customFormat="false" ht="15.75" hidden="false" customHeight="false" outlineLevel="0" collapsed="false">
      <c r="R208" s="13" t="str">
        <v/>
      </c>
      <c r="S208" s="13" t="str">
        <v/>
      </c>
      <c r="T208" s="13" t="n">
        <v>0</v>
      </c>
    </row>
    <row r="209" customFormat="false" ht="15.75" hidden="false" customHeight="false" outlineLevel="0" collapsed="false">
      <c r="R209" s="13" t="str">
        <v/>
      </c>
      <c r="S209" s="13" t="str">
        <v/>
      </c>
      <c r="T209" s="13" t="n">
        <v>0</v>
      </c>
    </row>
    <row r="210" customFormat="false" ht="15.75" hidden="false" customHeight="false" outlineLevel="0" collapsed="false">
      <c r="R210" s="13" t="str">
        <v/>
      </c>
      <c r="S210" s="13" t="str">
        <v/>
      </c>
      <c r="T210" s="13" t="n">
        <v>0</v>
      </c>
    </row>
    <row r="211" customFormat="false" ht="15.75" hidden="false" customHeight="false" outlineLevel="0" collapsed="false">
      <c r="R211" s="13" t="str">
        <v/>
      </c>
      <c r="S211" s="13" t="str">
        <v/>
      </c>
      <c r="T211" s="13" t="n">
        <v>0</v>
      </c>
    </row>
    <row r="212" customFormat="false" ht="15.75" hidden="false" customHeight="false" outlineLevel="0" collapsed="false">
      <c r="R212" s="13" t="str">
        <v/>
      </c>
      <c r="S212" s="13" t="str">
        <v/>
      </c>
      <c r="T212" s="13" t="n">
        <v>0</v>
      </c>
    </row>
    <row r="213" customFormat="false" ht="15.75" hidden="false" customHeight="false" outlineLevel="0" collapsed="false">
      <c r="R213" s="13" t="str">
        <v/>
      </c>
      <c r="S213" s="13" t="str">
        <v/>
      </c>
      <c r="T213" s="13" t="n">
        <v>0</v>
      </c>
    </row>
    <row r="214" customFormat="false" ht="15.75" hidden="false" customHeight="false" outlineLevel="0" collapsed="false">
      <c r="R214" s="13" t="str">
        <v/>
      </c>
      <c r="S214" s="13" t="str">
        <v/>
      </c>
      <c r="T214" s="13" t="n">
        <v>0</v>
      </c>
    </row>
    <row r="215" customFormat="false" ht="15.75" hidden="false" customHeight="false" outlineLevel="0" collapsed="false">
      <c r="R215" s="13" t="str">
        <v/>
      </c>
      <c r="S215" s="13" t="str">
        <v/>
      </c>
      <c r="T215" s="13" t="n">
        <v>0</v>
      </c>
    </row>
    <row r="216" customFormat="false" ht="15.75" hidden="false" customHeight="false" outlineLevel="0" collapsed="false">
      <c r="R216" s="13" t="str">
        <v/>
      </c>
      <c r="S216" s="13" t="str">
        <v/>
      </c>
      <c r="T216" s="13" t="n">
        <v>0</v>
      </c>
    </row>
    <row r="217" customFormat="false" ht="15.75" hidden="false" customHeight="false" outlineLevel="0" collapsed="false">
      <c r="R217" s="13" t="str">
        <v/>
      </c>
      <c r="S217" s="13" t="str">
        <v/>
      </c>
      <c r="T217" s="13" t="n">
        <v>0</v>
      </c>
    </row>
    <row r="218" customFormat="false" ht="15.75" hidden="false" customHeight="false" outlineLevel="0" collapsed="false">
      <c r="R218" s="13" t="str">
        <v/>
      </c>
      <c r="S218" s="13" t="str">
        <v/>
      </c>
      <c r="T218" s="13" t="n">
        <v>0</v>
      </c>
    </row>
    <row r="219" customFormat="false" ht="15.75" hidden="false" customHeight="false" outlineLevel="0" collapsed="false">
      <c r="R219" s="13" t="str">
        <v/>
      </c>
      <c r="S219" s="13" t="str">
        <v/>
      </c>
      <c r="T219" s="13" t="n">
        <v>0</v>
      </c>
    </row>
    <row r="220" customFormat="false" ht="15.75" hidden="false" customHeight="false" outlineLevel="0" collapsed="false">
      <c r="R220" s="13" t="str">
        <v/>
      </c>
      <c r="S220" s="13" t="str">
        <v/>
      </c>
      <c r="T220" s="13" t="n">
        <v>0</v>
      </c>
    </row>
    <row r="221" customFormat="false" ht="15.75" hidden="false" customHeight="false" outlineLevel="0" collapsed="false">
      <c r="R221" s="13" t="str">
        <v/>
      </c>
      <c r="S221" s="13" t="str">
        <v/>
      </c>
      <c r="T221" s="13" t="n">
        <v>0</v>
      </c>
    </row>
    <row r="222" customFormat="false" ht="15.75" hidden="false" customHeight="false" outlineLevel="0" collapsed="false">
      <c r="R222" s="13" t="str">
        <v/>
      </c>
      <c r="S222" s="13" t="str">
        <v/>
      </c>
      <c r="T222" s="13" t="n">
        <v>0</v>
      </c>
    </row>
    <row r="223" customFormat="false" ht="15.75" hidden="false" customHeight="false" outlineLevel="0" collapsed="false">
      <c r="R223" s="13" t="str">
        <v/>
      </c>
      <c r="S223" s="13" t="str">
        <v/>
      </c>
      <c r="T223" s="13" t="n">
        <v>0</v>
      </c>
    </row>
    <row r="224" customFormat="false" ht="15.75" hidden="false" customHeight="false" outlineLevel="0" collapsed="false">
      <c r="R224" s="13" t="str">
        <v/>
      </c>
      <c r="S224" s="13" t="str">
        <v/>
      </c>
      <c r="T224" s="13" t="n">
        <v>0</v>
      </c>
    </row>
    <row r="225" customFormat="false" ht="15.75" hidden="false" customHeight="false" outlineLevel="0" collapsed="false">
      <c r="R225" s="13" t="str">
        <v/>
      </c>
      <c r="S225" s="13" t="str">
        <v/>
      </c>
      <c r="T225" s="13" t="n">
        <v>0</v>
      </c>
    </row>
    <row r="226" customFormat="false" ht="15.75" hidden="false" customHeight="false" outlineLevel="0" collapsed="false">
      <c r="R226" s="13" t="str">
        <v/>
      </c>
      <c r="S226" s="13" t="str">
        <v/>
      </c>
      <c r="T226" s="13" t="n">
        <v>0</v>
      </c>
    </row>
    <row r="227" customFormat="false" ht="15.75" hidden="false" customHeight="false" outlineLevel="0" collapsed="false">
      <c r="R227" s="13" t="str">
        <v/>
      </c>
      <c r="S227" s="13" t="str">
        <v/>
      </c>
      <c r="T227" s="13" t="n">
        <v>0</v>
      </c>
    </row>
    <row r="228" customFormat="false" ht="15.75" hidden="false" customHeight="false" outlineLevel="0" collapsed="false">
      <c r="R228" s="13" t="str">
        <v/>
      </c>
      <c r="S228" s="13" t="str">
        <v/>
      </c>
      <c r="T228" s="13" t="n">
        <v>0</v>
      </c>
    </row>
    <row r="229" customFormat="false" ht="15.75" hidden="false" customHeight="false" outlineLevel="0" collapsed="false">
      <c r="R229" s="13" t="str">
        <v/>
      </c>
      <c r="S229" s="13" t="str">
        <v/>
      </c>
      <c r="T229" s="13" t="n">
        <v>0</v>
      </c>
    </row>
    <row r="230" customFormat="false" ht="15.75" hidden="false" customHeight="false" outlineLevel="0" collapsed="false">
      <c r="R230" s="13" t="str">
        <v/>
      </c>
      <c r="S230" s="13" t="str">
        <v/>
      </c>
      <c r="T230" s="13" t="n">
        <v>0</v>
      </c>
    </row>
    <row r="231" customFormat="false" ht="15.75" hidden="false" customHeight="false" outlineLevel="0" collapsed="false">
      <c r="R231" s="13" t="str">
        <v/>
      </c>
      <c r="S231" s="13" t="str">
        <v/>
      </c>
      <c r="T231" s="13" t="n">
        <v>0</v>
      </c>
    </row>
    <row r="232" customFormat="false" ht="15.75" hidden="false" customHeight="false" outlineLevel="0" collapsed="false">
      <c r="R232" s="13" t="str">
        <v/>
      </c>
      <c r="S232" s="13" t="str">
        <v/>
      </c>
      <c r="T232" s="13" t="n">
        <v>0</v>
      </c>
    </row>
    <row r="233" customFormat="false" ht="15.75" hidden="false" customHeight="false" outlineLevel="0" collapsed="false">
      <c r="R233" s="13" t="str">
        <v/>
      </c>
      <c r="S233" s="13" t="str">
        <v/>
      </c>
      <c r="T233" s="13" t="n">
        <v>0</v>
      </c>
    </row>
    <row r="234" customFormat="false" ht="15.75" hidden="false" customHeight="false" outlineLevel="0" collapsed="false">
      <c r="R234" s="13" t="str">
        <v/>
      </c>
      <c r="S234" s="13" t="str">
        <v/>
      </c>
      <c r="T234" s="13" t="n">
        <v>0</v>
      </c>
    </row>
    <row r="235" customFormat="false" ht="15.75" hidden="false" customHeight="false" outlineLevel="0" collapsed="false">
      <c r="R235" s="13" t="str">
        <v/>
      </c>
      <c r="S235" s="13" t="str">
        <v/>
      </c>
      <c r="T235" s="13" t="n">
        <v>0</v>
      </c>
    </row>
    <row r="236" customFormat="false" ht="15.75" hidden="false" customHeight="false" outlineLevel="0" collapsed="false">
      <c r="R236" s="13" t="str">
        <v/>
      </c>
      <c r="S236" s="13" t="str">
        <v/>
      </c>
      <c r="T236" s="13" t="n">
        <v>0</v>
      </c>
    </row>
    <row r="237" customFormat="false" ht="15.75" hidden="false" customHeight="false" outlineLevel="0" collapsed="false">
      <c r="R237" s="13" t="str">
        <v/>
      </c>
      <c r="S237" s="13" t="str">
        <v/>
      </c>
      <c r="T237" s="13" t="n">
        <v>0</v>
      </c>
    </row>
    <row r="238" customFormat="false" ht="15.75" hidden="false" customHeight="false" outlineLevel="0" collapsed="false">
      <c r="R238" s="13" t="str">
        <v/>
      </c>
      <c r="S238" s="13" t="str">
        <v/>
      </c>
      <c r="T238" s="13" t="n">
        <v>0</v>
      </c>
    </row>
    <row r="239" customFormat="false" ht="15.75" hidden="false" customHeight="false" outlineLevel="0" collapsed="false">
      <c r="R239" s="13" t="str">
        <v/>
      </c>
      <c r="S239" s="13" t="str">
        <v/>
      </c>
      <c r="T239" s="13" t="n">
        <v>0</v>
      </c>
    </row>
    <row r="240" customFormat="false" ht="15.75" hidden="false" customHeight="false" outlineLevel="0" collapsed="false">
      <c r="R240" s="13" t="str">
        <v/>
      </c>
      <c r="S240" s="13" t="str">
        <v/>
      </c>
      <c r="T240" s="13" t="n">
        <v>0</v>
      </c>
    </row>
    <row r="241" customFormat="false" ht="15.75" hidden="false" customHeight="false" outlineLevel="0" collapsed="false">
      <c r="R241" s="13" t="str">
        <v/>
      </c>
      <c r="S241" s="13" t="str">
        <v/>
      </c>
      <c r="T241" s="13" t="n">
        <v>0</v>
      </c>
    </row>
    <row r="242" customFormat="false" ht="15.75" hidden="false" customHeight="false" outlineLevel="0" collapsed="false">
      <c r="R242" s="13" t="str">
        <v/>
      </c>
      <c r="S242" s="13" t="str">
        <v/>
      </c>
      <c r="T242" s="13" t="n">
        <v>0</v>
      </c>
    </row>
    <row r="243" customFormat="false" ht="15.75" hidden="false" customHeight="false" outlineLevel="0" collapsed="false">
      <c r="R243" s="13" t="str">
        <v/>
      </c>
      <c r="S243" s="13" t="str">
        <v/>
      </c>
      <c r="T243" s="13" t="n">
        <v>0</v>
      </c>
    </row>
    <row r="244" customFormat="false" ht="15.75" hidden="false" customHeight="false" outlineLevel="0" collapsed="false">
      <c r="R244" s="13" t="str">
        <v/>
      </c>
      <c r="S244" s="13" t="str">
        <v/>
      </c>
      <c r="T244" s="13" t="n">
        <v>0</v>
      </c>
    </row>
    <row r="245" customFormat="false" ht="15.75" hidden="false" customHeight="false" outlineLevel="0" collapsed="false">
      <c r="R245" s="13" t="str">
        <v/>
      </c>
      <c r="S245" s="13" t="str">
        <v/>
      </c>
      <c r="T245" s="13" t="n">
        <v>0</v>
      </c>
    </row>
    <row r="246" customFormat="false" ht="15.75" hidden="false" customHeight="false" outlineLevel="0" collapsed="false">
      <c r="R246" s="13" t="str">
        <v/>
      </c>
      <c r="S246" s="13" t="str">
        <v/>
      </c>
      <c r="T246" s="13" t="n">
        <v>0</v>
      </c>
    </row>
    <row r="247" customFormat="false" ht="15.75" hidden="false" customHeight="false" outlineLevel="0" collapsed="false">
      <c r="R247" s="13" t="str">
        <v/>
      </c>
      <c r="S247" s="13" t="str">
        <v/>
      </c>
      <c r="T247" s="13" t="n">
        <v>0</v>
      </c>
    </row>
    <row r="248" customFormat="false" ht="15.75" hidden="false" customHeight="false" outlineLevel="0" collapsed="false">
      <c r="R248" s="13" t="str">
        <v/>
      </c>
      <c r="S248" s="13" t="str">
        <v/>
      </c>
      <c r="T248" s="13" t="n">
        <v>0</v>
      </c>
    </row>
    <row r="249" customFormat="false" ht="15.75" hidden="false" customHeight="false" outlineLevel="0" collapsed="false">
      <c r="R249" s="13" t="str">
        <v/>
      </c>
      <c r="S249" s="13" t="str">
        <v/>
      </c>
      <c r="T249" s="13" t="n">
        <v>0</v>
      </c>
    </row>
    <row r="250" customFormat="false" ht="15.75" hidden="false" customHeight="false" outlineLevel="0" collapsed="false">
      <c r="R250" s="13" t="str">
        <v/>
      </c>
      <c r="S250" s="13" t="str">
        <v/>
      </c>
      <c r="T250" s="13" t="n">
        <v>0</v>
      </c>
    </row>
    <row r="251" customFormat="false" ht="15.75" hidden="false" customHeight="false" outlineLevel="0" collapsed="false">
      <c r="R251" s="13" t="str">
        <v/>
      </c>
      <c r="S251" s="13" t="str">
        <v/>
      </c>
      <c r="T251" s="13" t="n">
        <v>0</v>
      </c>
    </row>
    <row r="252" customFormat="false" ht="15.75" hidden="false" customHeight="false" outlineLevel="0" collapsed="false">
      <c r="R252" s="13" t="str">
        <v/>
      </c>
      <c r="S252" s="13" t="str">
        <v/>
      </c>
      <c r="T252" s="13" t="n">
        <v>0</v>
      </c>
    </row>
    <row r="253" customFormat="false" ht="15.75" hidden="false" customHeight="false" outlineLevel="0" collapsed="false">
      <c r="R253" s="13" t="str">
        <v/>
      </c>
      <c r="S253" s="13" t="str">
        <v/>
      </c>
      <c r="T253" s="13" t="n">
        <v>0</v>
      </c>
    </row>
    <row r="254" customFormat="false" ht="15.75" hidden="false" customHeight="false" outlineLevel="0" collapsed="false">
      <c r="R254" s="13" t="str">
        <v/>
      </c>
      <c r="S254" s="13" t="str">
        <v/>
      </c>
      <c r="T254" s="13" t="n">
        <v>0</v>
      </c>
    </row>
    <row r="255" customFormat="false" ht="15.75" hidden="false" customHeight="false" outlineLevel="0" collapsed="false">
      <c r="R255" s="13" t="str">
        <v/>
      </c>
      <c r="S255" s="13" t="str">
        <v/>
      </c>
      <c r="T255" s="13" t="n">
        <v>0</v>
      </c>
    </row>
    <row r="256" customFormat="false" ht="15.75" hidden="false" customHeight="false" outlineLevel="0" collapsed="false">
      <c r="R256" s="13" t="str">
        <v/>
      </c>
      <c r="S256" s="13" t="str">
        <v/>
      </c>
      <c r="T256" s="13" t="n">
        <v>0</v>
      </c>
    </row>
    <row r="257" customFormat="false" ht="15.75" hidden="false" customHeight="false" outlineLevel="0" collapsed="false">
      <c r="R257" s="13" t="str">
        <v/>
      </c>
      <c r="S257" s="13" t="str">
        <v/>
      </c>
      <c r="T257" s="13" t="n">
        <v>0</v>
      </c>
    </row>
    <row r="258" customFormat="false" ht="15.75" hidden="false" customHeight="false" outlineLevel="0" collapsed="false">
      <c r="R258" s="13" t="str">
        <v/>
      </c>
      <c r="S258" s="13" t="str">
        <v/>
      </c>
      <c r="T258" s="13" t="n">
        <v>0</v>
      </c>
    </row>
    <row r="259" customFormat="false" ht="15.75" hidden="false" customHeight="false" outlineLevel="0" collapsed="false">
      <c r="R259" s="13" t="str">
        <v/>
      </c>
      <c r="S259" s="13" t="str">
        <v/>
      </c>
      <c r="T259" s="13" t="n">
        <v>0</v>
      </c>
    </row>
    <row r="260" customFormat="false" ht="15.75" hidden="false" customHeight="false" outlineLevel="0" collapsed="false">
      <c r="R260" s="13" t="str">
        <v/>
      </c>
      <c r="S260" s="13" t="str">
        <v/>
      </c>
      <c r="T260" s="13" t="n">
        <v>0</v>
      </c>
    </row>
    <row r="261" customFormat="false" ht="15.75" hidden="false" customHeight="false" outlineLevel="0" collapsed="false">
      <c r="R261" s="13" t="str">
        <v/>
      </c>
      <c r="S261" s="13" t="str">
        <v/>
      </c>
      <c r="T261" s="13" t="n">
        <v>0</v>
      </c>
    </row>
    <row r="262" customFormat="false" ht="15.75" hidden="false" customHeight="false" outlineLevel="0" collapsed="false">
      <c r="R262" s="13" t="str">
        <v/>
      </c>
      <c r="S262" s="13" t="str">
        <v/>
      </c>
      <c r="T262" s="13" t="n">
        <v>0</v>
      </c>
    </row>
    <row r="263" customFormat="false" ht="15.75" hidden="false" customHeight="false" outlineLevel="0" collapsed="false">
      <c r="R263" s="13" t="str">
        <v/>
      </c>
      <c r="S263" s="13" t="str">
        <v/>
      </c>
      <c r="T263" s="13" t="n">
        <v>0</v>
      </c>
    </row>
    <row r="264" customFormat="false" ht="15.75" hidden="false" customHeight="false" outlineLevel="0" collapsed="false">
      <c r="R264" s="13" t="str">
        <v/>
      </c>
      <c r="S264" s="13" t="str">
        <v/>
      </c>
      <c r="T264" s="13" t="n">
        <v>0</v>
      </c>
    </row>
    <row r="265" customFormat="false" ht="15.75" hidden="false" customHeight="false" outlineLevel="0" collapsed="false">
      <c r="R265" s="13" t="str">
        <v/>
      </c>
      <c r="S265" s="13" t="str">
        <v/>
      </c>
      <c r="T265" s="13" t="n">
        <v>0</v>
      </c>
    </row>
    <row r="266" customFormat="false" ht="15.75" hidden="false" customHeight="false" outlineLevel="0" collapsed="false">
      <c r="R266" s="13" t="str">
        <v/>
      </c>
      <c r="S266" s="13" t="str">
        <v/>
      </c>
      <c r="T266" s="13" t="n">
        <v>0</v>
      </c>
    </row>
    <row r="267" customFormat="false" ht="15.75" hidden="false" customHeight="false" outlineLevel="0" collapsed="false">
      <c r="R267" s="13" t="str">
        <v/>
      </c>
      <c r="S267" s="13" t="str">
        <v/>
      </c>
      <c r="T267" s="13" t="n">
        <v>0</v>
      </c>
    </row>
    <row r="268" customFormat="false" ht="15.75" hidden="false" customHeight="false" outlineLevel="0" collapsed="false">
      <c r="R268" s="13" t="str">
        <v/>
      </c>
      <c r="S268" s="13" t="str">
        <v/>
      </c>
      <c r="T268" s="13" t="n">
        <v>0</v>
      </c>
    </row>
    <row r="269" customFormat="false" ht="15.75" hidden="false" customHeight="false" outlineLevel="0" collapsed="false">
      <c r="R269" s="13" t="str">
        <v/>
      </c>
      <c r="S269" s="13" t="str">
        <v/>
      </c>
      <c r="T269" s="13" t="n">
        <v>0</v>
      </c>
    </row>
    <row r="270" customFormat="false" ht="15.75" hidden="false" customHeight="false" outlineLevel="0" collapsed="false">
      <c r="R270" s="13" t="str">
        <v/>
      </c>
      <c r="S270" s="13" t="str">
        <v/>
      </c>
      <c r="T270" s="13" t="n">
        <v>0</v>
      </c>
    </row>
    <row r="271" customFormat="false" ht="15.75" hidden="false" customHeight="false" outlineLevel="0" collapsed="false">
      <c r="R271" s="13" t="str">
        <v/>
      </c>
      <c r="S271" s="13" t="str">
        <v/>
      </c>
      <c r="T271" s="13" t="n">
        <v>0</v>
      </c>
    </row>
    <row r="272" customFormat="false" ht="15.75" hidden="false" customHeight="false" outlineLevel="0" collapsed="false">
      <c r="R272" s="13" t="str">
        <v/>
      </c>
      <c r="S272" s="13" t="str">
        <v/>
      </c>
      <c r="T272" s="13" t="n">
        <v>0</v>
      </c>
    </row>
    <row r="273" customFormat="false" ht="15.75" hidden="false" customHeight="false" outlineLevel="0" collapsed="false">
      <c r="R273" s="13" t="str">
        <v/>
      </c>
      <c r="S273" s="13" t="str">
        <v/>
      </c>
      <c r="T273" s="13" t="n">
        <v>0</v>
      </c>
    </row>
    <row r="274" customFormat="false" ht="15.75" hidden="false" customHeight="false" outlineLevel="0" collapsed="false">
      <c r="R274" s="13" t="str">
        <v/>
      </c>
      <c r="S274" s="13" t="str">
        <v/>
      </c>
      <c r="T274" s="13" t="n">
        <v>0</v>
      </c>
    </row>
    <row r="275" customFormat="false" ht="15.75" hidden="false" customHeight="false" outlineLevel="0" collapsed="false">
      <c r="R275" s="13" t="str">
        <v/>
      </c>
      <c r="S275" s="13" t="str">
        <v/>
      </c>
      <c r="T275" s="13" t="n">
        <v>0</v>
      </c>
    </row>
    <row r="276" customFormat="false" ht="15.75" hidden="false" customHeight="false" outlineLevel="0" collapsed="false">
      <c r="R276" s="13" t="str">
        <v/>
      </c>
      <c r="S276" s="13" t="str">
        <v/>
      </c>
      <c r="T276" s="13" t="n">
        <v>0</v>
      </c>
    </row>
    <row r="277" customFormat="false" ht="15.75" hidden="false" customHeight="false" outlineLevel="0" collapsed="false">
      <c r="R277" s="13" t="str">
        <v/>
      </c>
      <c r="S277" s="13" t="str">
        <v/>
      </c>
      <c r="T277" s="13" t="n">
        <v>0</v>
      </c>
    </row>
    <row r="278" customFormat="false" ht="15.75" hidden="false" customHeight="false" outlineLevel="0" collapsed="false">
      <c r="R278" s="13" t="str">
        <v/>
      </c>
      <c r="S278" s="13" t="str">
        <v/>
      </c>
      <c r="T278" s="13" t="n">
        <v>0</v>
      </c>
    </row>
    <row r="279" customFormat="false" ht="15.75" hidden="false" customHeight="false" outlineLevel="0" collapsed="false">
      <c r="R279" s="13" t="str">
        <v/>
      </c>
      <c r="S279" s="13" t="str">
        <v/>
      </c>
      <c r="T279" s="13" t="n">
        <v>0</v>
      </c>
    </row>
    <row r="280" customFormat="false" ht="15.75" hidden="false" customHeight="false" outlineLevel="0" collapsed="false">
      <c r="R280" s="13" t="str">
        <v/>
      </c>
      <c r="S280" s="13" t="str">
        <v/>
      </c>
      <c r="T280" s="13" t="n">
        <v>0</v>
      </c>
    </row>
    <row r="281" customFormat="false" ht="15.75" hidden="false" customHeight="false" outlineLevel="0" collapsed="false">
      <c r="R281" s="13" t="str">
        <v/>
      </c>
      <c r="S281" s="13" t="str">
        <v/>
      </c>
      <c r="T281" s="13" t="n">
        <v>0</v>
      </c>
    </row>
    <row r="282" customFormat="false" ht="15.75" hidden="false" customHeight="false" outlineLevel="0" collapsed="false">
      <c r="R282" s="13" t="str">
        <v/>
      </c>
      <c r="S282" s="13" t="str">
        <v/>
      </c>
      <c r="T282" s="13" t="n">
        <v>0</v>
      </c>
    </row>
    <row r="283" customFormat="false" ht="15.75" hidden="false" customHeight="false" outlineLevel="0" collapsed="false">
      <c r="R283" s="13" t="str">
        <v/>
      </c>
      <c r="S283" s="13" t="str">
        <v/>
      </c>
      <c r="T283" s="13" t="n">
        <v>0</v>
      </c>
    </row>
    <row r="284" customFormat="false" ht="15.75" hidden="false" customHeight="false" outlineLevel="0" collapsed="false">
      <c r="R284" s="13" t="str">
        <v/>
      </c>
      <c r="S284" s="13" t="str">
        <v/>
      </c>
      <c r="T284" s="13" t="n">
        <v>0</v>
      </c>
    </row>
    <row r="285" customFormat="false" ht="15.75" hidden="false" customHeight="false" outlineLevel="0" collapsed="false">
      <c r="R285" s="13" t="str">
        <v/>
      </c>
      <c r="S285" s="13" t="str">
        <v/>
      </c>
      <c r="T285" s="13" t="n">
        <v>0</v>
      </c>
    </row>
    <row r="286" customFormat="false" ht="15.75" hidden="false" customHeight="false" outlineLevel="0" collapsed="false">
      <c r="R286" s="13" t="str">
        <v/>
      </c>
      <c r="S286" s="13" t="str">
        <v/>
      </c>
      <c r="T286" s="13" t="n">
        <v>0</v>
      </c>
    </row>
    <row r="287" customFormat="false" ht="15.75" hidden="false" customHeight="false" outlineLevel="0" collapsed="false">
      <c r="R287" s="13" t="str">
        <v/>
      </c>
      <c r="S287" s="13" t="str">
        <v/>
      </c>
      <c r="T287" s="13" t="n">
        <v>0</v>
      </c>
    </row>
    <row r="288" customFormat="false" ht="15.75" hidden="false" customHeight="false" outlineLevel="0" collapsed="false">
      <c r="R288" s="13" t="str">
        <v/>
      </c>
      <c r="S288" s="13" t="str">
        <v/>
      </c>
      <c r="T288" s="13" t="n">
        <v>0</v>
      </c>
    </row>
    <row r="289" customFormat="false" ht="15.75" hidden="false" customHeight="false" outlineLevel="0" collapsed="false">
      <c r="R289" s="13" t="str">
        <v/>
      </c>
      <c r="S289" s="13" t="str">
        <v/>
      </c>
      <c r="T289" s="13" t="n">
        <v>0</v>
      </c>
    </row>
    <row r="290" customFormat="false" ht="15.75" hidden="false" customHeight="false" outlineLevel="0" collapsed="false">
      <c r="R290" s="13" t="str">
        <v/>
      </c>
      <c r="S290" s="13" t="str">
        <v/>
      </c>
      <c r="T290" s="13" t="n">
        <v>0</v>
      </c>
    </row>
    <row r="291" customFormat="false" ht="15.75" hidden="false" customHeight="false" outlineLevel="0" collapsed="false">
      <c r="R291" s="13" t="str">
        <v/>
      </c>
      <c r="S291" s="13" t="str">
        <v/>
      </c>
      <c r="T291" s="13" t="n">
        <v>0</v>
      </c>
    </row>
    <row r="292" customFormat="false" ht="15.75" hidden="false" customHeight="false" outlineLevel="0" collapsed="false">
      <c r="R292" s="13" t="str">
        <v/>
      </c>
      <c r="S292" s="13" t="str">
        <v/>
      </c>
      <c r="T292" s="13" t="n">
        <v>0</v>
      </c>
    </row>
    <row r="293" customFormat="false" ht="15.75" hidden="false" customHeight="false" outlineLevel="0" collapsed="false">
      <c r="R293" s="13" t="str">
        <v/>
      </c>
      <c r="S293" s="13" t="str">
        <v/>
      </c>
      <c r="T293" s="13" t="n">
        <v>0</v>
      </c>
    </row>
    <row r="294" customFormat="false" ht="15.75" hidden="false" customHeight="false" outlineLevel="0" collapsed="false">
      <c r="R294" s="13" t="str">
        <v/>
      </c>
      <c r="S294" s="13" t="str">
        <v/>
      </c>
      <c r="T294" s="13" t="n">
        <v>0</v>
      </c>
    </row>
    <row r="295" customFormat="false" ht="15.75" hidden="false" customHeight="false" outlineLevel="0" collapsed="false">
      <c r="R295" s="13" t="str">
        <v/>
      </c>
      <c r="S295" s="13" t="str">
        <v/>
      </c>
      <c r="T295" s="13" t="n">
        <v>0</v>
      </c>
    </row>
    <row r="296" customFormat="false" ht="15.75" hidden="false" customHeight="false" outlineLevel="0" collapsed="false">
      <c r="R296" s="13" t="str">
        <v/>
      </c>
      <c r="S296" s="13" t="str">
        <v/>
      </c>
      <c r="T296" s="13" t="n">
        <v>0</v>
      </c>
    </row>
    <row r="297" customFormat="false" ht="15.75" hidden="false" customHeight="false" outlineLevel="0" collapsed="false">
      <c r="R297" s="13" t="str">
        <v/>
      </c>
      <c r="S297" s="13" t="str">
        <v/>
      </c>
      <c r="T297" s="13" t="n">
        <v>0</v>
      </c>
    </row>
    <row r="298" customFormat="false" ht="15.75" hidden="false" customHeight="false" outlineLevel="0" collapsed="false">
      <c r="R298" s="13" t="str">
        <v/>
      </c>
      <c r="S298" s="13" t="str">
        <v/>
      </c>
      <c r="T298" s="13" t="n">
        <v>0</v>
      </c>
    </row>
    <row r="299" customFormat="false" ht="15.75" hidden="false" customHeight="false" outlineLevel="0" collapsed="false">
      <c r="R299" s="13" t="str">
        <v/>
      </c>
      <c r="S299" s="13" t="str">
        <v/>
      </c>
      <c r="T299" s="13" t="n">
        <v>0</v>
      </c>
    </row>
    <row r="300" customFormat="false" ht="15.75" hidden="false" customHeight="false" outlineLevel="0" collapsed="false">
      <c r="R300" s="13" t="str">
        <v/>
      </c>
      <c r="S300" s="13" t="str">
        <v/>
      </c>
      <c r="T300" s="13" t="n">
        <v>0</v>
      </c>
    </row>
    <row r="301" customFormat="false" ht="15.75" hidden="false" customHeight="false" outlineLevel="0" collapsed="false">
      <c r="R301" s="13" t="str">
        <v/>
      </c>
      <c r="S301" s="13" t="str">
        <v/>
      </c>
      <c r="T301" s="13" t="n">
        <v>0</v>
      </c>
    </row>
    <row r="302" customFormat="false" ht="15.75" hidden="false" customHeight="false" outlineLevel="0" collapsed="false">
      <c r="R302" s="13" t="str">
        <v/>
      </c>
      <c r="S302" s="13" t="str">
        <v/>
      </c>
      <c r="T302" s="13" t="n">
        <v>0</v>
      </c>
    </row>
    <row r="303" customFormat="false" ht="15.75" hidden="false" customHeight="false" outlineLevel="0" collapsed="false">
      <c r="R303" s="13" t="str">
        <v/>
      </c>
      <c r="S303" s="13" t="str">
        <v/>
      </c>
      <c r="T303" s="13" t="n">
        <v>0</v>
      </c>
    </row>
    <row r="304" customFormat="false" ht="15.75" hidden="false" customHeight="false" outlineLevel="0" collapsed="false">
      <c r="R304" s="13" t="str">
        <v/>
      </c>
      <c r="S304" s="13" t="str">
        <v/>
      </c>
      <c r="T304" s="13" t="n">
        <v>0</v>
      </c>
    </row>
    <row r="305" customFormat="false" ht="15.75" hidden="false" customHeight="false" outlineLevel="0" collapsed="false">
      <c r="R305" s="13" t="str">
        <v/>
      </c>
      <c r="S305" s="13" t="str">
        <v/>
      </c>
      <c r="T305" s="13" t="n">
        <v>0</v>
      </c>
    </row>
    <row r="306" customFormat="false" ht="15.75" hidden="false" customHeight="false" outlineLevel="0" collapsed="false">
      <c r="R306" s="13" t="str">
        <v/>
      </c>
      <c r="S306" s="13" t="str">
        <v/>
      </c>
      <c r="T306" s="13" t="n">
        <v>0</v>
      </c>
    </row>
    <row r="307" customFormat="false" ht="15.75" hidden="false" customHeight="false" outlineLevel="0" collapsed="false">
      <c r="R307" s="13" t="str">
        <v/>
      </c>
      <c r="S307" s="13" t="str">
        <v/>
      </c>
      <c r="T307" s="13" t="n">
        <v>0</v>
      </c>
    </row>
    <row r="308" customFormat="false" ht="15.75" hidden="false" customHeight="false" outlineLevel="0" collapsed="false">
      <c r="R308" s="13" t="str">
        <v/>
      </c>
      <c r="S308" s="13" t="str">
        <v/>
      </c>
      <c r="T308" s="13" t="n">
        <v>0</v>
      </c>
    </row>
    <row r="309" customFormat="false" ht="15.75" hidden="false" customHeight="false" outlineLevel="0" collapsed="false">
      <c r="R309" s="13" t="str">
        <v/>
      </c>
      <c r="S309" s="13" t="str">
        <v/>
      </c>
      <c r="T309" s="13" t="n">
        <v>0</v>
      </c>
    </row>
    <row r="310" customFormat="false" ht="15.75" hidden="false" customHeight="false" outlineLevel="0" collapsed="false">
      <c r="R310" s="13" t="str">
        <v/>
      </c>
      <c r="S310" s="13" t="str">
        <v/>
      </c>
      <c r="T310" s="13" t="n">
        <v>0</v>
      </c>
    </row>
    <row r="311" customFormat="false" ht="15.75" hidden="false" customHeight="false" outlineLevel="0" collapsed="false">
      <c r="R311" s="13" t="str">
        <v/>
      </c>
      <c r="S311" s="13" t="str">
        <v/>
      </c>
      <c r="T311" s="13" t="n">
        <v>0</v>
      </c>
    </row>
    <row r="312" customFormat="false" ht="15.75" hidden="false" customHeight="false" outlineLevel="0" collapsed="false">
      <c r="R312" s="13" t="str">
        <v/>
      </c>
      <c r="S312" s="13" t="str">
        <v/>
      </c>
      <c r="T312" s="13" t="n">
        <v>0</v>
      </c>
    </row>
    <row r="313" customFormat="false" ht="15.75" hidden="false" customHeight="false" outlineLevel="0" collapsed="false">
      <c r="R313" s="13" t="str">
        <v/>
      </c>
      <c r="S313" s="13" t="str">
        <v/>
      </c>
      <c r="T313" s="13" t="n">
        <v>0</v>
      </c>
    </row>
    <row r="314" customFormat="false" ht="15.75" hidden="false" customHeight="false" outlineLevel="0" collapsed="false">
      <c r="R314" s="13" t="str">
        <v/>
      </c>
      <c r="S314" s="13" t="str">
        <v/>
      </c>
      <c r="T314" s="13" t="n">
        <v>0</v>
      </c>
    </row>
    <row r="315" customFormat="false" ht="15.75" hidden="false" customHeight="false" outlineLevel="0" collapsed="false">
      <c r="R315" s="13" t="str">
        <v/>
      </c>
      <c r="S315" s="13" t="str">
        <v/>
      </c>
      <c r="T315" s="13" t="n">
        <v>0</v>
      </c>
    </row>
    <row r="316" customFormat="false" ht="15.75" hidden="false" customHeight="false" outlineLevel="0" collapsed="false">
      <c r="R316" s="13" t="str">
        <v/>
      </c>
      <c r="S316" s="13" t="str">
        <v/>
      </c>
      <c r="T316" s="13" t="n">
        <v>0</v>
      </c>
    </row>
    <row r="317" customFormat="false" ht="15.75" hidden="false" customHeight="false" outlineLevel="0" collapsed="false">
      <c r="R317" s="13" t="str">
        <v/>
      </c>
      <c r="S317" s="13" t="str">
        <v/>
      </c>
      <c r="T317" s="13" t="n">
        <v>0</v>
      </c>
    </row>
    <row r="318" customFormat="false" ht="15.75" hidden="false" customHeight="false" outlineLevel="0" collapsed="false">
      <c r="R318" s="13" t="str">
        <v/>
      </c>
      <c r="S318" s="13" t="str">
        <v/>
      </c>
      <c r="T318" s="13" t="n">
        <v>0</v>
      </c>
    </row>
    <row r="319" customFormat="false" ht="15.75" hidden="false" customHeight="false" outlineLevel="0" collapsed="false">
      <c r="R319" s="13" t="str">
        <v/>
      </c>
      <c r="S319" s="13" t="str">
        <v/>
      </c>
      <c r="T319" s="13" t="n">
        <v>0</v>
      </c>
    </row>
    <row r="320" customFormat="false" ht="15.75" hidden="false" customHeight="false" outlineLevel="0" collapsed="false">
      <c r="R320" s="13" t="str">
        <v/>
      </c>
      <c r="S320" s="13" t="str">
        <v/>
      </c>
      <c r="T320" s="13" t="n">
        <v>0</v>
      </c>
    </row>
    <row r="321" customFormat="false" ht="15.75" hidden="false" customHeight="false" outlineLevel="0" collapsed="false">
      <c r="R321" s="13" t="str">
        <v/>
      </c>
      <c r="S321" s="13" t="str">
        <v/>
      </c>
      <c r="T321" s="13" t="n">
        <v>0</v>
      </c>
    </row>
    <row r="322" customFormat="false" ht="15.75" hidden="false" customHeight="false" outlineLevel="0" collapsed="false">
      <c r="R322" s="13" t="str">
        <v/>
      </c>
      <c r="S322" s="13" t="str">
        <v/>
      </c>
      <c r="T322" s="13" t="n">
        <v>0</v>
      </c>
    </row>
    <row r="323" customFormat="false" ht="15.75" hidden="false" customHeight="false" outlineLevel="0" collapsed="false">
      <c r="R323" s="13" t="str">
        <v/>
      </c>
      <c r="S323" s="13" t="str">
        <v/>
      </c>
      <c r="T323" s="13" t="n">
        <v>0</v>
      </c>
    </row>
    <row r="324" customFormat="false" ht="15.75" hidden="false" customHeight="false" outlineLevel="0" collapsed="false">
      <c r="R324" s="13" t="str">
        <v/>
      </c>
      <c r="S324" s="13" t="str">
        <v/>
      </c>
      <c r="T324" s="13" t="n">
        <v>0</v>
      </c>
    </row>
    <row r="325" customFormat="false" ht="15.75" hidden="false" customHeight="false" outlineLevel="0" collapsed="false">
      <c r="R325" s="13" t="str">
        <v/>
      </c>
      <c r="S325" s="13" t="str">
        <v/>
      </c>
      <c r="T325" s="13" t="n">
        <v>0</v>
      </c>
    </row>
    <row r="326" customFormat="false" ht="15.75" hidden="false" customHeight="false" outlineLevel="0" collapsed="false">
      <c r="R326" s="13" t="str">
        <v/>
      </c>
      <c r="S326" s="13" t="str">
        <v/>
      </c>
      <c r="T326" s="13" t="n">
        <v>0</v>
      </c>
    </row>
    <row r="327" customFormat="false" ht="15.75" hidden="false" customHeight="false" outlineLevel="0" collapsed="false">
      <c r="R327" s="13" t="str">
        <v/>
      </c>
      <c r="S327" s="13" t="str">
        <v/>
      </c>
      <c r="T327" s="13" t="n">
        <v>0</v>
      </c>
    </row>
    <row r="328" customFormat="false" ht="15.75" hidden="false" customHeight="false" outlineLevel="0" collapsed="false">
      <c r="R328" s="13" t="str">
        <v/>
      </c>
      <c r="S328" s="13" t="str">
        <v/>
      </c>
      <c r="T328" s="13" t="n">
        <v>0</v>
      </c>
    </row>
    <row r="329" customFormat="false" ht="15.75" hidden="false" customHeight="false" outlineLevel="0" collapsed="false">
      <c r="R329" s="13" t="str">
        <v/>
      </c>
      <c r="S329" s="13" t="str">
        <v/>
      </c>
      <c r="T329" s="13" t="n">
        <v>0</v>
      </c>
    </row>
    <row r="330" customFormat="false" ht="15.75" hidden="false" customHeight="false" outlineLevel="0" collapsed="false">
      <c r="R330" s="13" t="str">
        <v/>
      </c>
      <c r="S330" s="13" t="str">
        <v/>
      </c>
      <c r="T330" s="13" t="n">
        <v>0</v>
      </c>
    </row>
    <row r="331" customFormat="false" ht="15.75" hidden="false" customHeight="false" outlineLevel="0" collapsed="false">
      <c r="R331" s="13" t="str">
        <v/>
      </c>
      <c r="S331" s="13" t="str">
        <v/>
      </c>
      <c r="T331" s="13" t="n">
        <v>0</v>
      </c>
    </row>
    <row r="332" customFormat="false" ht="15.75" hidden="false" customHeight="false" outlineLevel="0" collapsed="false">
      <c r="R332" s="13" t="str">
        <v/>
      </c>
      <c r="S332" s="13" t="str">
        <v/>
      </c>
      <c r="T332" s="13" t="n">
        <v>0</v>
      </c>
    </row>
    <row r="333" customFormat="false" ht="15.75" hidden="false" customHeight="false" outlineLevel="0" collapsed="false">
      <c r="R333" s="13" t="str">
        <v/>
      </c>
      <c r="S333" s="13" t="str">
        <v/>
      </c>
      <c r="T333" s="13" t="n">
        <v>0</v>
      </c>
    </row>
    <row r="334" customFormat="false" ht="15.75" hidden="false" customHeight="false" outlineLevel="0" collapsed="false">
      <c r="R334" s="13" t="str">
        <v/>
      </c>
      <c r="S334" s="13" t="str">
        <v/>
      </c>
      <c r="T334" s="13" t="n">
        <v>0</v>
      </c>
    </row>
    <row r="335" customFormat="false" ht="15.75" hidden="false" customHeight="false" outlineLevel="0" collapsed="false">
      <c r="R335" s="13" t="str">
        <v/>
      </c>
      <c r="S335" s="13" t="str">
        <v/>
      </c>
      <c r="T335" s="13" t="n">
        <v>0</v>
      </c>
    </row>
    <row r="336" customFormat="false" ht="15.75" hidden="false" customHeight="false" outlineLevel="0" collapsed="false">
      <c r="R336" s="13" t="str">
        <v/>
      </c>
      <c r="S336" s="13" t="str">
        <v/>
      </c>
      <c r="T336" s="13" t="n">
        <v>0</v>
      </c>
    </row>
    <row r="337" customFormat="false" ht="15.75" hidden="false" customHeight="false" outlineLevel="0" collapsed="false">
      <c r="R337" s="13" t="str">
        <v/>
      </c>
      <c r="S337" s="13" t="str">
        <v/>
      </c>
      <c r="T337" s="13" t="n">
        <v>0</v>
      </c>
    </row>
    <row r="338" customFormat="false" ht="15.75" hidden="false" customHeight="false" outlineLevel="0" collapsed="false">
      <c r="R338" s="13" t="str">
        <v/>
      </c>
      <c r="S338" s="13" t="str">
        <v/>
      </c>
      <c r="T338" s="13" t="n">
        <v>0</v>
      </c>
    </row>
    <row r="339" customFormat="false" ht="15.75" hidden="false" customHeight="false" outlineLevel="0" collapsed="false">
      <c r="R339" s="13" t="str">
        <v/>
      </c>
      <c r="S339" s="13" t="str">
        <v/>
      </c>
      <c r="T339" s="13" t="n">
        <v>0</v>
      </c>
    </row>
    <row r="340" customFormat="false" ht="15.75" hidden="false" customHeight="false" outlineLevel="0" collapsed="false">
      <c r="R340" s="13" t="str">
        <v/>
      </c>
      <c r="S340" s="13" t="str">
        <v/>
      </c>
      <c r="T340" s="13" t="n">
        <v>0</v>
      </c>
    </row>
    <row r="341" customFormat="false" ht="15.75" hidden="false" customHeight="false" outlineLevel="0" collapsed="false">
      <c r="R341" s="13" t="str">
        <v/>
      </c>
      <c r="S341" s="13" t="str">
        <v/>
      </c>
      <c r="T341" s="13" t="n">
        <v>0</v>
      </c>
    </row>
    <row r="342" customFormat="false" ht="15.75" hidden="false" customHeight="false" outlineLevel="0" collapsed="false">
      <c r="R342" s="13" t="str">
        <v/>
      </c>
      <c r="S342" s="13" t="str">
        <v/>
      </c>
      <c r="T342" s="13" t="n">
        <v>0</v>
      </c>
    </row>
    <row r="343" customFormat="false" ht="15.75" hidden="false" customHeight="false" outlineLevel="0" collapsed="false">
      <c r="R343" s="13" t="str">
        <v/>
      </c>
      <c r="S343" s="13" t="str">
        <v/>
      </c>
      <c r="T343" s="13" t="n">
        <v>0</v>
      </c>
    </row>
    <row r="344" customFormat="false" ht="15.75" hidden="false" customHeight="false" outlineLevel="0" collapsed="false">
      <c r="R344" s="13" t="str">
        <v/>
      </c>
      <c r="S344" s="13" t="str">
        <v/>
      </c>
      <c r="T344" s="13" t="n">
        <v>0</v>
      </c>
    </row>
    <row r="345" customFormat="false" ht="15.75" hidden="false" customHeight="false" outlineLevel="0" collapsed="false">
      <c r="R345" s="13" t="str">
        <v/>
      </c>
      <c r="S345" s="13" t="str">
        <v/>
      </c>
      <c r="T345" s="13" t="n">
        <v>0</v>
      </c>
    </row>
    <row r="346" customFormat="false" ht="15.75" hidden="false" customHeight="false" outlineLevel="0" collapsed="false">
      <c r="R346" s="13" t="str">
        <v/>
      </c>
      <c r="S346" s="13" t="str">
        <v/>
      </c>
      <c r="T346" s="13" t="n">
        <v>0</v>
      </c>
    </row>
    <row r="347" customFormat="false" ht="15.75" hidden="false" customHeight="false" outlineLevel="0" collapsed="false">
      <c r="R347" s="13" t="str">
        <v/>
      </c>
      <c r="S347" s="13" t="str">
        <v/>
      </c>
      <c r="T347" s="13" t="n">
        <v>0</v>
      </c>
    </row>
    <row r="348" customFormat="false" ht="15.75" hidden="false" customHeight="false" outlineLevel="0" collapsed="false">
      <c r="R348" s="13" t="str">
        <v/>
      </c>
      <c r="S348" s="13" t="str">
        <v/>
      </c>
      <c r="T348" s="13" t="n">
        <v>0</v>
      </c>
    </row>
    <row r="349" customFormat="false" ht="15.75" hidden="false" customHeight="false" outlineLevel="0" collapsed="false">
      <c r="R349" s="13" t="str">
        <v/>
      </c>
      <c r="S349" s="13" t="str">
        <v/>
      </c>
      <c r="T349" s="13" t="n">
        <v>0</v>
      </c>
    </row>
    <row r="350" customFormat="false" ht="15.75" hidden="false" customHeight="false" outlineLevel="0" collapsed="false">
      <c r="R350" s="13" t="str">
        <v/>
      </c>
      <c r="S350" s="13" t="str">
        <v/>
      </c>
      <c r="T350" s="13" t="n">
        <v>0</v>
      </c>
    </row>
    <row r="351" customFormat="false" ht="15.75" hidden="false" customHeight="false" outlineLevel="0" collapsed="false">
      <c r="R351" s="13" t="str">
        <v/>
      </c>
      <c r="S351" s="13" t="str">
        <v/>
      </c>
      <c r="T351" s="13" t="n">
        <v>0</v>
      </c>
    </row>
    <row r="352" customFormat="false" ht="15.75" hidden="false" customHeight="false" outlineLevel="0" collapsed="false">
      <c r="R352" s="13" t="str">
        <v/>
      </c>
      <c r="S352" s="13" t="str">
        <v/>
      </c>
      <c r="T352" s="13" t="n">
        <v>0</v>
      </c>
    </row>
    <row r="353" customFormat="false" ht="15.75" hidden="false" customHeight="false" outlineLevel="0" collapsed="false">
      <c r="R353" s="13" t="str">
        <v/>
      </c>
      <c r="S353" s="13" t="str">
        <v/>
      </c>
      <c r="T353" s="13" t="n">
        <v>0</v>
      </c>
    </row>
    <row r="354" customFormat="false" ht="15.75" hidden="false" customHeight="false" outlineLevel="0" collapsed="false">
      <c r="R354" s="13" t="str">
        <v/>
      </c>
      <c r="S354" s="13" t="str">
        <v/>
      </c>
      <c r="T354" s="13" t="n">
        <v>0</v>
      </c>
    </row>
    <row r="355" customFormat="false" ht="15.75" hidden="false" customHeight="false" outlineLevel="0" collapsed="false">
      <c r="R355" s="13" t="str">
        <v/>
      </c>
      <c r="S355" s="13" t="str">
        <v/>
      </c>
      <c r="T355" s="13" t="n">
        <v>0</v>
      </c>
    </row>
    <row r="356" customFormat="false" ht="15.75" hidden="false" customHeight="false" outlineLevel="0" collapsed="false">
      <c r="R356" s="13" t="str">
        <v/>
      </c>
      <c r="S356" s="13" t="str">
        <v/>
      </c>
      <c r="T356" s="13" t="n">
        <v>0</v>
      </c>
    </row>
    <row r="357" customFormat="false" ht="15.75" hidden="false" customHeight="false" outlineLevel="0" collapsed="false">
      <c r="R357" s="13" t="str">
        <v/>
      </c>
      <c r="S357" s="13" t="str">
        <v/>
      </c>
      <c r="T357" s="13" t="n">
        <v>0</v>
      </c>
    </row>
    <row r="358" customFormat="false" ht="15.75" hidden="false" customHeight="false" outlineLevel="0" collapsed="false">
      <c r="R358" s="13" t="str">
        <v/>
      </c>
      <c r="S358" s="13" t="str">
        <v/>
      </c>
      <c r="T358" s="13" t="n">
        <v>0</v>
      </c>
    </row>
    <row r="359" customFormat="false" ht="15.75" hidden="false" customHeight="false" outlineLevel="0" collapsed="false">
      <c r="R359" s="13" t="str">
        <v/>
      </c>
      <c r="S359" s="13" t="str">
        <v/>
      </c>
      <c r="T359" s="13" t="n">
        <v>0</v>
      </c>
    </row>
    <row r="360" customFormat="false" ht="15.75" hidden="false" customHeight="false" outlineLevel="0" collapsed="false">
      <c r="R360" s="13" t="str">
        <v/>
      </c>
      <c r="S360" s="13" t="str">
        <v/>
      </c>
      <c r="T360" s="13" t="n">
        <v>0</v>
      </c>
    </row>
    <row r="361" customFormat="false" ht="15.75" hidden="false" customHeight="false" outlineLevel="0" collapsed="false">
      <c r="R361" s="13" t="str">
        <v/>
      </c>
      <c r="S361" s="13" t="str">
        <v/>
      </c>
      <c r="T361" s="13" t="n">
        <v>0</v>
      </c>
    </row>
    <row r="362" customFormat="false" ht="15.75" hidden="false" customHeight="false" outlineLevel="0" collapsed="false">
      <c r="R362" s="13" t="str">
        <v/>
      </c>
      <c r="S362" s="13" t="str">
        <v/>
      </c>
      <c r="T362" s="13" t="n">
        <v>0</v>
      </c>
    </row>
    <row r="363" customFormat="false" ht="15.75" hidden="false" customHeight="false" outlineLevel="0" collapsed="false">
      <c r="R363" s="13" t="str">
        <v/>
      </c>
      <c r="S363" s="13" t="str">
        <v/>
      </c>
      <c r="T363" s="13" t="n">
        <v>0</v>
      </c>
    </row>
    <row r="364" customFormat="false" ht="15.75" hidden="false" customHeight="false" outlineLevel="0" collapsed="false">
      <c r="R364" s="13" t="str">
        <v/>
      </c>
      <c r="S364" s="13" t="str">
        <v/>
      </c>
      <c r="T364" s="13" t="n">
        <v>0</v>
      </c>
    </row>
    <row r="365" customFormat="false" ht="15.75" hidden="false" customHeight="false" outlineLevel="0" collapsed="false">
      <c r="R365" s="13" t="str">
        <v/>
      </c>
      <c r="S365" s="13" t="str">
        <v/>
      </c>
      <c r="T365" s="13" t="n">
        <v>0</v>
      </c>
    </row>
    <row r="366" customFormat="false" ht="15.75" hidden="false" customHeight="false" outlineLevel="0" collapsed="false">
      <c r="R366" s="13" t="str">
        <v/>
      </c>
      <c r="S366" s="13" t="str">
        <v/>
      </c>
      <c r="T366" s="13" t="n">
        <v>0</v>
      </c>
    </row>
    <row r="367" customFormat="false" ht="15.75" hidden="false" customHeight="false" outlineLevel="0" collapsed="false">
      <c r="R367" s="13" t="str">
        <v/>
      </c>
      <c r="S367" s="13" t="str">
        <v/>
      </c>
      <c r="T367" s="13" t="n">
        <v>0</v>
      </c>
    </row>
    <row r="368" customFormat="false" ht="15.75" hidden="false" customHeight="false" outlineLevel="0" collapsed="false">
      <c r="R368" s="13" t="str">
        <v/>
      </c>
      <c r="S368" s="13" t="str">
        <v/>
      </c>
      <c r="T368" s="13" t="n">
        <v>0</v>
      </c>
    </row>
    <row r="369" customFormat="false" ht="15.75" hidden="false" customHeight="false" outlineLevel="0" collapsed="false">
      <c r="R369" s="13" t="str">
        <v/>
      </c>
      <c r="S369" s="13" t="str">
        <v/>
      </c>
      <c r="T369" s="13" t="n">
        <v>0</v>
      </c>
    </row>
    <row r="370" customFormat="false" ht="15.75" hidden="false" customHeight="false" outlineLevel="0" collapsed="false">
      <c r="R370" s="13" t="str">
        <v/>
      </c>
      <c r="S370" s="13" t="str">
        <v/>
      </c>
      <c r="T370" s="13" t="n">
        <v>0</v>
      </c>
    </row>
    <row r="371" customFormat="false" ht="15.75" hidden="false" customHeight="false" outlineLevel="0" collapsed="false">
      <c r="R371" s="13" t="str">
        <v/>
      </c>
      <c r="S371" s="13" t="str">
        <v/>
      </c>
      <c r="T371" s="13" t="n">
        <v>0</v>
      </c>
    </row>
    <row r="372" customFormat="false" ht="15.75" hidden="false" customHeight="false" outlineLevel="0" collapsed="false">
      <c r="R372" s="13" t="str">
        <v/>
      </c>
      <c r="S372" s="13" t="str">
        <v/>
      </c>
      <c r="T372" s="13" t="n">
        <v>0</v>
      </c>
    </row>
    <row r="373" customFormat="false" ht="15.75" hidden="false" customHeight="false" outlineLevel="0" collapsed="false">
      <c r="R373" s="13" t="str">
        <v/>
      </c>
      <c r="S373" s="13" t="str">
        <v/>
      </c>
      <c r="T373" s="13" t="n">
        <v>0</v>
      </c>
    </row>
    <row r="374" customFormat="false" ht="15.75" hidden="false" customHeight="false" outlineLevel="0" collapsed="false">
      <c r="R374" s="13" t="str">
        <v/>
      </c>
      <c r="S374" s="13" t="str">
        <v/>
      </c>
      <c r="T374" s="13" t="n">
        <v>0</v>
      </c>
    </row>
    <row r="375" customFormat="false" ht="15.75" hidden="false" customHeight="false" outlineLevel="0" collapsed="false">
      <c r="R375" s="13" t="str">
        <v/>
      </c>
      <c r="S375" s="13" t="str">
        <v/>
      </c>
      <c r="T375" s="13" t="n">
        <v>0</v>
      </c>
    </row>
    <row r="376" customFormat="false" ht="15.75" hidden="false" customHeight="false" outlineLevel="0" collapsed="false">
      <c r="R376" s="13" t="str">
        <v/>
      </c>
      <c r="S376" s="13" t="str">
        <v/>
      </c>
      <c r="T376" s="13" t="n">
        <v>0</v>
      </c>
    </row>
    <row r="377" customFormat="false" ht="15.75" hidden="false" customHeight="false" outlineLevel="0" collapsed="false">
      <c r="R377" s="13" t="str">
        <v/>
      </c>
      <c r="S377" s="13" t="str">
        <v/>
      </c>
      <c r="T377" s="13" t="n">
        <v>0</v>
      </c>
    </row>
    <row r="378" customFormat="false" ht="15.75" hidden="false" customHeight="false" outlineLevel="0" collapsed="false">
      <c r="R378" s="13" t="str">
        <v/>
      </c>
      <c r="S378" s="13" t="str">
        <v/>
      </c>
      <c r="T378" s="13" t="n">
        <v>0</v>
      </c>
    </row>
    <row r="379" customFormat="false" ht="15.75" hidden="false" customHeight="false" outlineLevel="0" collapsed="false">
      <c r="R379" s="13" t="str">
        <v/>
      </c>
      <c r="S379" s="13" t="str">
        <v/>
      </c>
      <c r="T379" s="13" t="n">
        <v>0</v>
      </c>
    </row>
    <row r="380" customFormat="false" ht="15.75" hidden="false" customHeight="false" outlineLevel="0" collapsed="false">
      <c r="R380" s="13" t="str">
        <v/>
      </c>
      <c r="S380" s="13" t="str">
        <v/>
      </c>
      <c r="T380" s="13" t="n">
        <v>0</v>
      </c>
    </row>
    <row r="381" customFormat="false" ht="15.75" hidden="false" customHeight="false" outlineLevel="0" collapsed="false">
      <c r="R381" s="13" t="str">
        <v/>
      </c>
      <c r="S381" s="13" t="str">
        <v/>
      </c>
      <c r="T381" s="13" t="n">
        <v>0</v>
      </c>
    </row>
    <row r="382" customFormat="false" ht="15.75" hidden="false" customHeight="false" outlineLevel="0" collapsed="false">
      <c r="R382" s="13" t="str">
        <v/>
      </c>
      <c r="S382" s="13" t="str">
        <v/>
      </c>
      <c r="T382" s="13" t="n">
        <v>0</v>
      </c>
    </row>
    <row r="383" customFormat="false" ht="15.75" hidden="false" customHeight="false" outlineLevel="0" collapsed="false">
      <c r="R383" s="13" t="str">
        <v/>
      </c>
      <c r="S383" s="13" t="str">
        <v/>
      </c>
      <c r="T383" s="13" t="n">
        <v>0</v>
      </c>
    </row>
    <row r="384" customFormat="false" ht="15.75" hidden="false" customHeight="false" outlineLevel="0" collapsed="false">
      <c r="R384" s="13" t="str">
        <v/>
      </c>
      <c r="S384" s="13" t="str">
        <v/>
      </c>
      <c r="T384" s="13" t="n">
        <v>0</v>
      </c>
    </row>
    <row r="385" customFormat="false" ht="15.75" hidden="false" customHeight="false" outlineLevel="0" collapsed="false">
      <c r="R385" s="13" t="str">
        <v/>
      </c>
      <c r="S385" s="13" t="str">
        <v/>
      </c>
      <c r="T385" s="13" t="n">
        <v>0</v>
      </c>
    </row>
    <row r="386" customFormat="false" ht="15.75" hidden="false" customHeight="false" outlineLevel="0" collapsed="false">
      <c r="R386" s="13" t="str">
        <v/>
      </c>
      <c r="S386" s="13" t="str">
        <v/>
      </c>
      <c r="T386" s="13" t="n">
        <v>0</v>
      </c>
    </row>
    <row r="387" customFormat="false" ht="15.75" hidden="false" customHeight="false" outlineLevel="0" collapsed="false">
      <c r="R387" s="13" t="str">
        <v/>
      </c>
      <c r="S387" s="13" t="str">
        <v/>
      </c>
      <c r="T387" s="13" t="n">
        <v>0</v>
      </c>
    </row>
    <row r="388" customFormat="false" ht="15.75" hidden="false" customHeight="false" outlineLevel="0" collapsed="false">
      <c r="R388" s="13" t="str">
        <v/>
      </c>
      <c r="S388" s="13" t="str">
        <v/>
      </c>
      <c r="T388" s="13" t="n">
        <v>0</v>
      </c>
    </row>
    <row r="389" customFormat="false" ht="15.75" hidden="false" customHeight="false" outlineLevel="0" collapsed="false">
      <c r="R389" s="13" t="str">
        <v/>
      </c>
      <c r="S389" s="13" t="str">
        <v/>
      </c>
      <c r="T389" s="13" t="n">
        <v>0</v>
      </c>
    </row>
    <row r="390" customFormat="false" ht="15.75" hidden="false" customHeight="false" outlineLevel="0" collapsed="false">
      <c r="R390" s="13" t="str">
        <v/>
      </c>
      <c r="S390" s="13" t="str">
        <v/>
      </c>
      <c r="T390" s="13" t="n">
        <v>0</v>
      </c>
    </row>
    <row r="391" customFormat="false" ht="15.75" hidden="false" customHeight="false" outlineLevel="0" collapsed="false">
      <c r="R391" s="13" t="str">
        <v/>
      </c>
      <c r="S391" s="13" t="str">
        <v/>
      </c>
      <c r="T391" s="13" t="n">
        <v>0</v>
      </c>
    </row>
    <row r="392" customFormat="false" ht="15.75" hidden="false" customHeight="false" outlineLevel="0" collapsed="false">
      <c r="R392" s="13" t="str">
        <v/>
      </c>
      <c r="S392" s="13" t="str">
        <v/>
      </c>
      <c r="T392" s="13" t="n">
        <v>0</v>
      </c>
    </row>
    <row r="393" customFormat="false" ht="15.75" hidden="false" customHeight="false" outlineLevel="0" collapsed="false">
      <c r="R393" s="13" t="str">
        <v/>
      </c>
      <c r="S393" s="13" t="str">
        <v/>
      </c>
      <c r="T393" s="13" t="n">
        <v>0</v>
      </c>
    </row>
    <row r="394" customFormat="false" ht="15.75" hidden="false" customHeight="false" outlineLevel="0" collapsed="false">
      <c r="R394" s="13" t="str">
        <v/>
      </c>
      <c r="S394" s="13" t="str">
        <v/>
      </c>
      <c r="T394" s="13" t="n">
        <v>0</v>
      </c>
    </row>
    <row r="395" customFormat="false" ht="15.75" hidden="false" customHeight="false" outlineLevel="0" collapsed="false">
      <c r="R395" s="13" t="str">
        <v/>
      </c>
      <c r="S395" s="13" t="str">
        <v/>
      </c>
      <c r="T395" s="13" t="n">
        <v>0</v>
      </c>
    </row>
    <row r="396" customFormat="false" ht="15.75" hidden="false" customHeight="false" outlineLevel="0" collapsed="false">
      <c r="R396" s="13" t="str">
        <v/>
      </c>
      <c r="S396" s="13" t="str">
        <v/>
      </c>
      <c r="T396" s="13" t="n">
        <v>0</v>
      </c>
    </row>
    <row r="397" customFormat="false" ht="15.75" hidden="false" customHeight="false" outlineLevel="0" collapsed="false">
      <c r="R397" s="13" t="str">
        <v/>
      </c>
      <c r="S397" s="13" t="str">
        <v/>
      </c>
      <c r="T397" s="13" t="n">
        <v>0</v>
      </c>
    </row>
    <row r="398" customFormat="false" ht="15.75" hidden="false" customHeight="false" outlineLevel="0" collapsed="false">
      <c r="R398" s="13" t="str">
        <v/>
      </c>
      <c r="S398" s="13" t="str">
        <v/>
      </c>
      <c r="T398" s="13" t="n">
        <v>0</v>
      </c>
    </row>
    <row r="399" customFormat="false" ht="15.75" hidden="false" customHeight="false" outlineLevel="0" collapsed="false">
      <c r="R399" s="13" t="str">
        <v/>
      </c>
      <c r="S399" s="13" t="str">
        <v/>
      </c>
      <c r="T399" s="13" t="n">
        <v>0</v>
      </c>
    </row>
    <row r="400" customFormat="false" ht="15.75" hidden="false" customHeight="false" outlineLevel="0" collapsed="false">
      <c r="R400" s="13" t="str">
        <v/>
      </c>
      <c r="S400" s="13" t="str">
        <v/>
      </c>
      <c r="T400" s="13" t="n">
        <v>0</v>
      </c>
    </row>
    <row r="401" customFormat="false" ht="15.75" hidden="false" customHeight="false" outlineLevel="0" collapsed="false">
      <c r="R401" s="13" t="str">
        <v/>
      </c>
      <c r="S401" s="13" t="str">
        <v/>
      </c>
      <c r="T401" s="13" t="n">
        <v>0</v>
      </c>
    </row>
    <row r="402" customFormat="false" ht="15.75" hidden="false" customHeight="false" outlineLevel="0" collapsed="false">
      <c r="R402" s="13" t="str">
        <v/>
      </c>
      <c r="S402" s="13" t="str">
        <v/>
      </c>
      <c r="T402" s="13" t="n">
        <v>0</v>
      </c>
    </row>
    <row r="403" customFormat="false" ht="15.75" hidden="false" customHeight="false" outlineLevel="0" collapsed="false">
      <c r="R403" s="13" t="str">
        <v/>
      </c>
      <c r="S403" s="13" t="str">
        <v/>
      </c>
      <c r="T403" s="13" t="n">
        <v>0</v>
      </c>
    </row>
    <row r="404" customFormat="false" ht="15.75" hidden="false" customHeight="false" outlineLevel="0" collapsed="false">
      <c r="R404" s="13" t="str">
        <v/>
      </c>
      <c r="S404" s="13" t="str">
        <v/>
      </c>
      <c r="T404" s="13" t="n">
        <v>0</v>
      </c>
    </row>
    <row r="405" customFormat="false" ht="15.75" hidden="false" customHeight="false" outlineLevel="0" collapsed="false">
      <c r="R405" s="13" t="str">
        <v/>
      </c>
      <c r="S405" s="13" t="str">
        <v/>
      </c>
      <c r="T405" s="13" t="n">
        <v>0</v>
      </c>
    </row>
    <row r="406" customFormat="false" ht="15.75" hidden="false" customHeight="false" outlineLevel="0" collapsed="false">
      <c r="R406" s="13" t="str">
        <v/>
      </c>
      <c r="S406" s="13" t="str">
        <v/>
      </c>
      <c r="T406" s="13" t="n">
        <v>0</v>
      </c>
    </row>
    <row r="407" customFormat="false" ht="15.75" hidden="false" customHeight="false" outlineLevel="0" collapsed="false">
      <c r="R407" s="13" t="str">
        <v/>
      </c>
      <c r="S407" s="13" t="str">
        <v/>
      </c>
      <c r="T407" s="13" t="n">
        <v>0</v>
      </c>
    </row>
    <row r="408" customFormat="false" ht="15.75" hidden="false" customHeight="false" outlineLevel="0" collapsed="false">
      <c r="R408" s="13" t="str">
        <v/>
      </c>
      <c r="S408" s="13" t="str">
        <v/>
      </c>
      <c r="T408" s="13" t="n">
        <v>0</v>
      </c>
    </row>
    <row r="409" customFormat="false" ht="15.75" hidden="false" customHeight="false" outlineLevel="0" collapsed="false">
      <c r="R409" s="13" t="str">
        <v/>
      </c>
      <c r="S409" s="13" t="str">
        <v/>
      </c>
      <c r="T409" s="13" t="n">
        <v>0</v>
      </c>
    </row>
    <row r="410" customFormat="false" ht="15.75" hidden="false" customHeight="false" outlineLevel="0" collapsed="false">
      <c r="R410" s="13" t="str">
        <v/>
      </c>
      <c r="S410" s="13" t="str">
        <v/>
      </c>
      <c r="T410" s="13" t="n">
        <v>0</v>
      </c>
    </row>
    <row r="411" customFormat="false" ht="15.75" hidden="false" customHeight="false" outlineLevel="0" collapsed="false">
      <c r="R411" s="13" t="str">
        <v/>
      </c>
      <c r="S411" s="13" t="str">
        <v/>
      </c>
      <c r="T411" s="13" t="n">
        <v>0</v>
      </c>
    </row>
    <row r="412" customFormat="false" ht="15.75" hidden="false" customHeight="false" outlineLevel="0" collapsed="false">
      <c r="R412" s="13" t="str">
        <v/>
      </c>
      <c r="S412" s="13" t="str">
        <v/>
      </c>
      <c r="T412" s="13" t="n">
        <v>0</v>
      </c>
    </row>
    <row r="413" customFormat="false" ht="15.75" hidden="false" customHeight="false" outlineLevel="0" collapsed="false">
      <c r="R413" s="13" t="str">
        <v/>
      </c>
      <c r="S413" s="13" t="str">
        <v/>
      </c>
      <c r="T413" s="13" t="n">
        <v>0</v>
      </c>
    </row>
    <row r="414" customFormat="false" ht="15.75" hidden="false" customHeight="false" outlineLevel="0" collapsed="false">
      <c r="R414" s="13" t="str">
        <v/>
      </c>
      <c r="S414" s="13" t="str">
        <v/>
      </c>
      <c r="T414" s="13" t="n">
        <v>0</v>
      </c>
    </row>
    <row r="415" customFormat="false" ht="15.75" hidden="false" customHeight="false" outlineLevel="0" collapsed="false">
      <c r="R415" s="13" t="str">
        <v/>
      </c>
      <c r="S415" s="13" t="str">
        <v/>
      </c>
      <c r="T415" s="13" t="n">
        <v>0</v>
      </c>
    </row>
    <row r="416" customFormat="false" ht="15.75" hidden="false" customHeight="false" outlineLevel="0" collapsed="false">
      <c r="R416" s="13" t="str">
        <v/>
      </c>
      <c r="S416" s="13" t="str">
        <v/>
      </c>
      <c r="T416" s="13" t="n">
        <v>0</v>
      </c>
    </row>
    <row r="417" customFormat="false" ht="15.75" hidden="false" customHeight="false" outlineLevel="0" collapsed="false">
      <c r="R417" s="13" t="str">
        <v/>
      </c>
      <c r="S417" s="13" t="str">
        <v/>
      </c>
      <c r="T417" s="13" t="n">
        <v>0</v>
      </c>
    </row>
    <row r="418" customFormat="false" ht="15.75" hidden="false" customHeight="false" outlineLevel="0" collapsed="false">
      <c r="R418" s="13" t="str">
        <v/>
      </c>
      <c r="S418" s="13" t="str">
        <v/>
      </c>
      <c r="T418" s="13" t="n">
        <v>0</v>
      </c>
    </row>
    <row r="419" customFormat="false" ht="15.75" hidden="false" customHeight="false" outlineLevel="0" collapsed="false">
      <c r="R419" s="13" t="str">
        <v/>
      </c>
      <c r="S419" s="13" t="str">
        <v/>
      </c>
      <c r="T419" s="13" t="n">
        <v>0</v>
      </c>
    </row>
    <row r="420" customFormat="false" ht="15.75" hidden="false" customHeight="false" outlineLevel="0" collapsed="false">
      <c r="R420" s="13" t="str">
        <v/>
      </c>
      <c r="S420" s="13" t="str">
        <v/>
      </c>
      <c r="T420" s="13" t="n">
        <v>0</v>
      </c>
    </row>
    <row r="421" customFormat="false" ht="15.75" hidden="false" customHeight="false" outlineLevel="0" collapsed="false">
      <c r="R421" s="13" t="str">
        <v/>
      </c>
      <c r="S421" s="13" t="str">
        <v/>
      </c>
      <c r="T421" s="13" t="n">
        <v>0</v>
      </c>
    </row>
    <row r="422" customFormat="false" ht="15.75" hidden="false" customHeight="false" outlineLevel="0" collapsed="false">
      <c r="R422" s="13" t="str">
        <v/>
      </c>
      <c r="S422" s="13" t="str">
        <v/>
      </c>
      <c r="T422" s="13" t="n">
        <v>0</v>
      </c>
    </row>
    <row r="423" customFormat="false" ht="15.75" hidden="false" customHeight="false" outlineLevel="0" collapsed="false">
      <c r="R423" s="13" t="str">
        <v/>
      </c>
      <c r="S423" s="13" t="str">
        <v/>
      </c>
      <c r="T423" s="13" t="n">
        <v>0</v>
      </c>
    </row>
    <row r="424" customFormat="false" ht="15.75" hidden="false" customHeight="false" outlineLevel="0" collapsed="false">
      <c r="R424" s="13" t="str">
        <v/>
      </c>
      <c r="S424" s="13" t="str">
        <v/>
      </c>
      <c r="T424" s="13" t="n">
        <v>0</v>
      </c>
    </row>
    <row r="425" customFormat="false" ht="15.75" hidden="false" customHeight="false" outlineLevel="0" collapsed="false">
      <c r="R425" s="13" t="str">
        <v/>
      </c>
      <c r="S425" s="13" t="str">
        <v/>
      </c>
      <c r="T425" s="13" t="n">
        <v>0</v>
      </c>
    </row>
    <row r="426" customFormat="false" ht="15.75" hidden="false" customHeight="false" outlineLevel="0" collapsed="false">
      <c r="R426" s="13" t="str">
        <v/>
      </c>
      <c r="S426" s="13" t="str">
        <v/>
      </c>
      <c r="T426" s="13" t="n">
        <v>0</v>
      </c>
    </row>
    <row r="427" customFormat="false" ht="15.75" hidden="false" customHeight="false" outlineLevel="0" collapsed="false">
      <c r="R427" s="13" t="str">
        <v/>
      </c>
      <c r="S427" s="13" t="str">
        <v/>
      </c>
      <c r="T427" s="13" t="n">
        <v>0</v>
      </c>
    </row>
    <row r="428" customFormat="false" ht="15.75" hidden="false" customHeight="false" outlineLevel="0" collapsed="false">
      <c r="R428" s="13" t="str">
        <v/>
      </c>
      <c r="S428" s="13" t="str">
        <v/>
      </c>
      <c r="T428" s="13" t="n">
        <v>0</v>
      </c>
    </row>
    <row r="429" customFormat="false" ht="15.75" hidden="false" customHeight="false" outlineLevel="0" collapsed="false">
      <c r="R429" s="13" t="str">
        <v/>
      </c>
      <c r="S429" s="13" t="str">
        <v/>
      </c>
      <c r="T429" s="13" t="n">
        <v>0</v>
      </c>
    </row>
    <row r="430" customFormat="false" ht="15.75" hidden="false" customHeight="false" outlineLevel="0" collapsed="false">
      <c r="R430" s="13" t="str">
        <v/>
      </c>
      <c r="S430" s="13" t="str">
        <v/>
      </c>
      <c r="T430" s="13" t="n">
        <v>0</v>
      </c>
    </row>
    <row r="431" customFormat="false" ht="15.75" hidden="false" customHeight="false" outlineLevel="0" collapsed="false">
      <c r="R431" s="13" t="str">
        <v/>
      </c>
      <c r="S431" s="13" t="str">
        <v/>
      </c>
      <c r="T431" s="13" t="n">
        <v>0</v>
      </c>
    </row>
    <row r="432" customFormat="false" ht="15.75" hidden="false" customHeight="false" outlineLevel="0" collapsed="false">
      <c r="R432" s="13" t="str">
        <v/>
      </c>
      <c r="S432" s="13" t="str">
        <v/>
      </c>
      <c r="T432" s="13" t="n">
        <v>0</v>
      </c>
    </row>
    <row r="433" customFormat="false" ht="15.75" hidden="false" customHeight="false" outlineLevel="0" collapsed="false">
      <c r="R433" s="13" t="str">
        <v/>
      </c>
      <c r="S433" s="13" t="str">
        <v/>
      </c>
      <c r="T433" s="13" t="n">
        <v>0</v>
      </c>
    </row>
    <row r="434" customFormat="false" ht="15.75" hidden="false" customHeight="false" outlineLevel="0" collapsed="false">
      <c r="R434" s="13" t="str">
        <v/>
      </c>
      <c r="S434" s="13" t="str">
        <v/>
      </c>
      <c r="T434" s="13" t="n">
        <v>0</v>
      </c>
    </row>
    <row r="435" customFormat="false" ht="15.75" hidden="false" customHeight="false" outlineLevel="0" collapsed="false">
      <c r="R435" s="13" t="str">
        <v/>
      </c>
      <c r="S435" s="13" t="str">
        <v/>
      </c>
      <c r="T435" s="13" t="n">
        <v>0</v>
      </c>
    </row>
    <row r="436" customFormat="false" ht="15.75" hidden="false" customHeight="false" outlineLevel="0" collapsed="false">
      <c r="R436" s="13" t="str">
        <v/>
      </c>
      <c r="S436" s="13" t="str">
        <v/>
      </c>
      <c r="T436" s="13" t="n">
        <v>0</v>
      </c>
    </row>
    <row r="437" customFormat="false" ht="15.75" hidden="false" customHeight="false" outlineLevel="0" collapsed="false">
      <c r="R437" s="13" t="str">
        <v/>
      </c>
      <c r="S437" s="13" t="str">
        <v/>
      </c>
      <c r="T437" s="13" t="n">
        <v>0</v>
      </c>
    </row>
    <row r="438" customFormat="false" ht="15.75" hidden="false" customHeight="false" outlineLevel="0" collapsed="false">
      <c r="R438" s="13" t="str">
        <v/>
      </c>
      <c r="S438" s="13" t="str">
        <v/>
      </c>
      <c r="T438" s="13" t="n">
        <v>0</v>
      </c>
    </row>
    <row r="439" customFormat="false" ht="15.75" hidden="false" customHeight="false" outlineLevel="0" collapsed="false">
      <c r="R439" s="13" t="str">
        <v/>
      </c>
      <c r="S439" s="13" t="str">
        <v/>
      </c>
      <c r="T439" s="13" t="n">
        <v>0</v>
      </c>
    </row>
    <row r="440" customFormat="false" ht="15.75" hidden="false" customHeight="false" outlineLevel="0" collapsed="false">
      <c r="R440" s="13" t="str">
        <v/>
      </c>
      <c r="S440" s="13" t="str">
        <v/>
      </c>
      <c r="T440" s="13" t="n">
        <v>0</v>
      </c>
    </row>
    <row r="441" customFormat="false" ht="15.75" hidden="false" customHeight="false" outlineLevel="0" collapsed="false">
      <c r="R441" s="13" t="str">
        <v/>
      </c>
      <c r="S441" s="13" t="str">
        <v/>
      </c>
      <c r="T441" s="13" t="n">
        <v>0</v>
      </c>
    </row>
    <row r="442" customFormat="false" ht="15.75" hidden="false" customHeight="false" outlineLevel="0" collapsed="false">
      <c r="R442" s="13" t="str">
        <v/>
      </c>
      <c r="S442" s="13" t="str">
        <v/>
      </c>
      <c r="T442" s="13" t="n">
        <v>0</v>
      </c>
    </row>
    <row r="443" customFormat="false" ht="15.75" hidden="false" customHeight="false" outlineLevel="0" collapsed="false">
      <c r="R443" s="13" t="str">
        <v/>
      </c>
      <c r="S443" s="13" t="str">
        <v/>
      </c>
      <c r="T443" s="13" t="n">
        <v>0</v>
      </c>
    </row>
    <row r="444" customFormat="false" ht="15.75" hidden="false" customHeight="false" outlineLevel="0" collapsed="false">
      <c r="R444" s="13" t="str">
        <v/>
      </c>
      <c r="S444" s="13" t="str">
        <v/>
      </c>
      <c r="T444" s="13" t="n">
        <v>0</v>
      </c>
    </row>
    <row r="445" customFormat="false" ht="15.75" hidden="false" customHeight="false" outlineLevel="0" collapsed="false">
      <c r="R445" s="13" t="str">
        <v/>
      </c>
      <c r="S445" s="13" t="str">
        <v/>
      </c>
      <c r="T445" s="13" t="n">
        <v>0</v>
      </c>
    </row>
    <row r="446" customFormat="false" ht="15.75" hidden="false" customHeight="false" outlineLevel="0" collapsed="false">
      <c r="R446" s="13" t="str">
        <v/>
      </c>
      <c r="S446" s="13" t="str">
        <v/>
      </c>
      <c r="T446" s="13" t="n">
        <v>0</v>
      </c>
    </row>
    <row r="447" customFormat="false" ht="15.75" hidden="false" customHeight="false" outlineLevel="0" collapsed="false">
      <c r="R447" s="13" t="str">
        <v/>
      </c>
      <c r="S447" s="13" t="str">
        <v/>
      </c>
      <c r="T447" s="13" t="n">
        <v>0</v>
      </c>
    </row>
    <row r="448" customFormat="false" ht="15.75" hidden="false" customHeight="false" outlineLevel="0" collapsed="false">
      <c r="R448" s="13" t="str">
        <v/>
      </c>
      <c r="S448" s="13" t="str">
        <v/>
      </c>
      <c r="T448" s="13" t="n">
        <v>0</v>
      </c>
    </row>
    <row r="449" customFormat="false" ht="15.75" hidden="false" customHeight="false" outlineLevel="0" collapsed="false">
      <c r="R449" s="13" t="str">
        <v/>
      </c>
      <c r="S449" s="13" t="str">
        <v/>
      </c>
      <c r="T449" s="13" t="n">
        <v>0</v>
      </c>
    </row>
    <row r="450" customFormat="false" ht="15.75" hidden="false" customHeight="false" outlineLevel="0" collapsed="false">
      <c r="R450" s="13" t="str">
        <v/>
      </c>
      <c r="S450" s="13" t="str">
        <v/>
      </c>
      <c r="T450" s="13" t="n">
        <v>0</v>
      </c>
    </row>
    <row r="451" customFormat="false" ht="15.75" hidden="false" customHeight="false" outlineLevel="0" collapsed="false">
      <c r="R451" s="13" t="str">
        <v/>
      </c>
      <c r="S451" s="13" t="str">
        <v/>
      </c>
      <c r="T451" s="13" t="n">
        <v>0</v>
      </c>
    </row>
    <row r="452" customFormat="false" ht="15.75" hidden="false" customHeight="false" outlineLevel="0" collapsed="false">
      <c r="R452" s="13" t="str">
        <v/>
      </c>
      <c r="S452" s="13" t="str">
        <v/>
      </c>
      <c r="T452" s="13" t="n">
        <v>0</v>
      </c>
    </row>
    <row r="453" customFormat="false" ht="15.75" hidden="false" customHeight="false" outlineLevel="0" collapsed="false">
      <c r="R453" s="13" t="str">
        <v/>
      </c>
      <c r="S453" s="13" t="str">
        <v/>
      </c>
      <c r="T453" s="13" t="n">
        <v>0</v>
      </c>
    </row>
    <row r="454" customFormat="false" ht="15.75" hidden="false" customHeight="false" outlineLevel="0" collapsed="false">
      <c r="R454" s="13" t="str">
        <v/>
      </c>
      <c r="S454" s="13" t="str">
        <v/>
      </c>
      <c r="T454" s="13" t="n">
        <v>0</v>
      </c>
    </row>
    <row r="455" customFormat="false" ht="15.75" hidden="false" customHeight="false" outlineLevel="0" collapsed="false">
      <c r="R455" s="13" t="str">
        <v/>
      </c>
      <c r="S455" s="13" t="str">
        <v/>
      </c>
      <c r="T455" s="13" t="n">
        <v>0</v>
      </c>
    </row>
    <row r="456" customFormat="false" ht="15.75" hidden="false" customHeight="false" outlineLevel="0" collapsed="false">
      <c r="R456" s="13" t="str">
        <v/>
      </c>
      <c r="S456" s="13" t="str">
        <v/>
      </c>
      <c r="T456" s="13" t="n">
        <v>0</v>
      </c>
    </row>
    <row r="457" customFormat="false" ht="15.75" hidden="false" customHeight="false" outlineLevel="0" collapsed="false">
      <c r="R457" s="13" t="str">
        <v/>
      </c>
      <c r="S457" s="13" t="str">
        <v/>
      </c>
      <c r="T457" s="13" t="n">
        <v>0</v>
      </c>
    </row>
    <row r="458" customFormat="false" ht="15.75" hidden="false" customHeight="false" outlineLevel="0" collapsed="false">
      <c r="R458" s="13" t="str">
        <v/>
      </c>
      <c r="S458" s="13" t="str">
        <v/>
      </c>
      <c r="T458" s="13" t="n">
        <v>0</v>
      </c>
    </row>
    <row r="459" customFormat="false" ht="15.75" hidden="false" customHeight="false" outlineLevel="0" collapsed="false">
      <c r="R459" s="13" t="str">
        <v/>
      </c>
      <c r="S459" s="13" t="str">
        <v/>
      </c>
      <c r="T459" s="13" t="n">
        <v>0</v>
      </c>
    </row>
    <row r="460" customFormat="false" ht="15.75" hidden="false" customHeight="false" outlineLevel="0" collapsed="false">
      <c r="R460" s="13" t="str">
        <v/>
      </c>
      <c r="S460" s="13" t="str">
        <v/>
      </c>
      <c r="T460" s="13" t="n">
        <v>0</v>
      </c>
    </row>
    <row r="461" customFormat="false" ht="15.75" hidden="false" customHeight="false" outlineLevel="0" collapsed="false">
      <c r="R461" s="13" t="str">
        <v/>
      </c>
      <c r="S461" s="13" t="str">
        <v/>
      </c>
      <c r="T461" s="13" t="n">
        <v>0</v>
      </c>
    </row>
    <row r="462" customFormat="false" ht="15.75" hidden="false" customHeight="false" outlineLevel="0" collapsed="false">
      <c r="R462" s="13" t="str">
        <v/>
      </c>
      <c r="S462" s="13" t="str">
        <v/>
      </c>
      <c r="T462" s="13" t="n">
        <v>0</v>
      </c>
    </row>
    <row r="463" customFormat="false" ht="15.75" hidden="false" customHeight="false" outlineLevel="0" collapsed="false">
      <c r="R463" s="13" t="str">
        <v/>
      </c>
      <c r="S463" s="13" t="str">
        <v/>
      </c>
      <c r="T463" s="13" t="n">
        <v>0</v>
      </c>
    </row>
    <row r="464" customFormat="false" ht="15.75" hidden="false" customHeight="false" outlineLevel="0" collapsed="false">
      <c r="R464" s="13" t="str">
        <v/>
      </c>
      <c r="S464" s="13" t="str">
        <v/>
      </c>
      <c r="T464" s="13" t="n">
        <v>0</v>
      </c>
    </row>
    <row r="465" customFormat="false" ht="15.75" hidden="false" customHeight="false" outlineLevel="0" collapsed="false">
      <c r="R465" s="13" t="str">
        <v/>
      </c>
      <c r="S465" s="13" t="str">
        <v/>
      </c>
      <c r="T465" s="13" t="n">
        <v>0</v>
      </c>
    </row>
    <row r="466" customFormat="false" ht="15.75" hidden="false" customHeight="false" outlineLevel="0" collapsed="false">
      <c r="R466" s="13" t="str">
        <v/>
      </c>
      <c r="S466" s="13" t="str">
        <v/>
      </c>
      <c r="T466" s="13" t="n">
        <v>0</v>
      </c>
    </row>
    <row r="467" customFormat="false" ht="15.75" hidden="false" customHeight="false" outlineLevel="0" collapsed="false">
      <c r="R467" s="13" t="str">
        <v/>
      </c>
      <c r="S467" s="13" t="str">
        <v/>
      </c>
      <c r="T467" s="13" t="n">
        <v>0</v>
      </c>
    </row>
    <row r="468" customFormat="false" ht="15.75" hidden="false" customHeight="false" outlineLevel="0" collapsed="false">
      <c r="R468" s="13" t="str">
        <v/>
      </c>
      <c r="S468" s="13" t="str">
        <v/>
      </c>
      <c r="T468" s="13" t="n">
        <v>0</v>
      </c>
    </row>
    <row r="469" customFormat="false" ht="15.75" hidden="false" customHeight="false" outlineLevel="0" collapsed="false">
      <c r="R469" s="13" t="str">
        <v/>
      </c>
      <c r="S469" s="13" t="str">
        <v/>
      </c>
      <c r="T469" s="13" t="n">
        <v>0</v>
      </c>
    </row>
    <row r="470" customFormat="false" ht="15.75" hidden="false" customHeight="false" outlineLevel="0" collapsed="false">
      <c r="R470" s="13" t="str">
        <v/>
      </c>
      <c r="S470" s="13" t="str">
        <v/>
      </c>
      <c r="T470" s="13" t="n">
        <v>0</v>
      </c>
    </row>
    <row r="471" customFormat="false" ht="15.75" hidden="false" customHeight="false" outlineLevel="0" collapsed="false">
      <c r="R471" s="13" t="str">
        <v/>
      </c>
      <c r="S471" s="13" t="str">
        <v/>
      </c>
      <c r="T471" s="13" t="n">
        <v>0</v>
      </c>
    </row>
    <row r="472" customFormat="false" ht="15.75" hidden="false" customHeight="false" outlineLevel="0" collapsed="false">
      <c r="R472" s="13" t="str">
        <v/>
      </c>
      <c r="S472" s="13" t="str">
        <v/>
      </c>
      <c r="T472" s="13" t="n">
        <v>0</v>
      </c>
    </row>
    <row r="473" customFormat="false" ht="15.75" hidden="false" customHeight="false" outlineLevel="0" collapsed="false">
      <c r="R473" s="13" t="str">
        <v/>
      </c>
      <c r="S473" s="13" t="str">
        <v/>
      </c>
      <c r="T473" s="13" t="n">
        <v>0</v>
      </c>
    </row>
    <row r="474" customFormat="false" ht="15.75" hidden="false" customHeight="false" outlineLevel="0" collapsed="false">
      <c r="R474" s="13" t="str">
        <v/>
      </c>
      <c r="S474" s="13" t="str">
        <v/>
      </c>
      <c r="T474" s="13" t="n">
        <v>0</v>
      </c>
    </row>
    <row r="475" customFormat="false" ht="15.75" hidden="false" customHeight="false" outlineLevel="0" collapsed="false">
      <c r="R475" s="13" t="str">
        <v/>
      </c>
      <c r="S475" s="13" t="str">
        <v/>
      </c>
      <c r="T475" s="13" t="n">
        <v>0</v>
      </c>
    </row>
    <row r="476" customFormat="false" ht="15.75" hidden="false" customHeight="false" outlineLevel="0" collapsed="false">
      <c r="R476" s="13" t="str">
        <v/>
      </c>
      <c r="S476" s="13" t="str">
        <v/>
      </c>
      <c r="T476" s="13" t="n">
        <v>0</v>
      </c>
    </row>
    <row r="477" customFormat="false" ht="15.75" hidden="false" customHeight="false" outlineLevel="0" collapsed="false">
      <c r="R477" s="13" t="str">
        <v/>
      </c>
      <c r="S477" s="13" t="str">
        <v/>
      </c>
      <c r="T477" s="13" t="n">
        <v>0</v>
      </c>
    </row>
    <row r="478" customFormat="false" ht="15.75" hidden="false" customHeight="false" outlineLevel="0" collapsed="false">
      <c r="R478" s="13" t="str">
        <v/>
      </c>
      <c r="S478" s="13" t="str">
        <v/>
      </c>
      <c r="T478" s="13" t="n">
        <v>0</v>
      </c>
    </row>
    <row r="479" customFormat="false" ht="15.75" hidden="false" customHeight="false" outlineLevel="0" collapsed="false">
      <c r="R479" s="13" t="str">
        <v/>
      </c>
      <c r="S479" s="13" t="str">
        <v/>
      </c>
      <c r="T479" s="13" t="n">
        <v>0</v>
      </c>
    </row>
    <row r="480" customFormat="false" ht="15.75" hidden="false" customHeight="false" outlineLevel="0" collapsed="false">
      <c r="R480" s="13" t="str">
        <v/>
      </c>
      <c r="S480" s="13" t="str">
        <v/>
      </c>
      <c r="T480" s="13" t="n">
        <v>0</v>
      </c>
    </row>
    <row r="481" customFormat="false" ht="15.75" hidden="false" customHeight="false" outlineLevel="0" collapsed="false">
      <c r="R481" s="13" t="str">
        <v/>
      </c>
      <c r="S481" s="13" t="str">
        <v/>
      </c>
      <c r="T481" s="13" t="n">
        <v>0</v>
      </c>
    </row>
    <row r="482" customFormat="false" ht="15.75" hidden="false" customHeight="false" outlineLevel="0" collapsed="false">
      <c r="R482" s="13" t="str">
        <v/>
      </c>
      <c r="S482" s="13" t="str">
        <v/>
      </c>
      <c r="T482" s="13" t="n">
        <v>0</v>
      </c>
    </row>
    <row r="483" customFormat="false" ht="15.75" hidden="false" customHeight="false" outlineLevel="0" collapsed="false">
      <c r="R483" s="13" t="str">
        <v/>
      </c>
      <c r="S483" s="13" t="str">
        <v/>
      </c>
      <c r="T483" s="13" t="n">
        <v>0</v>
      </c>
    </row>
    <row r="484" customFormat="false" ht="15.75" hidden="false" customHeight="false" outlineLevel="0" collapsed="false">
      <c r="R484" s="13" t="str">
        <v/>
      </c>
      <c r="S484" s="13" t="str">
        <v/>
      </c>
      <c r="T484" s="13" t="n">
        <v>0</v>
      </c>
    </row>
    <row r="485" customFormat="false" ht="15.75" hidden="false" customHeight="false" outlineLevel="0" collapsed="false">
      <c r="R485" s="13" t="str">
        <v/>
      </c>
      <c r="S485" s="13" t="str">
        <v/>
      </c>
      <c r="T485" s="13" t="n">
        <v>0</v>
      </c>
    </row>
    <row r="486" customFormat="false" ht="15.75" hidden="false" customHeight="false" outlineLevel="0" collapsed="false">
      <c r="R486" s="13" t="str">
        <v/>
      </c>
      <c r="S486" s="13" t="str">
        <v/>
      </c>
      <c r="T486" s="13" t="n">
        <v>0</v>
      </c>
    </row>
    <row r="487" customFormat="false" ht="15.75" hidden="false" customHeight="false" outlineLevel="0" collapsed="false">
      <c r="R487" s="13" t="str">
        <v/>
      </c>
      <c r="S487" s="13" t="str">
        <v/>
      </c>
      <c r="T487" s="13" t="n">
        <v>0</v>
      </c>
    </row>
    <row r="488" customFormat="false" ht="15.75" hidden="false" customHeight="false" outlineLevel="0" collapsed="false">
      <c r="R488" s="13" t="str">
        <v/>
      </c>
      <c r="S488" s="13" t="str">
        <v/>
      </c>
      <c r="T488" s="13" t="n">
        <v>0</v>
      </c>
    </row>
    <row r="489" customFormat="false" ht="15.75" hidden="false" customHeight="false" outlineLevel="0" collapsed="false">
      <c r="R489" s="13" t="str">
        <v/>
      </c>
      <c r="S489" s="13" t="str">
        <v/>
      </c>
      <c r="T489" s="13" t="n">
        <v>0</v>
      </c>
    </row>
    <row r="490" customFormat="false" ht="15.75" hidden="false" customHeight="false" outlineLevel="0" collapsed="false">
      <c r="R490" s="13" t="str">
        <v/>
      </c>
      <c r="S490" s="13" t="str">
        <v/>
      </c>
      <c r="T490" s="13" t="n">
        <v>0</v>
      </c>
    </row>
    <row r="491" customFormat="false" ht="15.75" hidden="false" customHeight="false" outlineLevel="0" collapsed="false">
      <c r="R491" s="13" t="str">
        <v/>
      </c>
      <c r="S491" s="13" t="str">
        <v/>
      </c>
      <c r="T491" s="13" t="n">
        <v>0</v>
      </c>
    </row>
    <row r="492" customFormat="false" ht="15.75" hidden="false" customHeight="false" outlineLevel="0" collapsed="false">
      <c r="R492" s="13" t="str">
        <v/>
      </c>
      <c r="S492" s="13" t="str">
        <v/>
      </c>
      <c r="T492" s="13" t="n">
        <v>0</v>
      </c>
    </row>
    <row r="493" customFormat="false" ht="15.75" hidden="false" customHeight="false" outlineLevel="0" collapsed="false">
      <c r="R493" s="13" t="str">
        <v/>
      </c>
      <c r="S493" s="13" t="str">
        <v/>
      </c>
      <c r="T493" s="13" t="n">
        <v>0</v>
      </c>
    </row>
    <row r="494" customFormat="false" ht="15.75" hidden="false" customHeight="false" outlineLevel="0" collapsed="false">
      <c r="R494" s="13" t="str">
        <v/>
      </c>
      <c r="S494" s="13" t="str">
        <v/>
      </c>
      <c r="T494" s="13" t="n">
        <v>0</v>
      </c>
    </row>
    <row r="495" customFormat="false" ht="15.75" hidden="false" customHeight="false" outlineLevel="0" collapsed="false">
      <c r="R495" s="13" t="str">
        <v/>
      </c>
      <c r="S495" s="13" t="str">
        <v/>
      </c>
      <c r="T495" s="13" t="n">
        <v>0</v>
      </c>
    </row>
    <row r="496" customFormat="false" ht="15.75" hidden="false" customHeight="false" outlineLevel="0" collapsed="false">
      <c r="R496" s="13" t="str">
        <v/>
      </c>
      <c r="S496" s="13" t="str">
        <v/>
      </c>
      <c r="T496" s="13" t="n">
        <v>0</v>
      </c>
    </row>
    <row r="497" customFormat="false" ht="15.75" hidden="false" customHeight="false" outlineLevel="0" collapsed="false">
      <c r="R497" s="13" t="str">
        <v/>
      </c>
      <c r="S497" s="13" t="str">
        <v/>
      </c>
      <c r="T497" s="13" t="n">
        <v>0</v>
      </c>
    </row>
    <row r="498" customFormat="false" ht="15.75" hidden="false" customHeight="false" outlineLevel="0" collapsed="false">
      <c r="R498" s="13" t="str">
        <v/>
      </c>
      <c r="S498" s="13" t="str">
        <v/>
      </c>
      <c r="T498" s="13" t="n">
        <v>0</v>
      </c>
    </row>
    <row r="499" customFormat="false" ht="15.75" hidden="false" customHeight="false" outlineLevel="0" collapsed="false">
      <c r="R499" s="13" t="str">
        <v/>
      </c>
      <c r="S499" s="13" t="str">
        <v/>
      </c>
      <c r="T499" s="13" t="n">
        <v>0</v>
      </c>
    </row>
    <row r="500" customFormat="false" ht="15.75" hidden="false" customHeight="false" outlineLevel="0" collapsed="false">
      <c r="R500" s="13" t="str">
        <v/>
      </c>
      <c r="S500" s="13" t="str">
        <v/>
      </c>
      <c r="T500" s="13" t="n">
        <v>0</v>
      </c>
    </row>
    <row r="501" customFormat="false" ht="15.75" hidden="false" customHeight="false" outlineLevel="0" collapsed="false">
      <c r="R501" s="13" t="str">
        <v/>
      </c>
      <c r="S501" s="13" t="str">
        <v/>
      </c>
      <c r="T501" s="13" t="n">
        <v>0</v>
      </c>
    </row>
    <row r="502" customFormat="false" ht="15.75" hidden="false" customHeight="false" outlineLevel="0" collapsed="false">
      <c r="R502" s="13" t="str">
        <v/>
      </c>
      <c r="S502" s="13" t="str">
        <v/>
      </c>
      <c r="T502" s="13" t="n">
        <v>0</v>
      </c>
    </row>
    <row r="503" customFormat="false" ht="15.75" hidden="false" customHeight="false" outlineLevel="0" collapsed="false">
      <c r="R503" s="13" t="str">
        <v/>
      </c>
      <c r="S503" s="13" t="str">
        <v/>
      </c>
      <c r="T503" s="13" t="n">
        <v>0</v>
      </c>
    </row>
    <row r="504" customFormat="false" ht="15.75" hidden="false" customHeight="false" outlineLevel="0" collapsed="false">
      <c r="R504" s="13" t="str">
        <v/>
      </c>
      <c r="S504" s="13" t="str">
        <v/>
      </c>
      <c r="T504" s="13" t="n">
        <v>0</v>
      </c>
    </row>
    <row r="505" customFormat="false" ht="15.75" hidden="false" customHeight="false" outlineLevel="0" collapsed="false">
      <c r="R505" s="13" t="str">
        <v/>
      </c>
      <c r="S505" s="13" t="str">
        <v/>
      </c>
      <c r="T505" s="13" t="n">
        <v>0</v>
      </c>
    </row>
    <row r="506" customFormat="false" ht="15.75" hidden="false" customHeight="false" outlineLevel="0" collapsed="false">
      <c r="R506" s="13" t="str">
        <v/>
      </c>
      <c r="S506" s="13" t="str">
        <v/>
      </c>
      <c r="T506" s="13" t="n">
        <v>0</v>
      </c>
    </row>
    <row r="507" customFormat="false" ht="15.75" hidden="false" customHeight="false" outlineLevel="0" collapsed="false">
      <c r="R507" s="13" t="str">
        <v/>
      </c>
      <c r="S507" s="13" t="str">
        <v/>
      </c>
      <c r="T507" s="13" t="n">
        <v>0</v>
      </c>
    </row>
    <row r="508" customFormat="false" ht="15.75" hidden="false" customHeight="false" outlineLevel="0" collapsed="false">
      <c r="R508" s="13" t="str">
        <v/>
      </c>
      <c r="S508" s="13" t="str">
        <v/>
      </c>
      <c r="T508" s="13" t="n">
        <v>0</v>
      </c>
    </row>
    <row r="509" customFormat="false" ht="15.75" hidden="false" customHeight="false" outlineLevel="0" collapsed="false">
      <c r="R509" s="13" t="str">
        <v/>
      </c>
      <c r="S509" s="13" t="str">
        <v/>
      </c>
      <c r="T509" s="13" t="n">
        <v>0</v>
      </c>
    </row>
    <row r="510" customFormat="false" ht="15.75" hidden="false" customHeight="false" outlineLevel="0" collapsed="false">
      <c r="R510" s="13" t="str">
        <v/>
      </c>
      <c r="S510" s="13" t="str">
        <v/>
      </c>
      <c r="T510" s="13" t="n">
        <v>0</v>
      </c>
    </row>
    <row r="511" customFormat="false" ht="15.75" hidden="false" customHeight="false" outlineLevel="0" collapsed="false">
      <c r="R511" s="13" t="str">
        <v/>
      </c>
      <c r="S511" s="13" t="str">
        <v/>
      </c>
      <c r="T511" s="13" t="n">
        <v>0</v>
      </c>
    </row>
    <row r="512" customFormat="false" ht="15.75" hidden="false" customHeight="false" outlineLevel="0" collapsed="false">
      <c r="R512" s="13" t="str">
        <v/>
      </c>
      <c r="S512" s="13" t="str">
        <v/>
      </c>
      <c r="T512" s="13" t="n">
        <v>0</v>
      </c>
    </row>
    <row r="513" customFormat="false" ht="15.75" hidden="false" customHeight="false" outlineLevel="0" collapsed="false">
      <c r="R513" s="13" t="str">
        <v/>
      </c>
      <c r="S513" s="13" t="str">
        <v/>
      </c>
      <c r="T513" s="13" t="n">
        <v>0</v>
      </c>
    </row>
    <row r="514" customFormat="false" ht="15.75" hidden="false" customHeight="false" outlineLevel="0" collapsed="false">
      <c r="R514" s="13" t="str">
        <v/>
      </c>
      <c r="S514" s="13" t="str">
        <v/>
      </c>
      <c r="T514" s="13" t="n">
        <v>0</v>
      </c>
    </row>
    <row r="515" customFormat="false" ht="15.75" hidden="false" customHeight="false" outlineLevel="0" collapsed="false">
      <c r="R515" s="13" t="str">
        <v/>
      </c>
      <c r="S515" s="13" t="str">
        <v/>
      </c>
      <c r="T515" s="13" t="n">
        <v>0</v>
      </c>
    </row>
    <row r="516" customFormat="false" ht="15.75" hidden="false" customHeight="false" outlineLevel="0" collapsed="false">
      <c r="R516" s="13" t="str">
        <v/>
      </c>
      <c r="S516" s="13" t="str">
        <v/>
      </c>
      <c r="T516" s="13" t="n">
        <v>0</v>
      </c>
    </row>
    <row r="517" customFormat="false" ht="15.75" hidden="false" customHeight="false" outlineLevel="0" collapsed="false">
      <c r="R517" s="13" t="str">
        <v/>
      </c>
      <c r="S517" s="13" t="str">
        <v/>
      </c>
      <c r="T517" s="13" t="n">
        <v>0</v>
      </c>
    </row>
    <row r="518" customFormat="false" ht="15.75" hidden="false" customHeight="false" outlineLevel="0" collapsed="false">
      <c r="R518" s="13" t="str">
        <v/>
      </c>
      <c r="S518" s="13" t="str">
        <v/>
      </c>
      <c r="T518" s="13" t="n">
        <v>0</v>
      </c>
    </row>
    <row r="519" customFormat="false" ht="15.75" hidden="false" customHeight="false" outlineLevel="0" collapsed="false">
      <c r="R519" s="13" t="str">
        <v/>
      </c>
      <c r="S519" s="13" t="str">
        <v/>
      </c>
      <c r="T519" s="13" t="n">
        <v>0</v>
      </c>
    </row>
    <row r="520" customFormat="false" ht="15.75" hidden="false" customHeight="false" outlineLevel="0" collapsed="false">
      <c r="R520" s="13" t="str">
        <v/>
      </c>
      <c r="S520" s="13" t="str">
        <v/>
      </c>
      <c r="T520" s="13" t="n">
        <v>0</v>
      </c>
    </row>
    <row r="521" customFormat="false" ht="15.75" hidden="false" customHeight="false" outlineLevel="0" collapsed="false">
      <c r="R521" s="13" t="str">
        <v/>
      </c>
      <c r="S521" s="13" t="str">
        <v/>
      </c>
      <c r="T521" s="13" t="n">
        <v>0</v>
      </c>
    </row>
    <row r="522" customFormat="false" ht="15.75" hidden="false" customHeight="false" outlineLevel="0" collapsed="false">
      <c r="R522" s="13" t="str">
        <v/>
      </c>
      <c r="S522" s="13" t="str">
        <v/>
      </c>
      <c r="T522" s="13" t="n">
        <v>0</v>
      </c>
    </row>
    <row r="523" customFormat="false" ht="15.75" hidden="false" customHeight="false" outlineLevel="0" collapsed="false">
      <c r="R523" s="13" t="str">
        <v/>
      </c>
      <c r="S523" s="13" t="str">
        <v/>
      </c>
      <c r="T523" s="13" t="n">
        <v>0</v>
      </c>
    </row>
    <row r="524" customFormat="false" ht="15.75" hidden="false" customHeight="false" outlineLevel="0" collapsed="false">
      <c r="R524" s="13" t="str">
        <v/>
      </c>
      <c r="S524" s="13" t="str">
        <v/>
      </c>
      <c r="T524" s="13" t="n">
        <v>0</v>
      </c>
    </row>
    <row r="525" customFormat="false" ht="15.75" hidden="false" customHeight="false" outlineLevel="0" collapsed="false">
      <c r="R525" s="13" t="str">
        <v/>
      </c>
      <c r="S525" s="13" t="str">
        <v/>
      </c>
      <c r="T525" s="13" t="n">
        <v>0</v>
      </c>
    </row>
    <row r="526" customFormat="false" ht="15.75" hidden="false" customHeight="false" outlineLevel="0" collapsed="false">
      <c r="R526" s="13" t="str">
        <v/>
      </c>
      <c r="S526" s="13" t="str">
        <v/>
      </c>
      <c r="T526" s="13" t="n">
        <v>0</v>
      </c>
    </row>
    <row r="527" customFormat="false" ht="15.75" hidden="false" customHeight="false" outlineLevel="0" collapsed="false">
      <c r="R527" s="13" t="str">
        <v/>
      </c>
      <c r="S527" s="13" t="str">
        <v/>
      </c>
      <c r="T527" s="13" t="n">
        <v>0</v>
      </c>
    </row>
    <row r="528" customFormat="false" ht="15.75" hidden="false" customHeight="false" outlineLevel="0" collapsed="false">
      <c r="R528" s="13" t="str">
        <v/>
      </c>
      <c r="S528" s="13" t="str">
        <v/>
      </c>
      <c r="T528" s="13" t="n">
        <v>0</v>
      </c>
    </row>
    <row r="529" customFormat="false" ht="15.75" hidden="false" customHeight="false" outlineLevel="0" collapsed="false">
      <c r="R529" s="13" t="str">
        <v/>
      </c>
      <c r="S529" s="13" t="str">
        <v/>
      </c>
      <c r="T529" s="13" t="n">
        <v>0</v>
      </c>
    </row>
    <row r="530" customFormat="false" ht="15.75" hidden="false" customHeight="false" outlineLevel="0" collapsed="false">
      <c r="R530" s="13" t="str">
        <v/>
      </c>
      <c r="S530" s="13" t="str">
        <v/>
      </c>
      <c r="T530" s="13" t="n">
        <v>0</v>
      </c>
    </row>
    <row r="531" customFormat="false" ht="15.75" hidden="false" customHeight="false" outlineLevel="0" collapsed="false">
      <c r="R531" s="13" t="str">
        <v/>
      </c>
      <c r="S531" s="13" t="str">
        <v/>
      </c>
      <c r="T531" s="13" t="n">
        <v>0</v>
      </c>
    </row>
    <row r="532" customFormat="false" ht="15.75" hidden="false" customHeight="false" outlineLevel="0" collapsed="false">
      <c r="R532" s="13" t="str">
        <v/>
      </c>
      <c r="S532" s="13" t="str">
        <v/>
      </c>
      <c r="T532" s="13" t="n">
        <v>0</v>
      </c>
    </row>
    <row r="533" customFormat="false" ht="15.75" hidden="false" customHeight="false" outlineLevel="0" collapsed="false">
      <c r="R533" s="13" t="str">
        <v/>
      </c>
      <c r="S533" s="13" t="str">
        <v/>
      </c>
      <c r="T533" s="13" t="n">
        <v>0</v>
      </c>
    </row>
    <row r="534" customFormat="false" ht="15.75" hidden="false" customHeight="false" outlineLevel="0" collapsed="false">
      <c r="R534" s="13" t="str">
        <v/>
      </c>
      <c r="S534" s="13" t="str">
        <v/>
      </c>
      <c r="T534" s="13" t="n">
        <v>0</v>
      </c>
    </row>
    <row r="535" customFormat="false" ht="15.75" hidden="false" customHeight="false" outlineLevel="0" collapsed="false">
      <c r="R535" s="13" t="str">
        <v/>
      </c>
      <c r="S535" s="13" t="str">
        <v/>
      </c>
      <c r="T535" s="13" t="n">
        <v>0</v>
      </c>
    </row>
    <row r="536" customFormat="false" ht="15.75" hidden="false" customHeight="false" outlineLevel="0" collapsed="false">
      <c r="R536" s="13" t="str">
        <v/>
      </c>
      <c r="S536" s="13" t="str">
        <v/>
      </c>
      <c r="T536" s="13" t="n">
        <v>0</v>
      </c>
    </row>
    <row r="537" customFormat="false" ht="15.75" hidden="false" customHeight="false" outlineLevel="0" collapsed="false">
      <c r="R537" s="13" t="str">
        <v/>
      </c>
      <c r="S537" s="13" t="str">
        <v/>
      </c>
      <c r="T537" s="13" t="n">
        <v>0</v>
      </c>
    </row>
    <row r="538" customFormat="false" ht="15.75" hidden="false" customHeight="false" outlineLevel="0" collapsed="false">
      <c r="R538" s="13" t="str">
        <v/>
      </c>
      <c r="S538" s="13" t="str">
        <v/>
      </c>
      <c r="T538" s="13" t="n">
        <v>0</v>
      </c>
    </row>
    <row r="539" customFormat="false" ht="15.75" hidden="false" customHeight="false" outlineLevel="0" collapsed="false">
      <c r="R539" s="13" t="str">
        <v/>
      </c>
      <c r="S539" s="13" t="str">
        <v/>
      </c>
      <c r="T539" s="13" t="n">
        <v>0</v>
      </c>
    </row>
    <row r="540" customFormat="false" ht="15.75" hidden="false" customHeight="false" outlineLevel="0" collapsed="false">
      <c r="R540" s="13" t="str">
        <v/>
      </c>
      <c r="S540" s="13" t="str">
        <v/>
      </c>
      <c r="T540" s="13" t="n">
        <v>0</v>
      </c>
    </row>
    <row r="541" customFormat="false" ht="15.75" hidden="false" customHeight="false" outlineLevel="0" collapsed="false">
      <c r="R541" s="13" t="str">
        <v/>
      </c>
      <c r="S541" s="13" t="str">
        <v/>
      </c>
      <c r="T541" s="13" t="n">
        <v>0</v>
      </c>
    </row>
    <row r="542" customFormat="false" ht="15.75" hidden="false" customHeight="false" outlineLevel="0" collapsed="false">
      <c r="R542" s="13" t="str">
        <v/>
      </c>
      <c r="S542" s="13" t="str">
        <v/>
      </c>
      <c r="T542" s="13" t="n">
        <v>0</v>
      </c>
    </row>
    <row r="543" customFormat="false" ht="15.75" hidden="false" customHeight="false" outlineLevel="0" collapsed="false">
      <c r="R543" s="13" t="str">
        <v/>
      </c>
      <c r="S543" s="13" t="str">
        <v/>
      </c>
      <c r="T543" s="13" t="n">
        <v>0</v>
      </c>
    </row>
    <row r="544" customFormat="false" ht="15.75" hidden="false" customHeight="false" outlineLevel="0" collapsed="false">
      <c r="R544" s="13" t="str">
        <v/>
      </c>
      <c r="S544" s="13" t="str">
        <v/>
      </c>
      <c r="T544" s="13" t="n">
        <v>0</v>
      </c>
    </row>
    <row r="545" customFormat="false" ht="15.75" hidden="false" customHeight="false" outlineLevel="0" collapsed="false">
      <c r="R545" s="13" t="str">
        <v/>
      </c>
      <c r="S545" s="13" t="str">
        <v/>
      </c>
      <c r="T545" s="13" t="n">
        <v>0</v>
      </c>
    </row>
    <row r="546" customFormat="false" ht="15.75" hidden="false" customHeight="false" outlineLevel="0" collapsed="false">
      <c r="R546" s="13" t="str">
        <v/>
      </c>
      <c r="S546" s="13" t="str">
        <v/>
      </c>
      <c r="T546" s="13" t="n">
        <v>0</v>
      </c>
    </row>
    <row r="547" customFormat="false" ht="15.75" hidden="false" customHeight="false" outlineLevel="0" collapsed="false">
      <c r="R547" s="13" t="str">
        <v/>
      </c>
      <c r="S547" s="13" t="str">
        <v/>
      </c>
      <c r="T547" s="13" t="n">
        <v>0</v>
      </c>
    </row>
    <row r="548" customFormat="false" ht="15.75" hidden="false" customHeight="false" outlineLevel="0" collapsed="false">
      <c r="R548" s="13" t="str">
        <v/>
      </c>
      <c r="S548" s="13" t="str">
        <v/>
      </c>
      <c r="T548" s="13" t="n">
        <v>0</v>
      </c>
    </row>
    <row r="549" customFormat="false" ht="15.75" hidden="false" customHeight="false" outlineLevel="0" collapsed="false">
      <c r="R549" s="13" t="str">
        <v/>
      </c>
      <c r="S549" s="13" t="str">
        <v/>
      </c>
      <c r="T549" s="13" t="n">
        <v>0</v>
      </c>
    </row>
    <row r="550" customFormat="false" ht="15.75" hidden="false" customHeight="false" outlineLevel="0" collapsed="false">
      <c r="R550" s="13" t="str">
        <v/>
      </c>
      <c r="S550" s="13" t="str">
        <v/>
      </c>
      <c r="T550" s="13" t="n">
        <v>0</v>
      </c>
    </row>
    <row r="551" customFormat="false" ht="15.75" hidden="false" customHeight="false" outlineLevel="0" collapsed="false">
      <c r="R551" s="13" t="str">
        <v/>
      </c>
      <c r="S551" s="13" t="str">
        <v/>
      </c>
      <c r="T551" s="13" t="n">
        <v>0</v>
      </c>
    </row>
    <row r="552" customFormat="false" ht="15.75" hidden="false" customHeight="false" outlineLevel="0" collapsed="false">
      <c r="R552" s="13" t="str">
        <v/>
      </c>
      <c r="S552" s="13" t="str">
        <v/>
      </c>
      <c r="T552" s="13" t="n">
        <v>0</v>
      </c>
    </row>
    <row r="553" customFormat="false" ht="15.75" hidden="false" customHeight="false" outlineLevel="0" collapsed="false">
      <c r="R553" s="13" t="str">
        <v/>
      </c>
      <c r="S553" s="13" t="str">
        <v/>
      </c>
      <c r="T553" s="13" t="n">
        <v>0</v>
      </c>
    </row>
    <row r="554" customFormat="false" ht="15.75" hidden="false" customHeight="false" outlineLevel="0" collapsed="false">
      <c r="R554" s="13" t="str">
        <v/>
      </c>
      <c r="S554" s="13" t="str">
        <v/>
      </c>
      <c r="T554" s="13" t="n">
        <v>0</v>
      </c>
    </row>
    <row r="555" customFormat="false" ht="15.75" hidden="false" customHeight="false" outlineLevel="0" collapsed="false">
      <c r="R555" s="13" t="str">
        <v/>
      </c>
      <c r="S555" s="13" t="str">
        <v/>
      </c>
      <c r="T555" s="13" t="n">
        <v>0</v>
      </c>
    </row>
    <row r="556" customFormat="false" ht="15.75" hidden="false" customHeight="false" outlineLevel="0" collapsed="false">
      <c r="R556" s="13" t="str">
        <v/>
      </c>
      <c r="S556" s="13" t="str">
        <v/>
      </c>
      <c r="T556" s="13" t="n">
        <v>0</v>
      </c>
    </row>
    <row r="557" customFormat="false" ht="15.75" hidden="false" customHeight="false" outlineLevel="0" collapsed="false">
      <c r="R557" s="13" t="str">
        <v/>
      </c>
      <c r="S557" s="13" t="str">
        <v/>
      </c>
      <c r="T557" s="13" t="n">
        <v>0</v>
      </c>
    </row>
    <row r="558" customFormat="false" ht="15.75" hidden="false" customHeight="false" outlineLevel="0" collapsed="false">
      <c r="R558" s="13" t="str">
        <v/>
      </c>
      <c r="S558" s="13" t="str">
        <v/>
      </c>
      <c r="T558" s="13" t="n">
        <v>0</v>
      </c>
    </row>
    <row r="559" customFormat="false" ht="15.75" hidden="false" customHeight="false" outlineLevel="0" collapsed="false">
      <c r="R559" s="13" t="str">
        <v/>
      </c>
      <c r="S559" s="13" t="str">
        <v/>
      </c>
      <c r="T559" s="13" t="n">
        <v>0</v>
      </c>
    </row>
    <row r="560" customFormat="false" ht="15.75" hidden="false" customHeight="false" outlineLevel="0" collapsed="false">
      <c r="R560" s="13" t="str">
        <v/>
      </c>
      <c r="S560" s="13" t="str">
        <v/>
      </c>
      <c r="T560" s="13" t="n">
        <v>0</v>
      </c>
    </row>
    <row r="561" customFormat="false" ht="15.75" hidden="false" customHeight="false" outlineLevel="0" collapsed="false">
      <c r="R561" s="13" t="str">
        <v/>
      </c>
      <c r="S561" s="13" t="str">
        <v/>
      </c>
      <c r="T561" s="13" t="n">
        <v>0</v>
      </c>
    </row>
    <row r="562" customFormat="false" ht="15.75" hidden="false" customHeight="false" outlineLevel="0" collapsed="false">
      <c r="R562" s="13" t="str">
        <v/>
      </c>
      <c r="S562" s="13" t="str">
        <v/>
      </c>
      <c r="T562" s="13" t="n">
        <v>0</v>
      </c>
    </row>
    <row r="563" customFormat="false" ht="15.75" hidden="false" customHeight="false" outlineLevel="0" collapsed="false">
      <c r="R563" s="13" t="str">
        <v/>
      </c>
      <c r="S563" s="13" t="str">
        <v/>
      </c>
      <c r="T563" s="13" t="n">
        <v>0</v>
      </c>
    </row>
    <row r="564" customFormat="false" ht="15.75" hidden="false" customHeight="false" outlineLevel="0" collapsed="false">
      <c r="R564" s="13" t="str">
        <v/>
      </c>
      <c r="S564" s="13" t="str">
        <v/>
      </c>
      <c r="T564" s="13" t="n">
        <v>0</v>
      </c>
    </row>
    <row r="565" customFormat="false" ht="15.75" hidden="false" customHeight="false" outlineLevel="0" collapsed="false">
      <c r="R565" s="13" t="str">
        <v/>
      </c>
      <c r="S565" s="13" t="str">
        <v/>
      </c>
      <c r="T565" s="13" t="n">
        <v>0</v>
      </c>
    </row>
    <row r="566" customFormat="false" ht="15.75" hidden="false" customHeight="false" outlineLevel="0" collapsed="false">
      <c r="R566" s="13" t="str">
        <v/>
      </c>
      <c r="S566" s="13" t="str">
        <v/>
      </c>
      <c r="T566" s="13" t="n">
        <v>0</v>
      </c>
    </row>
    <row r="567" customFormat="false" ht="15.75" hidden="false" customHeight="false" outlineLevel="0" collapsed="false">
      <c r="R567" s="13" t="str">
        <v/>
      </c>
      <c r="S567" s="13" t="str">
        <v/>
      </c>
      <c r="T567" s="13" t="n">
        <v>0</v>
      </c>
    </row>
    <row r="568" customFormat="false" ht="15.75" hidden="false" customHeight="false" outlineLevel="0" collapsed="false">
      <c r="R568" s="13" t="str">
        <v/>
      </c>
      <c r="S568" s="13" t="str">
        <v/>
      </c>
      <c r="T568" s="13" t="n">
        <v>0</v>
      </c>
    </row>
    <row r="569" customFormat="false" ht="15.75" hidden="false" customHeight="false" outlineLevel="0" collapsed="false">
      <c r="R569" s="13" t="str">
        <v/>
      </c>
      <c r="S569" s="13" t="str">
        <v/>
      </c>
      <c r="T569" s="13" t="n">
        <v>0</v>
      </c>
    </row>
    <row r="570" customFormat="false" ht="15.75" hidden="false" customHeight="false" outlineLevel="0" collapsed="false">
      <c r="R570" s="13" t="str">
        <v/>
      </c>
      <c r="S570" s="13" t="str">
        <v/>
      </c>
      <c r="T570" s="13" t="n">
        <v>0</v>
      </c>
    </row>
    <row r="571" customFormat="false" ht="15.75" hidden="false" customHeight="false" outlineLevel="0" collapsed="false">
      <c r="R571" s="13" t="str">
        <v/>
      </c>
      <c r="S571" s="13" t="str">
        <v/>
      </c>
      <c r="T571" s="13" t="n">
        <v>0</v>
      </c>
    </row>
    <row r="572" customFormat="false" ht="15.75" hidden="false" customHeight="false" outlineLevel="0" collapsed="false">
      <c r="R572" s="13" t="str">
        <v/>
      </c>
      <c r="S572" s="13" t="str">
        <v/>
      </c>
      <c r="T572" s="13" t="n">
        <v>0</v>
      </c>
    </row>
    <row r="573" customFormat="false" ht="15.75" hidden="false" customHeight="false" outlineLevel="0" collapsed="false">
      <c r="R573" s="13" t="str">
        <v/>
      </c>
      <c r="S573" s="13" t="str">
        <v/>
      </c>
      <c r="T573" s="13" t="n">
        <v>0</v>
      </c>
    </row>
    <row r="574" customFormat="false" ht="15.75" hidden="false" customHeight="false" outlineLevel="0" collapsed="false">
      <c r="R574" s="13" t="str">
        <v/>
      </c>
      <c r="S574" s="13" t="str">
        <v/>
      </c>
      <c r="T574" s="13" t="n">
        <v>0</v>
      </c>
    </row>
    <row r="575" customFormat="false" ht="15.75" hidden="false" customHeight="false" outlineLevel="0" collapsed="false">
      <c r="R575" s="13" t="str">
        <v/>
      </c>
      <c r="S575" s="13" t="str">
        <v/>
      </c>
      <c r="T575" s="13" t="n">
        <v>0</v>
      </c>
    </row>
    <row r="576" customFormat="false" ht="15.75" hidden="false" customHeight="false" outlineLevel="0" collapsed="false">
      <c r="R576" s="13" t="str">
        <v/>
      </c>
      <c r="S576" s="13" t="str">
        <v/>
      </c>
      <c r="T576" s="13" t="n">
        <v>0</v>
      </c>
    </row>
    <row r="577" customFormat="false" ht="15.75" hidden="false" customHeight="false" outlineLevel="0" collapsed="false">
      <c r="R577" s="13" t="str">
        <v/>
      </c>
      <c r="S577" s="13" t="str">
        <v/>
      </c>
      <c r="T577" s="13" t="n">
        <v>0</v>
      </c>
    </row>
    <row r="578" customFormat="false" ht="15.75" hidden="false" customHeight="false" outlineLevel="0" collapsed="false">
      <c r="R578" s="13" t="str">
        <v/>
      </c>
      <c r="S578" s="13" t="str">
        <v/>
      </c>
      <c r="T578" s="13" t="n">
        <v>0</v>
      </c>
    </row>
    <row r="579" customFormat="false" ht="15.75" hidden="false" customHeight="false" outlineLevel="0" collapsed="false">
      <c r="R579" s="13" t="str">
        <v/>
      </c>
      <c r="S579" s="13" t="str">
        <v/>
      </c>
      <c r="T579" s="13" t="n">
        <v>0</v>
      </c>
    </row>
    <row r="580" customFormat="false" ht="15.75" hidden="false" customHeight="false" outlineLevel="0" collapsed="false">
      <c r="R580" s="13" t="str">
        <v/>
      </c>
      <c r="S580" s="13" t="str">
        <v/>
      </c>
      <c r="T580" s="13" t="n">
        <v>0</v>
      </c>
    </row>
    <row r="581" customFormat="false" ht="15.75" hidden="false" customHeight="false" outlineLevel="0" collapsed="false">
      <c r="R581" s="13" t="str">
        <v/>
      </c>
      <c r="S581" s="13" t="str">
        <v/>
      </c>
      <c r="T581" s="13" t="n">
        <v>0</v>
      </c>
    </row>
    <row r="582" customFormat="false" ht="15.75" hidden="false" customHeight="false" outlineLevel="0" collapsed="false">
      <c r="R582" s="13" t="str">
        <v/>
      </c>
      <c r="S582" s="13" t="str">
        <v/>
      </c>
      <c r="T582" s="13" t="n">
        <v>0</v>
      </c>
    </row>
    <row r="583" customFormat="false" ht="15.75" hidden="false" customHeight="false" outlineLevel="0" collapsed="false">
      <c r="R583" s="13" t="str">
        <v/>
      </c>
      <c r="S583" s="13" t="str">
        <v/>
      </c>
      <c r="T583" s="13" t="n">
        <v>0</v>
      </c>
    </row>
    <row r="584" customFormat="false" ht="15.75" hidden="false" customHeight="false" outlineLevel="0" collapsed="false">
      <c r="R584" s="13" t="str">
        <v/>
      </c>
      <c r="S584" s="13" t="str">
        <v/>
      </c>
      <c r="T584" s="13" t="n">
        <v>0</v>
      </c>
    </row>
    <row r="585" customFormat="false" ht="15.75" hidden="false" customHeight="false" outlineLevel="0" collapsed="false">
      <c r="R585" s="13" t="str">
        <v/>
      </c>
      <c r="S585" s="13" t="str">
        <v/>
      </c>
      <c r="T585" s="13" t="n">
        <v>0</v>
      </c>
    </row>
    <row r="586" customFormat="false" ht="15.75" hidden="false" customHeight="false" outlineLevel="0" collapsed="false">
      <c r="R586" s="13" t="str">
        <v/>
      </c>
      <c r="S586" s="13" t="str">
        <v/>
      </c>
      <c r="T586" s="13" t="n">
        <v>0</v>
      </c>
    </row>
    <row r="587" customFormat="false" ht="15.75" hidden="false" customHeight="false" outlineLevel="0" collapsed="false">
      <c r="R587" s="13" t="str">
        <v/>
      </c>
      <c r="S587" s="13" t="str">
        <v/>
      </c>
      <c r="T587" s="13" t="n">
        <v>0</v>
      </c>
    </row>
    <row r="588" customFormat="false" ht="15.75" hidden="false" customHeight="false" outlineLevel="0" collapsed="false">
      <c r="R588" s="13" t="str">
        <v/>
      </c>
      <c r="S588" s="13" t="str">
        <v/>
      </c>
      <c r="T588" s="13" t="n">
        <v>0</v>
      </c>
    </row>
    <row r="589" customFormat="false" ht="15.75" hidden="false" customHeight="false" outlineLevel="0" collapsed="false">
      <c r="R589" s="13" t="str">
        <v/>
      </c>
      <c r="S589" s="13" t="str">
        <v/>
      </c>
      <c r="T589" s="13" t="n">
        <v>0</v>
      </c>
    </row>
    <row r="590" customFormat="false" ht="15.75" hidden="false" customHeight="false" outlineLevel="0" collapsed="false">
      <c r="R590" s="13" t="str">
        <v/>
      </c>
      <c r="S590" s="13" t="str">
        <v/>
      </c>
      <c r="T590" s="13" t="n">
        <v>0</v>
      </c>
    </row>
    <row r="591" customFormat="false" ht="15.75" hidden="false" customHeight="false" outlineLevel="0" collapsed="false">
      <c r="R591" s="13" t="str">
        <v/>
      </c>
      <c r="S591" s="13" t="str">
        <v/>
      </c>
      <c r="T591" s="13" t="n">
        <v>0</v>
      </c>
    </row>
    <row r="592" customFormat="false" ht="15.75" hidden="false" customHeight="false" outlineLevel="0" collapsed="false">
      <c r="R592" s="13" t="str">
        <v/>
      </c>
      <c r="S592" s="13" t="str">
        <v/>
      </c>
      <c r="T592" s="13" t="n">
        <v>0</v>
      </c>
    </row>
    <row r="593" customFormat="false" ht="15.75" hidden="false" customHeight="false" outlineLevel="0" collapsed="false">
      <c r="R593" s="13" t="str">
        <v/>
      </c>
      <c r="S593" s="13" t="str">
        <v/>
      </c>
      <c r="T593" s="13" t="n">
        <v>0</v>
      </c>
    </row>
    <row r="594" customFormat="false" ht="15.75" hidden="false" customHeight="false" outlineLevel="0" collapsed="false">
      <c r="R594" s="13" t="str">
        <v/>
      </c>
      <c r="S594" s="13" t="str">
        <v/>
      </c>
      <c r="T594" s="13" t="n">
        <v>0</v>
      </c>
    </row>
    <row r="595" customFormat="false" ht="15.75" hidden="false" customHeight="false" outlineLevel="0" collapsed="false">
      <c r="R595" s="13" t="str">
        <v/>
      </c>
      <c r="S595" s="13" t="str">
        <v/>
      </c>
      <c r="T595" s="13" t="n">
        <v>0</v>
      </c>
    </row>
    <row r="596" customFormat="false" ht="15.75" hidden="false" customHeight="false" outlineLevel="0" collapsed="false">
      <c r="R596" s="13" t="str">
        <v/>
      </c>
      <c r="S596" s="13" t="str">
        <v/>
      </c>
      <c r="T596" s="13" t="n">
        <v>0</v>
      </c>
    </row>
    <row r="597" customFormat="false" ht="15.75" hidden="false" customHeight="false" outlineLevel="0" collapsed="false">
      <c r="R597" s="13" t="str">
        <v/>
      </c>
      <c r="S597" s="13" t="str">
        <v/>
      </c>
      <c r="T597" s="13" t="n">
        <v>0</v>
      </c>
    </row>
    <row r="598" customFormat="false" ht="15.75" hidden="false" customHeight="false" outlineLevel="0" collapsed="false">
      <c r="R598" s="13" t="str">
        <v/>
      </c>
      <c r="S598" s="13" t="str">
        <v/>
      </c>
      <c r="T598" s="13" t="n">
        <v>0</v>
      </c>
    </row>
    <row r="599" customFormat="false" ht="15.75" hidden="false" customHeight="false" outlineLevel="0" collapsed="false">
      <c r="R599" s="13" t="str">
        <v/>
      </c>
      <c r="S599" s="13" t="str">
        <v/>
      </c>
      <c r="T599" s="13" t="n">
        <v>0</v>
      </c>
    </row>
    <row r="600" customFormat="false" ht="15.75" hidden="false" customHeight="false" outlineLevel="0" collapsed="false">
      <c r="R600" s="13" t="str">
        <v/>
      </c>
      <c r="S600" s="13" t="str">
        <v/>
      </c>
      <c r="T600" s="13" t="n">
        <v>0</v>
      </c>
    </row>
    <row r="601" customFormat="false" ht="15.75" hidden="false" customHeight="false" outlineLevel="0" collapsed="false">
      <c r="R601" s="13" t="str">
        <v/>
      </c>
      <c r="S601" s="13" t="str">
        <v/>
      </c>
      <c r="T601" s="13" t="n">
        <v>0</v>
      </c>
    </row>
    <row r="602" customFormat="false" ht="15.75" hidden="false" customHeight="false" outlineLevel="0" collapsed="false">
      <c r="R602" s="13" t="str">
        <v/>
      </c>
      <c r="S602" s="13" t="str">
        <v/>
      </c>
      <c r="T602" s="13" t="n">
        <v>0</v>
      </c>
    </row>
    <row r="603" customFormat="false" ht="15.75" hidden="false" customHeight="false" outlineLevel="0" collapsed="false">
      <c r="R603" s="13" t="str">
        <v/>
      </c>
      <c r="S603" s="13" t="str">
        <v/>
      </c>
      <c r="T603" s="13" t="n">
        <v>0</v>
      </c>
    </row>
    <row r="604" customFormat="false" ht="15.75" hidden="false" customHeight="false" outlineLevel="0" collapsed="false">
      <c r="R604" s="13" t="str">
        <v/>
      </c>
      <c r="S604" s="13" t="str">
        <v/>
      </c>
      <c r="T604" s="13" t="n">
        <v>0</v>
      </c>
    </row>
    <row r="605" customFormat="false" ht="15.75" hidden="false" customHeight="false" outlineLevel="0" collapsed="false">
      <c r="R605" s="13" t="str">
        <v/>
      </c>
      <c r="S605" s="13" t="str">
        <v/>
      </c>
      <c r="T605" s="13" t="n">
        <v>0</v>
      </c>
    </row>
    <row r="606" customFormat="false" ht="15.75" hidden="false" customHeight="false" outlineLevel="0" collapsed="false">
      <c r="R606" s="13" t="str">
        <v/>
      </c>
      <c r="S606" s="13" t="str">
        <v/>
      </c>
      <c r="T606" s="13" t="n">
        <v>0</v>
      </c>
    </row>
    <row r="607" customFormat="false" ht="15.75" hidden="false" customHeight="false" outlineLevel="0" collapsed="false">
      <c r="R607" s="13" t="str">
        <v/>
      </c>
      <c r="S607" s="13" t="str">
        <v/>
      </c>
      <c r="T607" s="13" t="n">
        <v>0</v>
      </c>
    </row>
    <row r="608" customFormat="false" ht="15.75" hidden="false" customHeight="false" outlineLevel="0" collapsed="false">
      <c r="R608" s="13" t="str">
        <v/>
      </c>
      <c r="S608" s="13" t="str">
        <v/>
      </c>
      <c r="T608" s="13" t="n">
        <v>0</v>
      </c>
    </row>
    <row r="609" customFormat="false" ht="15.75" hidden="false" customHeight="false" outlineLevel="0" collapsed="false">
      <c r="R609" s="13" t="str">
        <v/>
      </c>
      <c r="S609" s="13" t="str">
        <v/>
      </c>
      <c r="T609" s="13" t="n">
        <v>0</v>
      </c>
    </row>
    <row r="610" customFormat="false" ht="15.75" hidden="false" customHeight="false" outlineLevel="0" collapsed="false">
      <c r="R610" s="13" t="str">
        <v/>
      </c>
      <c r="S610" s="13" t="str">
        <v/>
      </c>
      <c r="T610" s="13" t="n">
        <v>0</v>
      </c>
    </row>
    <row r="611" customFormat="false" ht="15.75" hidden="false" customHeight="false" outlineLevel="0" collapsed="false">
      <c r="R611" s="13" t="str">
        <v/>
      </c>
      <c r="S611" s="13" t="str">
        <v/>
      </c>
      <c r="T611" s="13" t="n">
        <v>0</v>
      </c>
    </row>
    <row r="612" customFormat="false" ht="15.75" hidden="false" customHeight="false" outlineLevel="0" collapsed="false">
      <c r="R612" s="13" t="str">
        <v/>
      </c>
      <c r="S612" s="13" t="str">
        <v/>
      </c>
      <c r="T612" s="13" t="n">
        <v>0</v>
      </c>
    </row>
    <row r="613" customFormat="false" ht="15.75" hidden="false" customHeight="false" outlineLevel="0" collapsed="false">
      <c r="R613" s="13" t="str">
        <v/>
      </c>
      <c r="S613" s="13" t="str">
        <v/>
      </c>
      <c r="T613" s="13" t="n">
        <v>0</v>
      </c>
    </row>
    <row r="614" customFormat="false" ht="15.75" hidden="false" customHeight="false" outlineLevel="0" collapsed="false">
      <c r="R614" s="13" t="str">
        <v/>
      </c>
      <c r="S614" s="13" t="str">
        <v/>
      </c>
      <c r="T614" s="13" t="n">
        <v>0</v>
      </c>
    </row>
    <row r="615" customFormat="false" ht="15.75" hidden="false" customHeight="false" outlineLevel="0" collapsed="false">
      <c r="R615" s="13" t="str">
        <v/>
      </c>
      <c r="S615" s="13" t="str">
        <v/>
      </c>
      <c r="T615" s="13" t="n">
        <v>0</v>
      </c>
    </row>
    <row r="616" customFormat="false" ht="15.75" hidden="false" customHeight="false" outlineLevel="0" collapsed="false">
      <c r="R616" s="13" t="str">
        <v/>
      </c>
      <c r="S616" s="13" t="str">
        <v/>
      </c>
      <c r="T616" s="13" t="n">
        <v>0</v>
      </c>
    </row>
    <row r="617" customFormat="false" ht="15.75" hidden="false" customHeight="false" outlineLevel="0" collapsed="false">
      <c r="R617" s="13" t="str">
        <v/>
      </c>
      <c r="S617" s="13" t="str">
        <v/>
      </c>
      <c r="T617" s="13" t="n">
        <v>0</v>
      </c>
    </row>
    <row r="618" customFormat="false" ht="15.75" hidden="false" customHeight="false" outlineLevel="0" collapsed="false">
      <c r="R618" s="13" t="str">
        <v/>
      </c>
      <c r="S618" s="13" t="str">
        <v/>
      </c>
      <c r="T618" s="13" t="n">
        <v>0</v>
      </c>
    </row>
    <row r="619" customFormat="false" ht="15.75" hidden="false" customHeight="false" outlineLevel="0" collapsed="false">
      <c r="R619" s="13" t="str">
        <v/>
      </c>
      <c r="S619" s="13" t="str">
        <v/>
      </c>
      <c r="T619" s="13" t="n">
        <v>0</v>
      </c>
    </row>
    <row r="620" customFormat="false" ht="15.75" hidden="false" customHeight="false" outlineLevel="0" collapsed="false">
      <c r="R620" s="13" t="str">
        <v/>
      </c>
      <c r="S620" s="13" t="str">
        <v/>
      </c>
      <c r="T620" s="13" t="n">
        <v>0</v>
      </c>
    </row>
    <row r="621" customFormat="false" ht="15.75" hidden="false" customHeight="false" outlineLevel="0" collapsed="false">
      <c r="R621" s="13" t="str">
        <v/>
      </c>
      <c r="S621" s="13" t="str">
        <v/>
      </c>
      <c r="T621" s="13" t="n">
        <v>0</v>
      </c>
    </row>
    <row r="622" customFormat="false" ht="15.75" hidden="false" customHeight="false" outlineLevel="0" collapsed="false">
      <c r="R622" s="13" t="str">
        <v/>
      </c>
      <c r="S622" s="13" t="str">
        <v/>
      </c>
      <c r="T622" s="13" t="n">
        <v>0</v>
      </c>
    </row>
    <row r="623" customFormat="false" ht="15.75" hidden="false" customHeight="false" outlineLevel="0" collapsed="false">
      <c r="R623" s="13" t="str">
        <v/>
      </c>
      <c r="S623" s="13" t="str">
        <v/>
      </c>
      <c r="T623" s="13" t="n">
        <v>0</v>
      </c>
    </row>
    <row r="624" customFormat="false" ht="15.75" hidden="false" customHeight="false" outlineLevel="0" collapsed="false">
      <c r="R624" s="13" t="str">
        <v/>
      </c>
      <c r="S624" s="13" t="str">
        <v/>
      </c>
      <c r="T624" s="13" t="n">
        <v>0</v>
      </c>
    </row>
    <row r="625" customFormat="false" ht="15.75" hidden="false" customHeight="false" outlineLevel="0" collapsed="false">
      <c r="R625" s="13" t="str">
        <v/>
      </c>
      <c r="S625" s="13" t="str">
        <v/>
      </c>
      <c r="T625" s="13" t="n">
        <v>0</v>
      </c>
    </row>
    <row r="626" customFormat="false" ht="15.75" hidden="false" customHeight="false" outlineLevel="0" collapsed="false">
      <c r="R626" s="13" t="str">
        <v/>
      </c>
      <c r="S626" s="13" t="str">
        <v/>
      </c>
      <c r="T626" s="13" t="n">
        <v>0</v>
      </c>
    </row>
    <row r="627" customFormat="false" ht="15.75" hidden="false" customHeight="false" outlineLevel="0" collapsed="false">
      <c r="R627" s="13" t="str">
        <v/>
      </c>
      <c r="S627" s="13" t="str">
        <v/>
      </c>
      <c r="T627" s="13" t="n">
        <v>0</v>
      </c>
    </row>
    <row r="628" customFormat="false" ht="15.75" hidden="false" customHeight="false" outlineLevel="0" collapsed="false">
      <c r="R628" s="13" t="str">
        <v/>
      </c>
      <c r="S628" s="13" t="str">
        <v/>
      </c>
      <c r="T628" s="13" t="n">
        <v>0</v>
      </c>
    </row>
    <row r="629" customFormat="false" ht="15.75" hidden="false" customHeight="false" outlineLevel="0" collapsed="false">
      <c r="R629" s="13" t="str">
        <v/>
      </c>
      <c r="S629" s="13" t="str">
        <v/>
      </c>
      <c r="T629" s="13" t="n">
        <v>0</v>
      </c>
    </row>
    <row r="630" customFormat="false" ht="15.75" hidden="false" customHeight="false" outlineLevel="0" collapsed="false">
      <c r="R630" s="13" t="str">
        <v/>
      </c>
      <c r="S630" s="13" t="str">
        <v/>
      </c>
      <c r="T630" s="13" t="n">
        <v>0</v>
      </c>
    </row>
    <row r="631" customFormat="false" ht="15.75" hidden="false" customHeight="false" outlineLevel="0" collapsed="false">
      <c r="R631" s="13" t="str">
        <v/>
      </c>
      <c r="S631" s="13" t="str">
        <v/>
      </c>
      <c r="T631" s="13" t="n">
        <v>0</v>
      </c>
    </row>
    <row r="632" customFormat="false" ht="15.75" hidden="false" customHeight="false" outlineLevel="0" collapsed="false">
      <c r="R632" s="13" t="str">
        <v/>
      </c>
      <c r="S632" s="13" t="str">
        <v/>
      </c>
      <c r="T632" s="13" t="n">
        <v>0</v>
      </c>
    </row>
    <row r="633" customFormat="false" ht="15.75" hidden="false" customHeight="false" outlineLevel="0" collapsed="false">
      <c r="R633" s="13" t="str">
        <v/>
      </c>
      <c r="S633" s="13" t="str">
        <v/>
      </c>
      <c r="T633" s="13" t="n">
        <v>0</v>
      </c>
    </row>
    <row r="634" customFormat="false" ht="15.75" hidden="false" customHeight="false" outlineLevel="0" collapsed="false">
      <c r="R634" s="13" t="str">
        <v/>
      </c>
      <c r="S634" s="13" t="str">
        <v/>
      </c>
      <c r="T634" s="13" t="n">
        <v>0</v>
      </c>
    </row>
    <row r="635" customFormat="false" ht="15.75" hidden="false" customHeight="false" outlineLevel="0" collapsed="false">
      <c r="R635" s="13" t="str">
        <v/>
      </c>
      <c r="S635" s="13" t="str">
        <v/>
      </c>
      <c r="T635" s="13" t="n">
        <v>0</v>
      </c>
    </row>
    <row r="636" customFormat="false" ht="15.75" hidden="false" customHeight="false" outlineLevel="0" collapsed="false">
      <c r="R636" s="13" t="str">
        <v/>
      </c>
      <c r="S636" s="13" t="str">
        <v/>
      </c>
      <c r="T636" s="13" t="n">
        <v>0</v>
      </c>
    </row>
    <row r="637" customFormat="false" ht="15.75" hidden="false" customHeight="false" outlineLevel="0" collapsed="false">
      <c r="R637" s="13" t="str">
        <v/>
      </c>
      <c r="S637" s="13" t="str">
        <v/>
      </c>
      <c r="T637" s="13" t="n">
        <v>0</v>
      </c>
    </row>
    <row r="638" customFormat="false" ht="15.75" hidden="false" customHeight="false" outlineLevel="0" collapsed="false">
      <c r="R638" s="13" t="str">
        <v/>
      </c>
      <c r="S638" s="13" t="str">
        <v/>
      </c>
      <c r="T638" s="13" t="n">
        <v>0</v>
      </c>
    </row>
    <row r="639" customFormat="false" ht="15.75" hidden="false" customHeight="false" outlineLevel="0" collapsed="false">
      <c r="R639" s="13" t="str">
        <v/>
      </c>
      <c r="S639" s="13" t="str">
        <v/>
      </c>
      <c r="T639" s="13" t="n">
        <v>0</v>
      </c>
    </row>
    <row r="640" customFormat="false" ht="15.75" hidden="false" customHeight="false" outlineLevel="0" collapsed="false">
      <c r="R640" s="13" t="str">
        <v/>
      </c>
      <c r="S640" s="13" t="str">
        <v/>
      </c>
      <c r="T640" s="13" t="n">
        <v>0</v>
      </c>
    </row>
    <row r="641" customFormat="false" ht="15.75" hidden="false" customHeight="false" outlineLevel="0" collapsed="false">
      <c r="R641" s="13" t="str">
        <v/>
      </c>
      <c r="S641" s="13" t="str">
        <v/>
      </c>
      <c r="T641" s="13" t="n">
        <v>0</v>
      </c>
    </row>
    <row r="642" customFormat="false" ht="15.75" hidden="false" customHeight="false" outlineLevel="0" collapsed="false">
      <c r="R642" s="13" t="str">
        <v/>
      </c>
      <c r="S642" s="13" t="str">
        <v/>
      </c>
      <c r="T642" s="13" t="n">
        <v>0</v>
      </c>
    </row>
    <row r="643" customFormat="false" ht="15.75" hidden="false" customHeight="false" outlineLevel="0" collapsed="false">
      <c r="R643" s="13" t="str">
        <v/>
      </c>
      <c r="S643" s="13" t="str">
        <v/>
      </c>
      <c r="T643" s="13" t="n">
        <v>0</v>
      </c>
    </row>
    <row r="644" customFormat="false" ht="15.75" hidden="false" customHeight="false" outlineLevel="0" collapsed="false">
      <c r="R644" s="13" t="str">
        <v/>
      </c>
      <c r="S644" s="13" t="str">
        <v/>
      </c>
      <c r="T644" s="13" t="n">
        <v>0</v>
      </c>
    </row>
    <row r="645" customFormat="false" ht="15.75" hidden="false" customHeight="false" outlineLevel="0" collapsed="false">
      <c r="R645" s="13" t="str">
        <v/>
      </c>
      <c r="S645" s="13" t="str">
        <v/>
      </c>
      <c r="T645" s="13" t="n">
        <v>0</v>
      </c>
    </row>
    <row r="646" customFormat="false" ht="15.75" hidden="false" customHeight="false" outlineLevel="0" collapsed="false">
      <c r="R646" s="13" t="str">
        <v/>
      </c>
      <c r="S646" s="13" t="str">
        <v/>
      </c>
      <c r="T646" s="13" t="n">
        <v>0</v>
      </c>
    </row>
    <row r="647" customFormat="false" ht="15.75" hidden="false" customHeight="false" outlineLevel="0" collapsed="false">
      <c r="R647" s="13" t="str">
        <v/>
      </c>
      <c r="S647" s="13" t="str">
        <v/>
      </c>
      <c r="T647" s="13" t="n">
        <v>0</v>
      </c>
    </row>
    <row r="648" customFormat="false" ht="15.75" hidden="false" customHeight="false" outlineLevel="0" collapsed="false">
      <c r="R648" s="13" t="str">
        <v/>
      </c>
      <c r="S648" s="13" t="str">
        <v/>
      </c>
      <c r="T648" s="13" t="n">
        <v>0</v>
      </c>
    </row>
    <row r="649" customFormat="false" ht="15.75" hidden="false" customHeight="false" outlineLevel="0" collapsed="false">
      <c r="R649" s="13" t="str">
        <v/>
      </c>
      <c r="S649" s="13" t="str">
        <v/>
      </c>
      <c r="T649" s="13" t="n">
        <v>0</v>
      </c>
    </row>
    <row r="650" customFormat="false" ht="15.75" hidden="false" customHeight="false" outlineLevel="0" collapsed="false">
      <c r="R650" s="13" t="str">
        <v/>
      </c>
      <c r="S650" s="13" t="str">
        <v/>
      </c>
      <c r="T650" s="13" t="n">
        <v>0</v>
      </c>
    </row>
    <row r="651" customFormat="false" ht="15.75" hidden="false" customHeight="false" outlineLevel="0" collapsed="false">
      <c r="R651" s="13" t="str">
        <v/>
      </c>
      <c r="S651" s="13" t="str">
        <v/>
      </c>
      <c r="T651" s="13" t="n">
        <v>0</v>
      </c>
    </row>
    <row r="652" customFormat="false" ht="15.75" hidden="false" customHeight="false" outlineLevel="0" collapsed="false">
      <c r="R652" s="13" t="str">
        <v/>
      </c>
      <c r="S652" s="13" t="str">
        <v/>
      </c>
      <c r="T652" s="13" t="n">
        <v>0</v>
      </c>
    </row>
    <row r="653" customFormat="false" ht="15.75" hidden="false" customHeight="false" outlineLevel="0" collapsed="false">
      <c r="R653" s="13" t="str">
        <v/>
      </c>
      <c r="S653" s="13" t="str">
        <v/>
      </c>
      <c r="T653" s="13" t="n">
        <v>0</v>
      </c>
    </row>
    <row r="654" customFormat="false" ht="15.75" hidden="false" customHeight="false" outlineLevel="0" collapsed="false">
      <c r="R654" s="13" t="str">
        <v/>
      </c>
      <c r="S654" s="13" t="str">
        <v/>
      </c>
      <c r="T654" s="13" t="n">
        <v>0</v>
      </c>
    </row>
    <row r="655" customFormat="false" ht="15.75" hidden="false" customHeight="false" outlineLevel="0" collapsed="false">
      <c r="R655" s="13" t="str">
        <v/>
      </c>
      <c r="S655" s="13" t="str">
        <v/>
      </c>
      <c r="T655" s="13" t="n">
        <v>0</v>
      </c>
    </row>
    <row r="656" customFormat="false" ht="15.75" hidden="false" customHeight="false" outlineLevel="0" collapsed="false">
      <c r="R656" s="13" t="str">
        <v/>
      </c>
      <c r="S656" s="13" t="str">
        <v/>
      </c>
      <c r="T656" s="13" t="n">
        <v>0</v>
      </c>
    </row>
    <row r="657" customFormat="false" ht="15.75" hidden="false" customHeight="false" outlineLevel="0" collapsed="false">
      <c r="R657" s="13" t="str">
        <v/>
      </c>
      <c r="S657" s="13" t="str">
        <v/>
      </c>
      <c r="T657" s="13" t="n">
        <v>0</v>
      </c>
    </row>
    <row r="658" customFormat="false" ht="15.75" hidden="false" customHeight="false" outlineLevel="0" collapsed="false">
      <c r="R658" s="13" t="str">
        <v/>
      </c>
      <c r="S658" s="13" t="str">
        <v/>
      </c>
      <c r="T658" s="13" t="n">
        <v>0</v>
      </c>
    </row>
    <row r="659" customFormat="false" ht="15.75" hidden="false" customHeight="false" outlineLevel="0" collapsed="false">
      <c r="R659" s="13" t="str">
        <v/>
      </c>
      <c r="S659" s="13" t="str">
        <v/>
      </c>
      <c r="T659" s="13" t="n">
        <v>0</v>
      </c>
    </row>
    <row r="660" customFormat="false" ht="15.75" hidden="false" customHeight="false" outlineLevel="0" collapsed="false">
      <c r="R660" s="13" t="str">
        <v/>
      </c>
      <c r="S660" s="13" t="str">
        <v/>
      </c>
      <c r="T660" s="13" t="n">
        <v>0</v>
      </c>
    </row>
    <row r="661" customFormat="false" ht="15.75" hidden="false" customHeight="false" outlineLevel="0" collapsed="false">
      <c r="R661" s="13" t="str">
        <v/>
      </c>
      <c r="S661" s="13" t="str">
        <v/>
      </c>
      <c r="T661" s="13" t="n">
        <v>0</v>
      </c>
    </row>
    <row r="662" customFormat="false" ht="15.75" hidden="false" customHeight="false" outlineLevel="0" collapsed="false">
      <c r="R662" s="13" t="str">
        <v/>
      </c>
      <c r="S662" s="13" t="str">
        <v/>
      </c>
      <c r="T662" s="13" t="n">
        <v>0</v>
      </c>
    </row>
    <row r="663" customFormat="false" ht="15.75" hidden="false" customHeight="false" outlineLevel="0" collapsed="false">
      <c r="R663" s="13" t="str">
        <v/>
      </c>
      <c r="S663" s="13" t="str">
        <v/>
      </c>
      <c r="T663" s="13" t="n">
        <v>0</v>
      </c>
    </row>
    <row r="664" customFormat="false" ht="15.75" hidden="false" customHeight="false" outlineLevel="0" collapsed="false">
      <c r="R664" s="13" t="str">
        <v/>
      </c>
      <c r="S664" s="13" t="str">
        <v/>
      </c>
      <c r="T664" s="13" t="n">
        <v>0</v>
      </c>
    </row>
    <row r="665" customFormat="false" ht="15.75" hidden="false" customHeight="false" outlineLevel="0" collapsed="false">
      <c r="R665" s="13" t="str">
        <v/>
      </c>
      <c r="S665" s="13" t="str">
        <v/>
      </c>
      <c r="T665" s="13" t="n">
        <v>0</v>
      </c>
    </row>
    <row r="666" customFormat="false" ht="15.75" hidden="false" customHeight="false" outlineLevel="0" collapsed="false">
      <c r="R666" s="13" t="str">
        <v/>
      </c>
      <c r="S666" s="13" t="str">
        <v/>
      </c>
      <c r="T666" s="13" t="n">
        <v>0</v>
      </c>
    </row>
    <row r="667" customFormat="false" ht="15.75" hidden="false" customHeight="false" outlineLevel="0" collapsed="false">
      <c r="R667" s="13" t="str">
        <v/>
      </c>
      <c r="S667" s="13" t="str">
        <v/>
      </c>
      <c r="T667" s="13" t="n">
        <v>0</v>
      </c>
    </row>
    <row r="668" customFormat="false" ht="15.75" hidden="false" customHeight="false" outlineLevel="0" collapsed="false">
      <c r="R668" s="13" t="str">
        <v/>
      </c>
      <c r="S668" s="13" t="str">
        <v/>
      </c>
      <c r="T668" s="13" t="n">
        <v>0</v>
      </c>
    </row>
    <row r="669" customFormat="false" ht="15.75" hidden="false" customHeight="false" outlineLevel="0" collapsed="false">
      <c r="R669" s="13" t="str">
        <v/>
      </c>
      <c r="S669" s="13" t="str">
        <v/>
      </c>
      <c r="T669" s="13" t="n">
        <v>0</v>
      </c>
    </row>
    <row r="670" customFormat="false" ht="15.75" hidden="false" customHeight="false" outlineLevel="0" collapsed="false">
      <c r="R670" s="13" t="str">
        <v/>
      </c>
      <c r="S670" s="13" t="str">
        <v/>
      </c>
      <c r="T670" s="13" t="n">
        <v>0</v>
      </c>
    </row>
    <row r="671" customFormat="false" ht="15.75" hidden="false" customHeight="false" outlineLevel="0" collapsed="false">
      <c r="R671" s="13" t="str">
        <v/>
      </c>
      <c r="S671" s="13" t="str">
        <v/>
      </c>
      <c r="T671" s="13" t="n">
        <v>0</v>
      </c>
    </row>
    <row r="672" customFormat="false" ht="15.75" hidden="false" customHeight="false" outlineLevel="0" collapsed="false">
      <c r="R672" s="13" t="str">
        <v/>
      </c>
      <c r="S672" s="13" t="str">
        <v/>
      </c>
      <c r="T672" s="13" t="n">
        <v>0</v>
      </c>
    </row>
    <row r="673" customFormat="false" ht="15.75" hidden="false" customHeight="false" outlineLevel="0" collapsed="false">
      <c r="R673" s="13" t="str">
        <v/>
      </c>
      <c r="S673" s="13" t="str">
        <v/>
      </c>
      <c r="T673" s="13" t="n">
        <v>0</v>
      </c>
    </row>
    <row r="674" customFormat="false" ht="15.75" hidden="false" customHeight="false" outlineLevel="0" collapsed="false">
      <c r="R674" s="13" t="str">
        <v/>
      </c>
      <c r="S674" s="13" t="str">
        <v/>
      </c>
      <c r="T674" s="13" t="n">
        <v>0</v>
      </c>
    </row>
    <row r="675" customFormat="false" ht="15.75" hidden="false" customHeight="false" outlineLevel="0" collapsed="false">
      <c r="R675" s="13" t="str">
        <v/>
      </c>
      <c r="S675" s="13" t="str">
        <v/>
      </c>
      <c r="T675" s="13" t="n">
        <v>0</v>
      </c>
    </row>
    <row r="676" customFormat="false" ht="15.75" hidden="false" customHeight="false" outlineLevel="0" collapsed="false">
      <c r="R676" s="13" t="str">
        <v/>
      </c>
      <c r="S676" s="13" t="str">
        <v/>
      </c>
      <c r="T676" s="13" t="n">
        <v>0</v>
      </c>
    </row>
    <row r="677" customFormat="false" ht="15.75" hidden="false" customHeight="false" outlineLevel="0" collapsed="false">
      <c r="R677" s="13" t="str">
        <v/>
      </c>
      <c r="S677" s="13" t="str">
        <v/>
      </c>
      <c r="T677" s="13" t="n">
        <v>0</v>
      </c>
    </row>
    <row r="678" customFormat="false" ht="15.75" hidden="false" customHeight="false" outlineLevel="0" collapsed="false">
      <c r="R678" s="13" t="str">
        <v/>
      </c>
      <c r="S678" s="13" t="str">
        <v/>
      </c>
      <c r="T678" s="13" t="n">
        <v>0</v>
      </c>
    </row>
    <row r="679" customFormat="false" ht="15.75" hidden="false" customHeight="false" outlineLevel="0" collapsed="false">
      <c r="R679" s="13" t="str">
        <v/>
      </c>
      <c r="S679" s="13" t="str">
        <v/>
      </c>
      <c r="T679" s="13" t="n">
        <v>0</v>
      </c>
    </row>
    <row r="680" customFormat="false" ht="15.75" hidden="false" customHeight="false" outlineLevel="0" collapsed="false">
      <c r="R680" s="13" t="str">
        <v/>
      </c>
      <c r="S680" s="13" t="str">
        <v/>
      </c>
      <c r="T680" s="13" t="n">
        <v>0</v>
      </c>
    </row>
    <row r="681" customFormat="false" ht="15.75" hidden="false" customHeight="false" outlineLevel="0" collapsed="false">
      <c r="R681" s="13" t="str">
        <v/>
      </c>
      <c r="S681" s="13" t="str">
        <v/>
      </c>
      <c r="T681" s="13" t="n">
        <v>0</v>
      </c>
    </row>
    <row r="682" customFormat="false" ht="15.75" hidden="false" customHeight="false" outlineLevel="0" collapsed="false">
      <c r="R682" s="13" t="str">
        <v/>
      </c>
      <c r="S682" s="13" t="str">
        <v/>
      </c>
      <c r="T682" s="13" t="n">
        <v>0</v>
      </c>
    </row>
    <row r="683" customFormat="false" ht="15.75" hidden="false" customHeight="false" outlineLevel="0" collapsed="false">
      <c r="R683" s="13" t="str">
        <v/>
      </c>
      <c r="S683" s="13" t="str">
        <v/>
      </c>
      <c r="T683" s="13" t="n">
        <v>0</v>
      </c>
    </row>
    <row r="684" customFormat="false" ht="15.75" hidden="false" customHeight="false" outlineLevel="0" collapsed="false">
      <c r="R684" s="13" t="str">
        <v/>
      </c>
      <c r="S684" s="13" t="str">
        <v/>
      </c>
      <c r="T684" s="13" t="n">
        <v>0</v>
      </c>
    </row>
    <row r="685" customFormat="false" ht="15.75" hidden="false" customHeight="false" outlineLevel="0" collapsed="false">
      <c r="R685" s="13" t="str">
        <v/>
      </c>
      <c r="S685" s="13" t="str">
        <v/>
      </c>
      <c r="T685" s="13" t="n">
        <v>0</v>
      </c>
    </row>
    <row r="686" customFormat="false" ht="15.75" hidden="false" customHeight="false" outlineLevel="0" collapsed="false">
      <c r="R686" s="13" t="str">
        <v/>
      </c>
      <c r="S686" s="13" t="str">
        <v/>
      </c>
      <c r="T686" s="13" t="n">
        <v>0</v>
      </c>
    </row>
    <row r="687" customFormat="false" ht="15.75" hidden="false" customHeight="false" outlineLevel="0" collapsed="false">
      <c r="R687" s="13" t="str">
        <v/>
      </c>
      <c r="S687" s="13" t="str">
        <v/>
      </c>
      <c r="T687" s="13" t="n">
        <v>0</v>
      </c>
    </row>
    <row r="688" customFormat="false" ht="15.75" hidden="false" customHeight="false" outlineLevel="0" collapsed="false">
      <c r="R688" s="13" t="str">
        <v/>
      </c>
      <c r="S688" s="13" t="str">
        <v/>
      </c>
      <c r="T688" s="13" t="n">
        <v>0</v>
      </c>
    </row>
    <row r="689" customFormat="false" ht="15.75" hidden="false" customHeight="false" outlineLevel="0" collapsed="false">
      <c r="R689" s="13" t="str">
        <v/>
      </c>
      <c r="S689" s="13" t="str">
        <v/>
      </c>
      <c r="T689" s="13" t="n">
        <v>0</v>
      </c>
    </row>
    <row r="690" customFormat="false" ht="15.75" hidden="false" customHeight="false" outlineLevel="0" collapsed="false">
      <c r="R690" s="13" t="str">
        <v/>
      </c>
      <c r="S690" s="13" t="str">
        <v/>
      </c>
      <c r="T690" s="13" t="n">
        <v>0</v>
      </c>
    </row>
    <row r="691" customFormat="false" ht="15.75" hidden="false" customHeight="false" outlineLevel="0" collapsed="false">
      <c r="R691" s="13" t="str">
        <v/>
      </c>
      <c r="S691" s="13" t="str">
        <v/>
      </c>
      <c r="T691" s="13" t="n">
        <v>0</v>
      </c>
    </row>
    <row r="692" customFormat="false" ht="15.75" hidden="false" customHeight="false" outlineLevel="0" collapsed="false">
      <c r="R692" s="13" t="str">
        <v/>
      </c>
      <c r="S692" s="13" t="str">
        <v/>
      </c>
      <c r="T692" s="13" t="n">
        <v>0</v>
      </c>
    </row>
    <row r="693" customFormat="false" ht="15.75" hidden="false" customHeight="false" outlineLevel="0" collapsed="false">
      <c r="R693" s="13" t="str">
        <v/>
      </c>
      <c r="S693" s="13" t="str">
        <v/>
      </c>
      <c r="T693" s="13" t="n">
        <v>0</v>
      </c>
    </row>
    <row r="694" customFormat="false" ht="15.75" hidden="false" customHeight="false" outlineLevel="0" collapsed="false">
      <c r="R694" s="13" t="str">
        <v/>
      </c>
      <c r="S694" s="13" t="str">
        <v/>
      </c>
      <c r="T694" s="13" t="n">
        <v>0</v>
      </c>
    </row>
    <row r="695" customFormat="false" ht="15.75" hidden="false" customHeight="false" outlineLevel="0" collapsed="false">
      <c r="R695" s="13" t="str">
        <v/>
      </c>
      <c r="S695" s="13" t="str">
        <v/>
      </c>
      <c r="T695" s="13" t="n">
        <v>0</v>
      </c>
    </row>
    <row r="696" customFormat="false" ht="15.75" hidden="false" customHeight="false" outlineLevel="0" collapsed="false">
      <c r="R696" s="13" t="str">
        <v/>
      </c>
      <c r="S696" s="13" t="str">
        <v/>
      </c>
      <c r="T696" s="13" t="n">
        <v>0</v>
      </c>
    </row>
    <row r="697" customFormat="false" ht="15.75" hidden="false" customHeight="false" outlineLevel="0" collapsed="false">
      <c r="R697" s="13" t="str">
        <v/>
      </c>
      <c r="S697" s="13" t="str">
        <v/>
      </c>
      <c r="T697" s="13" t="n">
        <v>0</v>
      </c>
    </row>
    <row r="698" customFormat="false" ht="15.75" hidden="false" customHeight="false" outlineLevel="0" collapsed="false">
      <c r="R698" s="13" t="str">
        <v/>
      </c>
      <c r="S698" s="13" t="str">
        <v/>
      </c>
      <c r="T698" s="13" t="n">
        <v>0</v>
      </c>
    </row>
    <row r="699" customFormat="false" ht="15.75" hidden="false" customHeight="false" outlineLevel="0" collapsed="false">
      <c r="R699" s="13" t="str">
        <v/>
      </c>
      <c r="S699" s="13" t="str">
        <v/>
      </c>
      <c r="T699" s="13" t="n">
        <v>0</v>
      </c>
    </row>
    <row r="700" customFormat="false" ht="15.75" hidden="false" customHeight="false" outlineLevel="0" collapsed="false">
      <c r="R700" s="13" t="str">
        <v/>
      </c>
      <c r="S700" s="13" t="str">
        <v/>
      </c>
      <c r="T700" s="13" t="n">
        <v>0</v>
      </c>
    </row>
    <row r="701" customFormat="false" ht="15.75" hidden="false" customHeight="false" outlineLevel="0" collapsed="false">
      <c r="R701" s="13" t="str">
        <v/>
      </c>
      <c r="S701" s="13" t="str">
        <v/>
      </c>
      <c r="T701" s="13" t="n">
        <v>0</v>
      </c>
    </row>
    <row r="702" customFormat="false" ht="15.75" hidden="false" customHeight="false" outlineLevel="0" collapsed="false">
      <c r="R702" s="13" t="str">
        <v/>
      </c>
      <c r="S702" s="13" t="str">
        <v/>
      </c>
      <c r="T702" s="13" t="n">
        <v>0</v>
      </c>
    </row>
    <row r="703" customFormat="false" ht="15.75" hidden="false" customHeight="false" outlineLevel="0" collapsed="false">
      <c r="R703" s="13" t="str">
        <v/>
      </c>
      <c r="S703" s="13" t="str">
        <v/>
      </c>
      <c r="T703" s="13" t="n">
        <v>0</v>
      </c>
    </row>
    <row r="704" customFormat="false" ht="15.75" hidden="false" customHeight="false" outlineLevel="0" collapsed="false">
      <c r="R704" s="13" t="str">
        <v/>
      </c>
      <c r="S704" s="13" t="str">
        <v/>
      </c>
      <c r="T704" s="13" t="n">
        <v>0</v>
      </c>
    </row>
    <row r="705" customFormat="false" ht="15.75" hidden="false" customHeight="false" outlineLevel="0" collapsed="false">
      <c r="R705" s="13" t="str">
        <v/>
      </c>
      <c r="S705" s="13" t="str">
        <v/>
      </c>
      <c r="T705" s="13" t="n">
        <v>0</v>
      </c>
    </row>
    <row r="706" customFormat="false" ht="15.75" hidden="false" customHeight="false" outlineLevel="0" collapsed="false">
      <c r="R706" s="13" t="str">
        <v/>
      </c>
      <c r="S706" s="13" t="str">
        <v/>
      </c>
      <c r="T706" s="13" t="n">
        <v>0</v>
      </c>
    </row>
    <row r="707" customFormat="false" ht="15.75" hidden="false" customHeight="false" outlineLevel="0" collapsed="false">
      <c r="R707" s="13" t="str">
        <v/>
      </c>
      <c r="S707" s="13" t="str">
        <v/>
      </c>
      <c r="T707" s="13" t="n">
        <v>0</v>
      </c>
    </row>
    <row r="708" customFormat="false" ht="15.75" hidden="false" customHeight="false" outlineLevel="0" collapsed="false">
      <c r="R708" s="13" t="str">
        <v/>
      </c>
      <c r="S708" s="13" t="str">
        <v/>
      </c>
      <c r="T708" s="13" t="n">
        <v>0</v>
      </c>
    </row>
    <row r="709" customFormat="false" ht="15.75" hidden="false" customHeight="false" outlineLevel="0" collapsed="false">
      <c r="R709" s="13" t="str">
        <v/>
      </c>
      <c r="S709" s="13" t="str">
        <v/>
      </c>
      <c r="T709" s="13" t="n">
        <v>0</v>
      </c>
    </row>
    <row r="710" customFormat="false" ht="15.75" hidden="false" customHeight="false" outlineLevel="0" collapsed="false">
      <c r="R710" s="13" t="str">
        <v/>
      </c>
      <c r="S710" s="13" t="str">
        <v/>
      </c>
      <c r="T710" s="13" t="n">
        <v>0</v>
      </c>
    </row>
    <row r="711" customFormat="false" ht="15.75" hidden="false" customHeight="false" outlineLevel="0" collapsed="false">
      <c r="R711" s="13" t="str">
        <v/>
      </c>
      <c r="S711" s="13" t="str">
        <v/>
      </c>
      <c r="T711" s="13" t="n">
        <v>0</v>
      </c>
    </row>
    <row r="712" customFormat="false" ht="15.75" hidden="false" customHeight="false" outlineLevel="0" collapsed="false">
      <c r="R712" s="13" t="str">
        <v/>
      </c>
      <c r="S712" s="13" t="str">
        <v/>
      </c>
      <c r="T712" s="13" t="n">
        <v>0</v>
      </c>
    </row>
    <row r="713" customFormat="false" ht="15.75" hidden="false" customHeight="false" outlineLevel="0" collapsed="false">
      <c r="R713" s="13" t="str">
        <v/>
      </c>
      <c r="S713" s="13" t="str">
        <v/>
      </c>
      <c r="T713" s="13" t="n">
        <v>0</v>
      </c>
    </row>
    <row r="714" customFormat="false" ht="15.75" hidden="false" customHeight="false" outlineLevel="0" collapsed="false">
      <c r="R714" s="13" t="str">
        <v/>
      </c>
      <c r="S714" s="13" t="str">
        <v/>
      </c>
      <c r="T714" s="13" t="n">
        <v>0</v>
      </c>
    </row>
    <row r="715" customFormat="false" ht="15.75" hidden="false" customHeight="false" outlineLevel="0" collapsed="false">
      <c r="R715" s="13" t="str">
        <v/>
      </c>
      <c r="S715" s="13" t="str">
        <v/>
      </c>
      <c r="T715" s="13" t="n">
        <v>0</v>
      </c>
    </row>
    <row r="716" customFormat="false" ht="15.75" hidden="false" customHeight="false" outlineLevel="0" collapsed="false">
      <c r="R716" s="13" t="str">
        <v/>
      </c>
      <c r="S716" s="13" t="str">
        <v/>
      </c>
      <c r="T716" s="13" t="n">
        <v>0</v>
      </c>
    </row>
    <row r="717" customFormat="false" ht="15.75" hidden="false" customHeight="false" outlineLevel="0" collapsed="false">
      <c r="R717" s="13" t="str">
        <v/>
      </c>
      <c r="S717" s="13" t="str">
        <v/>
      </c>
      <c r="T717" s="13" t="n">
        <v>0</v>
      </c>
    </row>
    <row r="718" customFormat="false" ht="15.75" hidden="false" customHeight="false" outlineLevel="0" collapsed="false">
      <c r="R718" s="13" t="str">
        <v/>
      </c>
      <c r="S718" s="13" t="str">
        <v/>
      </c>
      <c r="T718" s="13" t="n">
        <v>0</v>
      </c>
    </row>
    <row r="719" customFormat="false" ht="15.75" hidden="false" customHeight="false" outlineLevel="0" collapsed="false">
      <c r="R719" s="13" t="str">
        <v/>
      </c>
      <c r="S719" s="13" t="str">
        <v/>
      </c>
      <c r="T719" s="13" t="n">
        <v>0</v>
      </c>
    </row>
    <row r="720" customFormat="false" ht="15.75" hidden="false" customHeight="false" outlineLevel="0" collapsed="false">
      <c r="R720" s="13" t="str">
        <v/>
      </c>
      <c r="S720" s="13" t="str">
        <v/>
      </c>
      <c r="T720" s="13" t="n">
        <v>0</v>
      </c>
    </row>
    <row r="721" customFormat="false" ht="15.75" hidden="false" customHeight="false" outlineLevel="0" collapsed="false">
      <c r="R721" s="13" t="str">
        <v/>
      </c>
      <c r="S721" s="13" t="str">
        <v/>
      </c>
      <c r="T721" s="13" t="n">
        <v>0</v>
      </c>
    </row>
    <row r="722" customFormat="false" ht="15.75" hidden="false" customHeight="false" outlineLevel="0" collapsed="false">
      <c r="R722" s="13" t="str">
        <v/>
      </c>
      <c r="S722" s="13" t="str">
        <v/>
      </c>
      <c r="T722" s="13" t="n">
        <v>0</v>
      </c>
    </row>
    <row r="723" customFormat="false" ht="15.75" hidden="false" customHeight="false" outlineLevel="0" collapsed="false">
      <c r="R723" s="13" t="str">
        <v/>
      </c>
      <c r="S723" s="13" t="str">
        <v/>
      </c>
      <c r="T723" s="13" t="n">
        <v>0</v>
      </c>
    </row>
    <row r="724" customFormat="false" ht="15.75" hidden="false" customHeight="false" outlineLevel="0" collapsed="false">
      <c r="R724" s="13" t="str">
        <v/>
      </c>
      <c r="S724" s="13" t="str">
        <v/>
      </c>
      <c r="T724" s="13" t="n">
        <v>0</v>
      </c>
    </row>
    <row r="725" customFormat="false" ht="15.75" hidden="false" customHeight="false" outlineLevel="0" collapsed="false">
      <c r="R725" s="13" t="str">
        <v/>
      </c>
      <c r="S725" s="13" t="str">
        <v/>
      </c>
      <c r="T725" s="13" t="n">
        <v>0</v>
      </c>
    </row>
    <row r="726" customFormat="false" ht="15.75" hidden="false" customHeight="false" outlineLevel="0" collapsed="false">
      <c r="R726" s="13" t="str">
        <v/>
      </c>
      <c r="S726" s="13" t="str">
        <v/>
      </c>
      <c r="T726" s="13" t="n">
        <v>0</v>
      </c>
    </row>
    <row r="727" customFormat="false" ht="15.75" hidden="false" customHeight="false" outlineLevel="0" collapsed="false">
      <c r="R727" s="13" t="str">
        <v/>
      </c>
      <c r="S727" s="13" t="str">
        <v/>
      </c>
      <c r="T727" s="13" t="n">
        <v>0</v>
      </c>
    </row>
    <row r="728" customFormat="false" ht="15.75" hidden="false" customHeight="false" outlineLevel="0" collapsed="false">
      <c r="R728" s="13" t="str">
        <v/>
      </c>
      <c r="S728" s="13" t="str">
        <v/>
      </c>
      <c r="T728" s="13" t="n">
        <v>0</v>
      </c>
    </row>
    <row r="729" customFormat="false" ht="15.75" hidden="false" customHeight="false" outlineLevel="0" collapsed="false">
      <c r="R729" s="13" t="str">
        <v/>
      </c>
      <c r="S729" s="13" t="str">
        <v/>
      </c>
      <c r="T729" s="13" t="n">
        <v>0</v>
      </c>
    </row>
    <row r="730" customFormat="false" ht="15.75" hidden="false" customHeight="false" outlineLevel="0" collapsed="false">
      <c r="R730" s="13" t="str">
        <v/>
      </c>
      <c r="S730" s="13" t="str">
        <v/>
      </c>
      <c r="T730" s="13" t="n">
        <v>0</v>
      </c>
    </row>
    <row r="731" customFormat="false" ht="15.75" hidden="false" customHeight="false" outlineLevel="0" collapsed="false">
      <c r="R731" s="13" t="str">
        <v/>
      </c>
      <c r="S731" s="13" t="str">
        <v/>
      </c>
      <c r="T731" s="13" t="n">
        <v>0</v>
      </c>
    </row>
    <row r="732" customFormat="false" ht="15.75" hidden="false" customHeight="false" outlineLevel="0" collapsed="false">
      <c r="R732" s="13" t="str">
        <v/>
      </c>
      <c r="S732" s="13" t="str">
        <v/>
      </c>
      <c r="T732" s="13" t="n">
        <v>0</v>
      </c>
    </row>
    <row r="733" customFormat="false" ht="15.75" hidden="false" customHeight="false" outlineLevel="0" collapsed="false">
      <c r="R733" s="13" t="str">
        <v/>
      </c>
      <c r="S733" s="13" t="str">
        <v/>
      </c>
      <c r="T733" s="13" t="n">
        <v>0</v>
      </c>
    </row>
    <row r="734" customFormat="false" ht="15.75" hidden="false" customHeight="false" outlineLevel="0" collapsed="false">
      <c r="R734" s="13" t="str">
        <v/>
      </c>
      <c r="S734" s="13" t="str">
        <v/>
      </c>
      <c r="T734" s="13" t="n">
        <v>0</v>
      </c>
    </row>
    <row r="735" customFormat="false" ht="15.75" hidden="false" customHeight="false" outlineLevel="0" collapsed="false">
      <c r="R735" s="13" t="str">
        <v/>
      </c>
      <c r="S735" s="13" t="str">
        <v/>
      </c>
      <c r="T735" s="13" t="n">
        <v>0</v>
      </c>
    </row>
    <row r="736" customFormat="false" ht="15.75" hidden="false" customHeight="false" outlineLevel="0" collapsed="false">
      <c r="R736" s="13" t="str">
        <v/>
      </c>
      <c r="S736" s="13" t="str">
        <v/>
      </c>
      <c r="T736" s="13" t="n">
        <v>0</v>
      </c>
    </row>
    <row r="737" customFormat="false" ht="15.75" hidden="false" customHeight="false" outlineLevel="0" collapsed="false">
      <c r="R737" s="13" t="str">
        <v/>
      </c>
      <c r="S737" s="13" t="str">
        <v/>
      </c>
      <c r="T737" s="13" t="n">
        <v>0</v>
      </c>
    </row>
    <row r="738" customFormat="false" ht="15.75" hidden="false" customHeight="false" outlineLevel="0" collapsed="false">
      <c r="R738" s="13" t="str">
        <v/>
      </c>
      <c r="S738" s="13" t="str">
        <v/>
      </c>
      <c r="T738" s="13" t="n">
        <v>0</v>
      </c>
    </row>
    <row r="739" customFormat="false" ht="15.75" hidden="false" customHeight="false" outlineLevel="0" collapsed="false">
      <c r="R739" s="13" t="str">
        <v/>
      </c>
      <c r="S739" s="13" t="str">
        <v/>
      </c>
      <c r="T739" s="13" t="n">
        <v>0</v>
      </c>
    </row>
    <row r="740" customFormat="false" ht="15.75" hidden="false" customHeight="false" outlineLevel="0" collapsed="false">
      <c r="R740" s="13" t="str">
        <v/>
      </c>
      <c r="S740" s="13" t="str">
        <v/>
      </c>
      <c r="T740" s="13" t="n">
        <v>0</v>
      </c>
    </row>
    <row r="741" customFormat="false" ht="15.75" hidden="false" customHeight="false" outlineLevel="0" collapsed="false">
      <c r="R741" s="13" t="str">
        <v/>
      </c>
      <c r="S741" s="13" t="str">
        <v/>
      </c>
      <c r="T741" s="13" t="n">
        <v>0</v>
      </c>
    </row>
    <row r="742" customFormat="false" ht="15.75" hidden="false" customHeight="false" outlineLevel="0" collapsed="false">
      <c r="R742" s="13" t="str">
        <v/>
      </c>
      <c r="S742" s="13" t="str">
        <v/>
      </c>
      <c r="T742" s="13" t="n">
        <v>0</v>
      </c>
    </row>
    <row r="743" customFormat="false" ht="15.75" hidden="false" customHeight="false" outlineLevel="0" collapsed="false">
      <c r="R743" s="13" t="str">
        <v/>
      </c>
      <c r="S743" s="13" t="str">
        <v/>
      </c>
      <c r="T743" s="13" t="n">
        <v>0</v>
      </c>
    </row>
    <row r="744" customFormat="false" ht="15.75" hidden="false" customHeight="false" outlineLevel="0" collapsed="false">
      <c r="R744" s="13" t="str">
        <v/>
      </c>
      <c r="S744" s="13" t="str">
        <v/>
      </c>
      <c r="T744" s="13" t="n">
        <v>0</v>
      </c>
    </row>
    <row r="745" customFormat="false" ht="15.75" hidden="false" customHeight="false" outlineLevel="0" collapsed="false">
      <c r="R745" s="13" t="str">
        <v/>
      </c>
      <c r="S745" s="13" t="str">
        <v/>
      </c>
      <c r="T745" s="13" t="n">
        <v>0</v>
      </c>
    </row>
    <row r="746" customFormat="false" ht="15.75" hidden="false" customHeight="false" outlineLevel="0" collapsed="false">
      <c r="R746" s="13" t="str">
        <v/>
      </c>
      <c r="S746" s="13" t="str">
        <v/>
      </c>
      <c r="T746" s="13" t="n">
        <v>0</v>
      </c>
    </row>
    <row r="747" customFormat="false" ht="15.75" hidden="false" customHeight="false" outlineLevel="0" collapsed="false">
      <c r="R747" s="13" t="str">
        <v/>
      </c>
      <c r="S747" s="13" t="str">
        <v/>
      </c>
      <c r="T747" s="13" t="n">
        <v>0</v>
      </c>
    </row>
    <row r="748" customFormat="false" ht="15.75" hidden="false" customHeight="false" outlineLevel="0" collapsed="false">
      <c r="R748" s="13" t="str">
        <v/>
      </c>
      <c r="S748" s="13" t="str">
        <v/>
      </c>
      <c r="T748" s="13" t="n">
        <v>0</v>
      </c>
    </row>
    <row r="749" customFormat="false" ht="15.75" hidden="false" customHeight="false" outlineLevel="0" collapsed="false">
      <c r="R749" s="13" t="str">
        <v/>
      </c>
      <c r="S749" s="13" t="str">
        <v/>
      </c>
      <c r="T749" s="13" t="n">
        <v>0</v>
      </c>
    </row>
    <row r="750" customFormat="false" ht="15.75" hidden="false" customHeight="false" outlineLevel="0" collapsed="false">
      <c r="R750" s="13" t="str">
        <v/>
      </c>
      <c r="S750" s="13" t="str">
        <v/>
      </c>
      <c r="T750" s="13" t="n">
        <v>0</v>
      </c>
    </row>
    <row r="751" customFormat="false" ht="15.75" hidden="false" customHeight="false" outlineLevel="0" collapsed="false">
      <c r="R751" s="13" t="str">
        <v/>
      </c>
      <c r="S751" s="13" t="str">
        <v/>
      </c>
      <c r="T751" s="13" t="n">
        <v>0</v>
      </c>
    </row>
    <row r="752" customFormat="false" ht="15.75" hidden="false" customHeight="false" outlineLevel="0" collapsed="false">
      <c r="R752" s="13" t="str">
        <v/>
      </c>
      <c r="S752" s="13" t="str">
        <v/>
      </c>
      <c r="T752" s="13" t="n">
        <v>0</v>
      </c>
    </row>
    <row r="753" customFormat="false" ht="15.75" hidden="false" customHeight="false" outlineLevel="0" collapsed="false">
      <c r="R753" s="13" t="str">
        <v/>
      </c>
      <c r="S753" s="13" t="str">
        <v/>
      </c>
      <c r="T753" s="13" t="n">
        <v>0</v>
      </c>
    </row>
    <row r="754" customFormat="false" ht="15.75" hidden="false" customHeight="false" outlineLevel="0" collapsed="false">
      <c r="R754" s="13" t="str">
        <v/>
      </c>
      <c r="S754" s="13" t="str">
        <v/>
      </c>
      <c r="T754" s="13" t="n">
        <v>0</v>
      </c>
    </row>
    <row r="755" customFormat="false" ht="15.75" hidden="false" customHeight="false" outlineLevel="0" collapsed="false">
      <c r="R755" s="13" t="str">
        <v/>
      </c>
      <c r="S755" s="13" t="str">
        <v/>
      </c>
      <c r="T755" s="13" t="n">
        <v>0</v>
      </c>
    </row>
    <row r="756" customFormat="false" ht="15.75" hidden="false" customHeight="false" outlineLevel="0" collapsed="false">
      <c r="R756" s="13" t="str">
        <v/>
      </c>
      <c r="S756" s="13" t="str">
        <v/>
      </c>
      <c r="T756" s="13" t="n">
        <v>0</v>
      </c>
    </row>
    <row r="757" customFormat="false" ht="15.75" hidden="false" customHeight="false" outlineLevel="0" collapsed="false">
      <c r="R757" s="13" t="str">
        <v/>
      </c>
      <c r="S757" s="13" t="str">
        <v/>
      </c>
      <c r="T757" s="13" t="n">
        <v>0</v>
      </c>
    </row>
    <row r="758" customFormat="false" ht="15.75" hidden="false" customHeight="false" outlineLevel="0" collapsed="false">
      <c r="R758" s="13" t="str">
        <v/>
      </c>
      <c r="S758" s="13" t="str">
        <v/>
      </c>
      <c r="T758" s="13" t="n">
        <v>0</v>
      </c>
    </row>
    <row r="759" customFormat="false" ht="15.75" hidden="false" customHeight="false" outlineLevel="0" collapsed="false">
      <c r="R759" s="13" t="str">
        <v/>
      </c>
      <c r="S759" s="13" t="str">
        <v/>
      </c>
      <c r="T759" s="13" t="n">
        <v>0</v>
      </c>
    </row>
    <row r="760" customFormat="false" ht="15.75" hidden="false" customHeight="false" outlineLevel="0" collapsed="false">
      <c r="R760" s="13" t="str">
        <v/>
      </c>
      <c r="S760" s="13" t="str">
        <v/>
      </c>
      <c r="T760" s="13" t="n">
        <v>0</v>
      </c>
    </row>
    <row r="761" customFormat="false" ht="15.75" hidden="false" customHeight="false" outlineLevel="0" collapsed="false">
      <c r="R761" s="13" t="str">
        <v/>
      </c>
      <c r="S761" s="13" t="str">
        <v/>
      </c>
      <c r="T761" s="13" t="n">
        <v>0</v>
      </c>
    </row>
    <row r="762" customFormat="false" ht="15.75" hidden="false" customHeight="false" outlineLevel="0" collapsed="false">
      <c r="R762" s="13" t="str">
        <v/>
      </c>
      <c r="S762" s="13" t="str">
        <v/>
      </c>
      <c r="T762" s="13" t="n">
        <v>0</v>
      </c>
    </row>
    <row r="763" customFormat="false" ht="15.75" hidden="false" customHeight="false" outlineLevel="0" collapsed="false">
      <c r="R763" s="13" t="str">
        <v/>
      </c>
      <c r="S763" s="13" t="str">
        <v/>
      </c>
      <c r="T763" s="13" t="n">
        <v>0</v>
      </c>
    </row>
    <row r="764" customFormat="false" ht="15.75" hidden="false" customHeight="false" outlineLevel="0" collapsed="false">
      <c r="R764" s="13" t="str">
        <v/>
      </c>
      <c r="S764" s="13" t="str">
        <v/>
      </c>
      <c r="T764" s="13" t="n">
        <v>0</v>
      </c>
    </row>
    <row r="765" customFormat="false" ht="15.75" hidden="false" customHeight="false" outlineLevel="0" collapsed="false">
      <c r="R765" s="13" t="str">
        <v/>
      </c>
      <c r="S765" s="13" t="str">
        <v/>
      </c>
      <c r="T765" s="13" t="n">
        <v>0</v>
      </c>
    </row>
    <row r="766" customFormat="false" ht="15.75" hidden="false" customHeight="false" outlineLevel="0" collapsed="false">
      <c r="R766" s="13" t="str">
        <v/>
      </c>
      <c r="S766" s="13" t="str">
        <v/>
      </c>
      <c r="T766" s="13" t="n">
        <v>0</v>
      </c>
    </row>
    <row r="767" customFormat="false" ht="15.75" hidden="false" customHeight="false" outlineLevel="0" collapsed="false">
      <c r="R767" s="13" t="str">
        <v/>
      </c>
      <c r="S767" s="13" t="str">
        <v/>
      </c>
      <c r="T767" s="13" t="n">
        <v>0</v>
      </c>
    </row>
    <row r="768" customFormat="false" ht="15.75" hidden="false" customHeight="false" outlineLevel="0" collapsed="false">
      <c r="R768" s="13" t="str">
        <v/>
      </c>
      <c r="S768" s="13" t="str">
        <v/>
      </c>
      <c r="T768" s="13" t="n">
        <v>0</v>
      </c>
    </row>
    <row r="769" customFormat="false" ht="15.75" hidden="false" customHeight="false" outlineLevel="0" collapsed="false">
      <c r="R769" s="13" t="str">
        <v/>
      </c>
      <c r="S769" s="13" t="str">
        <v/>
      </c>
      <c r="T769" s="13" t="n">
        <v>0</v>
      </c>
    </row>
    <row r="770" customFormat="false" ht="15.75" hidden="false" customHeight="false" outlineLevel="0" collapsed="false">
      <c r="R770" s="13" t="str">
        <v/>
      </c>
      <c r="S770" s="13" t="str">
        <v/>
      </c>
      <c r="T770" s="13" t="n">
        <v>0</v>
      </c>
    </row>
    <row r="771" customFormat="false" ht="15.75" hidden="false" customHeight="false" outlineLevel="0" collapsed="false">
      <c r="R771" s="13" t="str">
        <v/>
      </c>
      <c r="S771" s="13" t="str">
        <v/>
      </c>
      <c r="T771" s="13" t="n">
        <v>0</v>
      </c>
    </row>
    <row r="772" customFormat="false" ht="15.75" hidden="false" customHeight="false" outlineLevel="0" collapsed="false">
      <c r="R772" s="13" t="str">
        <v/>
      </c>
      <c r="S772" s="13" t="str">
        <v/>
      </c>
      <c r="T772" s="13" t="n">
        <v>0</v>
      </c>
    </row>
    <row r="773" customFormat="false" ht="15.75" hidden="false" customHeight="false" outlineLevel="0" collapsed="false">
      <c r="R773" s="13" t="str">
        <v/>
      </c>
      <c r="S773" s="13" t="str">
        <v/>
      </c>
      <c r="T773" s="13" t="n">
        <v>0</v>
      </c>
    </row>
    <row r="774" customFormat="false" ht="15.75" hidden="false" customHeight="false" outlineLevel="0" collapsed="false">
      <c r="R774" s="13" t="str">
        <v/>
      </c>
      <c r="S774" s="13" t="str">
        <v/>
      </c>
      <c r="T774" s="13" t="n">
        <v>0</v>
      </c>
    </row>
    <row r="775" customFormat="false" ht="15.75" hidden="false" customHeight="false" outlineLevel="0" collapsed="false">
      <c r="R775" s="13" t="str">
        <v/>
      </c>
      <c r="S775" s="13" t="str">
        <v/>
      </c>
      <c r="T775" s="13" t="n">
        <v>0</v>
      </c>
    </row>
    <row r="776" customFormat="false" ht="15.75" hidden="false" customHeight="false" outlineLevel="0" collapsed="false">
      <c r="R776" s="13" t="str">
        <v/>
      </c>
      <c r="S776" s="13" t="str">
        <v/>
      </c>
      <c r="T776" s="13" t="n">
        <v>0</v>
      </c>
    </row>
    <row r="777" customFormat="false" ht="15.75" hidden="false" customHeight="false" outlineLevel="0" collapsed="false">
      <c r="R777" s="13" t="str">
        <v/>
      </c>
      <c r="S777" s="13" t="str">
        <v/>
      </c>
      <c r="T777" s="13" t="n">
        <v>0</v>
      </c>
    </row>
    <row r="778" customFormat="false" ht="15.75" hidden="false" customHeight="false" outlineLevel="0" collapsed="false">
      <c r="R778" s="13" t="str">
        <v/>
      </c>
      <c r="S778" s="13" t="str">
        <v/>
      </c>
      <c r="T778" s="13" t="n">
        <v>0</v>
      </c>
    </row>
    <row r="779" customFormat="false" ht="15.75" hidden="false" customHeight="false" outlineLevel="0" collapsed="false">
      <c r="R779" s="13" t="str">
        <v/>
      </c>
      <c r="S779" s="13" t="str">
        <v/>
      </c>
      <c r="T779" s="13" t="n">
        <v>0</v>
      </c>
    </row>
    <row r="780" customFormat="false" ht="15.75" hidden="false" customHeight="false" outlineLevel="0" collapsed="false">
      <c r="R780" s="13" t="str">
        <v/>
      </c>
      <c r="S780" s="13" t="str">
        <v/>
      </c>
      <c r="T780" s="13" t="n">
        <v>0</v>
      </c>
    </row>
    <row r="781" customFormat="false" ht="15.75" hidden="false" customHeight="false" outlineLevel="0" collapsed="false">
      <c r="R781" s="13" t="str">
        <v/>
      </c>
      <c r="S781" s="13" t="str">
        <v/>
      </c>
      <c r="T781" s="13" t="n">
        <v>0</v>
      </c>
    </row>
    <row r="782" customFormat="false" ht="15.75" hidden="false" customHeight="false" outlineLevel="0" collapsed="false">
      <c r="R782" s="13" t="str">
        <v/>
      </c>
      <c r="S782" s="13" t="str">
        <v/>
      </c>
      <c r="T782" s="13" t="n">
        <v>0</v>
      </c>
    </row>
    <row r="783" customFormat="false" ht="15.75" hidden="false" customHeight="false" outlineLevel="0" collapsed="false">
      <c r="R783" s="13" t="str">
        <v/>
      </c>
      <c r="S783" s="13" t="str">
        <v/>
      </c>
      <c r="T783" s="13" t="n">
        <v>0</v>
      </c>
    </row>
    <row r="784" customFormat="false" ht="15.75" hidden="false" customHeight="false" outlineLevel="0" collapsed="false">
      <c r="R784" s="13" t="str">
        <v/>
      </c>
      <c r="S784" s="13" t="str">
        <v/>
      </c>
      <c r="T784" s="13" t="n">
        <v>0</v>
      </c>
    </row>
    <row r="785" customFormat="false" ht="15.75" hidden="false" customHeight="false" outlineLevel="0" collapsed="false">
      <c r="R785" s="13" t="str">
        <v/>
      </c>
      <c r="S785" s="13" t="str">
        <v/>
      </c>
      <c r="T785" s="13" t="n">
        <v>0</v>
      </c>
    </row>
    <row r="786" customFormat="false" ht="15.75" hidden="false" customHeight="false" outlineLevel="0" collapsed="false">
      <c r="R786" s="13" t="str">
        <v/>
      </c>
      <c r="S786" s="13" t="str">
        <v/>
      </c>
      <c r="T786" s="13" t="n">
        <v>0</v>
      </c>
    </row>
    <row r="787" customFormat="false" ht="15.75" hidden="false" customHeight="false" outlineLevel="0" collapsed="false">
      <c r="R787" s="13" t="str">
        <v/>
      </c>
      <c r="S787" s="13" t="str">
        <v/>
      </c>
      <c r="T787" s="13" t="n">
        <v>0</v>
      </c>
    </row>
    <row r="788" customFormat="false" ht="15.75" hidden="false" customHeight="false" outlineLevel="0" collapsed="false">
      <c r="R788" s="13" t="str">
        <v/>
      </c>
      <c r="S788" s="13" t="str">
        <v/>
      </c>
      <c r="T788" s="13" t="n">
        <v>0</v>
      </c>
    </row>
    <row r="789" customFormat="false" ht="15.75" hidden="false" customHeight="false" outlineLevel="0" collapsed="false">
      <c r="R789" s="13" t="str">
        <v/>
      </c>
      <c r="S789" s="13" t="str">
        <v/>
      </c>
      <c r="T789" s="13" t="n">
        <v>0</v>
      </c>
    </row>
    <row r="790" customFormat="false" ht="15.75" hidden="false" customHeight="false" outlineLevel="0" collapsed="false">
      <c r="R790" s="13" t="str">
        <v/>
      </c>
      <c r="S790" s="13" t="str">
        <v/>
      </c>
      <c r="T790" s="13" t="n">
        <v>0</v>
      </c>
    </row>
    <row r="791" customFormat="false" ht="15.75" hidden="false" customHeight="false" outlineLevel="0" collapsed="false">
      <c r="R791" s="13" t="str">
        <v/>
      </c>
      <c r="S791" s="13" t="str">
        <v/>
      </c>
      <c r="T791" s="13" t="n">
        <v>0</v>
      </c>
    </row>
    <row r="792" customFormat="false" ht="15.75" hidden="false" customHeight="false" outlineLevel="0" collapsed="false">
      <c r="R792" s="13" t="str">
        <v/>
      </c>
      <c r="S792" s="13" t="str">
        <v/>
      </c>
      <c r="T792" s="13" t="n">
        <v>0</v>
      </c>
    </row>
    <row r="793" customFormat="false" ht="15.75" hidden="false" customHeight="false" outlineLevel="0" collapsed="false">
      <c r="R793" s="13" t="str">
        <v/>
      </c>
      <c r="S793" s="13" t="str">
        <v/>
      </c>
      <c r="T793" s="13" t="n">
        <v>0</v>
      </c>
    </row>
    <row r="794" customFormat="false" ht="15.75" hidden="false" customHeight="false" outlineLevel="0" collapsed="false">
      <c r="R794" s="13" t="str">
        <v/>
      </c>
      <c r="S794" s="13" t="str">
        <v/>
      </c>
      <c r="T794" s="13" t="n">
        <v>0</v>
      </c>
    </row>
    <row r="795" customFormat="false" ht="15.75" hidden="false" customHeight="false" outlineLevel="0" collapsed="false">
      <c r="R795" s="13" t="str">
        <v/>
      </c>
      <c r="S795" s="13" t="str">
        <v/>
      </c>
      <c r="T795" s="13" t="n">
        <v>0</v>
      </c>
    </row>
    <row r="796" customFormat="false" ht="15.75" hidden="false" customHeight="false" outlineLevel="0" collapsed="false">
      <c r="R796" s="13" t="str">
        <v/>
      </c>
      <c r="S796" s="13" t="str">
        <v/>
      </c>
      <c r="T796" s="13" t="n">
        <v>0</v>
      </c>
    </row>
    <row r="797" customFormat="false" ht="15.75" hidden="false" customHeight="false" outlineLevel="0" collapsed="false">
      <c r="R797" s="13" t="str">
        <v/>
      </c>
      <c r="S797" s="13" t="str">
        <v/>
      </c>
      <c r="T797" s="13" t="n">
        <v>0</v>
      </c>
    </row>
    <row r="798" customFormat="false" ht="15.75" hidden="false" customHeight="false" outlineLevel="0" collapsed="false">
      <c r="R798" s="13" t="str">
        <v/>
      </c>
      <c r="S798" s="13" t="str">
        <v/>
      </c>
      <c r="T798" s="13" t="n">
        <v>0</v>
      </c>
    </row>
    <row r="799" customFormat="false" ht="15.75" hidden="false" customHeight="false" outlineLevel="0" collapsed="false">
      <c r="R799" s="13" t="str">
        <v/>
      </c>
      <c r="S799" s="13" t="str">
        <v/>
      </c>
      <c r="T799" s="13" t="n">
        <v>0</v>
      </c>
    </row>
    <row r="800" customFormat="false" ht="15.75" hidden="false" customHeight="false" outlineLevel="0" collapsed="false">
      <c r="R800" s="13" t="str">
        <v/>
      </c>
      <c r="S800" s="13" t="str">
        <v/>
      </c>
      <c r="T800" s="13" t="n">
        <v>0</v>
      </c>
    </row>
    <row r="801" customFormat="false" ht="15.75" hidden="false" customHeight="false" outlineLevel="0" collapsed="false">
      <c r="R801" s="13" t="str">
        <v/>
      </c>
      <c r="S801" s="13" t="str">
        <v/>
      </c>
      <c r="T801" s="13" t="n">
        <v>0</v>
      </c>
    </row>
    <row r="802" customFormat="false" ht="15.75" hidden="false" customHeight="false" outlineLevel="0" collapsed="false">
      <c r="R802" s="13" t="str">
        <v/>
      </c>
      <c r="S802" s="13" t="str">
        <v/>
      </c>
      <c r="T802" s="13" t="n">
        <v>0</v>
      </c>
    </row>
    <row r="803" customFormat="false" ht="15.75" hidden="false" customHeight="false" outlineLevel="0" collapsed="false">
      <c r="R803" s="13" t="str">
        <v/>
      </c>
      <c r="S803" s="13" t="str">
        <v/>
      </c>
      <c r="T803" s="13" t="n">
        <v>0</v>
      </c>
    </row>
    <row r="804" customFormat="false" ht="15.75" hidden="false" customHeight="false" outlineLevel="0" collapsed="false">
      <c r="R804" s="13" t="str">
        <v/>
      </c>
      <c r="S804" s="13" t="str">
        <v/>
      </c>
      <c r="T804" s="13" t="n">
        <v>0</v>
      </c>
    </row>
    <row r="805" customFormat="false" ht="15.75" hidden="false" customHeight="false" outlineLevel="0" collapsed="false">
      <c r="R805" s="13" t="str">
        <v/>
      </c>
      <c r="S805" s="13" t="str">
        <v/>
      </c>
      <c r="T805" s="13" t="n">
        <v>0</v>
      </c>
    </row>
    <row r="806" customFormat="false" ht="15.75" hidden="false" customHeight="false" outlineLevel="0" collapsed="false">
      <c r="R806" s="13" t="str">
        <v/>
      </c>
      <c r="S806" s="13" t="str">
        <v/>
      </c>
      <c r="T806" s="13" t="n">
        <v>0</v>
      </c>
    </row>
    <row r="807" customFormat="false" ht="15.75" hidden="false" customHeight="false" outlineLevel="0" collapsed="false">
      <c r="R807" s="13" t="str">
        <v/>
      </c>
      <c r="S807" s="13" t="str">
        <v/>
      </c>
      <c r="T807" s="13" t="n">
        <v>0</v>
      </c>
    </row>
    <row r="808" customFormat="false" ht="15.75" hidden="false" customHeight="false" outlineLevel="0" collapsed="false">
      <c r="R808" s="13" t="str">
        <v/>
      </c>
      <c r="S808" s="13" t="str">
        <v/>
      </c>
      <c r="T808" s="13" t="n">
        <v>0</v>
      </c>
    </row>
    <row r="809" customFormat="false" ht="15.75" hidden="false" customHeight="false" outlineLevel="0" collapsed="false">
      <c r="R809" s="13" t="str">
        <v/>
      </c>
      <c r="S809" s="13" t="str">
        <v/>
      </c>
      <c r="T809" s="13" t="n">
        <v>0</v>
      </c>
    </row>
    <row r="810" customFormat="false" ht="15.75" hidden="false" customHeight="false" outlineLevel="0" collapsed="false">
      <c r="R810" s="13" t="str">
        <v/>
      </c>
      <c r="S810" s="13" t="str">
        <v/>
      </c>
      <c r="T810" s="13" t="n">
        <v>0</v>
      </c>
    </row>
    <row r="811" customFormat="false" ht="15.75" hidden="false" customHeight="false" outlineLevel="0" collapsed="false">
      <c r="R811" s="13" t="str">
        <v/>
      </c>
      <c r="S811" s="13" t="str">
        <v/>
      </c>
      <c r="T811" s="13" t="n">
        <v>0</v>
      </c>
    </row>
    <row r="812" customFormat="false" ht="15.75" hidden="false" customHeight="false" outlineLevel="0" collapsed="false">
      <c r="R812" s="13" t="str">
        <v/>
      </c>
      <c r="S812" s="13" t="str">
        <v/>
      </c>
      <c r="T812" s="13" t="n">
        <v>0</v>
      </c>
    </row>
    <row r="813" customFormat="false" ht="15.75" hidden="false" customHeight="false" outlineLevel="0" collapsed="false">
      <c r="R813" s="13" t="str">
        <v/>
      </c>
      <c r="S813" s="13" t="str">
        <v/>
      </c>
      <c r="T813" s="13" t="n">
        <v>0</v>
      </c>
    </row>
    <row r="814" customFormat="false" ht="15.75" hidden="false" customHeight="false" outlineLevel="0" collapsed="false">
      <c r="R814" s="13" t="str">
        <v/>
      </c>
      <c r="S814" s="13" t="str">
        <v/>
      </c>
      <c r="T814" s="13" t="n">
        <v>0</v>
      </c>
    </row>
    <row r="815" customFormat="false" ht="15.75" hidden="false" customHeight="false" outlineLevel="0" collapsed="false">
      <c r="R815" s="13" t="str">
        <v/>
      </c>
      <c r="S815" s="13" t="str">
        <v/>
      </c>
      <c r="T815" s="13" t="n">
        <v>0</v>
      </c>
    </row>
    <row r="816" customFormat="false" ht="15.75" hidden="false" customHeight="false" outlineLevel="0" collapsed="false">
      <c r="R816" s="13" t="str">
        <v/>
      </c>
      <c r="S816" s="13" t="str">
        <v/>
      </c>
      <c r="T816" s="13" t="n">
        <v>0</v>
      </c>
    </row>
    <row r="817" customFormat="false" ht="15.75" hidden="false" customHeight="false" outlineLevel="0" collapsed="false">
      <c r="R817" s="13" t="str">
        <v/>
      </c>
      <c r="S817" s="13" t="str">
        <v/>
      </c>
      <c r="T817" s="13" t="n">
        <v>0</v>
      </c>
    </row>
    <row r="818" customFormat="false" ht="15.75" hidden="false" customHeight="false" outlineLevel="0" collapsed="false">
      <c r="R818" s="13" t="str">
        <v/>
      </c>
      <c r="S818" s="13" t="str">
        <v/>
      </c>
      <c r="T818" s="13" t="n">
        <v>0</v>
      </c>
    </row>
    <row r="819" customFormat="false" ht="15.75" hidden="false" customHeight="false" outlineLevel="0" collapsed="false">
      <c r="R819" s="13" t="str">
        <v/>
      </c>
      <c r="S819" s="13" t="str">
        <v/>
      </c>
      <c r="T819" s="13" t="n">
        <v>0</v>
      </c>
    </row>
    <row r="820" customFormat="false" ht="15.75" hidden="false" customHeight="false" outlineLevel="0" collapsed="false">
      <c r="R820" s="13" t="str">
        <v/>
      </c>
      <c r="S820" s="13" t="str">
        <v/>
      </c>
      <c r="T820" s="13" t="n">
        <v>0</v>
      </c>
    </row>
    <row r="821" customFormat="false" ht="15.75" hidden="false" customHeight="false" outlineLevel="0" collapsed="false">
      <c r="R821" s="13" t="str">
        <v/>
      </c>
      <c r="S821" s="13" t="str">
        <v/>
      </c>
      <c r="T821" s="13" t="n">
        <v>0</v>
      </c>
    </row>
    <row r="822" customFormat="false" ht="15.75" hidden="false" customHeight="false" outlineLevel="0" collapsed="false">
      <c r="R822" s="13" t="str">
        <v/>
      </c>
      <c r="S822" s="13" t="str">
        <v/>
      </c>
      <c r="T822" s="13" t="n">
        <v>0</v>
      </c>
    </row>
    <row r="823" customFormat="false" ht="15.75" hidden="false" customHeight="false" outlineLevel="0" collapsed="false">
      <c r="R823" s="13" t="str">
        <v/>
      </c>
      <c r="S823" s="13" t="str">
        <v/>
      </c>
      <c r="T823" s="13" t="n">
        <v>0</v>
      </c>
    </row>
    <row r="824" customFormat="false" ht="15.75" hidden="false" customHeight="false" outlineLevel="0" collapsed="false">
      <c r="R824" s="13" t="str">
        <v/>
      </c>
      <c r="S824" s="13" t="str">
        <v/>
      </c>
      <c r="T824" s="13" t="n">
        <v>0</v>
      </c>
    </row>
    <row r="825" customFormat="false" ht="15.75" hidden="false" customHeight="false" outlineLevel="0" collapsed="false">
      <c r="R825" s="13" t="str">
        <v/>
      </c>
      <c r="S825" s="13" t="str">
        <v/>
      </c>
      <c r="T825" s="13" t="n">
        <v>0</v>
      </c>
    </row>
    <row r="826" customFormat="false" ht="15.75" hidden="false" customHeight="false" outlineLevel="0" collapsed="false">
      <c r="R826" s="13" t="str">
        <v/>
      </c>
      <c r="S826" s="13" t="str">
        <v/>
      </c>
      <c r="T826" s="13" t="n">
        <v>0</v>
      </c>
    </row>
    <row r="827" customFormat="false" ht="15.75" hidden="false" customHeight="false" outlineLevel="0" collapsed="false">
      <c r="R827" s="13" t="str">
        <v/>
      </c>
      <c r="S827" s="13" t="str">
        <v/>
      </c>
      <c r="T827" s="13" t="n">
        <v>0</v>
      </c>
    </row>
    <row r="828" customFormat="false" ht="15.75" hidden="false" customHeight="false" outlineLevel="0" collapsed="false">
      <c r="R828" s="13" t="str">
        <v/>
      </c>
      <c r="S828" s="13" t="str">
        <v/>
      </c>
      <c r="T828" s="13" t="n">
        <v>0</v>
      </c>
    </row>
    <row r="829" customFormat="false" ht="15.75" hidden="false" customHeight="false" outlineLevel="0" collapsed="false">
      <c r="R829" s="13" t="str">
        <v/>
      </c>
      <c r="S829" s="13" t="str">
        <v/>
      </c>
      <c r="T829" s="13" t="n">
        <v>0</v>
      </c>
    </row>
    <row r="830" customFormat="false" ht="15.75" hidden="false" customHeight="false" outlineLevel="0" collapsed="false">
      <c r="R830" s="13" t="str">
        <v/>
      </c>
      <c r="S830" s="13" t="str">
        <v/>
      </c>
      <c r="T830" s="13" t="n">
        <v>0</v>
      </c>
    </row>
    <row r="831" customFormat="false" ht="15.75" hidden="false" customHeight="false" outlineLevel="0" collapsed="false">
      <c r="R831" s="13" t="str">
        <v/>
      </c>
      <c r="S831" s="13" t="str">
        <v/>
      </c>
      <c r="T831" s="13" t="n">
        <v>0</v>
      </c>
    </row>
    <row r="832" customFormat="false" ht="15.75" hidden="false" customHeight="false" outlineLevel="0" collapsed="false">
      <c r="R832" s="13" t="str">
        <v/>
      </c>
      <c r="S832" s="13" t="str">
        <v/>
      </c>
      <c r="T832" s="13" t="n">
        <v>0</v>
      </c>
    </row>
    <row r="833" customFormat="false" ht="15.75" hidden="false" customHeight="false" outlineLevel="0" collapsed="false">
      <c r="R833" s="13" t="str">
        <v/>
      </c>
      <c r="S833" s="13" t="str">
        <v/>
      </c>
      <c r="T833" s="13" t="n">
        <v>0</v>
      </c>
    </row>
    <row r="834" customFormat="false" ht="15.75" hidden="false" customHeight="false" outlineLevel="0" collapsed="false">
      <c r="R834" s="13" t="str">
        <v/>
      </c>
      <c r="S834" s="13" t="str">
        <v/>
      </c>
      <c r="T834" s="13" t="n">
        <v>0</v>
      </c>
    </row>
    <row r="835" customFormat="false" ht="15.75" hidden="false" customHeight="false" outlineLevel="0" collapsed="false">
      <c r="R835" s="13" t="str">
        <v/>
      </c>
      <c r="S835" s="13" t="str">
        <v/>
      </c>
      <c r="T835" s="13" t="n">
        <v>0</v>
      </c>
    </row>
    <row r="836" customFormat="false" ht="15.75" hidden="false" customHeight="false" outlineLevel="0" collapsed="false">
      <c r="R836" s="13" t="str">
        <v/>
      </c>
      <c r="S836" s="13" t="str">
        <v/>
      </c>
      <c r="T836" s="13" t="n">
        <v>0</v>
      </c>
    </row>
    <row r="837" customFormat="false" ht="15.75" hidden="false" customHeight="false" outlineLevel="0" collapsed="false">
      <c r="R837" s="13" t="str">
        <v/>
      </c>
      <c r="S837" s="13" t="str">
        <v/>
      </c>
      <c r="T837" s="13" t="n">
        <v>0</v>
      </c>
    </row>
    <row r="838" customFormat="false" ht="15.75" hidden="false" customHeight="false" outlineLevel="0" collapsed="false">
      <c r="R838" s="13" t="str">
        <v/>
      </c>
      <c r="S838" s="13" t="str">
        <v/>
      </c>
      <c r="T838" s="13" t="n">
        <v>0</v>
      </c>
    </row>
    <row r="839" customFormat="false" ht="15.75" hidden="false" customHeight="false" outlineLevel="0" collapsed="false">
      <c r="R839" s="13" t="str">
        <v/>
      </c>
      <c r="S839" s="13" t="str">
        <v/>
      </c>
      <c r="T839" s="13" t="n">
        <v>0</v>
      </c>
    </row>
    <row r="840" customFormat="false" ht="15.75" hidden="false" customHeight="false" outlineLevel="0" collapsed="false">
      <c r="R840" s="13" t="str">
        <v/>
      </c>
      <c r="S840" s="13" t="str">
        <v/>
      </c>
      <c r="T840" s="13" t="n">
        <v>0</v>
      </c>
    </row>
    <row r="841" customFormat="false" ht="15.75" hidden="false" customHeight="false" outlineLevel="0" collapsed="false">
      <c r="R841" s="13" t="str">
        <v/>
      </c>
      <c r="S841" s="13" t="str">
        <v/>
      </c>
      <c r="T841" s="13" t="n">
        <v>0</v>
      </c>
    </row>
    <row r="842" customFormat="false" ht="15.75" hidden="false" customHeight="false" outlineLevel="0" collapsed="false">
      <c r="R842" s="13" t="str">
        <v/>
      </c>
      <c r="S842" s="13" t="str">
        <v/>
      </c>
      <c r="T842" s="13" t="n">
        <v>0</v>
      </c>
    </row>
    <row r="843" customFormat="false" ht="15.75" hidden="false" customHeight="false" outlineLevel="0" collapsed="false">
      <c r="R843" s="13" t="str">
        <v/>
      </c>
      <c r="S843" s="13" t="str">
        <v/>
      </c>
      <c r="T843" s="13" t="n">
        <v>0</v>
      </c>
    </row>
    <row r="844" customFormat="false" ht="15.75" hidden="false" customHeight="false" outlineLevel="0" collapsed="false">
      <c r="R844" s="13" t="str">
        <v/>
      </c>
      <c r="S844" s="13" t="str">
        <v/>
      </c>
      <c r="T844" s="13" t="n">
        <v>0</v>
      </c>
    </row>
    <row r="845" customFormat="false" ht="15.75" hidden="false" customHeight="false" outlineLevel="0" collapsed="false">
      <c r="R845" s="13" t="str">
        <v/>
      </c>
      <c r="S845" s="13" t="str">
        <v/>
      </c>
      <c r="T845" s="13" t="n">
        <v>0</v>
      </c>
    </row>
    <row r="846" customFormat="false" ht="15.75" hidden="false" customHeight="false" outlineLevel="0" collapsed="false">
      <c r="R846" s="13" t="str">
        <v/>
      </c>
      <c r="S846" s="13" t="str">
        <v/>
      </c>
      <c r="T846" s="13" t="n">
        <v>0</v>
      </c>
    </row>
    <row r="847" customFormat="false" ht="15.75" hidden="false" customHeight="false" outlineLevel="0" collapsed="false">
      <c r="R847" s="13" t="str">
        <v/>
      </c>
      <c r="S847" s="13" t="str">
        <v/>
      </c>
      <c r="T847" s="13" t="n">
        <v>0</v>
      </c>
    </row>
    <row r="848" customFormat="false" ht="15.75" hidden="false" customHeight="false" outlineLevel="0" collapsed="false">
      <c r="R848" s="13" t="str">
        <v/>
      </c>
      <c r="S848" s="13" t="str">
        <v/>
      </c>
      <c r="T848" s="13" t="n">
        <v>0</v>
      </c>
    </row>
    <row r="849" customFormat="false" ht="15.75" hidden="false" customHeight="false" outlineLevel="0" collapsed="false">
      <c r="R849" s="13" t="str">
        <v/>
      </c>
      <c r="S849" s="13" t="str">
        <v/>
      </c>
      <c r="T849" s="13" t="n">
        <v>0</v>
      </c>
    </row>
    <row r="850" customFormat="false" ht="15.75" hidden="false" customHeight="false" outlineLevel="0" collapsed="false">
      <c r="R850" s="13" t="str">
        <v/>
      </c>
      <c r="S850" s="13" t="str">
        <v/>
      </c>
      <c r="T850" s="13" t="n">
        <v>0</v>
      </c>
    </row>
    <row r="851" customFormat="false" ht="15.75" hidden="false" customHeight="false" outlineLevel="0" collapsed="false">
      <c r="R851" s="13" t="str">
        <v/>
      </c>
      <c r="S851" s="13" t="str">
        <v/>
      </c>
      <c r="T851" s="13" t="n">
        <v>0</v>
      </c>
    </row>
    <row r="852" customFormat="false" ht="15.75" hidden="false" customHeight="false" outlineLevel="0" collapsed="false">
      <c r="R852" s="13" t="str">
        <v/>
      </c>
      <c r="S852" s="13" t="str">
        <v/>
      </c>
      <c r="T852" s="13" t="n">
        <v>0</v>
      </c>
    </row>
    <row r="853" customFormat="false" ht="15.75" hidden="false" customHeight="false" outlineLevel="0" collapsed="false">
      <c r="R853" s="13" t="str">
        <v/>
      </c>
      <c r="S853" s="13" t="str">
        <v/>
      </c>
      <c r="T853" s="13" t="n">
        <v>0</v>
      </c>
    </row>
    <row r="854" customFormat="false" ht="15.75" hidden="false" customHeight="false" outlineLevel="0" collapsed="false">
      <c r="R854" s="13" t="str">
        <v/>
      </c>
      <c r="S854" s="13" t="str">
        <v/>
      </c>
      <c r="T854" s="13" t="n">
        <v>0</v>
      </c>
    </row>
    <row r="855" customFormat="false" ht="15.75" hidden="false" customHeight="false" outlineLevel="0" collapsed="false">
      <c r="R855" s="13" t="str">
        <v/>
      </c>
      <c r="S855" s="13" t="str">
        <v/>
      </c>
      <c r="T855" s="13" t="n">
        <v>0</v>
      </c>
    </row>
    <row r="856" customFormat="false" ht="15.75" hidden="false" customHeight="false" outlineLevel="0" collapsed="false">
      <c r="R856" s="13" t="str">
        <v/>
      </c>
      <c r="S856" s="13" t="str">
        <v/>
      </c>
      <c r="T856" s="13" t="n">
        <v>0</v>
      </c>
    </row>
    <row r="857" customFormat="false" ht="15.75" hidden="false" customHeight="false" outlineLevel="0" collapsed="false">
      <c r="R857" s="13" t="str">
        <v/>
      </c>
      <c r="S857" s="13" t="str">
        <v/>
      </c>
      <c r="T857" s="13" t="n">
        <v>0</v>
      </c>
    </row>
    <row r="858" customFormat="false" ht="15.75" hidden="false" customHeight="false" outlineLevel="0" collapsed="false">
      <c r="R858" s="13" t="str">
        <v/>
      </c>
      <c r="S858" s="13" t="str">
        <v/>
      </c>
      <c r="T858" s="13" t="n">
        <v>0</v>
      </c>
    </row>
    <row r="859" customFormat="false" ht="15.75" hidden="false" customHeight="false" outlineLevel="0" collapsed="false">
      <c r="R859" s="13" t="str">
        <v/>
      </c>
      <c r="S859" s="13" t="str">
        <v/>
      </c>
      <c r="T859" s="13" t="n">
        <v>0</v>
      </c>
    </row>
    <row r="860" customFormat="false" ht="15.75" hidden="false" customHeight="false" outlineLevel="0" collapsed="false">
      <c r="R860" s="13" t="str">
        <v/>
      </c>
      <c r="S860" s="13" t="str">
        <v/>
      </c>
      <c r="T860" s="13" t="n">
        <v>0</v>
      </c>
    </row>
    <row r="861" customFormat="false" ht="15.75" hidden="false" customHeight="false" outlineLevel="0" collapsed="false">
      <c r="R861" s="13" t="str">
        <v/>
      </c>
      <c r="S861" s="13" t="str">
        <v/>
      </c>
      <c r="T861" s="13" t="n">
        <v>0</v>
      </c>
    </row>
    <row r="862" customFormat="false" ht="15.75" hidden="false" customHeight="false" outlineLevel="0" collapsed="false">
      <c r="R862" s="13" t="str">
        <v/>
      </c>
      <c r="S862" s="13" t="str">
        <v/>
      </c>
      <c r="T862" s="13" t="n">
        <v>0</v>
      </c>
    </row>
    <row r="863" customFormat="false" ht="15.75" hidden="false" customHeight="false" outlineLevel="0" collapsed="false">
      <c r="R863" s="13" t="str">
        <v/>
      </c>
      <c r="S863" s="13" t="str">
        <v/>
      </c>
      <c r="T863" s="13" t="n">
        <v>0</v>
      </c>
    </row>
    <row r="864" customFormat="false" ht="15.75" hidden="false" customHeight="false" outlineLevel="0" collapsed="false">
      <c r="R864" s="13" t="str">
        <v/>
      </c>
      <c r="S864" s="13" t="str">
        <v/>
      </c>
      <c r="T864" s="13" t="n">
        <v>0</v>
      </c>
    </row>
    <row r="865" customFormat="false" ht="15.75" hidden="false" customHeight="false" outlineLevel="0" collapsed="false">
      <c r="R865" s="13" t="str">
        <v/>
      </c>
      <c r="S865" s="13" t="str">
        <v/>
      </c>
      <c r="T865" s="13" t="n">
        <v>0</v>
      </c>
    </row>
    <row r="866" customFormat="false" ht="15.75" hidden="false" customHeight="false" outlineLevel="0" collapsed="false">
      <c r="R866" s="13" t="str">
        <v/>
      </c>
      <c r="S866" s="13" t="str">
        <v/>
      </c>
      <c r="T866" s="13" t="n">
        <v>0</v>
      </c>
    </row>
    <row r="867" customFormat="false" ht="15.75" hidden="false" customHeight="false" outlineLevel="0" collapsed="false">
      <c r="R867" s="13" t="str">
        <v/>
      </c>
      <c r="S867" s="13" t="str">
        <v/>
      </c>
      <c r="T867" s="13" t="n">
        <v>0</v>
      </c>
    </row>
    <row r="868" customFormat="false" ht="15.75" hidden="false" customHeight="false" outlineLevel="0" collapsed="false">
      <c r="R868" s="13" t="str">
        <v/>
      </c>
      <c r="S868" s="13" t="str">
        <v/>
      </c>
      <c r="T868" s="13" t="n">
        <v>0</v>
      </c>
    </row>
    <row r="869" customFormat="false" ht="15.75" hidden="false" customHeight="false" outlineLevel="0" collapsed="false">
      <c r="R869" s="13" t="str">
        <v/>
      </c>
      <c r="S869" s="13" t="str">
        <v/>
      </c>
      <c r="T869" s="13" t="n">
        <v>0</v>
      </c>
    </row>
    <row r="870" customFormat="false" ht="15.75" hidden="false" customHeight="false" outlineLevel="0" collapsed="false">
      <c r="R870" s="13" t="str">
        <v/>
      </c>
      <c r="S870" s="13" t="str">
        <v/>
      </c>
      <c r="T870" s="13" t="n">
        <v>0</v>
      </c>
    </row>
    <row r="871" customFormat="false" ht="15.75" hidden="false" customHeight="false" outlineLevel="0" collapsed="false">
      <c r="R871" s="13" t="str">
        <v/>
      </c>
      <c r="S871" s="13" t="str">
        <v/>
      </c>
      <c r="T871" s="13" t="n">
        <v>0</v>
      </c>
    </row>
    <row r="872" customFormat="false" ht="15.75" hidden="false" customHeight="false" outlineLevel="0" collapsed="false">
      <c r="R872" s="13" t="str">
        <v/>
      </c>
      <c r="S872" s="13" t="str">
        <v/>
      </c>
      <c r="T872" s="13" t="n">
        <v>0</v>
      </c>
    </row>
    <row r="873" customFormat="false" ht="15.75" hidden="false" customHeight="false" outlineLevel="0" collapsed="false">
      <c r="R873" s="13" t="str">
        <v/>
      </c>
      <c r="S873" s="13" t="str">
        <v/>
      </c>
      <c r="T873" s="13" t="n">
        <v>0</v>
      </c>
    </row>
    <row r="874" customFormat="false" ht="15.75" hidden="false" customHeight="false" outlineLevel="0" collapsed="false">
      <c r="R874" s="13" t="str">
        <v/>
      </c>
      <c r="S874" s="13" t="str">
        <v/>
      </c>
      <c r="T874" s="13" t="n">
        <v>0</v>
      </c>
    </row>
    <row r="875" customFormat="false" ht="15.75" hidden="false" customHeight="false" outlineLevel="0" collapsed="false">
      <c r="R875" s="13" t="str">
        <v/>
      </c>
      <c r="S875" s="13" t="str">
        <v/>
      </c>
      <c r="T875" s="13" t="n">
        <v>0</v>
      </c>
    </row>
    <row r="876" customFormat="false" ht="15.75" hidden="false" customHeight="false" outlineLevel="0" collapsed="false">
      <c r="R876" s="13" t="str">
        <v/>
      </c>
      <c r="S876" s="13" t="str">
        <v/>
      </c>
      <c r="T876" s="13" t="n">
        <v>0</v>
      </c>
    </row>
    <row r="877" customFormat="false" ht="15.75" hidden="false" customHeight="false" outlineLevel="0" collapsed="false">
      <c r="R877" s="13" t="str">
        <v/>
      </c>
      <c r="S877" s="13" t="str">
        <v/>
      </c>
      <c r="T877" s="13" t="n">
        <v>0</v>
      </c>
    </row>
    <row r="878" customFormat="false" ht="15.75" hidden="false" customHeight="false" outlineLevel="0" collapsed="false">
      <c r="R878" s="13" t="str">
        <v/>
      </c>
      <c r="S878" s="13" t="str">
        <v/>
      </c>
      <c r="T878" s="13" t="n">
        <v>0</v>
      </c>
    </row>
    <row r="879" customFormat="false" ht="15.75" hidden="false" customHeight="false" outlineLevel="0" collapsed="false">
      <c r="R879" s="13" t="str">
        <v/>
      </c>
      <c r="S879" s="13" t="str">
        <v/>
      </c>
      <c r="T879" s="13" t="n">
        <v>0</v>
      </c>
    </row>
    <row r="880" customFormat="false" ht="15.75" hidden="false" customHeight="false" outlineLevel="0" collapsed="false">
      <c r="R880" s="13" t="str">
        <v/>
      </c>
      <c r="S880" s="13" t="str">
        <v/>
      </c>
      <c r="T880" s="13" t="n">
        <v>0</v>
      </c>
    </row>
    <row r="881" customFormat="false" ht="15.75" hidden="false" customHeight="false" outlineLevel="0" collapsed="false">
      <c r="R881" s="13" t="str">
        <v/>
      </c>
      <c r="S881" s="13" t="str">
        <v/>
      </c>
      <c r="T881" s="13" t="n">
        <v>0</v>
      </c>
    </row>
    <row r="882" customFormat="false" ht="15.75" hidden="false" customHeight="false" outlineLevel="0" collapsed="false">
      <c r="R882" s="13" t="str">
        <v/>
      </c>
      <c r="S882" s="13" t="str">
        <v/>
      </c>
      <c r="T882" s="13" t="n">
        <v>0</v>
      </c>
    </row>
    <row r="883" customFormat="false" ht="15.75" hidden="false" customHeight="false" outlineLevel="0" collapsed="false">
      <c r="R883" s="13" t="str">
        <v/>
      </c>
      <c r="S883" s="13" t="str">
        <v/>
      </c>
      <c r="T883" s="13" t="n">
        <v>0</v>
      </c>
    </row>
    <row r="884" customFormat="false" ht="15.75" hidden="false" customHeight="false" outlineLevel="0" collapsed="false">
      <c r="R884" s="13" t="str">
        <v/>
      </c>
      <c r="S884" s="13" t="str">
        <v/>
      </c>
      <c r="T884" s="13" t="n">
        <v>0</v>
      </c>
    </row>
    <row r="885" customFormat="false" ht="15.75" hidden="false" customHeight="false" outlineLevel="0" collapsed="false">
      <c r="R885" s="13" t="str">
        <v/>
      </c>
      <c r="S885" s="13" t="str">
        <v/>
      </c>
      <c r="T885" s="13" t="n">
        <v>0</v>
      </c>
    </row>
    <row r="886" customFormat="false" ht="15.75" hidden="false" customHeight="false" outlineLevel="0" collapsed="false">
      <c r="R886" s="13" t="str">
        <v/>
      </c>
      <c r="S886" s="13" t="str">
        <v/>
      </c>
      <c r="T886" s="13" t="n">
        <v>0</v>
      </c>
    </row>
    <row r="887" customFormat="false" ht="15.75" hidden="false" customHeight="false" outlineLevel="0" collapsed="false">
      <c r="R887" s="13" t="str">
        <v/>
      </c>
      <c r="S887" s="13" t="str">
        <v/>
      </c>
      <c r="T887" s="13" t="n">
        <v>0</v>
      </c>
    </row>
    <row r="888" customFormat="false" ht="15.75" hidden="false" customHeight="false" outlineLevel="0" collapsed="false">
      <c r="R888" s="13" t="str">
        <v/>
      </c>
      <c r="S888" s="13" t="str">
        <v/>
      </c>
      <c r="T888" s="13" t="n">
        <v>0</v>
      </c>
    </row>
    <row r="889" customFormat="false" ht="15.75" hidden="false" customHeight="false" outlineLevel="0" collapsed="false">
      <c r="R889" s="13" t="str">
        <v/>
      </c>
      <c r="S889" s="13" t="str">
        <v/>
      </c>
      <c r="T889" s="13" t="n">
        <v>0</v>
      </c>
    </row>
    <row r="890" customFormat="false" ht="15.75" hidden="false" customHeight="false" outlineLevel="0" collapsed="false">
      <c r="R890" s="13" t="str">
        <v/>
      </c>
      <c r="S890" s="13" t="str">
        <v/>
      </c>
      <c r="T890" s="13" t="n">
        <v>0</v>
      </c>
    </row>
    <row r="891" customFormat="false" ht="15.75" hidden="false" customHeight="false" outlineLevel="0" collapsed="false">
      <c r="R891" s="13" t="str">
        <v/>
      </c>
      <c r="S891" s="13" t="str">
        <v/>
      </c>
      <c r="T891" s="13" t="n">
        <v>0</v>
      </c>
    </row>
    <row r="892" customFormat="false" ht="15.75" hidden="false" customHeight="false" outlineLevel="0" collapsed="false">
      <c r="R892" s="13" t="str">
        <v/>
      </c>
      <c r="S892" s="13" t="str">
        <v/>
      </c>
      <c r="T892" s="13" t="n">
        <v>0</v>
      </c>
    </row>
    <row r="893" customFormat="false" ht="15.75" hidden="false" customHeight="false" outlineLevel="0" collapsed="false">
      <c r="R893" s="13" t="str">
        <v/>
      </c>
      <c r="S893" s="13" t="str">
        <v/>
      </c>
      <c r="T893" s="13" t="n">
        <v>0</v>
      </c>
    </row>
    <row r="894" customFormat="false" ht="15.75" hidden="false" customHeight="false" outlineLevel="0" collapsed="false">
      <c r="R894" s="13" t="str">
        <v/>
      </c>
      <c r="S894" s="13" t="str">
        <v/>
      </c>
      <c r="T894" s="13" t="n">
        <v>0</v>
      </c>
    </row>
    <row r="895" customFormat="false" ht="15.75" hidden="false" customHeight="false" outlineLevel="0" collapsed="false">
      <c r="R895" s="13" t="str">
        <v/>
      </c>
      <c r="S895" s="13" t="str">
        <v/>
      </c>
      <c r="T895" s="13" t="n">
        <v>0</v>
      </c>
    </row>
    <row r="896" customFormat="false" ht="15.75" hidden="false" customHeight="false" outlineLevel="0" collapsed="false">
      <c r="R896" s="13" t="str">
        <v/>
      </c>
      <c r="S896" s="13" t="str">
        <v/>
      </c>
      <c r="T896" s="13" t="n">
        <v>0</v>
      </c>
    </row>
    <row r="897" customFormat="false" ht="15.75" hidden="false" customHeight="false" outlineLevel="0" collapsed="false">
      <c r="R897" s="13" t="str">
        <v/>
      </c>
      <c r="S897" s="13" t="str">
        <v/>
      </c>
      <c r="T897" s="13" t="n">
        <v>0</v>
      </c>
    </row>
    <row r="898" customFormat="false" ht="15.75" hidden="false" customHeight="false" outlineLevel="0" collapsed="false">
      <c r="R898" s="13" t="str">
        <v/>
      </c>
      <c r="S898" s="13" t="str">
        <v/>
      </c>
      <c r="T898" s="13" t="n">
        <v>0</v>
      </c>
    </row>
    <row r="899" customFormat="false" ht="15.75" hidden="false" customHeight="false" outlineLevel="0" collapsed="false">
      <c r="R899" s="13" t="str">
        <v/>
      </c>
      <c r="S899" s="13" t="str">
        <v/>
      </c>
      <c r="T899" s="13" t="n">
        <v>0</v>
      </c>
    </row>
    <row r="900" customFormat="false" ht="15.75" hidden="false" customHeight="false" outlineLevel="0" collapsed="false">
      <c r="R900" s="13" t="str">
        <v/>
      </c>
      <c r="S900" s="13" t="str">
        <v/>
      </c>
      <c r="T900" s="13" t="n">
        <v>0</v>
      </c>
    </row>
    <row r="901" customFormat="false" ht="15.75" hidden="false" customHeight="false" outlineLevel="0" collapsed="false">
      <c r="R901" s="13" t="str">
        <v/>
      </c>
      <c r="S901" s="13" t="str">
        <v/>
      </c>
      <c r="T901" s="13" t="n">
        <v>0</v>
      </c>
    </row>
    <row r="902" customFormat="false" ht="15.75" hidden="false" customHeight="false" outlineLevel="0" collapsed="false">
      <c r="R902" s="13" t="str">
        <v/>
      </c>
      <c r="S902" s="13" t="str">
        <v/>
      </c>
      <c r="T902" s="13" t="n">
        <v>0</v>
      </c>
    </row>
    <row r="903" customFormat="false" ht="15.75" hidden="false" customHeight="false" outlineLevel="0" collapsed="false">
      <c r="R903" s="13" t="str">
        <v/>
      </c>
      <c r="S903" s="13" t="str">
        <v/>
      </c>
      <c r="T903" s="13" t="n">
        <v>0</v>
      </c>
    </row>
    <row r="904" customFormat="false" ht="15.75" hidden="false" customHeight="false" outlineLevel="0" collapsed="false">
      <c r="R904" s="13" t="str">
        <v/>
      </c>
      <c r="S904" s="13" t="str">
        <v/>
      </c>
      <c r="T904" s="13" t="n">
        <v>0</v>
      </c>
    </row>
    <row r="905" customFormat="false" ht="15.75" hidden="false" customHeight="false" outlineLevel="0" collapsed="false">
      <c r="R905" s="13" t="str">
        <v/>
      </c>
      <c r="S905" s="13" t="str">
        <v/>
      </c>
      <c r="T905" s="13" t="n">
        <v>0</v>
      </c>
    </row>
    <row r="906" customFormat="false" ht="15.75" hidden="false" customHeight="false" outlineLevel="0" collapsed="false">
      <c r="R906" s="13" t="str">
        <v/>
      </c>
      <c r="S906" s="13" t="str">
        <v/>
      </c>
      <c r="T906" s="13" t="n">
        <v>0</v>
      </c>
    </row>
    <row r="907" customFormat="false" ht="15.75" hidden="false" customHeight="false" outlineLevel="0" collapsed="false">
      <c r="R907" s="13" t="str">
        <v/>
      </c>
      <c r="S907" s="13" t="str">
        <v/>
      </c>
      <c r="T907" s="13" t="n">
        <v>0</v>
      </c>
    </row>
    <row r="908" customFormat="false" ht="15.75" hidden="false" customHeight="false" outlineLevel="0" collapsed="false">
      <c r="R908" s="13" t="str">
        <v/>
      </c>
      <c r="S908" s="13" t="str">
        <v/>
      </c>
      <c r="T908" s="13" t="n">
        <v>0</v>
      </c>
    </row>
    <row r="909" customFormat="false" ht="15.75" hidden="false" customHeight="false" outlineLevel="0" collapsed="false">
      <c r="R909" s="13" t="str">
        <v/>
      </c>
      <c r="S909" s="13" t="str">
        <v/>
      </c>
      <c r="T909" s="13" t="n">
        <v>0</v>
      </c>
    </row>
    <row r="910" customFormat="false" ht="15.75" hidden="false" customHeight="false" outlineLevel="0" collapsed="false">
      <c r="R910" s="13" t="str">
        <v/>
      </c>
      <c r="S910" s="13" t="str">
        <v/>
      </c>
      <c r="T910" s="13" t="n">
        <v>0</v>
      </c>
    </row>
    <row r="911" customFormat="false" ht="15.75" hidden="false" customHeight="false" outlineLevel="0" collapsed="false">
      <c r="R911" s="13" t="str">
        <v/>
      </c>
      <c r="S911" s="13" t="str">
        <v/>
      </c>
      <c r="T911" s="13" t="n">
        <v>0</v>
      </c>
    </row>
    <row r="912" customFormat="false" ht="15.75" hidden="false" customHeight="false" outlineLevel="0" collapsed="false">
      <c r="R912" s="13" t="str">
        <v/>
      </c>
      <c r="S912" s="13" t="str">
        <v/>
      </c>
      <c r="T912" s="13" t="n">
        <v>0</v>
      </c>
    </row>
    <row r="913" customFormat="false" ht="15.75" hidden="false" customHeight="false" outlineLevel="0" collapsed="false">
      <c r="R913" s="13" t="str">
        <v/>
      </c>
      <c r="S913" s="13" t="str">
        <v/>
      </c>
      <c r="T913" s="13" t="n">
        <v>0</v>
      </c>
    </row>
    <row r="914" customFormat="false" ht="15.75" hidden="false" customHeight="false" outlineLevel="0" collapsed="false">
      <c r="R914" s="13" t="str">
        <v/>
      </c>
      <c r="S914" s="13" t="str">
        <v/>
      </c>
      <c r="T914" s="13" t="n">
        <v>0</v>
      </c>
    </row>
    <row r="915" customFormat="false" ht="15.75" hidden="false" customHeight="false" outlineLevel="0" collapsed="false">
      <c r="R915" s="13" t="str">
        <v/>
      </c>
      <c r="S915" s="13" t="str">
        <v/>
      </c>
      <c r="T915" s="13" t="n">
        <v>0</v>
      </c>
    </row>
    <row r="916" customFormat="false" ht="15.75" hidden="false" customHeight="false" outlineLevel="0" collapsed="false">
      <c r="R916" s="13" t="str">
        <v/>
      </c>
      <c r="S916" s="13" t="str">
        <v/>
      </c>
      <c r="T916" s="13" t="n">
        <v>0</v>
      </c>
    </row>
    <row r="917" customFormat="false" ht="15.75" hidden="false" customHeight="false" outlineLevel="0" collapsed="false">
      <c r="R917" s="13" t="str">
        <v/>
      </c>
      <c r="S917" s="13" t="str">
        <v/>
      </c>
      <c r="T917" s="13" t="n">
        <v>0</v>
      </c>
    </row>
    <row r="918" customFormat="false" ht="15.75" hidden="false" customHeight="false" outlineLevel="0" collapsed="false">
      <c r="R918" s="13" t="str">
        <v/>
      </c>
      <c r="S918" s="13" t="str">
        <v/>
      </c>
      <c r="T918" s="13" t="n">
        <v>0</v>
      </c>
    </row>
    <row r="919" customFormat="false" ht="15.75" hidden="false" customHeight="false" outlineLevel="0" collapsed="false">
      <c r="R919" s="13" t="str">
        <v/>
      </c>
      <c r="S919" s="13" t="str">
        <v/>
      </c>
      <c r="T919" s="13" t="n">
        <v>0</v>
      </c>
    </row>
    <row r="920" customFormat="false" ht="15.75" hidden="false" customHeight="false" outlineLevel="0" collapsed="false">
      <c r="R920" s="13" t="str">
        <v/>
      </c>
      <c r="S920" s="13" t="str">
        <v/>
      </c>
      <c r="T920" s="13" t="n">
        <v>0</v>
      </c>
    </row>
    <row r="921" customFormat="false" ht="15.75" hidden="false" customHeight="false" outlineLevel="0" collapsed="false">
      <c r="R921" s="13" t="str">
        <v/>
      </c>
      <c r="S921" s="13" t="str">
        <v/>
      </c>
      <c r="T921" s="13" t="n">
        <v>0</v>
      </c>
    </row>
    <row r="922" customFormat="false" ht="15.75" hidden="false" customHeight="false" outlineLevel="0" collapsed="false">
      <c r="R922" s="13" t="str">
        <v/>
      </c>
      <c r="S922" s="13" t="str">
        <v/>
      </c>
      <c r="T922" s="13" t="n">
        <v>0</v>
      </c>
    </row>
    <row r="923" customFormat="false" ht="15.75" hidden="false" customHeight="false" outlineLevel="0" collapsed="false">
      <c r="R923" s="13" t="str">
        <v/>
      </c>
      <c r="S923" s="13" t="str">
        <v/>
      </c>
      <c r="T923" s="13" t="n">
        <v>0</v>
      </c>
    </row>
    <row r="924" customFormat="false" ht="15.75" hidden="false" customHeight="false" outlineLevel="0" collapsed="false">
      <c r="R924" s="13" t="str">
        <v/>
      </c>
      <c r="S924" s="13" t="str">
        <v/>
      </c>
      <c r="T924" s="13" t="n">
        <v>0</v>
      </c>
    </row>
    <row r="925" customFormat="false" ht="15.75" hidden="false" customHeight="false" outlineLevel="0" collapsed="false">
      <c r="R925" s="13" t="str">
        <v/>
      </c>
      <c r="S925" s="13" t="str">
        <v/>
      </c>
      <c r="T925" s="13" t="n">
        <v>0</v>
      </c>
    </row>
    <row r="926" customFormat="false" ht="15.75" hidden="false" customHeight="false" outlineLevel="0" collapsed="false">
      <c r="R926" s="13" t="str">
        <v/>
      </c>
      <c r="S926" s="13" t="str">
        <v/>
      </c>
      <c r="T926" s="13" t="n">
        <v>0</v>
      </c>
    </row>
    <row r="927" customFormat="false" ht="15.75" hidden="false" customHeight="false" outlineLevel="0" collapsed="false">
      <c r="R927" s="13" t="str">
        <v/>
      </c>
      <c r="S927" s="13" t="str">
        <v/>
      </c>
      <c r="T927" s="13" t="n">
        <v>0</v>
      </c>
    </row>
    <row r="928" customFormat="false" ht="15.75" hidden="false" customHeight="false" outlineLevel="0" collapsed="false">
      <c r="R928" s="13" t="str">
        <v/>
      </c>
      <c r="S928" s="13" t="str">
        <v/>
      </c>
      <c r="T928" s="13" t="n">
        <v>0</v>
      </c>
    </row>
    <row r="929" customFormat="false" ht="15.75" hidden="false" customHeight="false" outlineLevel="0" collapsed="false">
      <c r="R929" s="13" t="str">
        <v/>
      </c>
      <c r="S929" s="13" t="str">
        <v/>
      </c>
      <c r="T929" s="13" t="n">
        <v>0</v>
      </c>
    </row>
    <row r="930" customFormat="false" ht="15.75" hidden="false" customHeight="false" outlineLevel="0" collapsed="false">
      <c r="R930" s="13" t="str">
        <v/>
      </c>
      <c r="S930" s="13" t="str">
        <v/>
      </c>
      <c r="T930" s="13" t="n">
        <v>0</v>
      </c>
    </row>
    <row r="931" customFormat="false" ht="15.75" hidden="false" customHeight="false" outlineLevel="0" collapsed="false">
      <c r="R931" s="13" t="str">
        <v/>
      </c>
      <c r="S931" s="13" t="str">
        <v/>
      </c>
      <c r="T931" s="13" t="n">
        <v>0</v>
      </c>
    </row>
    <row r="932" customFormat="false" ht="15.75" hidden="false" customHeight="false" outlineLevel="0" collapsed="false">
      <c r="R932" s="13" t="str">
        <v/>
      </c>
      <c r="S932" s="13" t="str">
        <v/>
      </c>
      <c r="T932" s="13" t="n">
        <v>0</v>
      </c>
    </row>
    <row r="933" customFormat="false" ht="15.75" hidden="false" customHeight="false" outlineLevel="0" collapsed="false">
      <c r="R933" s="13" t="str">
        <v/>
      </c>
      <c r="S933" s="13" t="str">
        <v/>
      </c>
      <c r="T933" s="13" t="n">
        <v>0</v>
      </c>
    </row>
    <row r="934" customFormat="false" ht="15.75" hidden="false" customHeight="false" outlineLevel="0" collapsed="false">
      <c r="R934" s="13" t="str">
        <v/>
      </c>
      <c r="S934" s="13" t="str">
        <v/>
      </c>
      <c r="T934" s="13" t="n">
        <v>0</v>
      </c>
    </row>
    <row r="935" customFormat="false" ht="15.75" hidden="false" customHeight="false" outlineLevel="0" collapsed="false">
      <c r="R935" s="13" t="str">
        <v/>
      </c>
      <c r="S935" s="13" t="str">
        <v/>
      </c>
      <c r="T935" s="13" t="n">
        <v>0</v>
      </c>
    </row>
    <row r="936" customFormat="false" ht="15.75" hidden="false" customHeight="false" outlineLevel="0" collapsed="false">
      <c r="R936" s="13" t="str">
        <v/>
      </c>
      <c r="S936" s="13" t="str">
        <v/>
      </c>
      <c r="T936" s="13" t="n">
        <v>0</v>
      </c>
    </row>
    <row r="937" customFormat="false" ht="15.75" hidden="false" customHeight="false" outlineLevel="0" collapsed="false">
      <c r="R937" s="13" t="str">
        <v/>
      </c>
      <c r="S937" s="13" t="str">
        <v/>
      </c>
      <c r="T937" s="13" t="n">
        <v>0</v>
      </c>
    </row>
    <row r="938" customFormat="false" ht="15.75" hidden="false" customHeight="false" outlineLevel="0" collapsed="false">
      <c r="R938" s="13" t="str">
        <v/>
      </c>
      <c r="S938" s="13" t="str">
        <v/>
      </c>
      <c r="T938" s="13" t="n">
        <v>0</v>
      </c>
    </row>
    <row r="939" customFormat="false" ht="15.75" hidden="false" customHeight="false" outlineLevel="0" collapsed="false">
      <c r="R939" s="13" t="str">
        <v/>
      </c>
      <c r="S939" s="13" t="str">
        <v/>
      </c>
      <c r="T939" s="13" t="n">
        <v>0</v>
      </c>
    </row>
    <row r="940" customFormat="false" ht="15.75" hidden="false" customHeight="false" outlineLevel="0" collapsed="false">
      <c r="R940" s="13" t="str">
        <v/>
      </c>
      <c r="S940" s="13" t="str">
        <v/>
      </c>
      <c r="T940" s="13" t="n">
        <v>0</v>
      </c>
    </row>
    <row r="941" customFormat="false" ht="15.75" hidden="false" customHeight="false" outlineLevel="0" collapsed="false">
      <c r="R941" s="13" t="str">
        <v/>
      </c>
      <c r="S941" s="13" t="str">
        <v/>
      </c>
      <c r="T941" s="13" t="n">
        <v>0</v>
      </c>
    </row>
    <row r="942" customFormat="false" ht="15.75" hidden="false" customHeight="false" outlineLevel="0" collapsed="false">
      <c r="R942" s="13" t="str">
        <v/>
      </c>
      <c r="S942" s="13" t="str">
        <v/>
      </c>
      <c r="T942" s="13" t="n">
        <v>0</v>
      </c>
    </row>
    <row r="943" customFormat="false" ht="15.75" hidden="false" customHeight="false" outlineLevel="0" collapsed="false">
      <c r="R943" s="13" t="str">
        <v/>
      </c>
      <c r="S943" s="13" t="str">
        <v/>
      </c>
      <c r="T943" s="13" t="n">
        <v>0</v>
      </c>
    </row>
    <row r="944" customFormat="false" ht="15.75" hidden="false" customHeight="false" outlineLevel="0" collapsed="false">
      <c r="R944" s="13" t="str">
        <v/>
      </c>
      <c r="S944" s="13" t="str">
        <v/>
      </c>
      <c r="T944" s="13" t="n">
        <v>0</v>
      </c>
    </row>
    <row r="945" customFormat="false" ht="15.75" hidden="false" customHeight="false" outlineLevel="0" collapsed="false">
      <c r="R945" s="13" t="str">
        <v/>
      </c>
      <c r="S945" s="13" t="str">
        <v/>
      </c>
      <c r="T945" s="13" t="n">
        <v>0</v>
      </c>
    </row>
    <row r="946" customFormat="false" ht="15.75" hidden="false" customHeight="false" outlineLevel="0" collapsed="false">
      <c r="R946" s="13" t="str">
        <v/>
      </c>
      <c r="S946" s="13" t="str">
        <v/>
      </c>
      <c r="T946" s="13" t="n">
        <v>0</v>
      </c>
    </row>
    <row r="947" customFormat="false" ht="15.75" hidden="false" customHeight="false" outlineLevel="0" collapsed="false">
      <c r="R947" s="13" t="str">
        <v/>
      </c>
      <c r="S947" s="13" t="str">
        <v/>
      </c>
      <c r="T947" s="13" t="n">
        <v>0</v>
      </c>
    </row>
    <row r="948" customFormat="false" ht="15.75" hidden="false" customHeight="false" outlineLevel="0" collapsed="false">
      <c r="R948" s="13" t="str">
        <v/>
      </c>
      <c r="S948" s="13" t="str">
        <v/>
      </c>
      <c r="T948" s="13" t="n">
        <v>0</v>
      </c>
    </row>
    <row r="949" customFormat="false" ht="15.75" hidden="false" customHeight="false" outlineLevel="0" collapsed="false">
      <c r="R949" s="13" t="str">
        <v/>
      </c>
      <c r="S949" s="13" t="str">
        <v/>
      </c>
      <c r="T949" s="13" t="n">
        <v>0</v>
      </c>
    </row>
    <row r="950" customFormat="false" ht="15.75" hidden="false" customHeight="false" outlineLevel="0" collapsed="false">
      <c r="R950" s="13" t="str">
        <v/>
      </c>
      <c r="S950" s="13" t="str">
        <v/>
      </c>
      <c r="T950" s="13" t="n">
        <v>0</v>
      </c>
    </row>
    <row r="951" customFormat="false" ht="15.75" hidden="false" customHeight="false" outlineLevel="0" collapsed="false">
      <c r="R951" s="13" t="str">
        <v/>
      </c>
      <c r="S951" s="13" t="str">
        <v/>
      </c>
      <c r="T951" s="13" t="n">
        <v>0</v>
      </c>
    </row>
    <row r="952" customFormat="false" ht="15.75" hidden="false" customHeight="false" outlineLevel="0" collapsed="false">
      <c r="R952" s="13" t="str">
        <v/>
      </c>
      <c r="S952" s="13" t="str">
        <v/>
      </c>
      <c r="T952" s="13" t="n">
        <v>0</v>
      </c>
    </row>
    <row r="953" customFormat="false" ht="15.75" hidden="false" customHeight="false" outlineLevel="0" collapsed="false">
      <c r="R953" s="13" t="str">
        <v/>
      </c>
      <c r="S953" s="13" t="str">
        <v/>
      </c>
      <c r="T953" s="13" t="n">
        <v>0</v>
      </c>
    </row>
    <row r="954" customFormat="false" ht="15.75" hidden="false" customHeight="false" outlineLevel="0" collapsed="false">
      <c r="R954" s="13" t="str">
        <v/>
      </c>
      <c r="S954" s="13" t="str">
        <v/>
      </c>
      <c r="T954" s="13" t="n">
        <v>0</v>
      </c>
    </row>
    <row r="955" customFormat="false" ht="15.75" hidden="false" customHeight="false" outlineLevel="0" collapsed="false">
      <c r="R955" s="13" t="str">
        <v/>
      </c>
      <c r="S955" s="13" t="str">
        <v/>
      </c>
      <c r="T955" s="13" t="n">
        <v>0</v>
      </c>
    </row>
    <row r="956" customFormat="false" ht="15.75" hidden="false" customHeight="false" outlineLevel="0" collapsed="false">
      <c r="R956" s="13" t="str">
        <v/>
      </c>
      <c r="S956" s="13" t="str">
        <v/>
      </c>
      <c r="T956" s="13" t="n">
        <v>0</v>
      </c>
    </row>
    <row r="957" customFormat="false" ht="15.75" hidden="false" customHeight="false" outlineLevel="0" collapsed="false">
      <c r="R957" s="13" t="str">
        <v/>
      </c>
      <c r="S957" s="13" t="str">
        <v/>
      </c>
      <c r="T957" s="13" t="n">
        <v>0</v>
      </c>
    </row>
    <row r="958" customFormat="false" ht="15.75" hidden="false" customHeight="false" outlineLevel="0" collapsed="false">
      <c r="R958" s="13" t="str">
        <v/>
      </c>
      <c r="S958" s="13" t="str">
        <v/>
      </c>
      <c r="T958" s="13" t="n">
        <v>0</v>
      </c>
    </row>
    <row r="959" customFormat="false" ht="15.75" hidden="false" customHeight="false" outlineLevel="0" collapsed="false">
      <c r="R959" s="13" t="str">
        <v/>
      </c>
      <c r="S959" s="13" t="str">
        <v/>
      </c>
      <c r="T959" s="13" t="n">
        <v>0</v>
      </c>
    </row>
    <row r="960" customFormat="false" ht="15.75" hidden="false" customHeight="false" outlineLevel="0" collapsed="false">
      <c r="R960" s="13" t="str">
        <v/>
      </c>
      <c r="S960" s="13" t="str">
        <v/>
      </c>
      <c r="T960" s="13" t="n">
        <v>0</v>
      </c>
    </row>
    <row r="961" customFormat="false" ht="15.75" hidden="false" customHeight="false" outlineLevel="0" collapsed="false">
      <c r="R961" s="13" t="str">
        <v/>
      </c>
      <c r="S961" s="13" t="str">
        <v/>
      </c>
      <c r="T961" s="13" t="n">
        <v>0</v>
      </c>
    </row>
    <row r="962" customFormat="false" ht="15.75" hidden="false" customHeight="false" outlineLevel="0" collapsed="false">
      <c r="R962" s="13" t="str">
        <v/>
      </c>
      <c r="S962" s="13" t="str">
        <v/>
      </c>
      <c r="T962" s="13" t="n">
        <v>0</v>
      </c>
    </row>
    <row r="963" customFormat="false" ht="15.75" hidden="false" customHeight="false" outlineLevel="0" collapsed="false">
      <c r="R963" s="13" t="str">
        <v/>
      </c>
      <c r="S963" s="13" t="str">
        <v/>
      </c>
      <c r="T963" s="13" t="n">
        <v>0</v>
      </c>
    </row>
    <row r="964" customFormat="false" ht="15.75" hidden="false" customHeight="false" outlineLevel="0" collapsed="false">
      <c r="R964" s="13" t="str">
        <v/>
      </c>
      <c r="S964" s="13" t="str">
        <v/>
      </c>
      <c r="T964" s="13" t="n">
        <v>0</v>
      </c>
    </row>
    <row r="965" customFormat="false" ht="15.75" hidden="false" customHeight="false" outlineLevel="0" collapsed="false">
      <c r="R965" s="13" t="str">
        <v/>
      </c>
      <c r="S965" s="13" t="str">
        <v/>
      </c>
      <c r="T965" s="13" t="n">
        <v>0</v>
      </c>
    </row>
    <row r="966" customFormat="false" ht="15.75" hidden="false" customHeight="false" outlineLevel="0" collapsed="false">
      <c r="R966" s="13" t="str">
        <v/>
      </c>
      <c r="S966" s="13" t="str">
        <v/>
      </c>
      <c r="T966" s="13" t="n">
        <v>0</v>
      </c>
    </row>
    <row r="967" customFormat="false" ht="15.75" hidden="false" customHeight="false" outlineLevel="0" collapsed="false">
      <c r="R967" s="13" t="str">
        <v/>
      </c>
      <c r="S967" s="13" t="str">
        <v/>
      </c>
      <c r="T967" s="13" t="n">
        <v>0</v>
      </c>
    </row>
    <row r="968" customFormat="false" ht="15.75" hidden="false" customHeight="false" outlineLevel="0" collapsed="false">
      <c r="R968" s="13" t="str">
        <v/>
      </c>
      <c r="S968" s="13" t="str">
        <v/>
      </c>
      <c r="T968" s="13" t="n">
        <v>0</v>
      </c>
    </row>
    <row r="969" customFormat="false" ht="15.75" hidden="false" customHeight="false" outlineLevel="0" collapsed="false">
      <c r="R969" s="13" t="str">
        <v/>
      </c>
      <c r="S969" s="13" t="str">
        <v/>
      </c>
      <c r="T969" s="13" t="n">
        <v>0</v>
      </c>
    </row>
    <row r="970" customFormat="false" ht="15.75" hidden="false" customHeight="false" outlineLevel="0" collapsed="false">
      <c r="R970" s="13" t="str">
        <v/>
      </c>
      <c r="S970" s="13" t="str">
        <v/>
      </c>
      <c r="T970" s="13" t="n">
        <v>0</v>
      </c>
    </row>
    <row r="971" customFormat="false" ht="15.75" hidden="false" customHeight="false" outlineLevel="0" collapsed="false">
      <c r="R971" s="13" t="str">
        <v/>
      </c>
      <c r="S971" s="13" t="str">
        <v/>
      </c>
      <c r="T971" s="13" t="n">
        <v>0</v>
      </c>
    </row>
    <row r="972" customFormat="false" ht="15.75" hidden="false" customHeight="false" outlineLevel="0" collapsed="false">
      <c r="R972" s="13" t="str">
        <v/>
      </c>
      <c r="S972" s="13" t="str">
        <v/>
      </c>
      <c r="T972" s="13" t="n">
        <v>0</v>
      </c>
    </row>
    <row r="973" customFormat="false" ht="15.75" hidden="false" customHeight="false" outlineLevel="0" collapsed="false">
      <c r="R973" s="13" t="str">
        <v/>
      </c>
      <c r="S973" s="13" t="str">
        <v/>
      </c>
      <c r="T973" s="13" t="n">
        <v>0</v>
      </c>
    </row>
    <row r="974" customFormat="false" ht="15.75" hidden="false" customHeight="false" outlineLevel="0" collapsed="false">
      <c r="R974" s="13" t="str">
        <v/>
      </c>
      <c r="S974" s="13" t="str">
        <v/>
      </c>
      <c r="T974" s="13" t="n">
        <v>0</v>
      </c>
    </row>
    <row r="975" customFormat="false" ht="15.75" hidden="false" customHeight="false" outlineLevel="0" collapsed="false">
      <c r="R975" s="13" t="str">
        <v/>
      </c>
      <c r="S975" s="13" t="str">
        <v/>
      </c>
      <c r="T975" s="13" t="n">
        <v>0</v>
      </c>
    </row>
    <row r="976" customFormat="false" ht="15.75" hidden="false" customHeight="false" outlineLevel="0" collapsed="false">
      <c r="R976" s="13" t="str">
        <v/>
      </c>
      <c r="S976" s="13" t="str">
        <v/>
      </c>
      <c r="T976" s="13" t="n">
        <v>0</v>
      </c>
    </row>
    <row r="977" customFormat="false" ht="15.75" hidden="false" customHeight="false" outlineLevel="0" collapsed="false">
      <c r="R977" s="13" t="str">
        <v/>
      </c>
      <c r="S977" s="13" t="str">
        <v/>
      </c>
      <c r="T977" s="13" t="n">
        <v>0</v>
      </c>
    </row>
    <row r="978" customFormat="false" ht="15.75" hidden="false" customHeight="false" outlineLevel="0" collapsed="false">
      <c r="R978" s="13" t="str">
        <v/>
      </c>
      <c r="S978" s="13" t="str">
        <v/>
      </c>
      <c r="T978" s="13" t="n">
        <v>0</v>
      </c>
    </row>
    <row r="979" customFormat="false" ht="15.75" hidden="false" customHeight="false" outlineLevel="0" collapsed="false">
      <c r="R979" s="13" t="str">
        <v/>
      </c>
      <c r="S979" s="13" t="str">
        <v/>
      </c>
      <c r="T979" s="13" t="n">
        <v>0</v>
      </c>
    </row>
    <row r="980" customFormat="false" ht="15.75" hidden="false" customHeight="false" outlineLevel="0" collapsed="false">
      <c r="R980" s="13" t="str">
        <v/>
      </c>
      <c r="S980" s="13" t="str">
        <v/>
      </c>
      <c r="T980" s="13" t="n">
        <v>0</v>
      </c>
    </row>
    <row r="981" customFormat="false" ht="15.75" hidden="false" customHeight="false" outlineLevel="0" collapsed="false">
      <c r="R981" s="13" t="str">
        <v/>
      </c>
      <c r="S981" s="13" t="str">
        <v/>
      </c>
      <c r="T981" s="13" t="n">
        <v>0</v>
      </c>
    </row>
    <row r="982" customFormat="false" ht="15.75" hidden="false" customHeight="false" outlineLevel="0" collapsed="false">
      <c r="R982" s="13" t="str">
        <v/>
      </c>
      <c r="S982" s="13" t="str">
        <v/>
      </c>
      <c r="T982" s="13" t="n">
        <v>0</v>
      </c>
    </row>
    <row r="983" customFormat="false" ht="15.75" hidden="false" customHeight="false" outlineLevel="0" collapsed="false">
      <c r="R983" s="13" t="str">
        <v/>
      </c>
      <c r="S983" s="13" t="str">
        <v/>
      </c>
      <c r="T983" s="13" t="n">
        <v>0</v>
      </c>
    </row>
    <row r="984" customFormat="false" ht="15.75" hidden="false" customHeight="false" outlineLevel="0" collapsed="false">
      <c r="R984" s="13" t="str">
        <v/>
      </c>
      <c r="S984" s="13" t="str">
        <v/>
      </c>
      <c r="T984" s="13" t="n">
        <v>0</v>
      </c>
    </row>
    <row r="985" customFormat="false" ht="15.75" hidden="false" customHeight="false" outlineLevel="0" collapsed="false">
      <c r="R985" s="13" t="str">
        <v/>
      </c>
      <c r="S985" s="13" t="str">
        <v/>
      </c>
      <c r="T985" s="13" t="n">
        <v>0</v>
      </c>
    </row>
    <row r="986" customFormat="false" ht="15.75" hidden="false" customHeight="false" outlineLevel="0" collapsed="false">
      <c r="R986" s="13" t="str">
        <v/>
      </c>
      <c r="S986" s="13" t="str">
        <v/>
      </c>
      <c r="T986" s="13" t="n">
        <v>0</v>
      </c>
    </row>
    <row r="987" customFormat="false" ht="15.75" hidden="false" customHeight="false" outlineLevel="0" collapsed="false">
      <c r="R987" s="13" t="str">
        <v/>
      </c>
      <c r="S987" s="13" t="str">
        <v/>
      </c>
      <c r="T987" s="13" t="n">
        <v>0</v>
      </c>
    </row>
    <row r="988" customFormat="false" ht="15.75" hidden="false" customHeight="false" outlineLevel="0" collapsed="false">
      <c r="R988" s="13" t="str">
        <v/>
      </c>
      <c r="S988" s="13" t="str">
        <v/>
      </c>
      <c r="T988" s="13" t="n">
        <v>0</v>
      </c>
    </row>
    <row r="989" customFormat="false" ht="15.75" hidden="false" customHeight="false" outlineLevel="0" collapsed="false">
      <c r="R989" s="13" t="str">
        <v/>
      </c>
      <c r="S989" s="13" t="str">
        <v/>
      </c>
      <c r="T989" s="13" t="n">
        <v>0</v>
      </c>
    </row>
    <row r="990" customFormat="false" ht="15.75" hidden="false" customHeight="false" outlineLevel="0" collapsed="false">
      <c r="R990" s="13" t="str">
        <v/>
      </c>
      <c r="S990" s="13" t="str">
        <v/>
      </c>
      <c r="T990" s="13" t="n">
        <v>0</v>
      </c>
    </row>
    <row r="991" customFormat="false" ht="15.75" hidden="false" customHeight="false" outlineLevel="0" collapsed="false">
      <c r="R991" s="13" t="str">
        <v/>
      </c>
      <c r="S991" s="13" t="str">
        <v/>
      </c>
      <c r="T991" s="13" t="n">
        <v>0</v>
      </c>
    </row>
    <row r="992" customFormat="false" ht="15.75" hidden="false" customHeight="false" outlineLevel="0" collapsed="false">
      <c r="R992" s="13" t="str">
        <v/>
      </c>
      <c r="S992" s="13" t="str">
        <v/>
      </c>
      <c r="T992" s="13" t="n">
        <v>0</v>
      </c>
    </row>
    <row r="993" customFormat="false" ht="15.75" hidden="false" customHeight="false" outlineLevel="0" collapsed="false">
      <c r="R993" s="13" t="str">
        <v/>
      </c>
      <c r="S993" s="13" t="str">
        <v/>
      </c>
      <c r="T993" s="13" t="n">
        <v>0</v>
      </c>
    </row>
    <row r="994" customFormat="false" ht="15.75" hidden="false" customHeight="false" outlineLevel="0" collapsed="false">
      <c r="R994" s="13" t="str">
        <v/>
      </c>
      <c r="S994" s="13" t="str">
        <v/>
      </c>
      <c r="T994" s="13" t="n">
        <v>0</v>
      </c>
    </row>
    <row r="995" customFormat="false" ht="15.75" hidden="false" customHeight="false" outlineLevel="0" collapsed="false">
      <c r="R995" s="13" t="str">
        <v/>
      </c>
      <c r="S995" s="13" t="str">
        <v/>
      </c>
      <c r="T995" s="13" t="n">
        <v>0</v>
      </c>
    </row>
    <row r="996" customFormat="false" ht="15.75" hidden="false" customHeight="false" outlineLevel="0" collapsed="false">
      <c r="R996" s="13" t="str">
        <v/>
      </c>
      <c r="S996" s="13" t="str">
        <v/>
      </c>
      <c r="T996" s="13" t="n">
        <v>0</v>
      </c>
    </row>
    <row r="997" customFormat="false" ht="15.75" hidden="false" customHeight="false" outlineLevel="0" collapsed="false">
      <c r="R997" s="13" t="str">
        <v/>
      </c>
      <c r="S997" s="13" t="str">
        <v/>
      </c>
      <c r="T997" s="13" t="n">
        <v>0</v>
      </c>
    </row>
    <row r="998" customFormat="false" ht="15.75" hidden="false" customHeight="false" outlineLevel="0" collapsed="false">
      <c r="R998" s="13" t="str">
        <v/>
      </c>
      <c r="S998" s="13" t="str">
        <v/>
      </c>
      <c r="T998" s="13" t="n">
        <v>0</v>
      </c>
    </row>
    <row r="999" customFormat="false" ht="15.75" hidden="false" customHeight="false" outlineLevel="0" collapsed="false">
      <c r="R999" s="13" t="str">
        <v/>
      </c>
      <c r="S999" s="13" t="str">
        <v/>
      </c>
      <c r="T999" s="13" t="n">
        <v>0</v>
      </c>
    </row>
    <row r="1000" customFormat="false" ht="15.75" hidden="false" customHeight="false" outlineLevel="0" collapsed="false">
      <c r="R1000" s="13" t="str">
        <v/>
      </c>
      <c r="S1000" s="13" t="str">
        <v/>
      </c>
      <c r="T1000" s="13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E2" activeCellId="0" sqref="E2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23.24"/>
    <col collapsed="false" customWidth="true" hidden="false" outlineLevel="0" max="3" min="3" style="0" width="54.88"/>
    <col collapsed="false" customWidth="true" hidden="false" outlineLevel="0" max="8" min="8" style="0" width="68.25"/>
    <col collapsed="false" customWidth="true" hidden="false" outlineLevel="0" max="14" min="14" style="0" width="5.5"/>
    <col collapsed="false" customWidth="true" hidden="false" outlineLevel="0" max="17" min="17" style="0" width="22.24"/>
    <col collapsed="false" customWidth="false" hidden="true" outlineLevel="0" max="27" min="19" style="0" width="12.63"/>
  </cols>
  <sheetData>
    <row r="1" customFormat="false" ht="15.75" hidden="false" customHeight="false" outlineLevel="0" collapsed="false">
      <c r="A1" s="60" t="s">
        <v>2194</v>
      </c>
      <c r="B1" s="61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3"/>
      <c r="O1" s="30" t="s">
        <v>2195</v>
      </c>
      <c r="P1" s="34"/>
      <c r="Q1" s="34"/>
      <c r="R1" s="64" t="s">
        <v>2337</v>
      </c>
      <c r="S1" s="65" t="s">
        <v>2338</v>
      </c>
      <c r="T1" s="66"/>
      <c r="U1" s="66"/>
      <c r="V1" s="66"/>
    </row>
    <row r="2" customFormat="false" ht="15.75" hidden="false" customHeight="false" outlineLevel="0" collapsed="false">
      <c r="A2" s="60" t="s">
        <v>2196</v>
      </c>
      <c r="B2" s="67" t="s">
        <v>2153</v>
      </c>
      <c r="C2" s="60" t="s">
        <v>2197</v>
      </c>
      <c r="D2" s="60" t="s">
        <v>2165</v>
      </c>
      <c r="E2" s="60" t="s">
        <v>2198</v>
      </c>
      <c r="F2" s="36" t="s">
        <v>2199</v>
      </c>
      <c r="G2" s="60" t="s">
        <v>2339</v>
      </c>
      <c r="H2" s="60" t="s">
        <v>2200</v>
      </c>
      <c r="I2" s="60" t="s">
        <v>2201</v>
      </c>
      <c r="J2" s="60" t="s">
        <v>2169</v>
      </c>
      <c r="K2" s="24" t="s">
        <v>2340</v>
      </c>
      <c r="L2" s="60" t="s">
        <v>2336</v>
      </c>
      <c r="M2" s="24" t="s">
        <v>2341</v>
      </c>
      <c r="N2" s="63"/>
      <c r="O2" s="37" t="s">
        <v>2342</v>
      </c>
      <c r="P2" s="37" t="s">
        <v>2343</v>
      </c>
      <c r="Q2" s="37" t="s">
        <v>2205</v>
      </c>
      <c r="R2" s="37" t="s">
        <v>2344</v>
      </c>
      <c r="S2" s="65" t="s">
        <v>2207</v>
      </c>
      <c r="T2" s="65" t="s">
        <v>2208</v>
      </c>
      <c r="U2" s="65" t="s">
        <v>2168</v>
      </c>
      <c r="V2" s="65" t="s">
        <v>2209</v>
      </c>
    </row>
    <row r="3" customFormat="false" ht="15.75" hidden="false" customHeight="false" outlineLevel="0" collapsed="false">
      <c r="A3" s="13" t="str">
        <f aca="false" t="array" ref="A3:A1000">exp_code</f>
        <v>58DDEE</v>
      </c>
      <c r="B3" s="13" t="str">
        <f aca="false" t="array" ref="B3:B1000">exp_d_t</f>
        <v>Wed, 17-May-2023, 02:09 PM</v>
      </c>
      <c r="C3" s="13" t="str">
        <f aca="false" t="array" ref="C3:C1000">exp_sku</f>
        <v>Bisconni Chocolate Chip Biscuits 25pcs Rs7</v>
      </c>
      <c r="D3" s="13" t="str">
        <f aca="false" t="array" ref="D3:D1000">EXP_BRAND</f>
        <v>Bisconni</v>
      </c>
      <c r="E3" s="13" t="str">
        <f aca="false" t="array" ref="E3:E1000">exp_type</f>
        <v>Expired stock</v>
      </c>
      <c r="F3" s="13" t="n">
        <f aca="false" t="array" ref="F3:F1000">exp_qty</f>
        <v>672</v>
      </c>
      <c r="G3" s="13" t="str">
        <f aca="false" t="array" ref="G3:G1000">exp_EXPdate</f>
        <v>19 May, 2023</v>
      </c>
      <c r="H3" s="13" t="str">
        <f aca="false" t="array" ref="H3:H1000">exp_notes</f>
        <v>[Code: 58DDEE] [Expiry: 19 May, 2023] Short Expiry Stock</v>
      </c>
      <c r="I3" s="13" t="str">
        <f aca="false" t="array" ref="I3:I1000">exp_rname</f>
        <v>Ali Raza </v>
      </c>
      <c r="J3" s="13" t="str">
        <f aca="false">IF(ISBLANK(I3),"", IF($I$2:$I1000 = "Gohar Rehan","Overnight",IF($I$2:$I1000 = "Taufeeq Akhtar ","Overnight",IF($I$2:$I1000 = "Zeeshan Ali Malik","Audit",IF($I$2:$I1000 = "Ali Raza ","Receiving",IF($I$2:$I1000 = "Ali Ahmad","Full-In"))))))</f>
        <v>Receiving</v>
      </c>
      <c r="K3" s="39" t="e">
        <f aca="false">IFERROR(VLOOKUP(D3,'Brand manager data '!A:B,2,0))</f>
        <v>#VALUE!</v>
      </c>
      <c r="L3" s="68" t="e">
        <f aca="false" t="array" ref="L3:L1000">exp_pendays</f>
        <v>#VALUE!</v>
      </c>
      <c r="M3" s="40" t="e">
        <f aca="false" t="array" ref="M3:M1000">IF(ISBLANK(L3:L1000),,IF(L3:L1000&gt;=0, "Yes", "No"))</f>
        <v>#VALUE!</v>
      </c>
      <c r="N3" s="22"/>
      <c r="Q3" s="40"/>
      <c r="R3" s="13" t="b">
        <f aca="false">FALSE()</f>
        <v>0</v>
      </c>
      <c r="S3" s="13" t="n">
        <f aca="false" t="array" ref="S3:S1000">exp_pp</f>
        <v>153</v>
      </c>
      <c r="T3" s="13" t="n">
        <f aca="false">S3*F3</f>
        <v>102816</v>
      </c>
      <c r="U3" s="13" t="str">
        <f aca="false" t="array" ref="U3:U1000">exp_category</f>
        <v>Biscuits, Wafers</v>
      </c>
      <c r="V3" s="11" t="n">
        <f aca="false" t="array" ref="V3:V1000">EXP_RDATE</f>
        <v>45063</v>
      </c>
    </row>
    <row r="4" customFormat="false" ht="15.75" hidden="false" customHeight="false" outlineLevel="0" collapsed="false">
      <c r="A4" s="13" t="str">
        <v>38899A</v>
      </c>
      <c r="B4" s="13" t="str">
        <v>Thu, 01-Jun-2023, 12:51 PM</v>
      </c>
      <c r="C4" s="13" t="str">
        <v>Sunridge Super Fortified Atta 15kg</v>
      </c>
      <c r="D4" s="13" t="str">
        <v>Sunridge</v>
      </c>
      <c r="E4" s="13" t="str">
        <v>Expired stock</v>
      </c>
      <c r="F4" s="13" t="n">
        <v>278</v>
      </c>
      <c r="G4" s="13" t="str">
        <v>4 Jun, 2023</v>
      </c>
      <c r="H4" s="13" t="str">
        <v>[Code: 38899A] [Expiry: 4 Jun, 2023] AR: Stock Removed due to near to expiry </v>
      </c>
      <c r="I4" s="13" t="str">
        <v>Ali Raza </v>
      </c>
      <c r="J4" s="13" t="str">
        <f aca="false">IF(ISBLANK(I4),"", IF($I$2:$I1001 = "Gohar Rehan","Overnight",IF($I$2:$I1001 = "Taufeeq Akhtar ","Overnight",IF($I$2:$I1001 = "Zeeshan Ali Malik","Audit",IF($I$2:$I1001 = "Ali Raza ","Receiving",IF($I$2:$I1001 = "Ali Ahmad","Full-In"))))))</f>
        <v>Receiving</v>
      </c>
      <c r="K4" s="39" t="e">
        <f aca="false">IFERROR(VLOOKUP(D4,'Brand manager data '!A:B,2,0))</f>
        <v>#VALUE!</v>
      </c>
      <c r="L4" s="13" t="e">
        <v>#VALUE!</v>
      </c>
      <c r="M4" s="13" t="e">
        <v>#VALUE!</v>
      </c>
      <c r="N4" s="22"/>
      <c r="Q4" s="40"/>
      <c r="R4" s="13" t="b">
        <f aca="false">FALSE()</f>
        <v>0</v>
      </c>
      <c r="S4" s="13" t="n">
        <v>2200</v>
      </c>
      <c r="T4" s="13" t="n">
        <f aca="false">S4*F4</f>
        <v>611600</v>
      </c>
      <c r="U4" s="13" t="str">
        <v>Flour</v>
      </c>
      <c r="V4" s="11" t="n">
        <v>45078</v>
      </c>
    </row>
    <row r="5" customFormat="false" ht="15.75" hidden="false" customHeight="false" outlineLevel="0" collapsed="false">
      <c r="A5" s="13" t="str">
        <v>44599A</v>
      </c>
      <c r="B5" s="13" t="str">
        <v>Tue, 06-Jun-2023, 12:23 PM</v>
      </c>
      <c r="C5" s="13" t="str">
        <v>Kolson Jam Hearts Strawberry and Vanilla Biscuits Bar Pack 12pcs Rs15</v>
      </c>
      <c r="D5" s="13" t="str">
        <v>Kolson</v>
      </c>
      <c r="E5" s="13" t="str">
        <v>Expired stock</v>
      </c>
      <c r="F5" s="13" t="n">
        <v>80</v>
      </c>
      <c r="G5" s="13" t="str">
        <v>27 Jun, 2023</v>
      </c>
      <c r="H5" s="13" t="str">
        <v>[Code: 44599A] [Expiry: 27 Jun, 2023] 80 units found short expiry</v>
      </c>
      <c r="I5" s="13" t="str">
        <v>Ali Raza </v>
      </c>
      <c r="J5" s="13" t="str">
        <f aca="false">IF(ISBLANK(I5),"", IF($I$2:$I1002 = "Gohar Rehan","Overnight",IF($I$2:$I1002 = "Taufeeq Akhtar ","Overnight",IF($I$2:$I1002 = "Zeeshan Ali Malik","Audit",IF($I$2:$I1002 = "Ali Raza ","Receiving",IF($I$2:$I1002 = "Ali Ahmad","Full-In"))))))</f>
        <v>Receiving</v>
      </c>
      <c r="K5" s="39" t="e">
        <f aca="false">IFERROR(VLOOKUP(D5,'Brand manager data '!A:B,2,0))</f>
        <v>#VALUE!</v>
      </c>
      <c r="L5" s="13" t="e">
        <v>#VALUE!</v>
      </c>
      <c r="M5" s="13" t="e">
        <v>#VALUE!</v>
      </c>
      <c r="N5" s="22"/>
      <c r="P5" s="20" t="n">
        <v>80</v>
      </c>
      <c r="Q5" s="40" t="s">
        <v>2345</v>
      </c>
      <c r="R5" s="20" t="b">
        <f aca="false">FALSE()</f>
        <v>0</v>
      </c>
      <c r="S5" s="13" t="n">
        <v>159.8</v>
      </c>
      <c r="T5" s="13" t="n">
        <f aca="false">S5*F5</f>
        <v>12784</v>
      </c>
      <c r="U5" s="13" t="str">
        <v>Biscuits, Wafers</v>
      </c>
      <c r="V5" s="11" t="n">
        <v>45083</v>
      </c>
    </row>
    <row r="6" customFormat="false" ht="15.75" hidden="false" customHeight="false" outlineLevel="0" collapsed="false">
      <c r="A6" s="13" t="str">
        <v>378AAA</v>
      </c>
      <c r="B6" s="13" t="str">
        <v>Thu, 08-Jun-2023, 10:04 AM</v>
      </c>
      <c r="C6" s="13" t="str">
        <v>Top Breading Flour 11kg</v>
      </c>
      <c r="D6" s="13" t="str">
        <v>Yadgar Atta</v>
      </c>
      <c r="E6" s="13" t="str">
        <v>Expired stock</v>
      </c>
      <c r="F6" s="13" t="n">
        <v>3</v>
      </c>
      <c r="G6" s="13" t="str">
        <v>8 Jun, 2023</v>
      </c>
      <c r="H6" s="13" t="str">
        <v>[Code: 378AAA] [Expiry: 8 Jun, 2023] 3 units expire on 08-Jun-2023</v>
      </c>
      <c r="I6" s="13" t="str">
        <v>Ali Raza </v>
      </c>
      <c r="J6" s="13" t="str">
        <f aca="false">IF(ISBLANK(I6),"", IF($I$2:$I1003 = "Gohar Rehan","Overnight",IF($I$2:$I1003 = "Taufeeq Akhtar ","Overnight",IF($I$2:$I1003 = "Zeeshan Ali Malik","Audit",IF($I$2:$I1003 = "Ali Raza ","Receiving",IF($I$2:$I1003 = "Ali Ahmad","Full-In"))))))</f>
        <v>Receiving</v>
      </c>
      <c r="K6" s="39" t="e">
        <f aca="false">IFERROR(VLOOKUP(D6,'Brand manager data '!A:B,2,0))</f>
        <v>#VALUE!</v>
      </c>
      <c r="L6" s="13" t="e">
        <v>#VALUE!</v>
      </c>
      <c r="M6" s="13" t="e">
        <v>#VALUE!</v>
      </c>
      <c r="N6" s="22"/>
      <c r="P6" s="20" t="n">
        <v>3</v>
      </c>
      <c r="Q6" s="40" t="s">
        <v>2345</v>
      </c>
      <c r="R6" s="13" t="b">
        <f aca="false">FALSE()</f>
        <v>0</v>
      </c>
      <c r="S6" s="13" t="n">
        <v>1825</v>
      </c>
      <c r="T6" s="13" t="n">
        <f aca="false">S6*F6</f>
        <v>5475</v>
      </c>
      <c r="U6" s="13" t="str">
        <v>Flour</v>
      </c>
      <c r="V6" s="11" t="n">
        <v>45085</v>
      </c>
    </row>
    <row r="7" customFormat="false" ht="15.75" hidden="false" customHeight="false" outlineLevel="0" collapsed="false">
      <c r="A7" s="13" t="str">
        <v>26ABDG</v>
      </c>
      <c r="B7" s="13" t="str">
        <v>Tue, 13-Jun-2023, 03:17 PM</v>
      </c>
      <c r="C7" s="13" t="str">
        <v>Kolson Slanty Jalapeno 60Pcs Rs10 5g</v>
      </c>
      <c r="D7" s="13" t="str">
        <v>Kolson</v>
      </c>
      <c r="E7" s="13" t="str">
        <v>Expired stock</v>
      </c>
      <c r="F7" s="13" t="n">
        <v>5</v>
      </c>
      <c r="G7" s="13" t="str">
        <v>15 May, 2023</v>
      </c>
      <c r="H7" s="13" t="str">
        <v>[Code: 26ABDG] [Expiry: 15 May, 2023] 5 units found expire from (Vendor End)</v>
      </c>
      <c r="I7" s="13" t="str">
        <v>Ali Raza </v>
      </c>
      <c r="J7" s="13" t="str">
        <f aca="false">IF(ISBLANK(I7),"", IF($I$2:$I1004 = "Gohar Rehan","Overnight",IF($I$2:$I1004 = "Taufeeq Akhtar ","Overnight",IF($I$2:$I1004 = "Zeeshan Ali Malik","Audit",IF($I$2:$I1004 = "Ali Raza ","Receiving",IF($I$2:$I1004 = "Ali Ahmad","Full-In"))))))</f>
        <v>Receiving</v>
      </c>
      <c r="K7" s="39" t="e">
        <f aca="false">IFERROR(VLOOKUP(D7,'Brand manager data '!A:B,2,0))</f>
        <v>#VALUE!</v>
      </c>
      <c r="L7" s="13" t="e">
        <v>#VALUE!</v>
      </c>
      <c r="M7" s="13" t="e">
        <v>#VALUE!</v>
      </c>
      <c r="N7" s="22"/>
      <c r="P7" s="13" t="n">
        <v>5</v>
      </c>
      <c r="Q7" s="40" t="s">
        <v>2346</v>
      </c>
      <c r="R7" s="13" t="b">
        <f aca="false">FALSE()</f>
        <v>0</v>
      </c>
      <c r="S7" s="13" t="n">
        <v>519.82</v>
      </c>
      <c r="T7" s="13" t="n">
        <f aca="false">S7*F7</f>
        <v>2599.1</v>
      </c>
      <c r="U7" s="13" t="str">
        <v>Snacks</v>
      </c>
      <c r="V7" s="11" t="n">
        <v>45090</v>
      </c>
    </row>
    <row r="8" customFormat="false" ht="15.75" hidden="false" customHeight="false" outlineLevel="0" collapsed="false">
      <c r="A8" s="13" t="str">
        <v>457DFG</v>
      </c>
      <c r="B8" s="13" t="str">
        <v>Tue, 13-Jun-2023, 03:18 PM</v>
      </c>
      <c r="C8" s="13" t="str">
        <v>Kolson Slanty Jalapeno 60Pcs Rs10 5g</v>
      </c>
      <c r="D8" s="13" t="str">
        <v>Kolson</v>
      </c>
      <c r="E8" s="13" t="str">
        <v>Expired stock</v>
      </c>
      <c r="F8" s="13" t="n">
        <v>3</v>
      </c>
      <c r="G8" s="13" t="str">
        <v>30 Jul, 2023</v>
      </c>
      <c r="H8" s="13" t="str">
        <v>[Code: 457DFG] [Expiry: 30 Jul, 2023] 3 units expire on 30-07-2023</v>
      </c>
      <c r="I8" s="13" t="str">
        <v>Ali Raza </v>
      </c>
      <c r="J8" s="13" t="str">
        <f aca="false">IF(ISBLANK(I8),"", IF($I$2:$I1005 = "Gohar Rehan","Overnight",IF($I$2:$I1005 = "Taufeeq Akhtar ","Overnight",IF($I$2:$I1005 = "Zeeshan Ali Malik","Audit",IF($I$2:$I1005 = "Ali Raza ","Receiving",IF($I$2:$I1005 = "Ali Ahmad","Full-In"))))))</f>
        <v>Receiving</v>
      </c>
      <c r="K8" s="39" t="e">
        <f aca="false">IFERROR(VLOOKUP(D8,'Brand manager data '!A:B,2,0))</f>
        <v>#VALUE!</v>
      </c>
      <c r="L8" s="13" t="e">
        <v>#VALUE!</v>
      </c>
      <c r="M8" s="13" t="e">
        <v>#VALUE!</v>
      </c>
      <c r="N8" s="22"/>
      <c r="P8" s="20" t="n">
        <v>3</v>
      </c>
      <c r="Q8" s="40" t="s">
        <v>2346</v>
      </c>
      <c r="R8" s="13" t="b">
        <f aca="false">FALSE()</f>
        <v>0</v>
      </c>
      <c r="S8" s="13" t="n">
        <v>519.82</v>
      </c>
      <c r="T8" s="13" t="n">
        <f aca="false">S8*F8</f>
        <v>1559.46</v>
      </c>
      <c r="U8" s="13" t="str">
        <v>Snacks</v>
      </c>
      <c r="V8" s="11" t="n">
        <v>45090</v>
      </c>
    </row>
    <row r="9" customFormat="false" ht="15.75" hidden="false" customHeight="false" outlineLevel="0" collapsed="false">
      <c r="A9" s="13" t="str">
        <v>8AFFGJ</v>
      </c>
      <c r="B9" s="13" t="str">
        <v>Wed, 21-Jun-2023, 10:42 PM</v>
      </c>
      <c r="C9" s="13" t="str">
        <v>LU Tuc Biscuits Ticky Rs7</v>
      </c>
      <c r="D9" s="13" t="str">
        <v>LU</v>
      </c>
      <c r="E9" s="13" t="str">
        <v>Expired stock</v>
      </c>
      <c r="F9" s="13" t="n">
        <v>11</v>
      </c>
      <c r="G9" s="13" t="str">
        <v>30 Jun, 2023</v>
      </c>
      <c r="H9" s="13" t="str">
        <v>[Code: 8AFFGJ] [Expiry: 30 Jun, 2023] TA: Short Expired Stock only 11 units where in floor.</v>
      </c>
      <c r="I9" s="13" t="str">
        <v>Taufeeq Akhtar </v>
      </c>
      <c r="J9" s="13" t="str">
        <f aca="false">IF(ISBLANK(I9),"", IF($I$2:$I1006 = "Gohar Rehan","Overnight",IF($I$2:$I1006 = "Taufeeq Akhtar ","Overnight",IF($I$2:$I1006 = "Zeeshan Ali Malik","Audit",IF($I$2:$I1006 = "Ali Raza ","Receiving",IF($I$2:$I1006 = "Ali Ahmad","Full-In"))))))</f>
        <v>Overnight</v>
      </c>
      <c r="K9" s="39" t="e">
        <f aca="false">IFERROR(VLOOKUP(D9,'Brand manager data '!A:B,2,0))</f>
        <v>#VALUE!</v>
      </c>
      <c r="L9" s="13" t="e">
        <v>#VALUE!</v>
      </c>
      <c r="M9" s="13" t="e">
        <v>#VALUE!</v>
      </c>
      <c r="N9" s="22"/>
      <c r="Q9" s="40" t="s">
        <v>2346</v>
      </c>
      <c r="R9" s="13" t="b">
        <f aca="false">FALSE()</f>
        <v>0</v>
      </c>
      <c r="S9" s="13" t="n">
        <v>148.14</v>
      </c>
      <c r="T9" s="13" t="n">
        <f aca="false">S9*F9</f>
        <v>1629.54</v>
      </c>
      <c r="U9" s="13" t="str">
        <v>Biscuits, Wafers</v>
      </c>
      <c r="V9" s="11" t="n">
        <v>45098</v>
      </c>
    </row>
    <row r="10" customFormat="false" ht="15.75" hidden="false" customHeight="false" outlineLevel="0" collapsed="false">
      <c r="A10" s="13" t="str">
        <v>39ACFG</v>
      </c>
      <c r="B10" s="13" t="str">
        <v>Tue, 27-Jun-2023, 08:28 AM</v>
      </c>
      <c r="C10" s="13" t="str">
        <v>Top Pizza Flour 10kg</v>
      </c>
      <c r="D10" s="13" t="str">
        <v>Yadgar Atta</v>
      </c>
      <c r="E10" s="13" t="str">
        <v>Expired stock</v>
      </c>
      <c r="F10" s="13" t="n">
        <v>3</v>
      </c>
      <c r="G10" s="13" t="str">
        <v>12 Jul, 2023</v>
      </c>
      <c r="H10" s="13" t="str">
        <v>[Code: 39ACFG] [Expiry: 12 Jul, 2023] AR : short expiry </v>
      </c>
      <c r="I10" s="13" t="str">
        <v>Ali Raza </v>
      </c>
      <c r="J10" s="13" t="str">
        <f aca="false">IF(ISBLANK(I10),"", IF($I$2:$I1007 = "Gohar Rehan","Overnight",IF($I$2:$I1007 = "Taufeeq Akhtar ","Overnight",IF($I$2:$I1007 = "Zeeshan Ali Malik","Audit",IF($I$2:$I1007 = "Ali Raza ","Receiving",IF($I$2:$I1007 = "Ali Ahmad","Full-In"))))))</f>
        <v>Receiving</v>
      </c>
      <c r="K10" s="39" t="e">
        <f aca="false">IFERROR(VLOOKUP(D10,'Brand manager data '!A:B,2,0))</f>
        <v>#VALUE!</v>
      </c>
      <c r="L10" s="13" t="e">
        <v>#VALUE!</v>
      </c>
      <c r="M10" s="13" t="e">
        <v>#VALUE!</v>
      </c>
      <c r="N10" s="22"/>
      <c r="P10" s="20" t="n">
        <v>2</v>
      </c>
      <c r="Q10" s="40" t="s">
        <v>2345</v>
      </c>
      <c r="R10" s="13" t="b">
        <f aca="false">FALSE()</f>
        <v>0</v>
      </c>
      <c r="S10" s="13" t="n">
        <v>1450</v>
      </c>
      <c r="T10" s="13" t="n">
        <f aca="false">S10*F10</f>
        <v>4350</v>
      </c>
      <c r="U10" s="13" t="str">
        <v>Flour</v>
      </c>
      <c r="V10" s="11" t="n">
        <v>45104</v>
      </c>
    </row>
    <row r="11" customFormat="false" ht="15.75" hidden="false" customHeight="false" outlineLevel="0" collapsed="false">
      <c r="A11" s="13" t="str">
        <v>34ABDD</v>
      </c>
      <c r="B11" s="13" t="str">
        <v>Wed, 05-Jul-2023, 03:35 PM</v>
      </c>
      <c r="C11" s="13" t="str">
        <v>Shangrila Tomato Ketchup x6 Bundle 70g</v>
      </c>
      <c r="D11" s="13" t="str">
        <v>Shangrila</v>
      </c>
      <c r="E11" s="13" t="str">
        <v>Expired stock</v>
      </c>
      <c r="F11" s="13" t="n">
        <v>576</v>
      </c>
      <c r="G11" s="13" t="str">
        <v>5 Jul, 2023</v>
      </c>
      <c r="H11" s="13" t="str">
        <v>[Code: 34ABDD] [Expiry: 5 Jul, 2023] 576 units removed due to misprint of expiry date</v>
      </c>
      <c r="I11" s="13" t="str">
        <v>Ali Raza </v>
      </c>
      <c r="J11" s="13" t="str">
        <f aca="false">IF(ISBLANK(I11),"", IF($I$2:$I1008 = "Gohar Rehan","Overnight",IF($I$2:$I1008 = "Taufeeq Akhtar ","Overnight",IF($I$2:$I1008 = "Zeeshan Ali Malik","Audit",IF($I$2:$I1008 = "Ali Raza ","Receiving",IF($I$2:$I1008 = "Ali Ahmad","Full-In"))))))</f>
        <v>Receiving</v>
      </c>
      <c r="K11" s="39" t="e">
        <f aca="false">IFERROR(VLOOKUP(D11,'Brand manager data '!A:B,2,0))</f>
        <v>#VALUE!</v>
      </c>
      <c r="L11" s="13" t="e">
        <v>#VALUE!</v>
      </c>
      <c r="M11" s="13" t="e">
        <v>#VALUE!</v>
      </c>
      <c r="N11" s="22"/>
      <c r="P11" s="13" t="n">
        <v>576</v>
      </c>
      <c r="Q11" s="40" t="s">
        <v>2345</v>
      </c>
      <c r="R11" s="13" t="b">
        <f aca="false">FALSE()</f>
        <v>0</v>
      </c>
      <c r="S11" s="13" t="n">
        <v>188.49</v>
      </c>
      <c r="T11" s="13" t="n">
        <f aca="false">S11*F11</f>
        <v>108570.24</v>
      </c>
      <c r="U11" s="13" t="str">
        <v>Sauces</v>
      </c>
      <c r="V11" s="11" t="n">
        <v>45112</v>
      </c>
    </row>
    <row r="12" customFormat="false" ht="15.75" hidden="false" customHeight="false" outlineLevel="0" collapsed="false">
      <c r="A12" s="13" t="str">
        <v>568899</v>
      </c>
      <c r="B12" s="13" t="str">
        <v>Thu, 06-Jul-2023, 03:43 PM</v>
      </c>
      <c r="C12" s="13" t="str">
        <v>Kolson Jam Hearts Lemon Cream Biscuits Bar Pack 12pcs Rs15</v>
      </c>
      <c r="D12" s="13" t="str">
        <v>Kolson</v>
      </c>
      <c r="E12" s="13" t="str">
        <v>Expired stock</v>
      </c>
      <c r="F12" s="13" t="n">
        <v>69</v>
      </c>
      <c r="G12" s="13" t="str">
        <v>17 Jul, 2023</v>
      </c>
      <c r="H12" s="13" t="str">
        <v>[Code: 568899] [Expiry: 17 Jul, 2023] AR: Stock Expiry stock</v>
      </c>
      <c r="I12" s="13" t="str">
        <v>Ali Raza </v>
      </c>
      <c r="J12" s="13" t="str">
        <f aca="false">IF(ISBLANK(I12),"", IF($I$2:$I1009 = "Gohar Rehan","Overnight",IF($I$2:$I1009 = "Taufeeq Akhtar ","Overnight",IF($I$2:$I1009 = "Zeeshan Ali Malik","Audit",IF($I$2:$I1009 = "Ali Raza ","Receiving",IF($I$2:$I1009 = "Ali Ahmad","Full-In"))))))</f>
        <v>Receiving</v>
      </c>
      <c r="K12" s="39" t="e">
        <f aca="false">IFERROR(VLOOKUP(D12,'Brand manager data '!A:B,2,0))</f>
        <v>#VALUE!</v>
      </c>
      <c r="L12" s="13" t="e">
        <v>#VALUE!</v>
      </c>
      <c r="M12" s="13" t="e">
        <v>#VALUE!</v>
      </c>
      <c r="N12" s="22"/>
      <c r="P12" s="20" t="n">
        <v>69</v>
      </c>
      <c r="Q12" s="40" t="s">
        <v>2345</v>
      </c>
      <c r="R12" s="13" t="b">
        <f aca="false">FALSE()</f>
        <v>0</v>
      </c>
      <c r="S12" s="13" t="n">
        <v>159.8</v>
      </c>
      <c r="T12" s="13" t="n">
        <f aca="false">S12*F12</f>
        <v>11026.2</v>
      </c>
      <c r="U12" s="13" t="str">
        <v>Biscuits, Wafers</v>
      </c>
      <c r="V12" s="11" t="n">
        <v>45113</v>
      </c>
    </row>
    <row r="13" customFormat="false" ht="15.75" hidden="false" customHeight="false" outlineLevel="0" collapsed="false">
      <c r="A13" s="13" t="str">
        <v>278FFJ</v>
      </c>
      <c r="B13" s="13" t="str">
        <v>Sun, 09-Jul-2023, 05:48 PM</v>
      </c>
      <c r="C13" s="13" t="str">
        <v>Kolson Jam Hearts Strawberry and Vanilla Biscuits Snack Pack 6pcs Rs30</v>
      </c>
      <c r="D13" s="13" t="str">
        <v>Kolson</v>
      </c>
      <c r="E13" s="13" t="str">
        <v>Expired stock</v>
      </c>
      <c r="F13" s="13" t="n">
        <v>203</v>
      </c>
      <c r="G13" s="13" t="str">
        <v>4 Aug, 2023</v>
      </c>
      <c r="H13" s="13" t="str">
        <v>[Code: 278FFJ] [Expiry: 4 Aug, 2023] AR: Stock removed due to short Expiry</v>
      </c>
      <c r="I13" s="13" t="str">
        <v>Ali Raza </v>
      </c>
      <c r="J13" s="13" t="str">
        <f aca="false">IF(ISBLANK(I13),"", IF($I$2:$I1010 = "Gohar Rehan","Overnight",IF($I$2:$I1010 = "Taufeeq Akhtar ","Overnight",IF($I$2:$I1010 = "Zeeshan Ali Malik","Audit",IF($I$2:$I1010 = "Ali Raza ","Receiving",IF($I$2:$I1010 = "Ali Ahmad","Full-In"))))))</f>
        <v>Receiving</v>
      </c>
      <c r="K13" s="39" t="e">
        <f aca="false">IFERROR(VLOOKUP(D13,'Brand manager data '!A:B,2,0))</f>
        <v>#VALUE!</v>
      </c>
      <c r="L13" s="13" t="e">
        <v>#VALUE!</v>
      </c>
      <c r="M13" s="13" t="e">
        <v>#VALUE!</v>
      </c>
      <c r="N13" s="22"/>
      <c r="P13" s="20" t="n">
        <v>203</v>
      </c>
      <c r="Q13" s="40" t="s">
        <v>2345</v>
      </c>
      <c r="R13" s="13" t="b">
        <f aca="false">FALSE()</f>
        <v>0</v>
      </c>
      <c r="S13" s="13" t="n">
        <v>159.81</v>
      </c>
      <c r="T13" s="13" t="n">
        <f aca="false">S13*F13</f>
        <v>32441.43</v>
      </c>
      <c r="U13" s="13" t="str">
        <v>Biscuits, Wafers</v>
      </c>
      <c r="V13" s="11" t="n">
        <v>45116</v>
      </c>
    </row>
    <row r="14" customFormat="false" ht="15.75" hidden="false" customHeight="false" outlineLevel="0" collapsed="false">
      <c r="A14" s="13" t="str">
        <v>667EGJ</v>
      </c>
      <c r="B14" s="13" t="str">
        <v>Mon, 10-Jul-2023, 09:39 AM</v>
      </c>
      <c r="C14" s="13" t="str">
        <v>Peek Freans Zeera Click Biscuits Half Roll Rs40</v>
      </c>
      <c r="D14" s="13" t="str">
        <v>Peek Freans</v>
      </c>
      <c r="E14" s="13" t="str">
        <v>Expired stock</v>
      </c>
      <c r="F14" s="13" t="n">
        <v>39</v>
      </c>
      <c r="G14" s="13" t="str">
        <v>31 Jul, 2023</v>
      </c>
      <c r="H14" s="13" t="str">
        <v>[Code: 667EGJ] [Expiry: 31 Jul, 2023] AR : 39 selling unit found near expire</v>
      </c>
      <c r="I14" s="13" t="str">
        <v>Ali Raza </v>
      </c>
      <c r="J14" s="13" t="str">
        <f aca="false">IF(ISBLANK(I14),"", IF($I$2:$I1011 = "Gohar Rehan","Overnight",IF($I$2:$I1011 = "Taufeeq Akhtar ","Overnight",IF($I$2:$I1011 = "Zeeshan Ali Malik","Audit",IF($I$2:$I1011 = "Ali Raza ","Receiving",IF($I$2:$I1011 = "Ali Ahmad","Full-In"))))))</f>
        <v>Receiving</v>
      </c>
      <c r="K14" s="39" t="e">
        <f aca="false">IFERROR(VLOOKUP(D14,'Brand manager data '!A:B,2,0))</f>
        <v>#VALUE!</v>
      </c>
      <c r="L14" s="13" t="e">
        <v>#VALUE!</v>
      </c>
      <c r="M14" s="13" t="e">
        <v>#VALUE!</v>
      </c>
      <c r="N14" s="22"/>
      <c r="P14" s="13" t="n">
        <v>39</v>
      </c>
      <c r="Q14" s="40" t="s">
        <v>2345</v>
      </c>
      <c r="R14" s="13" t="b">
        <f aca="false">FALSE()</f>
        <v>0</v>
      </c>
      <c r="S14" s="13" t="n">
        <v>216</v>
      </c>
      <c r="T14" s="13" t="n">
        <f aca="false">S14*F14</f>
        <v>8424</v>
      </c>
      <c r="U14" s="13" t="str">
        <v>Biscuits, Wafers</v>
      </c>
      <c r="V14" s="11" t="n">
        <v>45117</v>
      </c>
    </row>
    <row r="15" customFormat="false" ht="15.75" hidden="false" customHeight="false" outlineLevel="0" collapsed="false">
      <c r="A15" s="13" t="str">
        <v>457BBC</v>
      </c>
      <c r="B15" s="13" t="str">
        <v>Mon, 10-Jul-2023, 11:42 AM</v>
      </c>
      <c r="C15" s="13" t="str">
        <v>Mountain Dew plastic 345ml (Other city stock)</v>
      </c>
      <c r="D15" s="13" t="str">
        <v>Mountain Dew</v>
      </c>
      <c r="E15" s="13" t="str">
        <v>Expired stock</v>
      </c>
      <c r="F15" s="13" t="n">
        <v>264</v>
      </c>
      <c r="G15" s="13" t="str">
        <v>31 Jul, 2023</v>
      </c>
      <c r="H15" s="13" t="str">
        <v>[Code: 457BBC] [Expiry: 31 Jul, 2023] 264 units having Short expiry</v>
      </c>
      <c r="I15" s="13" t="str">
        <v>Ali Raza </v>
      </c>
      <c r="J15" s="13" t="str">
        <f aca="false">IF(ISBLANK(I15),"", IF($I$2:$I1012 = "Gohar Rehan","Overnight",IF($I$2:$I1012 = "Taufeeq Akhtar ","Overnight",IF($I$2:$I1012 = "Zeeshan Ali Malik","Audit",IF($I$2:$I1012 = "Ali Raza ","Receiving",IF($I$2:$I1012 = "Ali Ahmad","Full-In"))))))</f>
        <v>Receiving</v>
      </c>
      <c r="K15" s="39" t="e">
        <f aca="false">IFERROR(VLOOKUP(D15,'Brand manager data '!A:B,2,0))</f>
        <v>#VALUE!</v>
      </c>
      <c r="L15" s="13" t="e">
        <v>#VALUE!</v>
      </c>
      <c r="M15" s="13" t="e">
        <v>#VALUE!</v>
      </c>
      <c r="N15" s="22"/>
      <c r="Q15" s="40"/>
      <c r="R15" s="13" t="b">
        <f aca="false">FALSE()</f>
        <v>0</v>
      </c>
      <c r="S15" s="13" t="n">
        <v>520</v>
      </c>
      <c r="T15" s="13" t="n">
        <f aca="false">S15*F15</f>
        <v>137280</v>
      </c>
      <c r="U15" s="13" t="str">
        <v>Beverages</v>
      </c>
      <c r="V15" s="11" t="n">
        <v>45117</v>
      </c>
    </row>
    <row r="16" customFormat="false" ht="15.75" hidden="false" customHeight="false" outlineLevel="0" collapsed="false">
      <c r="A16" s="13" t="str">
        <v>44579A</v>
      </c>
      <c r="B16" s="13" t="str">
        <v>Tue, 25-Jul-2023, 12:51 PM</v>
      </c>
      <c r="C16" s="13" t="str">
        <v>Engro Olpers Chocolate Flavored Milk x24 180mL</v>
      </c>
      <c r="D16" s="13" t="str">
        <v>Olpers</v>
      </c>
      <c r="E16" s="13" t="str">
        <v>Expired stock</v>
      </c>
      <c r="F16" s="13" t="n">
        <v>56</v>
      </c>
      <c r="G16" s="13" t="str">
        <v>13 Aug, 2023</v>
      </c>
      <c r="H16" s="13" t="str">
        <v>[Code: 44579A] [Expiry: 13 Aug, 2023] 56 selling unit found short expiry</v>
      </c>
      <c r="I16" s="13" t="str">
        <v>Ali Raza </v>
      </c>
      <c r="J16" s="13" t="str">
        <f aca="false">IF(ISBLANK(I16),"", IF($I$2:$I1013 = "Gohar Rehan","Overnight",IF($I$2:$I1013 = "Taufeeq Akhtar ","Overnight",IF($I$2:$I1013 = "Zeeshan Ali Malik","Audit",IF($I$2:$I1013 = "Ali Raza ","Receiving",IF($I$2:$I1013 = "Ali Ahmad","Full-In"))))))</f>
        <v>Receiving</v>
      </c>
      <c r="K16" s="39" t="e">
        <f aca="false">IFERROR(VLOOKUP(D16,'Brand manager data '!A:B,2,0))</f>
        <v>#VALUE!</v>
      </c>
      <c r="L16" s="13" t="e">
        <v>#VALUE!</v>
      </c>
      <c r="M16" s="13" t="e">
        <v>#VALUE!</v>
      </c>
      <c r="N16" s="22"/>
      <c r="P16" s="20" t="n">
        <v>56</v>
      </c>
      <c r="Q16" s="40" t="s">
        <v>2345</v>
      </c>
      <c r="R16" s="13" t="b">
        <f aca="false">FALSE()</f>
        <v>0</v>
      </c>
      <c r="S16" s="13" t="n">
        <v>1520</v>
      </c>
      <c r="T16" s="13" t="n">
        <f aca="false">S16*F16</f>
        <v>85120</v>
      </c>
      <c r="U16" s="13" t="str">
        <v>Dairy</v>
      </c>
      <c r="V16" s="11" t="n">
        <v>45132</v>
      </c>
    </row>
    <row r="17" customFormat="false" ht="15.75" hidden="false" customHeight="false" outlineLevel="0" collapsed="false">
      <c r="A17" s="13" t="str">
        <v>222359</v>
      </c>
      <c r="B17" s="13" t="str">
        <v>Thu, 27-Jul-2023, 02:05 PM</v>
      </c>
      <c r="C17" s="13" t="str">
        <v>Yadgar Maida 1kg</v>
      </c>
      <c r="D17" s="13" t="str">
        <v>Yadgar Atta</v>
      </c>
      <c r="E17" s="13" t="str">
        <v>Expired stock</v>
      </c>
      <c r="F17" s="13" t="n">
        <v>25</v>
      </c>
      <c r="G17" s="13" t="str">
        <v>8 Aug, 2023</v>
      </c>
      <c r="H17" s="13" t="str">
        <v>[Code: 222359] [Expiry: 8 Aug, 2023] 25 units expire in next month</v>
      </c>
      <c r="I17" s="13" t="str">
        <v>Ali Raza </v>
      </c>
      <c r="J17" s="13" t="str">
        <f aca="false">IF(ISBLANK(I17),"", IF($I$2:$I1014 = "Gohar Rehan","Overnight",IF($I$2:$I1014 = "Taufeeq Akhtar ","Overnight",IF($I$2:$I1014 = "Zeeshan Ali Malik","Audit",IF($I$2:$I1014 = "Ali Raza ","Receiving",IF($I$2:$I1014 = "Ali Ahmad","Full-In"))))))</f>
        <v>Receiving</v>
      </c>
      <c r="K17" s="39" t="e">
        <f aca="false">IFERROR(VLOOKUP(D17,'Brand manager data '!A:B,2,0))</f>
        <v>#VALUE!</v>
      </c>
      <c r="L17" s="13" t="e">
        <v>#VALUE!</v>
      </c>
      <c r="M17" s="13" t="e">
        <v>#VALUE!</v>
      </c>
      <c r="N17" s="22"/>
      <c r="P17" s="20" t="n">
        <v>25</v>
      </c>
      <c r="Q17" s="40" t="s">
        <v>2345</v>
      </c>
      <c r="R17" s="13" t="b">
        <f aca="false">FALSE()</f>
        <v>0</v>
      </c>
      <c r="S17" s="13" t="n">
        <v>215</v>
      </c>
      <c r="T17" s="13" t="n">
        <f aca="false">S17*F17</f>
        <v>5375</v>
      </c>
      <c r="U17" s="13" t="str">
        <v>Flour</v>
      </c>
      <c r="V17" s="11" t="n">
        <v>45134</v>
      </c>
    </row>
    <row r="18" customFormat="false" ht="15.75" hidden="false" customHeight="false" outlineLevel="0" collapsed="false">
      <c r="A18" s="13" t="str">
        <v>57899A</v>
      </c>
      <c r="B18" s="13" t="str">
        <v>Thu, 27-Jul-2023, 02:06 PM</v>
      </c>
      <c r="C18" s="13" t="str">
        <v>Yadgar Whole Wheat Atta 5kg</v>
      </c>
      <c r="D18" s="13" t="str">
        <v>Yadgar Atta</v>
      </c>
      <c r="E18" s="13" t="str">
        <v>Expired stock</v>
      </c>
      <c r="F18" s="13" t="n">
        <v>58</v>
      </c>
      <c r="G18" s="13" t="str">
        <v>10 Aug, 2023</v>
      </c>
      <c r="H18" s="13" t="str">
        <v>[Code: 57899A] [Expiry: 10 Aug, 2023] 58 units expire in next month</v>
      </c>
      <c r="I18" s="13" t="str">
        <v>Ali Raza </v>
      </c>
      <c r="J18" s="13" t="str">
        <f aca="false">IF(ISBLANK(I18),"", IF($I$2:$I1015 = "Gohar Rehan","Overnight",IF($I$2:$I1015 = "Taufeeq Akhtar ","Overnight",IF($I$2:$I1015 = "Zeeshan Ali Malik","Audit",IF($I$2:$I1015 = "Ali Raza ","Receiving",IF($I$2:$I1015 = "Ali Ahmad","Full-In"))))))</f>
        <v>Receiving</v>
      </c>
      <c r="K18" s="39" t="e">
        <f aca="false">IFERROR(VLOOKUP(D18,'Brand manager data '!A:B,2,0))</f>
        <v>#VALUE!</v>
      </c>
      <c r="L18" s="13" t="e">
        <v>#VALUE!</v>
      </c>
      <c r="M18" s="13" t="e">
        <v>#VALUE!</v>
      </c>
      <c r="N18" s="22"/>
      <c r="P18" s="20" t="n">
        <v>59</v>
      </c>
      <c r="Q18" s="40" t="s">
        <v>2345</v>
      </c>
      <c r="R18" s="13" t="b">
        <f aca="false">FALSE()</f>
        <v>0</v>
      </c>
      <c r="S18" s="13" t="n">
        <v>660</v>
      </c>
      <c r="T18" s="13" t="n">
        <f aca="false">S18*F18</f>
        <v>38280</v>
      </c>
      <c r="U18" s="13" t="str">
        <v>Flour</v>
      </c>
      <c r="V18" s="11" t="n">
        <v>45134</v>
      </c>
    </row>
    <row r="19" customFormat="false" ht="15.75" hidden="false" customHeight="false" outlineLevel="0" collapsed="false">
      <c r="A19" s="13" t="str">
        <v>22456C</v>
      </c>
      <c r="B19" s="13" t="str">
        <v>Thu, 27-Jul-2023, 02:07 PM</v>
      </c>
      <c r="C19" s="13" t="str">
        <v>Top Pizza Flour 10kg</v>
      </c>
      <c r="D19" s="13" t="str">
        <v>Yadgar Atta</v>
      </c>
      <c r="E19" s="13" t="str">
        <v>Expired stock</v>
      </c>
      <c r="F19" s="13" t="n">
        <v>3</v>
      </c>
      <c r="G19" s="13" t="str">
        <v>10 Aug, 2023</v>
      </c>
      <c r="H19" s="13" t="str">
        <v>[Code: 22456C] [Expiry: 10 Aug, 2023] 3 units expire in next month</v>
      </c>
      <c r="I19" s="13" t="str">
        <v>Ali Raza </v>
      </c>
      <c r="J19" s="13" t="str">
        <f aca="false">IF(ISBLANK(I19),"", IF($I$2:$I1016 = "Gohar Rehan","Overnight",IF($I$2:$I1016 = "Taufeeq Akhtar ","Overnight",IF($I$2:$I1016 = "Zeeshan Ali Malik","Audit",IF($I$2:$I1016 = "Ali Raza ","Receiving",IF($I$2:$I1016 = "Ali Ahmad","Full-In"))))))</f>
        <v>Receiving</v>
      </c>
      <c r="K19" s="39" t="e">
        <f aca="false">IFERROR(VLOOKUP(D19,'Brand manager data '!A:B,2,0))</f>
        <v>#VALUE!</v>
      </c>
      <c r="L19" s="13" t="e">
        <v>#VALUE!</v>
      </c>
      <c r="M19" s="13" t="e">
        <v>#VALUE!</v>
      </c>
      <c r="N19" s="22"/>
      <c r="O19" s="20" t="s">
        <v>2347</v>
      </c>
      <c r="Q19" s="40"/>
      <c r="R19" s="20" t="b">
        <f aca="false">TRUE()</f>
        <v>1</v>
      </c>
      <c r="S19" s="13" t="n">
        <v>1450</v>
      </c>
      <c r="T19" s="13" t="n">
        <f aca="false">S19*F19</f>
        <v>4350</v>
      </c>
      <c r="U19" s="13" t="str">
        <v>Flour</v>
      </c>
      <c r="V19" s="11" t="n">
        <v>45134</v>
      </c>
    </row>
    <row r="20" customFormat="false" ht="15.75" hidden="false" customHeight="false" outlineLevel="0" collapsed="false">
      <c r="A20" s="13" t="str">
        <v>2489CC</v>
      </c>
      <c r="B20" s="13" t="str">
        <v>Thu, 27-Jul-2023, 02:46 PM</v>
      </c>
      <c r="C20" s="13" t="str">
        <v>Yadgar Whole Wheat Atta 10kg</v>
      </c>
      <c r="D20" s="13" t="str">
        <v>Yadgar Atta</v>
      </c>
      <c r="E20" s="13" t="str">
        <v>Expired stock</v>
      </c>
      <c r="F20" s="13" t="n">
        <v>45</v>
      </c>
      <c r="G20" s="13" t="str">
        <v>10 Sep, 2023</v>
      </c>
      <c r="H20" s="13" t="str">
        <v>[Code: 2489CC] [Expiry: 10 Sep, 2023] 45 units found damaged due to susri</v>
      </c>
      <c r="I20" s="13" t="str">
        <v>Ali Raza </v>
      </c>
      <c r="J20" s="13" t="str">
        <f aca="false">IF(ISBLANK(I20),"", IF($I$2:$I1017 = "Gohar Rehan","Overnight",IF($I$2:$I1017 = "Taufeeq Akhtar ","Overnight",IF($I$2:$I1017 = "Zeeshan Ali Malik","Audit",IF($I$2:$I1017 = "Ali Raza ","Receiving",IF($I$2:$I1017 = "Ali Ahmad","Full-In"))))))</f>
        <v>Receiving</v>
      </c>
      <c r="K20" s="39" t="e">
        <f aca="false">IFERROR(VLOOKUP(D20,'Brand manager data '!A:B,2,0))</f>
        <v>#VALUE!</v>
      </c>
      <c r="L20" s="13" t="e">
        <v>#VALUE!</v>
      </c>
      <c r="M20" s="13" t="e">
        <v>#VALUE!</v>
      </c>
      <c r="N20" s="22"/>
      <c r="P20" s="20" t="n">
        <v>45</v>
      </c>
      <c r="Q20" s="40" t="s">
        <v>2345</v>
      </c>
      <c r="R20" s="13" t="b">
        <f aca="false">FALSE()</f>
        <v>0</v>
      </c>
      <c r="S20" s="13" t="n">
        <v>1310</v>
      </c>
      <c r="T20" s="13" t="n">
        <f aca="false">S20*F20</f>
        <v>58950</v>
      </c>
      <c r="U20" s="13" t="str">
        <v>Flour</v>
      </c>
      <c r="V20" s="11" t="n">
        <v>45134</v>
      </c>
    </row>
    <row r="21" customFormat="false" ht="15.75" hidden="false" customHeight="false" outlineLevel="0" collapsed="false">
      <c r="A21" s="13" t="str">
        <v>2678FG</v>
      </c>
      <c r="B21" s="13" t="str">
        <v>Sun, 30-Jul-2023, 12:22 PM</v>
      </c>
      <c r="C21" s="13" t="str">
        <v>Fruita Vitals Red Grape x24 Crate 200mL Rs57</v>
      </c>
      <c r="D21" s="13" t="str">
        <v>Fruita Vitals</v>
      </c>
      <c r="E21" s="13" t="str">
        <v>Expired stock</v>
      </c>
      <c r="F21" s="13" t="n">
        <v>30</v>
      </c>
      <c r="G21" s="13" t="str">
        <v>21 Aug, 2023</v>
      </c>
      <c r="H21" s="13" t="str">
        <v>[Code: 2678FG] [Expiry: 21 Aug, 2023] AR: Short date stock</v>
      </c>
      <c r="I21" s="13" t="str">
        <v>Ali Raza </v>
      </c>
      <c r="J21" s="13" t="str">
        <f aca="false">IF(ISBLANK(I21),"", IF($I$2:$I1018 = "Gohar Rehan","Overnight",IF($I$2:$I1018 = "Taufeeq Akhtar ","Overnight",IF($I$2:$I1018 = "Zeeshan Ali Malik","Audit",IF($I$2:$I1018 = "Ali Raza ","Receiving",IF($I$2:$I1018 = "Ali Ahmad","Full-In"))))))</f>
        <v>Receiving</v>
      </c>
      <c r="K21" s="39" t="e">
        <f aca="false">IFERROR(VLOOKUP(D21,'Brand manager data '!A:B,2,0))</f>
        <v>#VALUE!</v>
      </c>
      <c r="L21" s="13" t="e">
        <v>#VALUE!</v>
      </c>
      <c r="M21" s="13" t="e">
        <v>#VALUE!</v>
      </c>
      <c r="N21" s="22"/>
      <c r="Q21" s="40"/>
      <c r="R21" s="13" t="b">
        <f aca="false">FALSE()</f>
        <v>0</v>
      </c>
      <c r="S21" s="13" t="n">
        <v>1230</v>
      </c>
      <c r="T21" s="13" t="n">
        <f aca="false">S21*F21</f>
        <v>36900</v>
      </c>
      <c r="U21" s="13" t="str">
        <v>Juice, Syrup, Squash</v>
      </c>
      <c r="V21" s="11" t="n">
        <v>45137</v>
      </c>
    </row>
    <row r="22" customFormat="false" ht="15.75" hidden="false" customHeight="false" outlineLevel="0" collapsed="false">
      <c r="A22" s="13" t="str">
        <v>233559</v>
      </c>
      <c r="B22" s="13" t="str">
        <v>Sun, 30-Jul-2023, 07:41 PM</v>
      </c>
      <c r="C22" s="13" t="str">
        <v>Fruita Vitals Red Grape x24 Crate 200mL Rs57</v>
      </c>
      <c r="D22" s="13" t="str">
        <v>Fruita Vitals</v>
      </c>
      <c r="E22" s="13" t="str">
        <v>Expired stock</v>
      </c>
      <c r="F22" s="13" t="n">
        <v>16</v>
      </c>
      <c r="G22" s="13" t="str">
        <v>21 Aug, 2023</v>
      </c>
      <c r="H22" s="13" t="str">
        <v>[Code: 233559] [Expiry: 21 Aug, 2023] AR: short expiry stock </v>
      </c>
      <c r="I22" s="13" t="str">
        <v>Ali Raza </v>
      </c>
      <c r="J22" s="13" t="str">
        <f aca="false">IF(ISBLANK(I22),"", IF($I$2:$I1019 = "Gohar Rehan","Overnight",IF($I$2:$I1019 = "Taufeeq Akhtar ","Overnight",IF($I$2:$I1019 = "Zeeshan Ali Malik","Audit",IF($I$2:$I1019 = "Ali Raza ","Receiving",IF($I$2:$I1019 = "Ali Ahmad","Full-In"))))))</f>
        <v>Receiving</v>
      </c>
      <c r="K22" s="39" t="e">
        <f aca="false">IFERROR(VLOOKUP(D22,'Brand manager data '!A:B,2,0))</f>
        <v>#VALUE!</v>
      </c>
      <c r="L22" s="13" t="e">
        <v>#VALUE!</v>
      </c>
      <c r="M22" s="13" t="e">
        <v>#VALUE!</v>
      </c>
      <c r="N22" s="22"/>
      <c r="Q22" s="40"/>
      <c r="R22" s="13" t="b">
        <f aca="false">FALSE()</f>
        <v>0</v>
      </c>
      <c r="S22" s="13" t="n">
        <v>1230</v>
      </c>
      <c r="T22" s="13" t="n">
        <f aca="false">S22*F22</f>
        <v>19680</v>
      </c>
      <c r="U22" s="13" t="str">
        <v>Juice, Syrup, Squash</v>
      </c>
      <c r="V22" s="11" t="n">
        <v>45137</v>
      </c>
    </row>
    <row r="23" customFormat="false" ht="15.75" hidden="false" customHeight="false" outlineLevel="0" collapsed="false">
      <c r="A23" s="13" t="str">
        <v>5ACDEG</v>
      </c>
      <c r="B23" s="13" t="str">
        <v>Mon, 31-Jul-2023, 06:59 PM</v>
      </c>
      <c r="C23" s="13" t="str">
        <v>Fruita Vitals Red Grape 1L Rs313</v>
      </c>
      <c r="D23" s="13" t="str">
        <v>Fruita Vitals</v>
      </c>
      <c r="E23" s="13" t="str">
        <v>Expired stock</v>
      </c>
      <c r="F23" s="13" t="n">
        <v>1349</v>
      </c>
      <c r="G23" s="13" t="str">
        <v>6 Aug, 2023</v>
      </c>
      <c r="H23" s="13" t="str">
        <v>[Code: 5ACDEG] [Expiry: 6 Aug, 2023] ZA: Stock removed due to short expiry.</v>
      </c>
      <c r="I23" s="13" t="str">
        <v>Ali Raza </v>
      </c>
      <c r="J23" s="13" t="str">
        <f aca="false">IF(ISBLANK(I23),"", IF($I$2:$I1020 = "Gohar Rehan","Overnight",IF($I$2:$I1020 = "Taufeeq Akhtar ","Overnight",IF($I$2:$I1020 = "Zeeshan Ali Malik","Audit",IF($I$2:$I1020 = "Ali Raza ","Receiving",IF($I$2:$I1020 = "Ali Ahmad","Full-In"))))))</f>
        <v>Receiving</v>
      </c>
      <c r="K23" s="39" t="e">
        <f aca="false">IFERROR(VLOOKUP(D23,'Brand manager data '!A:B,2,0))</f>
        <v>#VALUE!</v>
      </c>
      <c r="L23" s="13" t="e">
        <v>#VALUE!</v>
      </c>
      <c r="M23" s="13" t="e">
        <v>#VALUE!</v>
      </c>
      <c r="N23" s="22"/>
      <c r="O23" s="20" t="s">
        <v>2348</v>
      </c>
      <c r="Q23" s="40"/>
      <c r="R23" s="13" t="b">
        <f aca="false">FALSE()</f>
        <v>0</v>
      </c>
      <c r="S23" s="13" t="n">
        <v>291.35</v>
      </c>
      <c r="T23" s="13" t="n">
        <f aca="false">S23*F23</f>
        <v>393031.15</v>
      </c>
      <c r="U23" s="13" t="str">
        <v>Juice, Syrup, Squash</v>
      </c>
      <c r="V23" s="11" t="n">
        <v>45138</v>
      </c>
    </row>
    <row r="24" customFormat="false" ht="15.75" hidden="false" customHeight="false" outlineLevel="0" collapsed="false">
      <c r="A24" s="13" t="str">
        <v>569AAB</v>
      </c>
      <c r="B24" s="13" t="str">
        <v>Sat, 05-Aug-2023, 11:30 PM</v>
      </c>
      <c r="C24" s="13" t="str">
        <v>Swadi Surkh Mirch Pissi Hoi 5kg</v>
      </c>
      <c r="D24" s="13" t="str">
        <v>Swadi</v>
      </c>
      <c r="E24" s="13" t="str">
        <v>Expired stock</v>
      </c>
      <c r="F24" s="13" t="n">
        <v>1</v>
      </c>
      <c r="G24" s="13" t="str">
        <v>20 May, 2023</v>
      </c>
      <c r="H24" s="13" t="str">
        <v>[Code: 569AAB] [Expiry: 20 May, 2023] TA; 1 unit found  Expire ( date 20/5/2023)</v>
      </c>
      <c r="I24" s="13" t="str">
        <v>Taufeeq Akhtar </v>
      </c>
      <c r="J24" s="13" t="str">
        <f aca="false">IF(ISBLANK(I24),"", IF($I$2:$I1021 = "Gohar Rehan","Overnight",IF($I$2:$I1021 = "Taufeeq Akhtar ","Overnight",IF($I$2:$I1021 = "Zeeshan Ali Malik","Audit",IF($I$2:$I1021 = "Ali Raza ","Receiving",IF($I$2:$I1021 = "Ali Ahmad","Full-In"))))))</f>
        <v>Overnight</v>
      </c>
      <c r="K24" s="39" t="e">
        <f aca="false">IFERROR(VLOOKUP(D24,'Brand manager data '!A:B,2,0))</f>
        <v>#VALUE!</v>
      </c>
      <c r="L24" s="13" t="e">
        <v>#VALUE!</v>
      </c>
      <c r="M24" s="13" t="e">
        <v>#VALUE!</v>
      </c>
      <c r="N24" s="22"/>
      <c r="Q24" s="40"/>
      <c r="R24" s="13" t="b">
        <f aca="false">FALSE()</f>
        <v>0</v>
      </c>
      <c r="S24" s="13" t="n">
        <v>2750</v>
      </c>
      <c r="T24" s="13" t="n">
        <f aca="false">S24*F24</f>
        <v>2750</v>
      </c>
      <c r="U24" s="13" t="str">
        <v>Spices</v>
      </c>
      <c r="V24" s="11" t="n">
        <v>45143</v>
      </c>
    </row>
    <row r="25" customFormat="false" ht="15.75" hidden="false" customHeight="false" outlineLevel="0" collapsed="false">
      <c r="A25" s="13" t="str">
        <v>44DEFH</v>
      </c>
      <c r="B25" s="13" t="str">
        <v>Wed, 09-Aug-2023, 05:06 PM</v>
      </c>
      <c r="C25" s="13" t="str">
        <v>Sherdil Daal Mash Chilka 5kg</v>
      </c>
      <c r="D25" s="13" t="str">
        <v>Sherdil</v>
      </c>
      <c r="E25" s="13" t="str">
        <v>Expired stock</v>
      </c>
      <c r="F25" s="13" t="n">
        <v>5</v>
      </c>
      <c r="G25" s="13" t="str">
        <v>28 Sep, 2023</v>
      </c>
      <c r="H25" s="13" t="str">
        <v>[Code: 44DEFH] [Expiry: 28 Sep, 2023] 05 units expire in next month</v>
      </c>
      <c r="I25" s="13" t="str">
        <v>Ali Raza </v>
      </c>
      <c r="J25" s="13" t="str">
        <f aca="false">IF(ISBLANK(I25),"", IF($I$2:$I1022 = "Gohar Rehan","Overnight",IF($I$2:$I1022 = "Taufeeq Akhtar ","Overnight",IF($I$2:$I1022 = "Zeeshan Ali Malik","Audit",IF($I$2:$I1022 = "Ali Raza ","Receiving",IF($I$2:$I1022 = "Ali Ahmad","Full-In"))))))</f>
        <v>Receiving</v>
      </c>
      <c r="K25" s="39" t="e">
        <f aca="false">IFERROR(VLOOKUP(D25,'Brand manager data '!A:B,2,0))</f>
        <v>#VALUE!</v>
      </c>
      <c r="L25" s="13" t="e">
        <v>#VALUE!</v>
      </c>
      <c r="M25" s="13" t="e">
        <v>#VALUE!</v>
      </c>
      <c r="N25" s="22"/>
      <c r="P25" s="20" t="n">
        <v>7</v>
      </c>
      <c r="Q25" s="40" t="s">
        <v>2345</v>
      </c>
      <c r="R25" s="13" t="b">
        <f aca="false">FALSE()</f>
        <v>0</v>
      </c>
      <c r="S25" s="13" t="n">
        <v>2021</v>
      </c>
      <c r="T25" s="13" t="n">
        <f aca="false">S25*F25</f>
        <v>10105</v>
      </c>
      <c r="U25" s="13" t="str">
        <v>Pulses</v>
      </c>
      <c r="V25" s="11" t="n">
        <v>45147</v>
      </c>
    </row>
    <row r="26" customFormat="false" ht="15.75" hidden="false" customHeight="false" outlineLevel="0" collapsed="false">
      <c r="A26" s="13" t="str">
        <v>223334</v>
      </c>
      <c r="B26" s="13" t="str">
        <v>Wed, 09-Aug-2023, 05:08 PM</v>
      </c>
      <c r="C26" s="13" t="str">
        <v>Sherdil Masar Desi 5kg</v>
      </c>
      <c r="D26" s="13" t="str">
        <v>Sherdil</v>
      </c>
      <c r="E26" s="13" t="str">
        <v>Expired stock</v>
      </c>
      <c r="F26" s="13" t="n">
        <v>3</v>
      </c>
      <c r="G26" s="13" t="str">
        <v>20 Sep, 2023</v>
      </c>
      <c r="H26" s="13" t="str">
        <v>[Code: 223334] [Expiry: 20 Sep, 2023] 03 units expire in next month </v>
      </c>
      <c r="I26" s="13" t="str">
        <v>Ali Raza </v>
      </c>
      <c r="J26" s="13" t="str">
        <f aca="false">IF(ISBLANK(I26),"", IF($I$2:$I1023 = "Gohar Rehan","Overnight",IF($I$2:$I1023 = "Taufeeq Akhtar ","Overnight",IF($I$2:$I1023 = "Zeeshan Ali Malik","Audit",IF($I$2:$I1023 = "Ali Raza ","Receiving",IF($I$2:$I1023 = "Ali Ahmad","Full-In"))))))</f>
        <v>Receiving</v>
      </c>
      <c r="K26" s="39" t="e">
        <f aca="false">IFERROR(VLOOKUP(D26,'Brand manager data '!A:B,2,0))</f>
        <v>#VALUE!</v>
      </c>
      <c r="L26" s="13" t="e">
        <v>#VALUE!</v>
      </c>
      <c r="M26" s="13" t="e">
        <v>#VALUE!</v>
      </c>
      <c r="N26" s="22"/>
      <c r="P26" s="13" t="n">
        <v>3</v>
      </c>
      <c r="Q26" s="40" t="s">
        <v>2345</v>
      </c>
      <c r="R26" s="13" t="b">
        <f aca="false">FALSE()</f>
        <v>0</v>
      </c>
      <c r="S26" s="13" t="n">
        <v>2737</v>
      </c>
      <c r="T26" s="13" t="n">
        <f aca="false">S26*F26</f>
        <v>8211</v>
      </c>
      <c r="U26" s="13" t="str">
        <v>Pulses</v>
      </c>
      <c r="V26" s="11" t="n">
        <v>45147</v>
      </c>
    </row>
    <row r="27" customFormat="false" ht="15.75" hidden="false" customHeight="false" outlineLevel="0" collapsed="false">
      <c r="A27" s="13" t="str">
        <v>224566</v>
      </c>
      <c r="B27" s="13" t="str">
        <v>Wed, 09-Aug-2023, 05:09 PM</v>
      </c>
      <c r="C27" s="13" t="str">
        <v>Sherdil Red Chili Crushed 1Kg</v>
      </c>
      <c r="D27" s="13" t="str">
        <v>Sherdil</v>
      </c>
      <c r="E27" s="13" t="str">
        <v>Expired stock</v>
      </c>
      <c r="F27" s="13" t="n">
        <v>7</v>
      </c>
      <c r="G27" s="13" t="str">
        <v>25 Aug, 2023</v>
      </c>
      <c r="H27" s="13" t="str">
        <v>[Code: 224566] [Expiry: 25 Aug, 2023] 07 units found short expiry</v>
      </c>
      <c r="I27" s="13" t="str">
        <v>Ali Raza </v>
      </c>
      <c r="J27" s="13" t="str">
        <f aca="false">IF(ISBLANK(I27),"", IF($I$2:$I1024 = "Gohar Rehan","Overnight",IF($I$2:$I1024 = "Taufeeq Akhtar ","Overnight",IF($I$2:$I1024 = "Zeeshan Ali Malik","Audit",IF($I$2:$I1024 = "Ali Raza ","Receiving",IF($I$2:$I1024 = "Ali Ahmad","Full-In"))))))</f>
        <v>Receiving</v>
      </c>
      <c r="K27" s="39" t="e">
        <f aca="false">IFERROR(VLOOKUP(D27,'Brand manager data '!A:B,2,0))</f>
        <v>#VALUE!</v>
      </c>
      <c r="L27" s="13" t="e">
        <v>#VALUE!</v>
      </c>
      <c r="M27" s="13" t="e">
        <v>#VALUE!</v>
      </c>
      <c r="N27" s="22"/>
      <c r="P27" s="13" t="n">
        <v>7</v>
      </c>
      <c r="Q27" s="40" t="s">
        <v>2345</v>
      </c>
      <c r="R27" s="13" t="b">
        <f aca="false">FALSE()</f>
        <v>0</v>
      </c>
      <c r="S27" s="13" t="n">
        <v>740</v>
      </c>
      <c r="T27" s="13" t="n">
        <f aca="false">S27*F27</f>
        <v>5180</v>
      </c>
      <c r="U27" s="13" t="str">
        <v>Spices</v>
      </c>
      <c r="V27" s="11" t="n">
        <v>45147</v>
      </c>
    </row>
    <row r="28" customFormat="false" ht="15.75" hidden="false" customHeight="false" outlineLevel="0" collapsed="false">
      <c r="A28" s="13" t="str">
        <v>4577AB</v>
      </c>
      <c r="B28" s="13" t="str">
        <v>Wed, 09-Aug-2023, 05:10 PM</v>
      </c>
      <c r="C28" s="13" t="str">
        <v>Sherdil Red Chili Crushed 500g</v>
      </c>
      <c r="D28" s="13" t="str">
        <v>Sherdil</v>
      </c>
      <c r="E28" s="13" t="str">
        <v>Expired stock</v>
      </c>
      <c r="F28" s="13" t="n">
        <v>15</v>
      </c>
      <c r="G28" s="13" t="str">
        <v>20 Sep, 2023</v>
      </c>
      <c r="H28" s="13" t="str">
        <v>[Code: 4577AB] [Expiry: 20 Sep, 2023] 15 units found short expiry</v>
      </c>
      <c r="I28" s="13" t="str">
        <v>Ali Raza </v>
      </c>
      <c r="J28" s="13" t="str">
        <f aca="false">IF(ISBLANK(I28),"", IF($I$2:$I1025 = "Gohar Rehan","Overnight",IF($I$2:$I1025 = "Taufeeq Akhtar ","Overnight",IF($I$2:$I1025 = "Zeeshan Ali Malik","Audit",IF($I$2:$I1025 = "Ali Raza ","Receiving",IF($I$2:$I1025 = "Ali Ahmad","Full-In"))))))</f>
        <v>Receiving</v>
      </c>
      <c r="K28" s="39" t="e">
        <f aca="false">IFERROR(VLOOKUP(D28,'Brand manager data '!A:B,2,0))</f>
        <v>#VALUE!</v>
      </c>
      <c r="L28" s="13" t="e">
        <v>#VALUE!</v>
      </c>
      <c r="M28" s="13" t="e">
        <v>#VALUE!</v>
      </c>
      <c r="N28" s="22"/>
      <c r="P28" s="13" t="n">
        <v>15</v>
      </c>
      <c r="Q28" s="40" t="s">
        <v>2345</v>
      </c>
      <c r="R28" s="13" t="b">
        <f aca="false">FALSE()</f>
        <v>0</v>
      </c>
      <c r="S28" s="13" t="n">
        <v>400</v>
      </c>
      <c r="T28" s="13" t="n">
        <f aca="false">S28*F28</f>
        <v>6000</v>
      </c>
      <c r="U28" s="13" t="str">
        <v>Spices</v>
      </c>
      <c r="V28" s="11" t="n">
        <v>45147</v>
      </c>
    </row>
    <row r="29" customFormat="false" ht="15.75" hidden="false" customHeight="false" outlineLevel="0" collapsed="false">
      <c r="A29" s="13" t="str">
        <v>2377HK</v>
      </c>
      <c r="B29" s="13" t="str">
        <v>Wed, 09-Aug-2023, 05:11 PM</v>
      </c>
      <c r="C29" s="13" t="str">
        <v>Sherdil White Chana Mota 5kg</v>
      </c>
      <c r="D29" s="13" t="str">
        <v>Sherdil</v>
      </c>
      <c r="E29" s="13" t="str">
        <v>Expired stock</v>
      </c>
      <c r="F29" s="13" t="n">
        <v>1</v>
      </c>
      <c r="G29" s="13" t="str">
        <v>25 Aug, 2023</v>
      </c>
      <c r="H29" s="13" t="str">
        <v>[Code: 2377HK] [Expiry: 25 Aug, 2023] 1 unit found short epxiry</v>
      </c>
      <c r="I29" s="13" t="str">
        <v>Ali Raza </v>
      </c>
      <c r="J29" s="13" t="str">
        <f aca="false">IF(ISBLANK(I29),"", IF($I$2:$I1026 = "Gohar Rehan","Overnight",IF($I$2:$I1026 = "Taufeeq Akhtar ","Overnight",IF($I$2:$I1026 = "Zeeshan Ali Malik","Audit",IF($I$2:$I1026 = "Ali Raza ","Receiving",IF($I$2:$I1026 = "Ali Ahmad","Full-In"))))))</f>
        <v>Receiving</v>
      </c>
      <c r="K29" s="39" t="e">
        <f aca="false">IFERROR(VLOOKUP(D29,'Brand manager data '!A:B,2,0))</f>
        <v>#VALUE!</v>
      </c>
      <c r="L29" s="13" t="e">
        <v>#VALUE!</v>
      </c>
      <c r="M29" s="13" t="e">
        <v>#VALUE!</v>
      </c>
      <c r="N29" s="22"/>
      <c r="P29" s="13" t="n">
        <v>1</v>
      </c>
      <c r="Q29" s="40" t="s">
        <v>2345</v>
      </c>
      <c r="R29" s="13" t="b">
        <f aca="false">FALSE()</f>
        <v>0</v>
      </c>
      <c r="S29" s="13" t="n">
        <v>2045</v>
      </c>
      <c r="T29" s="13" t="n">
        <f aca="false">S29*F29</f>
        <v>2045</v>
      </c>
      <c r="U29" s="13" t="str">
        <v>Pulses</v>
      </c>
      <c r="V29" s="11" t="n">
        <v>45147</v>
      </c>
    </row>
    <row r="30" customFormat="false" ht="15.75" hidden="false" customHeight="false" outlineLevel="0" collapsed="false">
      <c r="A30" s="13" t="str">
        <v>2789DG</v>
      </c>
      <c r="B30" s="13" t="str">
        <v>Wed, 09-Aug-2023, 05:34 PM</v>
      </c>
      <c r="C30" s="13" t="str">
        <v>Sherdil Taatri 100g</v>
      </c>
      <c r="D30" s="13" t="str">
        <v>Sherdil</v>
      </c>
      <c r="E30" s="13" t="str">
        <v>Expired stock</v>
      </c>
      <c r="F30" s="13" t="n">
        <v>13</v>
      </c>
      <c r="G30" s="13" t="str">
        <v>20 Sep, 2023</v>
      </c>
      <c r="H30" s="13" t="str">
        <v>[Code: 2789DG] [Expiry: 20 Sep, 2023] 13 units found short expriy</v>
      </c>
      <c r="I30" s="13" t="str">
        <v>Ali Raza </v>
      </c>
      <c r="J30" s="13" t="str">
        <f aca="false">IF(ISBLANK(I30),"", IF($I$2:$I1027 = "Gohar Rehan","Overnight",IF($I$2:$I1027 = "Taufeeq Akhtar ","Overnight",IF($I$2:$I1027 = "Zeeshan Ali Malik","Audit",IF($I$2:$I1027 = "Ali Raza ","Receiving",IF($I$2:$I1027 = "Ali Ahmad","Full-In"))))))</f>
        <v>Receiving</v>
      </c>
      <c r="K30" s="39" t="e">
        <f aca="false">IFERROR(VLOOKUP(D30,'Brand manager data '!A:B,2,0))</f>
        <v>#VALUE!</v>
      </c>
      <c r="L30" s="13" t="e">
        <v>#VALUE!</v>
      </c>
      <c r="M30" s="13" t="e">
        <v>#VALUE!</v>
      </c>
      <c r="N30" s="22"/>
      <c r="P30" s="13" t="n">
        <v>13</v>
      </c>
      <c r="Q30" s="40" t="s">
        <v>2345</v>
      </c>
      <c r="R30" s="13" t="b">
        <f aca="false">FALSE()</f>
        <v>0</v>
      </c>
      <c r="S30" s="13" t="n">
        <v>104</v>
      </c>
      <c r="T30" s="13" t="n">
        <f aca="false">S30*F30</f>
        <v>1352</v>
      </c>
      <c r="U30" s="13" t="str">
        <v>Spices</v>
      </c>
      <c r="V30" s="11" t="n">
        <v>45147</v>
      </c>
    </row>
    <row r="31" customFormat="false" ht="15.75" hidden="false" customHeight="false" outlineLevel="0" collapsed="false">
      <c r="A31" s="13" t="str">
        <v>33346B</v>
      </c>
      <c r="B31" s="13" t="str">
        <v>Wed, 23-Aug-2023, 11:40 AM</v>
      </c>
      <c r="C31" s="13" t="str">
        <v>Bisconni Double Vanilla Rollies Swiss Roll 8pcs Rs35</v>
      </c>
      <c r="D31" s="13" t="str">
        <v>Bisconni</v>
      </c>
      <c r="E31" s="13" t="str">
        <v>Expired stock</v>
      </c>
      <c r="F31" s="13" t="n">
        <v>16</v>
      </c>
      <c r="G31" s="13" t="str">
        <v>28 Aug, 2023</v>
      </c>
      <c r="H31" s="13" t="str">
        <v>[Code: 33346B] [Expiry: 28 Aug, 2023] 16 units short expiry</v>
      </c>
      <c r="I31" s="13" t="str">
        <v>Ali Raza </v>
      </c>
      <c r="J31" s="13" t="str">
        <f aca="false">IF(ISBLANK(I31),"", IF($I$2:$I1028 = "Gohar Rehan","Overnight",IF($I$2:$I1028 = "Taufeeq Akhtar ","Overnight",IF($I$2:$I1028 = "Zeeshan Ali Malik","Audit",IF($I$2:$I1028 = "Ali Raza ","Receiving",IF($I$2:$I1028 = "Ali Ahmad","Full-In"))))))</f>
        <v>Receiving</v>
      </c>
      <c r="K31" s="39" t="e">
        <f aca="false">IFERROR(VLOOKUP(D31,'Brand manager data '!A:B,2,0))</f>
        <v>#VALUE!</v>
      </c>
      <c r="L31" s="13" t="e">
        <v>#VALUE!</v>
      </c>
      <c r="M31" s="13" t="e">
        <v>#VALUE!</v>
      </c>
      <c r="N31" s="22"/>
      <c r="P31" s="20" t="n">
        <v>16</v>
      </c>
      <c r="Q31" s="40" t="s">
        <v>2345</v>
      </c>
      <c r="R31" s="13" t="b">
        <f aca="false">FALSE()</f>
        <v>0</v>
      </c>
      <c r="S31" s="13" t="n">
        <v>243</v>
      </c>
      <c r="T31" s="13" t="n">
        <f aca="false">S31*F31</f>
        <v>3888</v>
      </c>
      <c r="U31" s="13" t="str">
        <v>Confectionary</v>
      </c>
      <c r="V31" s="11" t="n">
        <v>45161</v>
      </c>
    </row>
    <row r="32" customFormat="false" ht="15.75" hidden="false" customHeight="false" outlineLevel="0" collapsed="false">
      <c r="A32" s="13" t="str">
        <v>22448ACF</v>
      </c>
      <c r="B32" s="13" t="str">
        <v>Tue, 12-Sep-2023, 11:12 AM</v>
      </c>
      <c r="C32" s="13" t="str">
        <v>Kolson Pasta Large Shell 400g</v>
      </c>
      <c r="D32" s="13" t="str">
        <v>Kolson</v>
      </c>
      <c r="E32" s="13" t="str">
        <v>Expired stock</v>
      </c>
      <c r="F32" s="13" t="n">
        <v>20</v>
      </c>
      <c r="G32" s="13" t="str">
        <v>23 Sep, 2023</v>
      </c>
      <c r="H32" s="13" t="str">
        <v>[Code: 22448ACF] [Expiry: 23 Sep, 2023] 1 ctn have short expiry</v>
      </c>
      <c r="I32" s="13" t="str">
        <v>Ali Raza </v>
      </c>
      <c r="J32" s="13" t="str">
        <f aca="false">IF(ISBLANK(I32),"", IF($I$2:$I1029 = "Gohar Rehan","Overnight",IF($I$2:$I1029 = "Taufeeq Akhtar ","Overnight",IF($I$2:$I1029 = "Zeeshan Ali Malik","Audit",IF($I$2:$I1029 = "Ali Raza ","Receiving",IF($I$2:$I1029 = "Ali Ahmad","Full-In"))))))</f>
        <v>Receiving</v>
      </c>
      <c r="K32" s="39" t="e">
        <f aca="false">IFERROR(VLOOKUP(D32,'Brand manager data '!A:B,2,0))</f>
        <v>#VALUE!</v>
      </c>
      <c r="L32" s="13" t="e">
        <v>#VALUE!</v>
      </c>
      <c r="M32" s="13" t="e">
        <v>#VALUE!</v>
      </c>
      <c r="N32" s="22"/>
      <c r="P32" s="20" t="n">
        <v>20</v>
      </c>
      <c r="Q32" s="40" t="s">
        <v>2346</v>
      </c>
      <c r="R32" s="20" t="b">
        <f aca="false">TRUE()</f>
        <v>1</v>
      </c>
      <c r="S32" s="13" t="n">
        <v>142.78</v>
      </c>
      <c r="T32" s="13" t="n">
        <f aca="false">S32*F32</f>
        <v>2855.6</v>
      </c>
      <c r="U32" s="13" t="str">
        <v>Grocery</v>
      </c>
      <c r="V32" s="11" t="n">
        <v>45181</v>
      </c>
    </row>
    <row r="33" customFormat="false" ht="15.75" hidden="false" customHeight="false" outlineLevel="0" collapsed="false">
      <c r="A33" s="13" t="str">
        <v>346BCLMM</v>
      </c>
      <c r="B33" s="13" t="str">
        <v>Sun, 01-Oct-2023, 12:29 PM</v>
      </c>
      <c r="C33" s="13" t="str">
        <v>Engro Olpers Badam Zafran Flavored Milk x24 180mL</v>
      </c>
      <c r="D33" s="13" t="str">
        <v>Olpers</v>
      </c>
      <c r="E33" s="13" t="str">
        <v>Expired stock</v>
      </c>
      <c r="F33" s="13" t="n">
        <v>21</v>
      </c>
      <c r="G33" s="13" t="str">
        <v>14 Oct, 2023</v>
      </c>
      <c r="H33" s="13" t="str">
        <v>[Code: 346BCLMM] [Expiry: 14 Oct, 2023] AR : 21 selliong unit found short expiry </v>
      </c>
      <c r="I33" s="13" t="str">
        <v>Ali Raza </v>
      </c>
      <c r="J33" s="13" t="str">
        <f aca="false">IF(ISBLANK(I33),"", IF($I$2:$I1030 = "Gohar Rehan","Overnight",IF($I$2:$I1030 = "Taufeeq Akhtar ","Overnight",IF($I$2:$I1030 = "Zeeshan Ali Malik","Audit",IF($I$2:$I1030 = "Ali Raza ","Receiving",IF($I$2:$I1030 = "Ali Ahmad","Full-In"))))))</f>
        <v>Receiving</v>
      </c>
      <c r="K33" s="39" t="e">
        <f aca="false">IFERROR(VLOOKUP(D33,'Brand manager data '!A:B,2,0))</f>
        <v>#VALUE!</v>
      </c>
      <c r="L33" s="13" t="e">
        <v>#VALUE!</v>
      </c>
      <c r="M33" s="13" t="e">
        <v>#VALUE!</v>
      </c>
      <c r="N33" s="22"/>
      <c r="P33" s="20" t="n">
        <v>21</v>
      </c>
      <c r="Q33" s="40" t="s">
        <v>2345</v>
      </c>
      <c r="R33" s="13" t="b">
        <f aca="false">FALSE()</f>
        <v>0</v>
      </c>
      <c r="S33" s="13" t="n">
        <v>1675.15</v>
      </c>
      <c r="T33" s="13" t="n">
        <f aca="false">S33*F33</f>
        <v>35178.15</v>
      </c>
      <c r="U33" s="13" t="str">
        <v>Dairy</v>
      </c>
      <c r="V33" s="11" t="n">
        <v>45200</v>
      </c>
    </row>
    <row r="34" customFormat="false" ht="15.75" hidden="false" customHeight="false" outlineLevel="0" collapsed="false">
      <c r="A34" s="13" t="str">
        <v>3BCCCEGH</v>
      </c>
      <c r="B34" s="13" t="str">
        <v>Mon, 02-Oct-2023, 04:05 PM</v>
      </c>
      <c r="C34" s="13" t="str">
        <v>Engro Olpers Badam Zafran Flavored Milk x24 180mL</v>
      </c>
      <c r="D34" s="13" t="str">
        <v>Olpers</v>
      </c>
      <c r="E34" s="13" t="str">
        <v>Expired stock</v>
      </c>
      <c r="F34" s="13" t="n">
        <v>1</v>
      </c>
      <c r="G34" s="13" t="str">
        <v>14 Oct, 2023</v>
      </c>
      <c r="H34" s="13" t="str">
        <v>[Code: 3BCCCEGH] [Expiry: 14 Oct, 2023] 1 unit found expiry</v>
      </c>
      <c r="I34" s="13" t="str">
        <v>Ali Raza </v>
      </c>
      <c r="J34" s="13" t="str">
        <f aca="false">IF(ISBLANK(I34),"", IF($I$2:$I1031 = "Gohar Rehan","Overnight",IF($I$2:$I1031 = "Taufeeq Akhtar ","Overnight",IF($I$2:$I1031 = "Zeeshan Ali Malik","Audit",IF($I$2:$I1031 = "Ali Raza ","Receiving",IF($I$2:$I1031 = "Ali Ahmad","Full-In"))))))</f>
        <v>Receiving</v>
      </c>
      <c r="K34" s="39" t="e">
        <f aca="false">IFERROR(VLOOKUP(D34,'Brand manager data '!A:B,2,0))</f>
        <v>#VALUE!</v>
      </c>
      <c r="L34" s="13" t="e">
        <v>#VALUE!</v>
      </c>
      <c r="M34" s="13" t="e">
        <v>#VALUE!</v>
      </c>
      <c r="N34" s="22"/>
      <c r="P34" s="20" t="n">
        <v>1</v>
      </c>
      <c r="Q34" s="40" t="s">
        <v>2345</v>
      </c>
      <c r="R34" s="13" t="b">
        <f aca="false">FALSE()</f>
        <v>0</v>
      </c>
      <c r="S34" s="13" t="n">
        <v>1675.15</v>
      </c>
      <c r="T34" s="13" t="n">
        <f aca="false">S34*F34</f>
        <v>1675.15</v>
      </c>
      <c r="U34" s="13" t="str">
        <v>Dairy</v>
      </c>
      <c r="V34" s="11" t="n">
        <v>45201</v>
      </c>
    </row>
    <row r="35" customFormat="false" ht="15.75" hidden="false" customHeight="false" outlineLevel="0" collapsed="false">
      <c r="A35" s="13" t="str">
        <v>56889CCE</v>
      </c>
      <c r="B35" s="13" t="str">
        <v>Tue, 03-Oct-2023, 02:46 PM</v>
      </c>
      <c r="C35" s="13" t="str">
        <v>Kolson Snackers Hot Masala 6g 60pcs Rs10</v>
      </c>
      <c r="D35" s="13" t="str">
        <v>Kolson</v>
      </c>
      <c r="E35" s="13" t="str">
        <v>Expired stock</v>
      </c>
      <c r="F35" s="13" t="n">
        <v>1</v>
      </c>
      <c r="G35" s="13" t="str">
        <v>13 Oct, 2023</v>
      </c>
      <c r="H35" s="13" t="str">
        <v>[Code: 56889CCE] [Expiry: 13 Oct, 2023] 1 unit found short expiry</v>
      </c>
      <c r="I35" s="13" t="str">
        <v>Ali Raza </v>
      </c>
      <c r="J35" s="13" t="str">
        <f aca="false">IF(ISBLANK(I35),"", IF($I$2:$I1032 = "Gohar Rehan","Overnight",IF($I$2:$I1032 = "Taufeeq Akhtar ","Overnight",IF($I$2:$I1032 = "Zeeshan Ali Malik","Audit",IF($I$2:$I1032 = "Ali Raza ","Receiving",IF($I$2:$I1032 = "Ali Ahmad","Full-In"))))))</f>
        <v>Receiving</v>
      </c>
      <c r="K35" s="39" t="e">
        <f aca="false">IFERROR(VLOOKUP(D35,'Brand manager data '!A:B,2,0))</f>
        <v>#VALUE!</v>
      </c>
      <c r="L35" s="13" t="e">
        <v>#VALUE!</v>
      </c>
      <c r="M35" s="13" t="e">
        <v>#VALUE!</v>
      </c>
      <c r="N35" s="22"/>
      <c r="P35" s="20" t="n">
        <v>1</v>
      </c>
      <c r="Q35" s="40" t="s">
        <v>2346</v>
      </c>
      <c r="R35" s="13" t="b">
        <f aca="false">FALSE()</f>
        <v>0</v>
      </c>
      <c r="S35" s="13" t="n">
        <v>519.83</v>
      </c>
      <c r="T35" s="13" t="n">
        <f aca="false">S35*F35</f>
        <v>519.83</v>
      </c>
      <c r="U35" s="13" t="str">
        <v>Snacks</v>
      </c>
      <c r="V35" s="11" t="n">
        <v>45202</v>
      </c>
    </row>
    <row r="36" customFormat="false" ht="15.75" hidden="false" customHeight="false" outlineLevel="0" collapsed="false">
      <c r="A36" s="13" t="str">
        <v>4678ADEH</v>
      </c>
      <c r="B36" s="13" t="str">
        <v>Thu, 05-Oct-2023, 03:44 PM</v>
      </c>
      <c r="C36" s="13" t="str">
        <v>Sunridge Fortified Chakki Atta 5kg</v>
      </c>
      <c r="D36" s="13" t="str">
        <v>Sunridge</v>
      </c>
      <c r="E36" s="13" t="str">
        <v>Expired stock</v>
      </c>
      <c r="F36" s="13" t="n">
        <v>39</v>
      </c>
      <c r="G36" s="13" t="str">
        <v>16 Oct, 2023</v>
      </c>
      <c r="H36" s="13" t="str">
        <v>[Code: 4678ADEH] [Expiry: 16 Oct, 2023] 39 units found short expiry </v>
      </c>
      <c r="I36" s="13" t="str">
        <v>Ali Raza </v>
      </c>
      <c r="J36" s="13" t="str">
        <f aca="false">IF(ISBLANK(I36),"", IF($I$2:$I1033 = "Gohar Rehan","Overnight",IF($I$2:$I1033 = "Taufeeq Akhtar ","Overnight",IF($I$2:$I1033 = "Zeeshan Ali Malik","Audit",IF($I$2:$I1033 = "Ali Raza ","Receiving",IF($I$2:$I1033 = "Ali Ahmad","Full-In"))))))</f>
        <v>Receiving</v>
      </c>
      <c r="K36" s="39" t="e">
        <f aca="false">IFERROR(VLOOKUP(D36,'Brand manager data '!A:B,2,0))</f>
        <v>#VALUE!</v>
      </c>
      <c r="L36" s="13" t="e">
        <v>#VALUE!</v>
      </c>
      <c r="M36" s="13" t="e">
        <v>#VALUE!</v>
      </c>
      <c r="N36" s="22"/>
      <c r="Q36" s="40"/>
      <c r="R36" s="13" t="b">
        <f aca="false">FALSE()</f>
        <v>0</v>
      </c>
      <c r="S36" s="13" t="n">
        <v>864.9</v>
      </c>
      <c r="T36" s="13" t="n">
        <f aca="false">S36*F36</f>
        <v>33731.1</v>
      </c>
      <c r="U36" s="13" t="str">
        <v>Flour</v>
      </c>
      <c r="V36" s="11" t="n">
        <v>45204</v>
      </c>
    </row>
    <row r="37" customFormat="false" ht="15.75" hidden="false" customHeight="false" outlineLevel="0" collapsed="false">
      <c r="A37" s="13" t="str">
        <v>558BBCCD</v>
      </c>
      <c r="B37" s="13" t="str">
        <v>Thu, 05-Oct-2023, 03:45 PM</v>
      </c>
      <c r="C37" s="13" t="str">
        <v>Sunridge Fortified Chakki Atta 10kg</v>
      </c>
      <c r="D37" s="13" t="str">
        <v>Sunridge</v>
      </c>
      <c r="E37" s="13" t="str">
        <v>Expired stock</v>
      </c>
      <c r="F37" s="13" t="n">
        <v>4</v>
      </c>
      <c r="G37" s="13" t="str">
        <v>19 Oct, 2023</v>
      </c>
      <c r="H37" s="13" t="str">
        <v>[Code: 558BBCCD] [Expiry: 19 Oct, 2023] 4 units found short expiry</v>
      </c>
      <c r="I37" s="13" t="str">
        <v>Ali Raza </v>
      </c>
      <c r="J37" s="13" t="str">
        <f aca="false">IF(ISBLANK(I37),"", IF($I$2:$I1034 = "Gohar Rehan","Overnight",IF($I$2:$I1034 = "Taufeeq Akhtar ","Overnight",IF($I$2:$I1034 = "Zeeshan Ali Malik","Audit",IF($I$2:$I1034 = "Ali Raza ","Receiving",IF($I$2:$I1034 = "Ali Ahmad","Full-In"))))))</f>
        <v>Receiving</v>
      </c>
      <c r="K37" s="39" t="e">
        <f aca="false">IFERROR(VLOOKUP(D37,'Brand manager data '!A:B,2,0))</f>
        <v>#VALUE!</v>
      </c>
      <c r="L37" s="13" t="e">
        <v>#VALUE!</v>
      </c>
      <c r="M37" s="13" t="e">
        <v>#VALUE!</v>
      </c>
      <c r="N37" s="22"/>
      <c r="Q37" s="40"/>
      <c r="R37" s="13" t="b">
        <f aca="false">FALSE()</f>
        <v>0</v>
      </c>
      <c r="S37" s="13" t="n">
        <v>1720.5</v>
      </c>
      <c r="T37" s="13" t="n">
        <f aca="false">S37*F37</f>
        <v>6882</v>
      </c>
      <c r="U37" s="13" t="str">
        <v>Flour</v>
      </c>
      <c r="V37" s="11" t="n">
        <v>45204</v>
      </c>
    </row>
    <row r="38" customFormat="false" ht="15.75" hidden="false" customHeight="false" outlineLevel="0" collapsed="false">
      <c r="A38" s="13" t="str">
        <v>378BFHLL</v>
      </c>
      <c r="B38" s="13" t="str">
        <v>Thu, 05-Oct-2023, 03:47 PM</v>
      </c>
      <c r="C38" s="13" t="str">
        <v>Sunridge Super White Atta 5kg</v>
      </c>
      <c r="D38" s="13" t="str">
        <v>Sunridge</v>
      </c>
      <c r="E38" s="13" t="str">
        <v>Expired stock</v>
      </c>
      <c r="F38" s="13" t="n">
        <v>40</v>
      </c>
      <c r="G38" s="13" t="str">
        <v>13 Oct, 2023</v>
      </c>
      <c r="H38" s="13" t="str">
        <v>[Code: 378BFHLL] [Expiry: 13 Oct, 2023] 40 units found short expiry</v>
      </c>
      <c r="I38" s="13" t="str">
        <v>Ali Raza </v>
      </c>
      <c r="J38" s="13" t="str">
        <f aca="false">IF(ISBLANK(I38),"", IF($I$2:$I1035 = "Gohar Rehan","Overnight",IF($I$2:$I1035 = "Taufeeq Akhtar ","Overnight",IF($I$2:$I1035 = "Zeeshan Ali Malik","Audit",IF($I$2:$I1035 = "Ali Raza ","Receiving",IF($I$2:$I1035 = "Ali Ahmad","Full-In"))))))</f>
        <v>Receiving</v>
      </c>
      <c r="K38" s="39" t="e">
        <f aca="false">IFERROR(VLOOKUP(D38,'Brand manager data '!A:B,2,0))</f>
        <v>#VALUE!</v>
      </c>
      <c r="L38" s="13" t="e">
        <v>#VALUE!</v>
      </c>
      <c r="M38" s="13" t="e">
        <v>#VALUE!</v>
      </c>
      <c r="N38" s="22"/>
      <c r="Q38" s="40"/>
      <c r="R38" s="13" t="b">
        <f aca="false">FALSE()</f>
        <v>0</v>
      </c>
      <c r="S38" s="13" t="n">
        <v>846.3</v>
      </c>
      <c r="T38" s="13" t="n">
        <f aca="false">S38*F38</f>
        <v>33852</v>
      </c>
      <c r="U38" s="13" t="str">
        <v>Flour</v>
      </c>
      <c r="V38" s="11" t="n">
        <v>45204</v>
      </c>
    </row>
    <row r="39" customFormat="false" ht="15.75" hidden="false" customHeight="false" outlineLevel="0" collapsed="false">
      <c r="A39" s="13" t="str">
        <v>334556AB</v>
      </c>
      <c r="B39" s="13" t="str">
        <v>Sat, 07-Oct-2023, 12:58 PM</v>
      </c>
      <c r="C39" s="13" t="str">
        <v>Sunridge Fortified Chakki Atta 5kg</v>
      </c>
      <c r="D39" s="13" t="str">
        <v>Sunridge</v>
      </c>
      <c r="E39" s="13" t="str">
        <v>Expired stock</v>
      </c>
      <c r="F39" s="13" t="n">
        <v>1</v>
      </c>
      <c r="G39" s="13" t="str">
        <v>16 Oct, 2023</v>
      </c>
      <c r="H39" s="13" t="str">
        <v>[Code: 334556AB] [Expiry: 16 Oct, 2023] 1 unit found short expiry </v>
      </c>
      <c r="I39" s="13" t="str">
        <v>Ali Raza </v>
      </c>
      <c r="J39" s="13" t="str">
        <f aca="false">IF(ISBLANK(I39),"", IF($I$2:$I1036 = "Gohar Rehan","Overnight",IF($I$2:$I1036 = "Taufeeq Akhtar ","Overnight",IF($I$2:$I1036 = "Zeeshan Ali Malik","Audit",IF($I$2:$I1036 = "Ali Raza ","Receiving",IF($I$2:$I1036 = "Ali Ahmad","Full-In"))))))</f>
        <v>Receiving</v>
      </c>
      <c r="K39" s="39" t="e">
        <f aca="false">IFERROR(VLOOKUP(D39,'Brand manager data '!A:B,2,0))</f>
        <v>#VALUE!</v>
      </c>
      <c r="L39" s="13" t="e">
        <v>#VALUE!</v>
      </c>
      <c r="M39" s="13" t="e">
        <v>#VALUE!</v>
      </c>
      <c r="N39" s="22"/>
      <c r="Q39" s="40"/>
      <c r="R39" s="13" t="b">
        <f aca="false">FALSE()</f>
        <v>0</v>
      </c>
      <c r="S39" s="13" t="n">
        <v>828</v>
      </c>
      <c r="T39" s="13" t="n">
        <f aca="false">S39*F39</f>
        <v>828</v>
      </c>
      <c r="U39" s="13" t="str">
        <v>Flour</v>
      </c>
      <c r="V39" s="11" t="n">
        <v>45206</v>
      </c>
    </row>
    <row r="40" customFormat="false" ht="15.75" hidden="false" customHeight="false" outlineLevel="0" collapsed="false">
      <c r="A40" s="13" t="str">
        <v>4678AACC</v>
      </c>
      <c r="B40" s="13" t="str">
        <v>Mon, 09-Oct-2023, 12:20 PM</v>
      </c>
      <c r="C40" s="13" t="str">
        <v>Engro Tarang Liquid Tea Whitener x24 Crate 175ml</v>
      </c>
      <c r="D40" s="13" t="str">
        <v>Tarang</v>
      </c>
      <c r="E40" s="13" t="str">
        <v>Expired stock</v>
      </c>
      <c r="F40" s="13" t="n">
        <v>98</v>
      </c>
      <c r="G40" s="13" t="str">
        <v>1 Nov, 2023</v>
      </c>
      <c r="H40" s="13" t="str">
        <v>[Code: 4678AACC] [Expiry: 1 Nov, 2023] AR : all stock found short expiry</v>
      </c>
      <c r="I40" s="13" t="str">
        <v>Ali Raza </v>
      </c>
      <c r="J40" s="13" t="str">
        <f aca="false">IF(ISBLANK(I40),"", IF($I$2:$I1037 = "Gohar Rehan","Overnight",IF($I$2:$I1037 = "Taufeeq Akhtar ","Overnight",IF($I$2:$I1037 = "Zeeshan Ali Malik","Audit",IF($I$2:$I1037 = "Ali Raza ","Receiving",IF($I$2:$I1037 = "Ali Ahmad","Full-In"))))))</f>
        <v>Receiving</v>
      </c>
      <c r="K40" s="39" t="e">
        <f aca="false">IFERROR(VLOOKUP(D40,'Brand manager data '!A:B,2,0))</f>
        <v>#VALUE!</v>
      </c>
      <c r="L40" s="13" t="e">
        <v>#VALUE!</v>
      </c>
      <c r="M40" s="13" t="e">
        <v>#VALUE!</v>
      </c>
      <c r="N40" s="22"/>
      <c r="P40" s="20" t="n">
        <v>69</v>
      </c>
      <c r="Q40" s="40" t="s">
        <v>2345</v>
      </c>
      <c r="R40" s="13" t="b">
        <f aca="false">FALSE()</f>
        <v>0</v>
      </c>
      <c r="S40" s="13" t="n">
        <v>980</v>
      </c>
      <c r="T40" s="13" t="n">
        <f aca="false">S40*F40</f>
        <v>96040</v>
      </c>
      <c r="U40" s="13" t="str">
        <v>Dairy</v>
      </c>
      <c r="V40" s="11" t="n">
        <v>45208</v>
      </c>
    </row>
    <row r="41" customFormat="false" ht="15.75" hidden="false" customHeight="false" outlineLevel="0" collapsed="false">
      <c r="A41" s="13" t="str">
        <v>2268BEEF</v>
      </c>
      <c r="B41" s="13" t="str">
        <v>Wed, 11-Oct-2023, 11:13 AM</v>
      </c>
      <c r="C41" s="13" t="str">
        <v>Engro Olpers Milk Ecolean Pouch x28 Crate 250ml</v>
      </c>
      <c r="D41" s="13" t="str">
        <v>Olpers</v>
      </c>
      <c r="E41" s="13" t="str">
        <v>Expired stock</v>
      </c>
      <c r="F41" s="13" t="n">
        <v>58</v>
      </c>
      <c r="G41" s="13" t="str">
        <v>5 Nov, 2023</v>
      </c>
      <c r="H41" s="13" t="str">
        <v>[Code: 2268BEEF] [Expiry: 5 Nov, 2023] 58 units found short expiry </v>
      </c>
      <c r="I41" s="13" t="str">
        <v>Ali Raza </v>
      </c>
      <c r="J41" s="13" t="str">
        <f aca="false">IF(ISBLANK(I41),"", IF($I$2:$I1038 = "Gohar Rehan","Overnight",IF($I$2:$I1038 = "Taufeeq Akhtar ","Overnight",IF($I$2:$I1038 = "Zeeshan Ali Malik","Audit",IF($I$2:$I1038 = "Ali Raza ","Receiving",IF($I$2:$I1038 = "Ali Ahmad","Full-In"))))))</f>
        <v>Receiving</v>
      </c>
      <c r="K41" s="39" t="e">
        <f aca="false">IFERROR(VLOOKUP(D41,'Brand manager data '!A:B,2,0))</f>
        <v>#VALUE!</v>
      </c>
      <c r="L41" s="13" t="e">
        <v>#VALUE!</v>
      </c>
      <c r="M41" s="13" t="e">
        <v>#VALUE!</v>
      </c>
      <c r="N41" s="22"/>
      <c r="P41" s="20" t="n">
        <v>58</v>
      </c>
      <c r="Q41" s="40" t="s">
        <v>2345</v>
      </c>
      <c r="R41" s="13" t="b">
        <f aca="false">FALSE()</f>
        <v>0</v>
      </c>
      <c r="S41" s="13" t="n">
        <v>1790</v>
      </c>
      <c r="T41" s="13" t="n">
        <f aca="false">S41*F41</f>
        <v>103820</v>
      </c>
      <c r="U41" s="13" t="str">
        <v>Dairy</v>
      </c>
      <c r="V41" s="11" t="n">
        <v>45210</v>
      </c>
    </row>
    <row r="42" customFormat="false" ht="15.75" hidden="false" customHeight="false" outlineLevel="0" collapsed="false">
      <c r="A42" s="13" t="str">
        <v>23369HHK</v>
      </c>
      <c r="B42" s="13" t="str">
        <v>Wed, 11-Oct-2023, 11:16 AM</v>
      </c>
      <c r="C42" s="13" t="str">
        <v>Engro Dairy Omung Milk x12 Carton 1L</v>
      </c>
      <c r="D42" s="13" t="str">
        <v>Omung</v>
      </c>
      <c r="E42" s="13" t="str">
        <v>Expired stock</v>
      </c>
      <c r="F42" s="13" t="n">
        <v>25</v>
      </c>
      <c r="G42" s="13" t="str">
        <v>11 Nov, 2023</v>
      </c>
      <c r="H42" s="13" t="str">
        <v>[Code: 23369HHK] [Expiry: 11 Nov, 2023] 25 units found short expiry</v>
      </c>
      <c r="I42" s="13" t="str">
        <v>Ali Raza </v>
      </c>
      <c r="J42" s="13" t="str">
        <f aca="false">IF(ISBLANK(I42),"", IF($I$2:$I1039 = "Gohar Rehan","Overnight",IF($I$2:$I1039 = "Taufeeq Akhtar ","Overnight",IF($I$2:$I1039 = "Zeeshan Ali Malik","Audit",IF($I$2:$I1039 = "Ali Raza ","Receiving",IF($I$2:$I1039 = "Ali Ahmad","Full-In"))))))</f>
        <v>Receiving</v>
      </c>
      <c r="K42" s="39" t="e">
        <f aca="false">IFERROR(VLOOKUP(D42,'Brand manager data '!A:B,2,0))</f>
        <v>#VALUE!</v>
      </c>
      <c r="L42" s="13" t="e">
        <v>#VALUE!</v>
      </c>
      <c r="M42" s="13" t="e">
        <v>#VALUE!</v>
      </c>
      <c r="N42" s="22"/>
      <c r="P42" s="20" t="n">
        <v>25</v>
      </c>
      <c r="Q42" s="40" t="s">
        <v>2345</v>
      </c>
      <c r="R42" s="13" t="b">
        <f aca="false">FALSE()</f>
        <v>0</v>
      </c>
      <c r="S42" s="13" t="n">
        <v>2130</v>
      </c>
      <c r="T42" s="13" t="n">
        <f aca="false">S42*F42</f>
        <v>53250</v>
      </c>
      <c r="U42" s="13" t="str">
        <v>Dairy</v>
      </c>
      <c r="V42" s="11" t="n">
        <v>45210</v>
      </c>
    </row>
    <row r="43" customFormat="false" ht="15.75" hidden="false" customHeight="false" outlineLevel="0" collapsed="false">
      <c r="A43" s="13" t="str">
        <v>2234489A</v>
      </c>
      <c r="B43" s="13" t="str">
        <v>Wed, 11-Oct-2023, 11:41 AM</v>
      </c>
      <c r="C43" s="13" t="str">
        <v>Engro Tarang Liquid Tea Whitener x24 Crate 175ml</v>
      </c>
      <c r="D43" s="13" t="str">
        <v>Tarang</v>
      </c>
      <c r="E43" s="13" t="str">
        <v>Expired stock</v>
      </c>
      <c r="F43" s="13" t="n">
        <v>11</v>
      </c>
      <c r="G43" s="13" t="str">
        <v>1 Nov, 2023</v>
      </c>
      <c r="H43" s="13" t="str">
        <v>[Code: 2234489A] [Expiry: 1 Nov, 2023] 11 units short expiry </v>
      </c>
      <c r="I43" s="13" t="str">
        <v>Ali Raza </v>
      </c>
      <c r="J43" s="13" t="str">
        <f aca="false">IF(ISBLANK(I43),"", IF($I$2:$I1040 = "Gohar Rehan","Overnight",IF($I$2:$I1040 = "Taufeeq Akhtar ","Overnight",IF($I$2:$I1040 = "Zeeshan Ali Malik","Audit",IF($I$2:$I1040 = "Ali Raza ","Receiving",IF($I$2:$I1040 = "Ali Ahmad","Full-In"))))))</f>
        <v>Receiving</v>
      </c>
      <c r="K43" s="39" t="e">
        <f aca="false">IFERROR(VLOOKUP(D43,'Brand manager data '!A:B,2,0))</f>
        <v>#VALUE!</v>
      </c>
      <c r="L43" s="13" t="e">
        <v>#VALUE!</v>
      </c>
      <c r="M43" s="13" t="e">
        <v>#VALUE!</v>
      </c>
      <c r="N43" s="22"/>
      <c r="P43" s="20" t="n">
        <v>11</v>
      </c>
      <c r="Q43" s="40" t="s">
        <v>2345</v>
      </c>
      <c r="R43" s="13" t="b">
        <f aca="false">FALSE()</f>
        <v>0</v>
      </c>
      <c r="S43" s="13" t="n">
        <v>980</v>
      </c>
      <c r="T43" s="13" t="n">
        <f aca="false">S43*F43</f>
        <v>10780</v>
      </c>
      <c r="U43" s="13" t="str">
        <v>Dairy</v>
      </c>
      <c r="V43" s="11" t="n">
        <v>45210</v>
      </c>
    </row>
    <row r="44" customFormat="false" ht="15.75" hidden="false" customHeight="false" outlineLevel="0" collapsed="false">
      <c r="A44" s="13" t="str">
        <v>2346ABCF</v>
      </c>
      <c r="B44" s="13" t="str">
        <v>Wed, 11-Oct-2023, 11:52 AM</v>
      </c>
      <c r="C44" s="13" t="str">
        <v>Lipton Danedar Tea Jar 475g (Orange) Rs1500</v>
      </c>
      <c r="D44" s="13" t="str">
        <v>Lipton</v>
      </c>
      <c r="E44" s="13" t="str">
        <v>Expired stock</v>
      </c>
      <c r="F44" s="13" t="n">
        <v>6</v>
      </c>
      <c r="G44" s="13" t="str">
        <v>2 Oct, 2023</v>
      </c>
      <c r="H44" s="13" t="str">
        <v>[Code: 2346ABCF] [Expiry: 2 Oct, 2023] 6 units expire in next month short expiry</v>
      </c>
      <c r="I44" s="13" t="str">
        <v>Ali Raza </v>
      </c>
      <c r="J44" s="13" t="str">
        <f aca="false">IF(ISBLANK(I44),"", IF($I$2:$I1041 = "Gohar Rehan","Overnight",IF($I$2:$I1041 = "Taufeeq Akhtar ","Overnight",IF($I$2:$I1041 = "Zeeshan Ali Malik","Audit",IF($I$2:$I1041 = "Ali Raza ","Receiving",IF($I$2:$I1041 = "Ali Ahmad","Full-In"))))))</f>
        <v>Receiving</v>
      </c>
      <c r="K44" s="39" t="e">
        <f aca="false">IFERROR(VLOOKUP(D44,'Brand manager data '!A:B,2,0))</f>
        <v>#VALUE!</v>
      </c>
      <c r="L44" s="13" t="e">
        <v>#VALUE!</v>
      </c>
      <c r="M44" s="13" t="e">
        <v>#VALUE!</v>
      </c>
      <c r="N44" s="22"/>
      <c r="Q44" s="40"/>
      <c r="R44" s="13" t="b">
        <f aca="false">FALSE()</f>
        <v>0</v>
      </c>
      <c r="S44" s="13" t="n">
        <v>1426.67</v>
      </c>
      <c r="T44" s="13" t="n">
        <f aca="false">S44*F44</f>
        <v>8560.02</v>
      </c>
      <c r="U44" s="13" t="str">
        <v>Tea, Coffee</v>
      </c>
      <c r="V44" s="11" t="n">
        <v>45210</v>
      </c>
    </row>
    <row r="45" customFormat="false" ht="15.75" hidden="false" customHeight="false" outlineLevel="0" collapsed="false">
      <c r="A45" s="13" t="str">
        <v>23366669</v>
      </c>
      <c r="B45" s="13" t="str">
        <v>Sun, 15-Oct-2023, 01:32 PM</v>
      </c>
      <c r="C45" s="13" t="str">
        <v>Engro Olpers Milk Ecolean Pouch x28 Crate 250ml</v>
      </c>
      <c r="D45" s="13" t="str">
        <v>Olpers</v>
      </c>
      <c r="E45" s="13" t="str">
        <v>Expired stock</v>
      </c>
      <c r="F45" s="13" t="n">
        <v>1</v>
      </c>
      <c r="G45" s="13" t="str">
        <v>5 Nov, 2023</v>
      </c>
      <c r="H45" s="13" t="str">
        <v>[Code: 23366669] [Expiry: 5 Nov, 2023] 1 unit found short expiry</v>
      </c>
      <c r="I45" s="13" t="str">
        <v>Ali Raza </v>
      </c>
      <c r="J45" s="13" t="str">
        <f aca="false">IF(ISBLANK(I45),"", IF($I$2:$I1042 = "Gohar Rehan","Overnight",IF($I$2:$I1042 = "Taufeeq Akhtar ","Overnight",IF($I$2:$I1042 = "Zeeshan Ali Malik","Audit",IF($I$2:$I1042 = "Ali Raza ","Receiving",IF($I$2:$I1042 = "Ali Ahmad","Full-In"))))))</f>
        <v>Receiving</v>
      </c>
      <c r="K45" s="39" t="e">
        <f aca="false">IFERROR(VLOOKUP(D45,'Brand manager data '!A:B,2,0))</f>
        <v>#VALUE!</v>
      </c>
      <c r="L45" s="13" t="e">
        <v>#VALUE!</v>
      </c>
      <c r="M45" s="13" t="e">
        <v>#VALUE!</v>
      </c>
      <c r="N45" s="22"/>
      <c r="P45" s="20" t="n">
        <v>1</v>
      </c>
      <c r="Q45" s="40" t="s">
        <v>2345</v>
      </c>
      <c r="R45" s="13" t="b">
        <f aca="false">FALSE()</f>
        <v>0</v>
      </c>
      <c r="S45" s="13" t="n">
        <v>1790</v>
      </c>
      <c r="T45" s="13" t="n">
        <f aca="false">S45*F45</f>
        <v>1790</v>
      </c>
      <c r="U45" s="13" t="str">
        <v>Dairy</v>
      </c>
      <c r="V45" s="11" t="n">
        <v>45214</v>
      </c>
    </row>
    <row r="46" customFormat="false" ht="15.75" hidden="false" customHeight="false" outlineLevel="0" collapsed="false">
      <c r="A46" s="13" t="str">
        <v>22689FHH</v>
      </c>
      <c r="B46" s="13" t="str">
        <v>Mon, 16-Oct-2023, 10:47 AM</v>
      </c>
      <c r="C46" s="13" t="str">
        <v>Gibs Real Taste Quality Biscuits 40pcs Rs5</v>
      </c>
      <c r="D46" s="13" t="str">
        <v>Gibs</v>
      </c>
      <c r="E46" s="13" t="str">
        <v>Expired stock</v>
      </c>
      <c r="F46" s="13" t="n">
        <v>241</v>
      </c>
      <c r="G46" s="13" t="str">
        <v>30 Oct, 2023</v>
      </c>
      <c r="H46" s="13" t="str">
        <v>[Code: 22689FHH] [Expiry: 30 Oct, 2023] AR : 241  selling unit found short expiry </v>
      </c>
      <c r="I46" s="13" t="str">
        <v>Ali Raza </v>
      </c>
      <c r="J46" s="13" t="str">
        <f aca="false">IF(ISBLANK(I46),"", IF($I$2:$I1043 = "Gohar Rehan","Overnight",IF($I$2:$I1043 = "Taufeeq Akhtar ","Overnight",IF($I$2:$I1043 = "Zeeshan Ali Malik","Audit",IF($I$2:$I1043 = "Ali Raza ","Receiving",IF($I$2:$I1043 = "Ali Ahmad","Full-In"))))))</f>
        <v>Receiving</v>
      </c>
      <c r="K46" s="39" t="e">
        <f aca="false">IFERROR(VLOOKUP(D46,'Brand manager data '!A:B,2,0))</f>
        <v>#VALUE!</v>
      </c>
      <c r="L46" s="13" t="e">
        <v>#VALUE!</v>
      </c>
      <c r="M46" s="13" t="e">
        <v>#VALUE!</v>
      </c>
      <c r="N46" s="22"/>
      <c r="P46" s="13"/>
      <c r="Q46" s="40" t="s">
        <v>2345</v>
      </c>
      <c r="R46" s="13" t="b">
        <f aca="false">FALSE()</f>
        <v>0</v>
      </c>
      <c r="S46" s="13" t="n">
        <v>171.6</v>
      </c>
      <c r="T46" s="13" t="n">
        <f aca="false">S46*F46</f>
        <v>41355.6</v>
      </c>
      <c r="U46" s="13" t="str">
        <v>Biscuits, Wafers</v>
      </c>
      <c r="V46" s="11" t="n">
        <v>45215</v>
      </c>
    </row>
    <row r="47" customFormat="false" ht="15.75" hidden="false" customHeight="false" outlineLevel="0" collapsed="false">
      <c r="A47" s="13" t="str">
        <v>3345BGJL</v>
      </c>
      <c r="B47" s="13" t="str">
        <v>Fri, 20-Oct-2023, 04:35 PM</v>
      </c>
      <c r="C47" s="13" t="str">
        <v>Juice Time Guava 1L</v>
      </c>
      <c r="D47" s="13" t="str">
        <v>Juice Time</v>
      </c>
      <c r="E47" s="13" t="str">
        <v>Expired stock</v>
      </c>
      <c r="F47" s="13" t="n">
        <v>36</v>
      </c>
      <c r="G47" s="13" t="str">
        <v>1 Sep, 2023</v>
      </c>
      <c r="H47" s="13" t="str">
        <v>[Code: 3345BGJL] [Expiry: 1 Sep, 2023] TA: 36 units found  expired during night audit.</v>
      </c>
      <c r="I47" s="13" t="str">
        <v>Taufeeq Akhtar </v>
      </c>
      <c r="J47" s="13" t="str">
        <f aca="false">IF(ISBLANK(I47),"", IF($I$2:$I1044 = "Gohar Rehan","Overnight",IF($I$2:$I1044 = "Taufeeq Akhtar ","Overnight",IF($I$2:$I1044 = "Zeeshan Ali Malik","Audit",IF($I$2:$I1044 = "Ali Raza ","Receiving",IF($I$2:$I1044 = "Ali Ahmad","Full-In"))))))</f>
        <v>Overnight</v>
      </c>
      <c r="K47" s="39" t="e">
        <f aca="false">IFERROR(VLOOKUP(D47,'Brand manager data '!A:B,2,0))</f>
        <v>#VALUE!</v>
      </c>
      <c r="L47" s="13" t="e">
        <v>#VALUE!</v>
      </c>
      <c r="M47" s="13" t="e">
        <v>#VALUE!</v>
      </c>
      <c r="N47" s="22"/>
      <c r="Q47" s="40"/>
      <c r="R47" s="13" t="b">
        <f aca="false">FALSE()</f>
        <v>0</v>
      </c>
      <c r="S47" s="13" t="n">
        <v>126.67</v>
      </c>
      <c r="T47" s="13" t="n">
        <f aca="false">S47*F47</f>
        <v>4560.12</v>
      </c>
      <c r="U47" s="13" t="str">
        <v>Juice, Syrup, Squash</v>
      </c>
      <c r="V47" s="11" t="n">
        <v>45219</v>
      </c>
    </row>
    <row r="48" customFormat="false" ht="15.75" hidden="false" customHeight="false" outlineLevel="0" collapsed="false">
      <c r="A48" s="13" t="str">
        <v>2257ADEG</v>
      </c>
      <c r="B48" s="13" t="str">
        <v>Mon, 23-Oct-2023, 03:21 PM</v>
      </c>
      <c r="C48" s="13" t="str">
        <v>Candyland Toss Peach and Mango Jelly 50pcs Rs5</v>
      </c>
      <c r="D48" s="13" t="str">
        <v>Candyland</v>
      </c>
      <c r="E48" s="13" t="str">
        <v>Expired stock</v>
      </c>
      <c r="F48" s="13" t="n">
        <v>4</v>
      </c>
      <c r="G48" s="13" t="str">
        <v>29 Oct, 2023</v>
      </c>
      <c r="H48" s="13" t="str">
        <v>[Code: 2257ADEG] [Expiry: 29 Oct, 2023] 4 units found short expiry</v>
      </c>
      <c r="I48" s="13" t="str">
        <v>Ali Raza </v>
      </c>
      <c r="J48" s="13" t="str">
        <f aca="false">IF(ISBLANK(I48),"", IF($I$2:$I1045 = "Gohar Rehan","Overnight",IF($I$2:$I1045 = "Taufeeq Akhtar ","Overnight",IF($I$2:$I1045 = "Zeeshan Ali Malik","Audit",IF($I$2:$I1045 = "Ali Raza ","Receiving",IF($I$2:$I1045 = "Ali Ahmad","Full-In"))))))</f>
        <v>Receiving</v>
      </c>
      <c r="K48" s="39" t="e">
        <f aca="false">IFERROR(VLOOKUP(D48,'Brand manager data '!A:B,2,0))</f>
        <v>#VALUE!</v>
      </c>
      <c r="L48" s="13" t="e">
        <v>#VALUE!</v>
      </c>
      <c r="M48" s="13" t="e">
        <v>#VALUE!</v>
      </c>
      <c r="N48" s="22"/>
      <c r="Q48" s="40"/>
      <c r="R48" s="13" t="b">
        <f aca="false">FALSE()</f>
        <v>0</v>
      </c>
      <c r="S48" s="13" t="n">
        <v>200.8</v>
      </c>
      <c r="T48" s="13" t="n">
        <f aca="false">S48*F48</f>
        <v>803.2</v>
      </c>
      <c r="U48" s="13" t="str">
        <v>Confectionary</v>
      </c>
      <c r="V48" s="11" t="n">
        <v>45222</v>
      </c>
    </row>
    <row r="49" customFormat="false" ht="15.75" hidden="false" customHeight="false" outlineLevel="0" collapsed="false">
      <c r="A49" s="13" t="str">
        <v>233467AD</v>
      </c>
      <c r="B49" s="13" t="str">
        <v>Tue, 31-Oct-2023, 12:10 PM</v>
      </c>
      <c r="C49" s="13" t="str">
        <v>Gourmet Red Anaar 300ml</v>
      </c>
      <c r="D49" s="13" t="str">
        <v>Gourmet</v>
      </c>
      <c r="E49" s="13" t="str">
        <v>Expired stock</v>
      </c>
      <c r="F49" s="13" t="n">
        <v>320</v>
      </c>
      <c r="G49" s="13" t="str">
        <v>12 Nov, 2023</v>
      </c>
      <c r="H49" s="13" t="str">
        <v>[Code: 233467AD] [Expiry: 12 Nov, 2023] AR: Stock Removed due to short Expiry</v>
      </c>
      <c r="I49" s="13" t="str">
        <v>Ali Raza </v>
      </c>
      <c r="J49" s="13" t="str">
        <f aca="false">IF(ISBLANK(I49),"", IF($I$2:$I1046 = "Gohar Rehan","Overnight",IF($I$2:$I1046 = "Taufeeq Akhtar ","Overnight",IF($I$2:$I1046 = "Zeeshan Ali Malik","Audit",IF($I$2:$I1046 = "Ali Raza ","Receiving",IF($I$2:$I1046 = "Ali Ahmad","Full-In"))))))</f>
        <v>Receiving</v>
      </c>
      <c r="K49" s="39" t="e">
        <f aca="false">IFERROR(VLOOKUP(D49,'Brand manager data '!A:B,2,0))</f>
        <v>#VALUE!</v>
      </c>
      <c r="L49" s="13" t="e">
        <v>#VALUE!</v>
      </c>
      <c r="M49" s="13" t="e">
        <v>#VALUE!</v>
      </c>
      <c r="N49" s="22"/>
      <c r="Q49" s="40"/>
      <c r="R49" s="13" t="b">
        <f aca="false">FALSE()</f>
        <v>0</v>
      </c>
      <c r="S49" s="13" t="n">
        <v>463.26</v>
      </c>
      <c r="T49" s="13" t="n">
        <f aca="false">S49*F49</f>
        <v>148243.2</v>
      </c>
      <c r="U49" s="13" t="str">
        <v>Beverages</v>
      </c>
      <c r="V49" s="11" t="n">
        <v>45230</v>
      </c>
    </row>
    <row r="50" customFormat="false" ht="15.75" hidden="false" customHeight="false" outlineLevel="0" collapsed="false">
      <c r="A50" s="13" t="str">
        <v>223388AB</v>
      </c>
      <c r="B50" s="13" t="str">
        <v>Sat, 04-Nov-2023, 02:53 PM</v>
      </c>
      <c r="C50" s="13" t="str">
        <v>Nestle Milkpak with cap 1L</v>
      </c>
      <c r="D50" s="13" t="str">
        <v>Milkpak</v>
      </c>
      <c r="E50" s="13" t="str">
        <v>Expired stock</v>
      </c>
      <c r="F50" s="13" t="n">
        <v>12</v>
      </c>
      <c r="G50" s="13" t="str">
        <v>25 Nov, 2023</v>
      </c>
      <c r="H50" s="13" t="str">
        <v>[Code: 223388AB] [Expiry: 25 Nov, 2023] 12 units found short expiry</v>
      </c>
      <c r="I50" s="13" t="str">
        <v>Ali Raza </v>
      </c>
      <c r="J50" s="13" t="str">
        <f aca="false">IF(ISBLANK(I50),"", IF($I$2:$I1047 = "Gohar Rehan","Overnight",IF($I$2:$I1047 = "Taufeeq Akhtar ","Overnight",IF($I$2:$I1047 = "Zeeshan Ali Malik","Audit",IF($I$2:$I1047 = "Ali Raza ","Receiving",IF($I$2:$I1047 = "Ali Ahmad","Full-In"))))))</f>
        <v>Receiving</v>
      </c>
      <c r="K50" s="39" t="e">
        <f aca="false">IFERROR(VLOOKUP(D50,'Brand manager data '!A:B,2,0))</f>
        <v>#VALUE!</v>
      </c>
      <c r="L50" s="13" t="e">
        <v>#VALUE!</v>
      </c>
      <c r="M50" s="13" t="e">
        <v>#VALUE!</v>
      </c>
      <c r="N50" s="22"/>
      <c r="P50" s="20" t="n">
        <v>12</v>
      </c>
      <c r="Q50" s="40" t="s">
        <v>2345</v>
      </c>
      <c r="R50" s="20" t="b">
        <f aca="false">FALSE()</f>
        <v>0</v>
      </c>
      <c r="S50" s="13" t="n">
        <v>3056.6</v>
      </c>
      <c r="T50" s="13" t="n">
        <f aca="false">S50*F50</f>
        <v>36679.2</v>
      </c>
      <c r="U50" s="13" t="str">
        <v>Dairy</v>
      </c>
      <c r="V50" s="11" t="n">
        <v>45234</v>
      </c>
    </row>
    <row r="51" customFormat="false" ht="15.75" hidden="false" customHeight="false" outlineLevel="0" collapsed="false">
      <c r="A51" s="13" t="str">
        <v>3456AEFJ</v>
      </c>
      <c r="B51" s="13" t="str">
        <v>Sun, 05-Nov-2023, 03:31 PM</v>
      </c>
      <c r="C51" s="13" t="str">
        <v>Candyland Toss Orange and Mango Jelly 50pcs Rs5</v>
      </c>
      <c r="D51" s="13" t="str">
        <v>Candyland</v>
      </c>
      <c r="E51" s="13" t="str">
        <v>Expired stock</v>
      </c>
      <c r="F51" s="13" t="n">
        <v>19</v>
      </c>
      <c r="G51" s="13" t="str">
        <v>25 Nov, 2023</v>
      </c>
      <c r="H51" s="13" t="str">
        <v>[Code: 3456AEFJ] [Expiry: 25 Nov, 2023] AR: Near to Expiry stock removed.</v>
      </c>
      <c r="I51" s="13" t="str">
        <v>Ali Raza </v>
      </c>
      <c r="J51" s="13" t="str">
        <f aca="false">IF(ISBLANK(I51),"", IF($I$2:$I1048 = "Gohar Rehan","Overnight",IF($I$2:$I1048 = "Taufeeq Akhtar ","Overnight",IF($I$2:$I1048 = "Zeeshan Ali Malik","Audit",IF($I$2:$I1048 = "Ali Raza ","Receiving",IF($I$2:$I1048 = "Ali Ahmad","Full-In"))))))</f>
        <v>Receiving</v>
      </c>
      <c r="K51" s="39" t="e">
        <f aca="false">IFERROR(VLOOKUP(D51,'Brand manager data '!A:B,2,0))</f>
        <v>#VALUE!</v>
      </c>
      <c r="L51" s="13" t="e">
        <v>#VALUE!</v>
      </c>
      <c r="M51" s="13" t="e">
        <v>#VALUE!</v>
      </c>
      <c r="N51" s="22"/>
      <c r="Q51" s="40"/>
      <c r="R51" s="13" t="b">
        <f aca="false">FALSE()</f>
        <v>0</v>
      </c>
      <c r="S51" s="13" t="n">
        <v>197.64</v>
      </c>
      <c r="T51" s="13" t="n">
        <f aca="false">S51*F51</f>
        <v>3755.16</v>
      </c>
      <c r="U51" s="13" t="str">
        <v>Confectionary</v>
      </c>
      <c r="V51" s="11" t="n">
        <v>45235</v>
      </c>
    </row>
    <row r="52" customFormat="false" ht="15.75" hidden="false" customHeight="false" outlineLevel="0" collapsed="false">
      <c r="A52" s="13" t="str">
        <v>24ADEFFH</v>
      </c>
      <c r="B52" s="13" t="str">
        <v>Sun, 05-Nov-2023, 03:32 PM</v>
      </c>
      <c r="C52" s="13" t="str">
        <v>Candyland Toss Peach and Mango Jelly 50pcs Rs5</v>
      </c>
      <c r="D52" s="13" t="str">
        <v>Candyland</v>
      </c>
      <c r="E52" s="13" t="str">
        <v>Expired stock</v>
      </c>
      <c r="F52" s="13" t="n">
        <v>18</v>
      </c>
      <c r="G52" s="13" t="str">
        <v>21 Nov, 2023</v>
      </c>
      <c r="H52" s="13" t="str">
        <v>[Code: 24ADEFFH] [Expiry: 21 Nov, 2023] AR: Near to Expiry Stock removed.</v>
      </c>
      <c r="I52" s="13" t="str">
        <v>Ali Raza </v>
      </c>
      <c r="J52" s="13" t="str">
        <f aca="false">IF(ISBLANK(I52),"", IF($I$2:$I1049 = "Gohar Rehan","Overnight",IF($I$2:$I1049 = "Taufeeq Akhtar ","Overnight",IF($I$2:$I1049 = "Zeeshan Ali Malik","Audit",IF($I$2:$I1049 = "Ali Raza ","Receiving",IF($I$2:$I1049 = "Ali Ahmad","Full-In"))))))</f>
        <v>Receiving</v>
      </c>
      <c r="K52" s="39" t="e">
        <f aca="false">IFERROR(VLOOKUP(D52,'Brand manager data '!A:B,2,0))</f>
        <v>#VALUE!</v>
      </c>
      <c r="L52" s="13" t="e">
        <v>#VALUE!</v>
      </c>
      <c r="M52" s="13" t="e">
        <v>#VALUE!</v>
      </c>
      <c r="N52" s="22"/>
      <c r="Q52" s="40"/>
      <c r="R52" s="13" t="b">
        <f aca="false">FALSE()</f>
        <v>0</v>
      </c>
      <c r="S52" s="13" t="n">
        <v>200.8</v>
      </c>
      <c r="T52" s="13" t="n">
        <f aca="false">S52*F52</f>
        <v>3614.4</v>
      </c>
      <c r="U52" s="13" t="str">
        <v>Confectionary</v>
      </c>
      <c r="V52" s="11" t="n">
        <v>45235</v>
      </c>
    </row>
    <row r="53" customFormat="false" ht="15.75" hidden="false" customHeight="false" outlineLevel="0" collapsed="false">
      <c r="A53" s="13" t="str">
        <v>257CCDFF</v>
      </c>
      <c r="B53" s="13" t="str">
        <v>Mon, 13-Nov-2023, 09:18 PM</v>
      </c>
      <c r="C53" s="13" t="str">
        <v>Bisconni Nice Biscuit 16pcs Rs15</v>
      </c>
      <c r="D53" s="13" t="str">
        <v>Bisconni</v>
      </c>
      <c r="E53" s="13" t="str">
        <v>Expired stock</v>
      </c>
      <c r="F53" s="13" t="n">
        <v>38</v>
      </c>
      <c r="G53" s="13" t="n">
        <v>0</v>
      </c>
      <c r="H53" s="13" t="str">
        <v>[Code: 257CCDFF  { Expiry:30 nov,23 } TA; 38unit found Short expiry</v>
      </c>
      <c r="I53" s="13" t="str">
        <v>Taufeeq Akhtar </v>
      </c>
      <c r="J53" s="13" t="str">
        <f aca="false">IF(ISBLANK(I53),"", IF($I$2:$I1050 = "Gohar Rehan","Overnight",IF($I$2:$I1050 = "Taufeeq Akhtar ","Overnight",IF($I$2:$I1050 = "Zeeshan Ali Malik","Audit",IF($I$2:$I1050 = "Ali Raza ","Receiving",IF($I$2:$I1050 = "Ali Ahmad","Full-In"))))))</f>
        <v>Overnight</v>
      </c>
      <c r="K53" s="39" t="e">
        <f aca="false">IFERROR(VLOOKUP(D53,'Brand manager data '!A:B,2,0))</f>
        <v>#VALUE!</v>
      </c>
      <c r="L53" s="13" t="n">
        <v>0</v>
      </c>
      <c r="M53" s="13" t="str">
        <v>Yes</v>
      </c>
      <c r="N53" s="22"/>
      <c r="Q53" s="40"/>
      <c r="R53" s="13" t="b">
        <f aca="false">FALSE()</f>
        <v>0</v>
      </c>
      <c r="S53" s="13" t="n">
        <v>211.5</v>
      </c>
      <c r="T53" s="13" t="n">
        <f aca="false">S53*F53</f>
        <v>8037</v>
      </c>
      <c r="U53" s="13" t="str">
        <v>Biscuits, Wafers</v>
      </c>
      <c r="V53" s="11" t="n">
        <v>45243</v>
      </c>
    </row>
    <row r="54" customFormat="false" ht="15.75" hidden="false" customHeight="false" outlineLevel="0" collapsed="false">
      <c r="A54" s="13" t="str">
        <v>2345667D</v>
      </c>
      <c r="B54" s="13" t="str">
        <v>Tue, 14-Nov-2023, 04:10 PM</v>
      </c>
      <c r="C54" s="13" t="str">
        <v>Bisconni Nice Biscuit 16pcs Rs15</v>
      </c>
      <c r="D54" s="13" t="str">
        <v>Bisconni</v>
      </c>
      <c r="E54" s="13" t="str">
        <v>Expired stock</v>
      </c>
      <c r="F54" s="13" t="n">
        <v>2</v>
      </c>
      <c r="G54" s="13" t="str">
        <v>5 Dec, 2023</v>
      </c>
      <c r="H54" s="13" t="str">
        <v>[Code: 2345667D] [Expiry: 5 Dec, 2023] 2 units found short expiry</v>
      </c>
      <c r="I54" s="13" t="str">
        <v>Ali Raza </v>
      </c>
      <c r="J54" s="13" t="str">
        <f aca="false">IF(ISBLANK(I54),"", IF($I$2:$I1051 = "Gohar Rehan","Overnight",IF($I$2:$I1051 = "Taufeeq Akhtar ","Overnight",IF($I$2:$I1051 = "Zeeshan Ali Malik","Audit",IF($I$2:$I1051 = "Ali Raza ","Receiving",IF($I$2:$I1051 = "Ali Ahmad","Full-In"))))))</f>
        <v>Receiving</v>
      </c>
      <c r="K54" s="39" t="e">
        <f aca="false">IFERROR(VLOOKUP(D54,'Brand manager data '!A:B,2,0))</f>
        <v>#VALUE!</v>
      </c>
      <c r="L54" s="13" t="e">
        <v>#VALUE!</v>
      </c>
      <c r="M54" s="13" t="e">
        <v>#VALUE!</v>
      </c>
      <c r="N54" s="22"/>
      <c r="Q54" s="40"/>
      <c r="R54" s="13" t="b">
        <f aca="false">FALSE()</f>
        <v>0</v>
      </c>
      <c r="S54" s="13" t="n">
        <v>211.5</v>
      </c>
      <c r="T54" s="13" t="n">
        <f aca="false">S54*F54</f>
        <v>423</v>
      </c>
      <c r="U54" s="13" t="str">
        <v>Biscuits, Wafers</v>
      </c>
      <c r="V54" s="11" t="n">
        <v>45244</v>
      </c>
    </row>
    <row r="55" customFormat="false" ht="15.75" hidden="false" customHeight="false" outlineLevel="0" collapsed="false">
      <c r="A55" s="13" t="str">
        <v>24457CGL</v>
      </c>
      <c r="B55" s="13" t="str">
        <v>Tue, 14-Nov-2023, 04:11 PM</v>
      </c>
      <c r="C55" s="13" t="str">
        <v>Bisconni Nice Biscuit 16pcs Rs15</v>
      </c>
      <c r="D55" s="13" t="str">
        <v>Bisconni</v>
      </c>
      <c r="E55" s="13" t="str">
        <v>Expired stock</v>
      </c>
      <c r="F55" s="13" t="n">
        <v>5</v>
      </c>
      <c r="G55" s="13" t="str">
        <v>6 Dec, 2023</v>
      </c>
      <c r="H55" s="13" t="str">
        <v>[Code: 24457CGL] [Expiry: 6 Dec, 2023] 5 units found short expiry</v>
      </c>
      <c r="I55" s="13" t="str">
        <v>Ali Raza </v>
      </c>
      <c r="J55" s="13" t="str">
        <f aca="false">IF(ISBLANK(I55),"", IF($I$2:$I1052 = "Gohar Rehan","Overnight",IF($I$2:$I1052 = "Taufeeq Akhtar ","Overnight",IF($I$2:$I1052 = "Zeeshan Ali Malik","Audit",IF($I$2:$I1052 = "Ali Raza ","Receiving",IF($I$2:$I1052 = "Ali Ahmad","Full-In"))))))</f>
        <v>Receiving</v>
      </c>
      <c r="K55" s="39" t="e">
        <f aca="false">IFERROR(VLOOKUP(D55,'Brand manager data '!A:B,2,0))</f>
        <v>#VALUE!</v>
      </c>
      <c r="L55" s="13" t="e">
        <v>#VALUE!</v>
      </c>
      <c r="M55" s="13" t="e">
        <v>#VALUE!</v>
      </c>
      <c r="N55" s="22"/>
      <c r="Q55" s="40"/>
      <c r="R55" s="13" t="b">
        <f aca="false">FALSE()</f>
        <v>0</v>
      </c>
      <c r="S55" s="13" t="n">
        <v>211.5</v>
      </c>
      <c r="T55" s="13" t="n">
        <f aca="false">S55*F55</f>
        <v>1057.5</v>
      </c>
      <c r="U55" s="13" t="str">
        <v>Biscuits, Wafers</v>
      </c>
      <c r="V55" s="11" t="n">
        <v>45244</v>
      </c>
    </row>
    <row r="56" customFormat="false" ht="15.75" hidden="false" customHeight="false" outlineLevel="0" collapsed="false">
      <c r="A56" s="13" t="str">
        <v>55CEFJLM</v>
      </c>
      <c r="B56" s="13" t="str">
        <v>Tue, 14-Nov-2023, 04:11 PM</v>
      </c>
      <c r="C56" s="13" t="str">
        <v>Bisconni Nice Biscuit 16pcs Rs15</v>
      </c>
      <c r="D56" s="13" t="str">
        <v>Bisconni</v>
      </c>
      <c r="E56" s="13" t="str">
        <v>Expired stock</v>
      </c>
      <c r="F56" s="13" t="n">
        <v>9</v>
      </c>
      <c r="G56" s="13" t="str">
        <v>7 Dec, 2023</v>
      </c>
      <c r="H56" s="13" t="str">
        <v>[Code: 55CEFJLM] [Expiry: 7 Dec, 2023] 9 units found short expiry</v>
      </c>
      <c r="I56" s="13" t="str">
        <v>Ali Raza </v>
      </c>
      <c r="J56" s="13" t="str">
        <f aca="false">IF(ISBLANK(I56),"", IF($I$2:$I1053 = "Gohar Rehan","Overnight",IF($I$2:$I1053 = "Taufeeq Akhtar ","Overnight",IF($I$2:$I1053 = "Zeeshan Ali Malik","Audit",IF($I$2:$I1053 = "Ali Raza ","Receiving",IF($I$2:$I1053 = "Ali Ahmad","Full-In"))))))</f>
        <v>Receiving</v>
      </c>
      <c r="K56" s="39" t="e">
        <f aca="false">IFERROR(VLOOKUP(D56,'Brand manager data '!A:B,2,0))</f>
        <v>#VALUE!</v>
      </c>
      <c r="L56" s="13" t="e">
        <v>#VALUE!</v>
      </c>
      <c r="M56" s="13" t="e">
        <v>#VALUE!</v>
      </c>
      <c r="N56" s="22"/>
      <c r="Q56" s="40"/>
      <c r="R56" s="13" t="b">
        <f aca="false">FALSE()</f>
        <v>0</v>
      </c>
      <c r="S56" s="13" t="n">
        <v>211.5</v>
      </c>
      <c r="T56" s="13" t="n">
        <f aca="false">S56*F56</f>
        <v>1903.5</v>
      </c>
      <c r="U56" s="13" t="str">
        <v>Biscuits, Wafers</v>
      </c>
      <c r="V56" s="11" t="n">
        <v>45244</v>
      </c>
    </row>
    <row r="57" customFormat="false" ht="15.75" hidden="false" customHeight="false" outlineLevel="0" collapsed="false">
      <c r="A57" s="13" t="str">
        <v>24558ABD</v>
      </c>
      <c r="B57" s="13" t="str">
        <v>Sun, 19-Nov-2023, 10:00 AM</v>
      </c>
      <c r="C57" s="13" t="str">
        <v>Sunridge FiberFit Digestive Atta 2kg</v>
      </c>
      <c r="D57" s="13" t="str">
        <v>Sunridge</v>
      </c>
      <c r="E57" s="13" t="str">
        <v>Expired stock</v>
      </c>
      <c r="F57" s="13" t="n">
        <v>8</v>
      </c>
      <c r="G57" s="13" t="str">
        <v>1 Dec, 2023</v>
      </c>
      <c r="H57" s="13" t="str">
        <v>[Code: 24558ABD] [Expiry: 1 Dec, 2023] AR: Short expiry stock </v>
      </c>
      <c r="I57" s="13" t="str">
        <v>Ali Raza </v>
      </c>
      <c r="J57" s="13" t="str">
        <f aca="false">IF(ISBLANK(I57),"", IF($I$2:$I1054 = "Gohar Rehan","Overnight",IF($I$2:$I1054 = "Taufeeq Akhtar ","Overnight",IF($I$2:$I1054 = "Zeeshan Ali Malik","Audit",IF($I$2:$I1054 = "Ali Raza ","Receiving",IF($I$2:$I1054 = "Ali Ahmad","Full-In"))))))</f>
        <v>Receiving</v>
      </c>
      <c r="K57" s="39" t="e">
        <f aca="false">IFERROR(VLOOKUP(D57,'Brand manager data '!A:B,2,0))</f>
        <v>#VALUE!</v>
      </c>
      <c r="L57" s="13" t="e">
        <v>#VALUE!</v>
      </c>
      <c r="M57" s="13" t="e">
        <v>#VALUE!</v>
      </c>
      <c r="N57" s="22"/>
      <c r="Q57" s="40"/>
      <c r="R57" s="13" t="b">
        <f aca="false">FALSE()</f>
        <v>0</v>
      </c>
      <c r="S57" s="13" t="n">
        <v>335.8</v>
      </c>
      <c r="T57" s="13" t="n">
        <f aca="false">S57*F57</f>
        <v>2686.4</v>
      </c>
      <c r="U57" s="13" t="str">
        <v>Flour</v>
      </c>
      <c r="V57" s="11" t="n">
        <v>45249</v>
      </c>
    </row>
    <row r="58" customFormat="false" ht="15.75" hidden="false" customHeight="false" outlineLevel="0" collapsed="false">
      <c r="A58" s="13" t="str">
        <v>345668BE</v>
      </c>
      <c r="B58" s="13" t="str">
        <v>Sun, 19-Nov-2023, 10:01 AM</v>
      </c>
      <c r="C58" s="13" t="str">
        <v>Sunridge FiberFit Digestive Atta 5kg</v>
      </c>
      <c r="D58" s="13" t="str">
        <v>Sunridge</v>
      </c>
      <c r="E58" s="13" t="str">
        <v>Expired stock</v>
      </c>
      <c r="F58" s="13" t="n">
        <v>18</v>
      </c>
      <c r="G58" s="13" t="str">
        <v>1 Dec, 2023</v>
      </c>
      <c r="H58" s="13" t="str">
        <v>[Code: 345668BE] [Expiry: 1 Dec, 2023] AR:short expiry stock </v>
      </c>
      <c r="I58" s="13" t="str">
        <v>Ali Raza </v>
      </c>
      <c r="J58" s="13" t="str">
        <f aca="false">IF(ISBLANK(I58),"", IF($I$2:$I1055 = "Gohar Rehan","Overnight",IF($I$2:$I1055 = "Taufeeq Akhtar ","Overnight",IF($I$2:$I1055 = "Zeeshan Ali Malik","Audit",IF($I$2:$I1055 = "Ali Raza ","Receiving",IF($I$2:$I1055 = "Ali Ahmad","Full-In"))))))</f>
        <v>Receiving</v>
      </c>
      <c r="K58" s="39" t="e">
        <f aca="false">IFERROR(VLOOKUP(D58,'Brand manager data '!A:B,2,0))</f>
        <v>#VALUE!</v>
      </c>
      <c r="L58" s="13" t="e">
        <v>#VALUE!</v>
      </c>
      <c r="M58" s="13" t="e">
        <v>#VALUE!</v>
      </c>
      <c r="N58" s="22"/>
      <c r="Q58" s="40"/>
      <c r="R58" s="13" t="b">
        <f aca="false">FALSE()</f>
        <v>0</v>
      </c>
      <c r="S58" s="13" t="n">
        <v>837.2</v>
      </c>
      <c r="T58" s="13" t="n">
        <f aca="false">S58*F58</f>
        <v>15069.6</v>
      </c>
      <c r="U58" s="13" t="str">
        <v>Flour</v>
      </c>
      <c r="V58" s="11" t="n">
        <v>45249</v>
      </c>
    </row>
    <row r="59" customFormat="false" ht="15.75" hidden="false" customHeight="false" outlineLevel="0" collapsed="false">
      <c r="A59" s="13" t="n">
        <v>0</v>
      </c>
      <c r="B59" s="13" t="str">
        <v/>
      </c>
      <c r="C59" s="13" t="n">
        <v>0</v>
      </c>
      <c r="D59" s="13" t="n">
        <v>0</v>
      </c>
      <c r="E59" s="13" t="str">
        <v/>
      </c>
      <c r="F59" s="13" t="n">
        <v>0</v>
      </c>
      <c r="G59" s="13" t="n">
        <v>0</v>
      </c>
      <c r="H59" s="13" t="n">
        <v>0</v>
      </c>
      <c r="I59" s="13" t="n">
        <v>0</v>
      </c>
      <c r="J59" s="13" t="b">
        <f aca="false">IF(ISBLANK(I59),"", IF($I$2:$I1056 = "Gohar Rehan","Overnight",IF($I$2:$I1056 = "Taufeeq Akhtar ","Overnight",IF($I$2:$I1056 = "Zeeshan Ali Malik","Audit",IF($I$2:$I1056 = "Ali Raza ","Receiving",IF($I$2:$I1056 = "Ali Ahmad","Full-In"))))))</f>
        <v>0</v>
      </c>
      <c r="K59" s="39" t="e">
        <f aca="false">IFERROR(VLOOKUP(D59,'Brand manager data '!A:B,2,0))</f>
        <v>#VALUE!</v>
      </c>
      <c r="L59" s="13" t="n">
        <v>0</v>
      </c>
      <c r="M59" s="13" t="str">
        <v>Yes</v>
      </c>
      <c r="N59" s="22"/>
      <c r="Q59" s="40"/>
      <c r="R59" s="13" t="b">
        <f aca="false">FALSE()</f>
        <v>0</v>
      </c>
      <c r="S59" s="13" t="n">
        <v>0</v>
      </c>
      <c r="T59" s="13" t="n">
        <f aca="false">S59*F59</f>
        <v>0</v>
      </c>
      <c r="U59" s="13" t="n">
        <v>0</v>
      </c>
      <c r="V59" s="13" t="n">
        <v>0</v>
      </c>
    </row>
    <row r="60" customFormat="false" ht="15.75" hidden="false" customHeight="false" outlineLevel="0" collapsed="false">
      <c r="A60" s="13" t="n">
        <v>0</v>
      </c>
      <c r="B60" s="13" t="str">
        <v/>
      </c>
      <c r="C60" s="13" t="n">
        <v>0</v>
      </c>
      <c r="D60" s="13" t="n">
        <v>0</v>
      </c>
      <c r="E60" s="13" t="str">
        <v/>
      </c>
      <c r="F60" s="13" t="n">
        <v>0</v>
      </c>
      <c r="G60" s="13" t="n">
        <v>0</v>
      </c>
      <c r="H60" s="13" t="n">
        <v>0</v>
      </c>
      <c r="I60" s="13" t="n">
        <v>0</v>
      </c>
      <c r="J60" s="13" t="b">
        <f aca="false">IF(ISBLANK(I60),"", IF($I$2:$I1057 = "Gohar Rehan","Overnight",IF($I$2:$I1057 = "Taufeeq Akhtar ","Overnight",IF($I$2:$I1057 = "Zeeshan Ali Malik","Audit",IF($I$2:$I1057 = "Ali Raza ","Receiving",IF($I$2:$I1057 = "Ali Ahmad","Full-In"))))))</f>
        <v>0</v>
      </c>
      <c r="K60" s="39" t="e">
        <f aca="false">IFERROR(VLOOKUP(D60,'Brand manager data '!A:B,2,0))</f>
        <v>#VALUE!</v>
      </c>
      <c r="L60" s="13" t="n">
        <v>0</v>
      </c>
      <c r="M60" s="13" t="str">
        <v>Yes</v>
      </c>
      <c r="N60" s="22"/>
      <c r="Q60" s="40"/>
      <c r="R60" s="13" t="b">
        <f aca="false">FALSE()</f>
        <v>0</v>
      </c>
      <c r="S60" s="13" t="n">
        <v>0</v>
      </c>
      <c r="T60" s="13" t="n">
        <f aca="false">S60*F60</f>
        <v>0</v>
      </c>
      <c r="U60" s="13" t="n">
        <v>0</v>
      </c>
      <c r="V60" s="13" t="n">
        <v>0</v>
      </c>
    </row>
    <row r="61" customFormat="false" ht="15.75" hidden="false" customHeight="false" outlineLevel="0" collapsed="false">
      <c r="A61" s="13" t="n">
        <v>0</v>
      </c>
      <c r="B61" s="13" t="str">
        <v/>
      </c>
      <c r="C61" s="13" t="n">
        <v>0</v>
      </c>
      <c r="D61" s="13" t="n">
        <v>0</v>
      </c>
      <c r="E61" s="13" t="str">
        <v/>
      </c>
      <c r="F61" s="13" t="n">
        <v>0</v>
      </c>
      <c r="G61" s="13" t="n">
        <v>0</v>
      </c>
      <c r="H61" s="13" t="n">
        <v>0</v>
      </c>
      <c r="I61" s="13" t="n">
        <v>0</v>
      </c>
      <c r="J61" s="13" t="b">
        <f aca="false">IF(ISBLANK(I61),"", IF($I$2:$I1058 = "Gohar Rehan","Overnight",IF($I$2:$I1058 = "Taufeeq Akhtar ","Overnight",IF($I$2:$I1058 = "Zeeshan Ali Malik","Audit",IF($I$2:$I1058 = "Ali Raza ","Receiving",IF($I$2:$I1058 = "Ali Ahmad","Full-In"))))))</f>
        <v>0</v>
      </c>
      <c r="K61" s="39" t="e">
        <f aca="false">IFERROR(VLOOKUP(D61,'Brand manager data '!A:B,2,0))</f>
        <v>#VALUE!</v>
      </c>
      <c r="L61" s="13" t="n">
        <v>0</v>
      </c>
      <c r="M61" s="13" t="str">
        <v>Yes</v>
      </c>
      <c r="N61" s="22"/>
      <c r="Q61" s="40"/>
      <c r="R61" s="13" t="b">
        <f aca="false">FALSE()</f>
        <v>0</v>
      </c>
      <c r="S61" s="13" t="n">
        <v>0</v>
      </c>
      <c r="T61" s="13" t="n">
        <f aca="false">S61*F61</f>
        <v>0</v>
      </c>
      <c r="U61" s="13" t="n">
        <v>0</v>
      </c>
      <c r="V61" s="13" t="n">
        <v>0</v>
      </c>
    </row>
    <row r="62" customFormat="false" ht="15.75" hidden="false" customHeight="false" outlineLevel="0" collapsed="false">
      <c r="A62" s="13" t="n">
        <v>0</v>
      </c>
      <c r="B62" s="13" t="str">
        <v/>
      </c>
      <c r="C62" s="13" t="n">
        <v>0</v>
      </c>
      <c r="D62" s="13" t="n">
        <v>0</v>
      </c>
      <c r="E62" s="13" t="str">
        <v/>
      </c>
      <c r="F62" s="13" t="n">
        <v>0</v>
      </c>
      <c r="G62" s="13" t="n">
        <v>0</v>
      </c>
      <c r="H62" s="13" t="n">
        <v>0</v>
      </c>
      <c r="I62" s="13" t="n">
        <v>0</v>
      </c>
      <c r="J62" s="13" t="b">
        <f aca="false">IF(ISBLANK(I62),"", IF($I$2:$I1059 = "Gohar Rehan","Overnight",IF($I$2:$I1059 = "Taufeeq Akhtar ","Overnight",IF($I$2:$I1059 = "Zeeshan Ali Malik","Audit",IF($I$2:$I1059 = "Ali Raza ","Receiving",IF($I$2:$I1059 = "Ali Ahmad","Full-In"))))))</f>
        <v>0</v>
      </c>
      <c r="K62" s="39" t="e">
        <f aca="false">IFERROR(VLOOKUP(D62,'Brand manager data '!A:B,2,0))</f>
        <v>#VALUE!</v>
      </c>
      <c r="L62" s="13" t="n">
        <v>0</v>
      </c>
      <c r="M62" s="13" t="str">
        <v>Yes</v>
      </c>
      <c r="N62" s="22"/>
      <c r="Q62" s="40"/>
      <c r="R62" s="13" t="b">
        <f aca="false">FALSE()</f>
        <v>0</v>
      </c>
      <c r="S62" s="13" t="n">
        <v>0</v>
      </c>
      <c r="T62" s="13" t="n">
        <f aca="false">S62*F62</f>
        <v>0</v>
      </c>
      <c r="U62" s="13" t="n">
        <v>0</v>
      </c>
      <c r="V62" s="13" t="n">
        <v>0</v>
      </c>
    </row>
    <row r="63" customFormat="false" ht="15.75" hidden="false" customHeight="false" outlineLevel="0" collapsed="false">
      <c r="A63" s="13" t="n">
        <v>0</v>
      </c>
      <c r="B63" s="13" t="str">
        <v/>
      </c>
      <c r="C63" s="13" t="n">
        <v>0</v>
      </c>
      <c r="D63" s="13" t="n">
        <v>0</v>
      </c>
      <c r="E63" s="13" t="str">
        <v/>
      </c>
      <c r="F63" s="13" t="n">
        <v>0</v>
      </c>
      <c r="G63" s="13" t="n">
        <v>0</v>
      </c>
      <c r="H63" s="13" t="n">
        <v>0</v>
      </c>
      <c r="I63" s="13" t="n">
        <v>0</v>
      </c>
      <c r="J63" s="13" t="b">
        <f aca="false">IF(ISBLANK(I63),"", IF($I$2:$I1060 = "Gohar Rehan","Overnight",IF($I$2:$I1060 = "Taufeeq Akhtar ","Overnight",IF($I$2:$I1060 = "Zeeshan Ali Malik","Audit",IF($I$2:$I1060 = "Ali Raza ","Receiving",IF($I$2:$I1060 = "Ali Ahmad","Full-In"))))))</f>
        <v>0</v>
      </c>
      <c r="K63" s="39" t="e">
        <f aca="false">IFERROR(VLOOKUP(D63,'Brand manager data '!A:B,2,0))</f>
        <v>#VALUE!</v>
      </c>
      <c r="L63" s="13" t="n">
        <v>0</v>
      </c>
      <c r="M63" s="13" t="str">
        <v>Yes</v>
      </c>
      <c r="N63" s="22"/>
      <c r="Q63" s="40"/>
      <c r="R63" s="13" t="b">
        <f aca="false">FALSE()</f>
        <v>0</v>
      </c>
      <c r="S63" s="13" t="n">
        <v>0</v>
      </c>
      <c r="T63" s="13" t="n">
        <f aca="false">S63*F63</f>
        <v>0</v>
      </c>
      <c r="U63" s="13" t="n">
        <v>0</v>
      </c>
      <c r="V63" s="13" t="n">
        <v>0</v>
      </c>
    </row>
    <row r="64" customFormat="false" ht="15.75" hidden="false" customHeight="false" outlineLevel="0" collapsed="false">
      <c r="A64" s="13" t="n">
        <v>0</v>
      </c>
      <c r="B64" s="13" t="str">
        <v/>
      </c>
      <c r="C64" s="13" t="n">
        <v>0</v>
      </c>
      <c r="D64" s="13" t="n">
        <v>0</v>
      </c>
      <c r="E64" s="13" t="str">
        <v/>
      </c>
      <c r="F64" s="13" t="n">
        <v>0</v>
      </c>
      <c r="G64" s="13" t="n">
        <v>0</v>
      </c>
      <c r="H64" s="13" t="n">
        <v>0</v>
      </c>
      <c r="I64" s="13" t="n">
        <v>0</v>
      </c>
      <c r="J64" s="13" t="b">
        <f aca="false">IF(ISBLANK(I64),"", IF($I$2:$I1061 = "Gohar Rehan","Overnight",IF($I$2:$I1061 = "Taufeeq Akhtar ","Overnight",IF($I$2:$I1061 = "Zeeshan Ali Malik","Audit",IF($I$2:$I1061 = "Ali Raza ","Receiving",IF($I$2:$I1061 = "Ali Ahmad","Full-In"))))))</f>
        <v>0</v>
      </c>
      <c r="K64" s="39" t="e">
        <f aca="false">IFERROR(VLOOKUP(D64,'Brand manager data '!A:B,2,0))</f>
        <v>#VALUE!</v>
      </c>
      <c r="L64" s="13" t="n">
        <v>0</v>
      </c>
      <c r="M64" s="13" t="str">
        <v>Yes</v>
      </c>
      <c r="N64" s="22"/>
      <c r="Q64" s="40"/>
      <c r="R64" s="13" t="b">
        <f aca="false">FALSE()</f>
        <v>0</v>
      </c>
      <c r="S64" s="13" t="n">
        <v>0</v>
      </c>
      <c r="T64" s="13" t="n">
        <f aca="false">S64*F64</f>
        <v>0</v>
      </c>
      <c r="U64" s="13" t="n">
        <v>0</v>
      </c>
      <c r="V64" s="13" t="n">
        <v>0</v>
      </c>
    </row>
    <row r="65" customFormat="false" ht="15.75" hidden="false" customHeight="false" outlineLevel="0" collapsed="false">
      <c r="A65" s="13" t="n">
        <v>0</v>
      </c>
      <c r="B65" s="13" t="str">
        <v/>
      </c>
      <c r="C65" s="13" t="n">
        <v>0</v>
      </c>
      <c r="D65" s="13" t="n">
        <v>0</v>
      </c>
      <c r="E65" s="13" t="str">
        <v/>
      </c>
      <c r="F65" s="13" t="n">
        <v>0</v>
      </c>
      <c r="G65" s="13" t="n">
        <v>0</v>
      </c>
      <c r="H65" s="13" t="n">
        <v>0</v>
      </c>
      <c r="I65" s="13" t="n">
        <v>0</v>
      </c>
      <c r="J65" s="13" t="b">
        <f aca="false">IF(ISBLANK(I65),"", IF($I$2:$I1062 = "Gohar Rehan","Overnight",IF($I$2:$I1062 = "Taufeeq Akhtar ","Overnight",IF($I$2:$I1062 = "Zeeshan Ali Malik","Audit",IF($I$2:$I1062 = "Ali Raza ","Receiving",IF($I$2:$I1062 = "Ali Ahmad","Full-In"))))))</f>
        <v>0</v>
      </c>
      <c r="K65" s="39" t="e">
        <f aca="false">IFERROR(VLOOKUP(D65,'Brand manager data '!A:B,2,0))</f>
        <v>#VALUE!</v>
      </c>
      <c r="L65" s="13" t="n">
        <v>0</v>
      </c>
      <c r="M65" s="13" t="str">
        <v>Yes</v>
      </c>
      <c r="N65" s="22"/>
      <c r="Q65" s="40"/>
      <c r="R65" s="13" t="b">
        <f aca="false">FALSE()</f>
        <v>0</v>
      </c>
      <c r="S65" s="13" t="n">
        <v>0</v>
      </c>
      <c r="T65" s="13" t="n">
        <f aca="false">S65*F65</f>
        <v>0</v>
      </c>
      <c r="U65" s="13" t="n">
        <v>0</v>
      </c>
      <c r="V65" s="13" t="n">
        <v>0</v>
      </c>
    </row>
    <row r="66" customFormat="false" ht="15.75" hidden="false" customHeight="false" outlineLevel="0" collapsed="false">
      <c r="A66" s="13" t="n">
        <v>0</v>
      </c>
      <c r="B66" s="13" t="str">
        <v/>
      </c>
      <c r="C66" s="13" t="n">
        <v>0</v>
      </c>
      <c r="D66" s="13" t="n">
        <v>0</v>
      </c>
      <c r="E66" s="13" t="str">
        <v/>
      </c>
      <c r="F66" s="13" t="n">
        <v>0</v>
      </c>
      <c r="G66" s="13" t="n">
        <v>0</v>
      </c>
      <c r="H66" s="13" t="n">
        <v>0</v>
      </c>
      <c r="I66" s="13" t="n">
        <v>0</v>
      </c>
      <c r="J66" s="13" t="b">
        <f aca="false">IF(ISBLANK(I66),"", IF($I$2:$I1063 = "Gohar Rehan","Overnight",IF($I$2:$I1063 = "Taufeeq Akhtar ","Overnight",IF($I$2:$I1063 = "Zeeshan Ali Malik","Audit",IF($I$2:$I1063 = "Ali Raza ","Receiving",IF($I$2:$I1063 = "Ali Ahmad","Full-In"))))))</f>
        <v>0</v>
      </c>
      <c r="K66" s="39" t="e">
        <f aca="false">IFERROR(VLOOKUP(D66,'Brand manager data '!A:B,2,0))</f>
        <v>#VALUE!</v>
      </c>
      <c r="L66" s="13" t="n">
        <v>0</v>
      </c>
      <c r="M66" s="13" t="str">
        <v>Yes</v>
      </c>
      <c r="N66" s="22"/>
      <c r="Q66" s="40"/>
      <c r="R66" s="13" t="b">
        <f aca="false">FALSE()</f>
        <v>0</v>
      </c>
      <c r="S66" s="13" t="n">
        <v>0</v>
      </c>
      <c r="T66" s="13" t="n">
        <f aca="false">S66*F66</f>
        <v>0</v>
      </c>
      <c r="U66" s="13" t="n">
        <v>0</v>
      </c>
      <c r="V66" s="13" t="n">
        <v>0</v>
      </c>
    </row>
    <row r="67" customFormat="false" ht="15.75" hidden="false" customHeight="false" outlineLevel="0" collapsed="false">
      <c r="A67" s="13" t="n">
        <v>0</v>
      </c>
      <c r="B67" s="13" t="str">
        <v/>
      </c>
      <c r="C67" s="13" t="n">
        <v>0</v>
      </c>
      <c r="D67" s="13" t="n">
        <v>0</v>
      </c>
      <c r="E67" s="13" t="str">
        <v/>
      </c>
      <c r="F67" s="13" t="n">
        <v>0</v>
      </c>
      <c r="G67" s="13" t="n">
        <v>0</v>
      </c>
      <c r="H67" s="13" t="n">
        <v>0</v>
      </c>
      <c r="I67" s="13" t="n">
        <v>0</v>
      </c>
      <c r="J67" s="13" t="b">
        <f aca="false">IF(ISBLANK(I67),"", IF($I$2:$I1064 = "Gohar Rehan","Overnight",IF($I$2:$I1064 = "Taufeeq Akhtar ","Overnight",IF($I$2:$I1064 = "Zeeshan Ali Malik","Audit",IF($I$2:$I1064 = "Ali Raza ","Receiving",IF($I$2:$I1064 = "Ali Ahmad","Full-In"))))))</f>
        <v>0</v>
      </c>
      <c r="K67" s="39" t="e">
        <f aca="false">IFERROR(VLOOKUP(D67,'Brand manager data '!A:B,2,0))</f>
        <v>#VALUE!</v>
      </c>
      <c r="L67" s="13" t="n">
        <v>0</v>
      </c>
      <c r="M67" s="13" t="str">
        <v>Yes</v>
      </c>
      <c r="N67" s="22"/>
      <c r="Q67" s="40"/>
      <c r="R67" s="13" t="b">
        <f aca="false">FALSE()</f>
        <v>0</v>
      </c>
      <c r="S67" s="13" t="n">
        <v>0</v>
      </c>
      <c r="T67" s="13" t="n">
        <f aca="false">S67*F67</f>
        <v>0</v>
      </c>
      <c r="U67" s="13" t="n">
        <v>0</v>
      </c>
      <c r="V67" s="13" t="n">
        <v>0</v>
      </c>
    </row>
    <row r="68" customFormat="false" ht="15.75" hidden="false" customHeight="false" outlineLevel="0" collapsed="false">
      <c r="A68" s="13" t="n">
        <v>0</v>
      </c>
      <c r="B68" s="13" t="str">
        <v/>
      </c>
      <c r="C68" s="13" t="n">
        <v>0</v>
      </c>
      <c r="D68" s="13" t="n">
        <v>0</v>
      </c>
      <c r="E68" s="13" t="str">
        <v/>
      </c>
      <c r="F68" s="13" t="n">
        <v>0</v>
      </c>
      <c r="G68" s="13" t="n">
        <v>0</v>
      </c>
      <c r="H68" s="13" t="n">
        <v>0</v>
      </c>
      <c r="I68" s="13" t="n">
        <v>0</v>
      </c>
      <c r="J68" s="13" t="b">
        <f aca="false">IF(ISBLANK(I68),"", IF($I$2:$I1065 = "Gohar Rehan","Overnight",IF($I$2:$I1065 = "Taufeeq Akhtar ","Overnight",IF($I$2:$I1065 = "Zeeshan Ali Malik","Audit",IF($I$2:$I1065 = "Ali Raza ","Receiving",IF($I$2:$I1065 = "Ali Ahmad","Full-In"))))))</f>
        <v>0</v>
      </c>
      <c r="K68" s="39" t="e">
        <f aca="false">IFERROR(VLOOKUP(D68,'Brand manager data '!A:B,2,0))</f>
        <v>#VALUE!</v>
      </c>
      <c r="L68" s="13" t="n">
        <v>0</v>
      </c>
      <c r="M68" s="13" t="str">
        <v>Yes</v>
      </c>
      <c r="N68" s="22"/>
      <c r="Q68" s="40"/>
      <c r="R68" s="13" t="b">
        <f aca="false">FALSE()</f>
        <v>0</v>
      </c>
      <c r="S68" s="13" t="n">
        <v>0</v>
      </c>
      <c r="T68" s="13" t="n">
        <f aca="false">S68*F68</f>
        <v>0</v>
      </c>
      <c r="U68" s="13" t="n">
        <v>0</v>
      </c>
      <c r="V68" s="13" t="n">
        <v>0</v>
      </c>
    </row>
    <row r="69" customFormat="false" ht="15.75" hidden="false" customHeight="false" outlineLevel="0" collapsed="false">
      <c r="A69" s="13" t="n">
        <v>0</v>
      </c>
      <c r="B69" s="13" t="str">
        <v/>
      </c>
      <c r="C69" s="13" t="n">
        <v>0</v>
      </c>
      <c r="D69" s="13" t="n">
        <v>0</v>
      </c>
      <c r="E69" s="13" t="str">
        <v/>
      </c>
      <c r="F69" s="13" t="n">
        <v>0</v>
      </c>
      <c r="G69" s="13" t="n">
        <v>0</v>
      </c>
      <c r="H69" s="13" t="n">
        <v>0</v>
      </c>
      <c r="I69" s="13" t="n">
        <v>0</v>
      </c>
      <c r="J69" s="13" t="b">
        <f aca="false">IF(ISBLANK(I69),"", IF($I$2:$I1066 = "Gohar Rehan","Overnight",IF($I$2:$I1066 = "Taufeeq Akhtar ","Overnight",IF($I$2:$I1066 = "Zeeshan Ali Malik","Audit",IF($I$2:$I1066 = "Ali Raza ","Receiving",IF($I$2:$I1066 = "Ali Ahmad","Full-In"))))))</f>
        <v>0</v>
      </c>
      <c r="K69" s="39" t="e">
        <f aca="false">IFERROR(VLOOKUP(D69,'Brand manager data '!A:B,2,0))</f>
        <v>#VALUE!</v>
      </c>
      <c r="L69" s="13" t="n">
        <v>0</v>
      </c>
      <c r="M69" s="13" t="str">
        <v>Yes</v>
      </c>
      <c r="N69" s="22"/>
      <c r="Q69" s="40"/>
      <c r="R69" s="13" t="b">
        <f aca="false">FALSE()</f>
        <v>0</v>
      </c>
      <c r="S69" s="13" t="n">
        <v>0</v>
      </c>
      <c r="T69" s="13" t="n">
        <f aca="false">S69*F69</f>
        <v>0</v>
      </c>
      <c r="U69" s="13" t="n">
        <v>0</v>
      </c>
      <c r="V69" s="13" t="n">
        <v>0</v>
      </c>
    </row>
    <row r="70" customFormat="false" ht="15.75" hidden="false" customHeight="false" outlineLevel="0" collapsed="false">
      <c r="A70" s="13" t="n">
        <v>0</v>
      </c>
      <c r="B70" s="13" t="str">
        <v/>
      </c>
      <c r="C70" s="13" t="n">
        <v>0</v>
      </c>
      <c r="D70" s="13" t="n">
        <v>0</v>
      </c>
      <c r="E70" s="13" t="str">
        <v/>
      </c>
      <c r="F70" s="13" t="n">
        <v>0</v>
      </c>
      <c r="G70" s="13" t="n">
        <v>0</v>
      </c>
      <c r="H70" s="13" t="n">
        <v>0</v>
      </c>
      <c r="I70" s="13" t="n">
        <v>0</v>
      </c>
      <c r="J70" s="13" t="b">
        <f aca="false">IF(ISBLANK(I70),"", IF($I$2:$I1067 = "Gohar Rehan","Overnight",IF($I$2:$I1067 = "Taufeeq Akhtar ","Overnight",IF($I$2:$I1067 = "Zeeshan Ali Malik","Audit",IF($I$2:$I1067 = "Ali Raza ","Receiving",IF($I$2:$I1067 = "Ali Ahmad","Full-In"))))))</f>
        <v>0</v>
      </c>
      <c r="K70" s="39" t="e">
        <f aca="false">IFERROR(VLOOKUP(D70,'Brand manager data '!A:B,2,0))</f>
        <v>#VALUE!</v>
      </c>
      <c r="L70" s="13" t="n">
        <v>0</v>
      </c>
      <c r="M70" s="13" t="str">
        <v>Yes</v>
      </c>
      <c r="N70" s="22"/>
      <c r="Q70" s="40"/>
      <c r="R70" s="13" t="b">
        <f aca="false">FALSE()</f>
        <v>0</v>
      </c>
      <c r="S70" s="13" t="n">
        <v>0</v>
      </c>
      <c r="T70" s="13" t="n">
        <f aca="false">S70*F70</f>
        <v>0</v>
      </c>
      <c r="U70" s="13" t="n">
        <v>0</v>
      </c>
      <c r="V70" s="13" t="n">
        <v>0</v>
      </c>
    </row>
    <row r="71" customFormat="false" ht="15.75" hidden="false" customHeight="false" outlineLevel="0" collapsed="false">
      <c r="A71" s="13" t="n">
        <v>0</v>
      </c>
      <c r="B71" s="13" t="str">
        <v/>
      </c>
      <c r="C71" s="13" t="n">
        <v>0</v>
      </c>
      <c r="D71" s="13" t="n">
        <v>0</v>
      </c>
      <c r="E71" s="13" t="str">
        <v/>
      </c>
      <c r="F71" s="13" t="n">
        <v>0</v>
      </c>
      <c r="G71" s="13" t="n">
        <v>0</v>
      </c>
      <c r="H71" s="13" t="n">
        <v>0</v>
      </c>
      <c r="I71" s="13" t="n">
        <v>0</v>
      </c>
      <c r="J71" s="13" t="b">
        <f aca="false">IF(ISBLANK(I71),"", IF($I$2:$I1068 = "Gohar Rehan","Overnight",IF($I$2:$I1068 = "Taufeeq Akhtar ","Overnight",IF($I$2:$I1068 = "Zeeshan Ali Malik","Audit",IF($I$2:$I1068 = "Ali Raza ","Receiving",IF($I$2:$I1068 = "Ali Ahmad","Full-In"))))))</f>
        <v>0</v>
      </c>
      <c r="K71" s="39" t="e">
        <f aca="false">IFERROR(VLOOKUP(D71,'Brand manager data '!A:B,2,0))</f>
        <v>#VALUE!</v>
      </c>
      <c r="L71" s="13" t="n">
        <v>0</v>
      </c>
      <c r="M71" s="13" t="str">
        <v>Yes</v>
      </c>
      <c r="N71" s="22"/>
      <c r="Q71" s="40"/>
      <c r="R71" s="13" t="b">
        <f aca="false">FALSE()</f>
        <v>0</v>
      </c>
      <c r="S71" s="13" t="n">
        <v>0</v>
      </c>
      <c r="T71" s="13" t="n">
        <f aca="false">S71*F71</f>
        <v>0</v>
      </c>
      <c r="U71" s="13" t="n">
        <v>0</v>
      </c>
      <c r="V71" s="13" t="n">
        <v>0</v>
      </c>
    </row>
    <row r="72" customFormat="false" ht="15.75" hidden="false" customHeight="false" outlineLevel="0" collapsed="false">
      <c r="A72" s="13" t="n">
        <v>0</v>
      </c>
      <c r="B72" s="13" t="str">
        <v/>
      </c>
      <c r="C72" s="13" t="n">
        <v>0</v>
      </c>
      <c r="D72" s="13" t="n">
        <v>0</v>
      </c>
      <c r="E72" s="13" t="str">
        <v/>
      </c>
      <c r="F72" s="13" t="n">
        <v>0</v>
      </c>
      <c r="G72" s="13" t="n">
        <v>0</v>
      </c>
      <c r="H72" s="13" t="n">
        <v>0</v>
      </c>
      <c r="I72" s="13" t="n">
        <v>0</v>
      </c>
      <c r="J72" s="13" t="b">
        <f aca="false">IF(ISBLANK(I72),"", IF($I$2:$I1069 = "Gohar Rehan","Overnight",IF($I$2:$I1069 = "Taufeeq Akhtar ","Overnight",IF($I$2:$I1069 = "Zeeshan Ali Malik","Audit",IF($I$2:$I1069 = "Ali Raza ","Receiving",IF($I$2:$I1069 = "Ali Ahmad","Full-In"))))))</f>
        <v>0</v>
      </c>
      <c r="K72" s="39" t="e">
        <f aca="false">IFERROR(VLOOKUP(D72,'Brand manager data '!A:B,2,0))</f>
        <v>#VALUE!</v>
      </c>
      <c r="L72" s="13" t="n">
        <v>0</v>
      </c>
      <c r="M72" s="13" t="str">
        <v>Yes</v>
      </c>
      <c r="N72" s="22"/>
      <c r="Q72" s="40"/>
      <c r="R72" s="13" t="b">
        <f aca="false">FALSE()</f>
        <v>0</v>
      </c>
      <c r="S72" s="13" t="n">
        <v>0</v>
      </c>
      <c r="T72" s="13" t="n">
        <f aca="false">S72*F72</f>
        <v>0</v>
      </c>
      <c r="U72" s="13" t="n">
        <v>0</v>
      </c>
      <c r="V72" s="13" t="n">
        <v>0</v>
      </c>
    </row>
    <row r="73" customFormat="false" ht="15.75" hidden="false" customHeight="false" outlineLevel="0" collapsed="false">
      <c r="A73" s="13" t="n">
        <v>0</v>
      </c>
      <c r="B73" s="13" t="str">
        <v/>
      </c>
      <c r="C73" s="13" t="n">
        <v>0</v>
      </c>
      <c r="D73" s="13" t="n">
        <v>0</v>
      </c>
      <c r="E73" s="13" t="str">
        <v/>
      </c>
      <c r="F73" s="13" t="n">
        <v>0</v>
      </c>
      <c r="G73" s="13" t="n">
        <v>0</v>
      </c>
      <c r="H73" s="13" t="n">
        <v>0</v>
      </c>
      <c r="I73" s="13" t="n">
        <v>0</v>
      </c>
      <c r="J73" s="13" t="b">
        <f aca="false">IF(ISBLANK(I73),"", IF($I$2:$I1070 = "Gohar Rehan","Overnight",IF($I$2:$I1070 = "Taufeeq Akhtar ","Overnight",IF($I$2:$I1070 = "Zeeshan Ali Malik","Audit",IF($I$2:$I1070 = "Ali Raza ","Receiving",IF($I$2:$I1070 = "Ali Ahmad","Full-In"))))))</f>
        <v>0</v>
      </c>
      <c r="K73" s="39" t="e">
        <f aca="false">IFERROR(VLOOKUP(D73,'Brand manager data '!A:B,2,0))</f>
        <v>#VALUE!</v>
      </c>
      <c r="L73" s="13" t="n">
        <v>0</v>
      </c>
      <c r="M73" s="13" t="str">
        <v>Yes</v>
      </c>
      <c r="N73" s="22"/>
      <c r="Q73" s="40"/>
      <c r="R73" s="13" t="b">
        <f aca="false">FALSE()</f>
        <v>0</v>
      </c>
      <c r="S73" s="13" t="n">
        <v>0</v>
      </c>
      <c r="T73" s="13" t="n">
        <f aca="false">S73*F73</f>
        <v>0</v>
      </c>
      <c r="U73" s="13" t="n">
        <v>0</v>
      </c>
      <c r="V73" s="13" t="n">
        <v>0</v>
      </c>
    </row>
    <row r="74" customFormat="false" ht="15.75" hidden="false" customHeight="false" outlineLevel="0" collapsed="false">
      <c r="A74" s="13" t="n">
        <v>0</v>
      </c>
      <c r="B74" s="13" t="str">
        <v/>
      </c>
      <c r="C74" s="13" t="n">
        <v>0</v>
      </c>
      <c r="D74" s="13" t="n">
        <v>0</v>
      </c>
      <c r="E74" s="13" t="str">
        <v/>
      </c>
      <c r="F74" s="13" t="n">
        <v>0</v>
      </c>
      <c r="G74" s="13" t="n">
        <v>0</v>
      </c>
      <c r="H74" s="13" t="n">
        <v>0</v>
      </c>
      <c r="I74" s="13" t="n">
        <v>0</v>
      </c>
      <c r="J74" s="13" t="b">
        <f aca="false">IF(ISBLANK(I74),"", IF($I$2:$I1071 = "Gohar Rehan","Overnight",IF($I$2:$I1071 = "Taufeeq Akhtar ","Overnight",IF($I$2:$I1071 = "Zeeshan Ali Malik","Audit",IF($I$2:$I1071 = "Ali Raza ","Receiving",IF($I$2:$I1071 = "Ali Ahmad","Full-In"))))))</f>
        <v>0</v>
      </c>
      <c r="K74" s="39" t="e">
        <f aca="false">IFERROR(VLOOKUP(D74,'Brand manager data '!A:B,2,0))</f>
        <v>#VALUE!</v>
      </c>
      <c r="L74" s="13" t="n">
        <v>0</v>
      </c>
      <c r="M74" s="13" t="str">
        <v>Yes</v>
      </c>
      <c r="N74" s="22"/>
      <c r="Q74" s="40"/>
      <c r="R74" s="13" t="b">
        <f aca="false">FALSE()</f>
        <v>0</v>
      </c>
      <c r="S74" s="13" t="n">
        <v>0</v>
      </c>
      <c r="T74" s="13" t="n">
        <f aca="false">S74*F74</f>
        <v>0</v>
      </c>
      <c r="U74" s="13" t="n">
        <v>0</v>
      </c>
      <c r="V74" s="13" t="n">
        <v>0</v>
      </c>
    </row>
    <row r="75" customFormat="false" ht="15.75" hidden="false" customHeight="false" outlineLevel="0" collapsed="false">
      <c r="A75" s="13" t="n">
        <v>0</v>
      </c>
      <c r="B75" s="13" t="str">
        <v/>
      </c>
      <c r="C75" s="13" t="n">
        <v>0</v>
      </c>
      <c r="D75" s="13" t="n">
        <v>0</v>
      </c>
      <c r="E75" s="13" t="str">
        <v/>
      </c>
      <c r="F75" s="13" t="n">
        <v>0</v>
      </c>
      <c r="G75" s="13" t="n">
        <v>0</v>
      </c>
      <c r="H75" s="13" t="n">
        <v>0</v>
      </c>
      <c r="I75" s="13" t="n">
        <v>0</v>
      </c>
      <c r="J75" s="13" t="b">
        <f aca="false">IF(ISBLANK(I75),"", IF($I$2:$I1072 = "Gohar Rehan","Overnight",IF($I$2:$I1072 = "Taufeeq Akhtar ","Overnight",IF($I$2:$I1072 = "Zeeshan Ali Malik","Audit",IF($I$2:$I1072 = "Ali Raza ","Receiving",IF($I$2:$I1072 = "Ali Ahmad","Full-In"))))))</f>
        <v>0</v>
      </c>
      <c r="K75" s="39" t="e">
        <f aca="false">IFERROR(VLOOKUP(D75,'Brand manager data '!A:B,2,0))</f>
        <v>#VALUE!</v>
      </c>
      <c r="L75" s="13" t="n">
        <v>0</v>
      </c>
      <c r="M75" s="13" t="str">
        <v>Yes</v>
      </c>
      <c r="N75" s="22"/>
      <c r="Q75" s="40"/>
      <c r="R75" s="13" t="b">
        <f aca="false">FALSE()</f>
        <v>0</v>
      </c>
      <c r="S75" s="13" t="n">
        <v>0</v>
      </c>
      <c r="T75" s="13" t="n">
        <f aca="false">S75*F75</f>
        <v>0</v>
      </c>
      <c r="U75" s="13" t="n">
        <v>0</v>
      </c>
      <c r="V75" s="13" t="n">
        <v>0</v>
      </c>
    </row>
    <row r="76" customFormat="false" ht="15.75" hidden="false" customHeight="false" outlineLevel="0" collapsed="false">
      <c r="A76" s="13" t="n">
        <v>0</v>
      </c>
      <c r="B76" s="13" t="str">
        <v/>
      </c>
      <c r="C76" s="13" t="n">
        <v>0</v>
      </c>
      <c r="D76" s="13" t="n">
        <v>0</v>
      </c>
      <c r="E76" s="13" t="str">
        <v/>
      </c>
      <c r="F76" s="13" t="n">
        <v>0</v>
      </c>
      <c r="G76" s="13" t="n">
        <v>0</v>
      </c>
      <c r="H76" s="13" t="n">
        <v>0</v>
      </c>
      <c r="I76" s="13" t="n">
        <v>0</v>
      </c>
      <c r="J76" s="13" t="b">
        <f aca="false">IF(ISBLANK(I76),"", IF($I$2:$I1073 = "Gohar Rehan","Overnight",IF($I$2:$I1073 = "Taufeeq Akhtar ","Overnight",IF($I$2:$I1073 = "Zeeshan Ali Malik","Audit",IF($I$2:$I1073 = "Ali Raza ","Receiving",IF($I$2:$I1073 = "Ali Ahmad","Full-In"))))))</f>
        <v>0</v>
      </c>
      <c r="K76" s="39" t="e">
        <f aca="false">IFERROR(VLOOKUP(D76,'Brand manager data '!A:B,2,0))</f>
        <v>#VALUE!</v>
      </c>
      <c r="L76" s="13" t="n">
        <v>0</v>
      </c>
      <c r="M76" s="13" t="str">
        <v>Yes</v>
      </c>
      <c r="N76" s="22"/>
      <c r="Q76" s="40"/>
      <c r="R76" s="13" t="b">
        <f aca="false">FALSE()</f>
        <v>0</v>
      </c>
      <c r="S76" s="13" t="n">
        <v>0</v>
      </c>
      <c r="T76" s="13" t="n">
        <f aca="false">S76*F76</f>
        <v>0</v>
      </c>
      <c r="U76" s="13" t="n">
        <v>0</v>
      </c>
      <c r="V76" s="13" t="n">
        <v>0</v>
      </c>
    </row>
    <row r="77" customFormat="false" ht="15.75" hidden="false" customHeight="false" outlineLevel="0" collapsed="false">
      <c r="A77" s="13" t="n">
        <v>0</v>
      </c>
      <c r="B77" s="13" t="str">
        <v/>
      </c>
      <c r="C77" s="13" t="n">
        <v>0</v>
      </c>
      <c r="D77" s="13" t="n">
        <v>0</v>
      </c>
      <c r="E77" s="13" t="str">
        <v/>
      </c>
      <c r="F77" s="13" t="n">
        <v>0</v>
      </c>
      <c r="G77" s="13" t="n">
        <v>0</v>
      </c>
      <c r="H77" s="13" t="n">
        <v>0</v>
      </c>
      <c r="I77" s="13" t="n">
        <v>0</v>
      </c>
      <c r="J77" s="13" t="b">
        <f aca="false">IF(ISBLANK(I77),"", IF($I$2:$I1074 = "Gohar Rehan","Overnight",IF($I$2:$I1074 = "Taufeeq Akhtar ","Overnight",IF($I$2:$I1074 = "Zeeshan Ali Malik","Audit",IF($I$2:$I1074 = "Ali Raza ","Receiving",IF($I$2:$I1074 = "Ali Ahmad","Full-In"))))))</f>
        <v>0</v>
      </c>
      <c r="K77" s="39" t="e">
        <f aca="false">IFERROR(VLOOKUP(D77,'Brand manager data '!A:B,2,0))</f>
        <v>#VALUE!</v>
      </c>
      <c r="L77" s="13" t="n">
        <v>0</v>
      </c>
      <c r="M77" s="13" t="str">
        <v>Yes</v>
      </c>
      <c r="N77" s="22"/>
      <c r="Q77" s="40"/>
      <c r="R77" s="13" t="b">
        <f aca="false">FALSE()</f>
        <v>0</v>
      </c>
      <c r="S77" s="13" t="n">
        <v>0</v>
      </c>
      <c r="T77" s="13" t="n">
        <f aca="false">S77*F77</f>
        <v>0</v>
      </c>
      <c r="U77" s="13" t="n">
        <v>0</v>
      </c>
      <c r="V77" s="13" t="n">
        <v>0</v>
      </c>
    </row>
    <row r="78" customFormat="false" ht="15.75" hidden="false" customHeight="false" outlineLevel="0" collapsed="false">
      <c r="A78" s="13" t="n">
        <v>0</v>
      </c>
      <c r="B78" s="13" t="str">
        <v/>
      </c>
      <c r="C78" s="13" t="n">
        <v>0</v>
      </c>
      <c r="D78" s="13" t="n">
        <v>0</v>
      </c>
      <c r="E78" s="13" t="str">
        <v/>
      </c>
      <c r="F78" s="13" t="n">
        <v>0</v>
      </c>
      <c r="G78" s="13" t="n">
        <v>0</v>
      </c>
      <c r="H78" s="13" t="n">
        <v>0</v>
      </c>
      <c r="I78" s="13" t="n">
        <v>0</v>
      </c>
      <c r="J78" s="13" t="b">
        <f aca="false">IF(ISBLANK(I78),"", IF($I$2:$I1075 = "Gohar Rehan","Overnight",IF($I$2:$I1075 = "Taufeeq Akhtar ","Overnight",IF($I$2:$I1075 = "Zeeshan Ali Malik","Audit",IF($I$2:$I1075 = "Ali Raza ","Receiving",IF($I$2:$I1075 = "Ali Ahmad","Full-In"))))))</f>
        <v>0</v>
      </c>
      <c r="K78" s="39" t="e">
        <f aca="false">IFERROR(VLOOKUP(D78,'Brand manager data '!A:B,2,0))</f>
        <v>#VALUE!</v>
      </c>
      <c r="L78" s="13" t="n">
        <v>0</v>
      </c>
      <c r="M78" s="13" t="str">
        <v>Yes</v>
      </c>
      <c r="N78" s="22"/>
      <c r="Q78" s="40"/>
      <c r="R78" s="13" t="b">
        <f aca="false">FALSE()</f>
        <v>0</v>
      </c>
      <c r="S78" s="13" t="n">
        <v>0</v>
      </c>
      <c r="T78" s="13" t="n">
        <f aca="false">S78*F78</f>
        <v>0</v>
      </c>
      <c r="U78" s="13" t="n">
        <v>0</v>
      </c>
      <c r="V78" s="13" t="n">
        <v>0</v>
      </c>
    </row>
    <row r="79" customFormat="false" ht="15.75" hidden="false" customHeight="false" outlineLevel="0" collapsed="false">
      <c r="A79" s="13" t="n">
        <v>0</v>
      </c>
      <c r="B79" s="13" t="str">
        <v/>
      </c>
      <c r="C79" s="13" t="n">
        <v>0</v>
      </c>
      <c r="D79" s="13" t="n">
        <v>0</v>
      </c>
      <c r="E79" s="13" t="str">
        <v/>
      </c>
      <c r="F79" s="13" t="n">
        <v>0</v>
      </c>
      <c r="G79" s="13" t="n">
        <v>0</v>
      </c>
      <c r="H79" s="13" t="n">
        <v>0</v>
      </c>
      <c r="I79" s="13" t="n">
        <v>0</v>
      </c>
      <c r="J79" s="13" t="b">
        <f aca="false">IF(ISBLANK(I79),"", IF($I$2:$I1076 = "Gohar Rehan","Overnight",IF($I$2:$I1076 = "Taufeeq Akhtar ","Overnight",IF($I$2:$I1076 = "Zeeshan Ali Malik","Audit",IF($I$2:$I1076 = "Ali Raza ","Receiving",IF($I$2:$I1076 = "Ali Ahmad","Full-In"))))))</f>
        <v>0</v>
      </c>
      <c r="K79" s="39" t="e">
        <f aca="false">IFERROR(VLOOKUP(D79,'Brand manager data '!A:B,2,0))</f>
        <v>#VALUE!</v>
      </c>
      <c r="L79" s="13" t="n">
        <v>0</v>
      </c>
      <c r="M79" s="13" t="str">
        <v>Yes</v>
      </c>
      <c r="N79" s="22"/>
      <c r="Q79" s="40"/>
      <c r="R79" s="13" t="b">
        <f aca="false">FALSE()</f>
        <v>0</v>
      </c>
      <c r="S79" s="13" t="n">
        <v>0</v>
      </c>
      <c r="T79" s="13" t="n">
        <f aca="false">S79*F79</f>
        <v>0</v>
      </c>
      <c r="U79" s="13" t="n">
        <v>0</v>
      </c>
      <c r="V79" s="13" t="n">
        <v>0</v>
      </c>
    </row>
    <row r="80" customFormat="false" ht="15.75" hidden="false" customHeight="false" outlineLevel="0" collapsed="false">
      <c r="A80" s="13" t="n">
        <v>0</v>
      </c>
      <c r="B80" s="13" t="str">
        <v/>
      </c>
      <c r="C80" s="13" t="n">
        <v>0</v>
      </c>
      <c r="D80" s="13" t="n">
        <v>0</v>
      </c>
      <c r="E80" s="13" t="str">
        <v/>
      </c>
      <c r="F80" s="13" t="n">
        <v>0</v>
      </c>
      <c r="G80" s="13" t="n">
        <v>0</v>
      </c>
      <c r="H80" s="13" t="n">
        <v>0</v>
      </c>
      <c r="I80" s="13" t="n">
        <v>0</v>
      </c>
      <c r="J80" s="13" t="b">
        <f aca="false">IF(ISBLANK(I80),"", IF($I$2:$I1077 = "Gohar Rehan","Overnight",IF($I$2:$I1077 = "Taufeeq Akhtar ","Overnight",IF($I$2:$I1077 = "Zeeshan Ali Malik","Audit",IF($I$2:$I1077 = "Ali Raza ","Receiving",IF($I$2:$I1077 = "Ali Ahmad","Full-In"))))))</f>
        <v>0</v>
      </c>
      <c r="K80" s="39" t="e">
        <f aca="false">IFERROR(VLOOKUP(D80,'Brand manager data '!A:B,2,0))</f>
        <v>#VALUE!</v>
      </c>
      <c r="L80" s="13" t="n">
        <v>0</v>
      </c>
      <c r="M80" s="13" t="str">
        <v>Yes</v>
      </c>
      <c r="N80" s="22"/>
      <c r="Q80" s="40"/>
      <c r="R80" s="13" t="b">
        <f aca="false">FALSE()</f>
        <v>0</v>
      </c>
      <c r="S80" s="13" t="n">
        <v>0</v>
      </c>
      <c r="T80" s="13" t="n">
        <f aca="false">S80*F80</f>
        <v>0</v>
      </c>
      <c r="U80" s="13" t="n">
        <v>0</v>
      </c>
      <c r="V80" s="13" t="n">
        <v>0</v>
      </c>
    </row>
    <row r="81" customFormat="false" ht="15.75" hidden="false" customHeight="false" outlineLevel="0" collapsed="false">
      <c r="A81" s="13" t="n">
        <v>0</v>
      </c>
      <c r="B81" s="13" t="str">
        <v/>
      </c>
      <c r="C81" s="13" t="n">
        <v>0</v>
      </c>
      <c r="D81" s="13" t="n">
        <v>0</v>
      </c>
      <c r="E81" s="13" t="str">
        <v/>
      </c>
      <c r="F81" s="13" t="n">
        <v>0</v>
      </c>
      <c r="G81" s="13" t="n">
        <v>0</v>
      </c>
      <c r="H81" s="13" t="n">
        <v>0</v>
      </c>
      <c r="I81" s="13" t="n">
        <v>0</v>
      </c>
      <c r="J81" s="13" t="b">
        <f aca="false">IF(ISBLANK(I81),"", IF($I$2:$I1078 = "Gohar Rehan","Overnight",IF($I$2:$I1078 = "Taufeeq Akhtar ","Overnight",IF($I$2:$I1078 = "Zeeshan Ali Malik","Audit",IF($I$2:$I1078 = "Ali Raza ","Receiving",IF($I$2:$I1078 = "Ali Ahmad","Full-In"))))))</f>
        <v>0</v>
      </c>
      <c r="K81" s="39" t="e">
        <f aca="false">IFERROR(VLOOKUP(D81,'Brand manager data '!A:B,2,0))</f>
        <v>#VALUE!</v>
      </c>
      <c r="L81" s="13" t="n">
        <v>0</v>
      </c>
      <c r="M81" s="13" t="str">
        <v>Yes</v>
      </c>
      <c r="N81" s="22"/>
      <c r="Q81" s="40"/>
      <c r="R81" s="13" t="b">
        <f aca="false">FALSE()</f>
        <v>0</v>
      </c>
      <c r="S81" s="13" t="n">
        <v>0</v>
      </c>
      <c r="T81" s="13" t="n">
        <f aca="false">S81*F81</f>
        <v>0</v>
      </c>
      <c r="U81" s="13" t="n">
        <v>0</v>
      </c>
      <c r="V81" s="13" t="n">
        <v>0</v>
      </c>
    </row>
    <row r="82" customFormat="false" ht="15.75" hidden="false" customHeight="false" outlineLevel="0" collapsed="false">
      <c r="A82" s="13" t="n">
        <v>0</v>
      </c>
      <c r="B82" s="13" t="str">
        <v/>
      </c>
      <c r="C82" s="13" t="n">
        <v>0</v>
      </c>
      <c r="D82" s="13" t="n">
        <v>0</v>
      </c>
      <c r="E82" s="13" t="str">
        <v/>
      </c>
      <c r="F82" s="13" t="n">
        <v>0</v>
      </c>
      <c r="G82" s="13" t="n">
        <v>0</v>
      </c>
      <c r="H82" s="13" t="n">
        <v>0</v>
      </c>
      <c r="I82" s="13" t="n">
        <v>0</v>
      </c>
      <c r="J82" s="13" t="b">
        <f aca="false">IF(ISBLANK(I82),"", IF($I$2:$I1079 = "Gohar Rehan","Overnight",IF($I$2:$I1079 = "Taufeeq Akhtar ","Overnight",IF($I$2:$I1079 = "Zeeshan Ali Malik","Audit",IF($I$2:$I1079 = "Ali Raza ","Receiving",IF($I$2:$I1079 = "Ali Ahmad","Full-In"))))))</f>
        <v>0</v>
      </c>
      <c r="K82" s="39" t="e">
        <f aca="false">IFERROR(VLOOKUP(D82,'Brand manager data '!A:B,2,0))</f>
        <v>#VALUE!</v>
      </c>
      <c r="L82" s="13" t="n">
        <v>0</v>
      </c>
      <c r="M82" s="13" t="str">
        <v>Yes</v>
      </c>
      <c r="N82" s="22"/>
      <c r="Q82" s="40"/>
      <c r="R82" s="13" t="b">
        <f aca="false">FALSE()</f>
        <v>0</v>
      </c>
      <c r="S82" s="13" t="n">
        <v>0</v>
      </c>
      <c r="T82" s="13" t="n">
        <f aca="false">S82*F82</f>
        <v>0</v>
      </c>
      <c r="U82" s="13" t="n">
        <v>0</v>
      </c>
      <c r="V82" s="13" t="n">
        <v>0</v>
      </c>
    </row>
    <row r="83" customFormat="false" ht="15.75" hidden="false" customHeight="false" outlineLevel="0" collapsed="false">
      <c r="A83" s="13" t="n">
        <v>0</v>
      </c>
      <c r="B83" s="13" t="str">
        <v/>
      </c>
      <c r="C83" s="13" t="n">
        <v>0</v>
      </c>
      <c r="D83" s="13" t="n">
        <v>0</v>
      </c>
      <c r="E83" s="13" t="str">
        <v/>
      </c>
      <c r="F83" s="13" t="n">
        <v>0</v>
      </c>
      <c r="G83" s="13" t="n">
        <v>0</v>
      </c>
      <c r="H83" s="13" t="n">
        <v>0</v>
      </c>
      <c r="I83" s="13" t="n">
        <v>0</v>
      </c>
      <c r="J83" s="13" t="b">
        <f aca="false">IF(ISBLANK(I83),"", IF($I$2:$I1080 = "Gohar Rehan","Overnight",IF($I$2:$I1080 = "Taufeeq Akhtar ","Overnight",IF($I$2:$I1080 = "Zeeshan Ali Malik","Audit",IF($I$2:$I1080 = "Ali Raza ","Receiving",IF($I$2:$I1080 = "Ali Ahmad","Full-In"))))))</f>
        <v>0</v>
      </c>
      <c r="K83" s="39" t="e">
        <f aca="false">IFERROR(VLOOKUP(D83,'Brand manager data '!A:B,2,0))</f>
        <v>#VALUE!</v>
      </c>
      <c r="L83" s="13" t="n">
        <v>0</v>
      </c>
      <c r="M83" s="13" t="str">
        <v>Yes</v>
      </c>
      <c r="N83" s="22"/>
      <c r="Q83" s="40"/>
      <c r="R83" s="13" t="b">
        <f aca="false">FALSE()</f>
        <v>0</v>
      </c>
      <c r="S83" s="13" t="n">
        <v>0</v>
      </c>
      <c r="T83" s="13" t="n">
        <f aca="false">S83*F83</f>
        <v>0</v>
      </c>
      <c r="U83" s="13" t="n">
        <v>0</v>
      </c>
      <c r="V83" s="13" t="n">
        <v>0</v>
      </c>
    </row>
    <row r="84" customFormat="false" ht="15.75" hidden="false" customHeight="false" outlineLevel="0" collapsed="false">
      <c r="A84" s="13" t="n">
        <v>0</v>
      </c>
      <c r="B84" s="13" t="str">
        <v/>
      </c>
      <c r="C84" s="13" t="n">
        <v>0</v>
      </c>
      <c r="D84" s="13" t="n">
        <v>0</v>
      </c>
      <c r="E84" s="13" t="str">
        <v/>
      </c>
      <c r="F84" s="13" t="n">
        <v>0</v>
      </c>
      <c r="G84" s="13" t="n">
        <v>0</v>
      </c>
      <c r="H84" s="13" t="n">
        <v>0</v>
      </c>
      <c r="I84" s="13" t="n">
        <v>0</v>
      </c>
      <c r="J84" s="13" t="b">
        <f aca="false">IF(ISBLANK(I84),"", IF($I$2:$I1081 = "Gohar Rehan","Overnight",IF($I$2:$I1081 = "Taufeeq Akhtar ","Overnight",IF($I$2:$I1081 = "Zeeshan Ali Malik","Audit",IF($I$2:$I1081 = "Ali Raza ","Receiving",IF($I$2:$I1081 = "Ali Ahmad","Full-In"))))))</f>
        <v>0</v>
      </c>
      <c r="K84" s="39" t="e">
        <f aca="false">IFERROR(VLOOKUP(D84,'Brand manager data '!A:B,2,0))</f>
        <v>#VALUE!</v>
      </c>
      <c r="L84" s="13" t="n">
        <v>0</v>
      </c>
      <c r="M84" s="13" t="str">
        <v>Yes</v>
      </c>
      <c r="N84" s="22"/>
      <c r="Q84" s="40"/>
      <c r="R84" s="13" t="b">
        <f aca="false">FALSE()</f>
        <v>0</v>
      </c>
      <c r="S84" s="13" t="n">
        <v>0</v>
      </c>
      <c r="T84" s="13" t="n">
        <f aca="false">S84*F84</f>
        <v>0</v>
      </c>
      <c r="U84" s="13" t="n">
        <v>0</v>
      </c>
      <c r="V84" s="13" t="n">
        <v>0</v>
      </c>
    </row>
    <row r="85" customFormat="false" ht="15.75" hidden="false" customHeight="false" outlineLevel="0" collapsed="false">
      <c r="A85" s="13" t="n">
        <v>0</v>
      </c>
      <c r="B85" s="13" t="str">
        <v/>
      </c>
      <c r="C85" s="13" t="n">
        <v>0</v>
      </c>
      <c r="D85" s="13" t="n">
        <v>0</v>
      </c>
      <c r="E85" s="13" t="str">
        <v/>
      </c>
      <c r="F85" s="13" t="n">
        <v>0</v>
      </c>
      <c r="G85" s="13" t="n">
        <v>0</v>
      </c>
      <c r="H85" s="13" t="n">
        <v>0</v>
      </c>
      <c r="I85" s="13" t="n">
        <v>0</v>
      </c>
      <c r="J85" s="13" t="b">
        <f aca="false">IF(ISBLANK(I85),"", IF($I$2:$I1082 = "Gohar Rehan","Overnight",IF($I$2:$I1082 = "Taufeeq Akhtar ","Overnight",IF($I$2:$I1082 = "Zeeshan Ali Malik","Audit",IF($I$2:$I1082 = "Ali Raza ","Receiving",IF($I$2:$I1082 = "Ali Ahmad","Full-In"))))))</f>
        <v>0</v>
      </c>
      <c r="K85" s="39" t="e">
        <f aca="false">IFERROR(VLOOKUP(D85,'Brand manager data '!A:B,2,0))</f>
        <v>#VALUE!</v>
      </c>
      <c r="L85" s="13" t="n">
        <v>0</v>
      </c>
      <c r="M85" s="13" t="str">
        <v>Yes</v>
      </c>
      <c r="N85" s="22"/>
      <c r="Q85" s="40"/>
      <c r="R85" s="13" t="b">
        <f aca="false">FALSE()</f>
        <v>0</v>
      </c>
      <c r="S85" s="13" t="n">
        <v>0</v>
      </c>
      <c r="T85" s="13" t="n">
        <f aca="false">S85*F85</f>
        <v>0</v>
      </c>
      <c r="U85" s="13" t="n">
        <v>0</v>
      </c>
      <c r="V85" s="13" t="n">
        <v>0</v>
      </c>
    </row>
    <row r="86" customFormat="false" ht="15.75" hidden="false" customHeight="false" outlineLevel="0" collapsed="false">
      <c r="A86" s="13" t="n">
        <v>0</v>
      </c>
      <c r="B86" s="13" t="str">
        <v/>
      </c>
      <c r="C86" s="13" t="n">
        <v>0</v>
      </c>
      <c r="D86" s="13" t="n">
        <v>0</v>
      </c>
      <c r="E86" s="13" t="str">
        <v/>
      </c>
      <c r="F86" s="13" t="n">
        <v>0</v>
      </c>
      <c r="G86" s="13" t="n">
        <v>0</v>
      </c>
      <c r="H86" s="13" t="n">
        <v>0</v>
      </c>
      <c r="I86" s="13" t="n">
        <v>0</v>
      </c>
      <c r="J86" s="13" t="b">
        <f aca="false">IF(ISBLANK(I86),"", IF($I$2:$I1083 = "Gohar Rehan","Overnight",IF($I$2:$I1083 = "Taufeeq Akhtar ","Overnight",IF($I$2:$I1083 = "Zeeshan Ali Malik","Audit",IF($I$2:$I1083 = "Ali Raza ","Receiving",IF($I$2:$I1083 = "Ali Ahmad","Full-In"))))))</f>
        <v>0</v>
      </c>
      <c r="K86" s="39" t="e">
        <f aca="false">IFERROR(VLOOKUP(D86,'Brand manager data '!A:B,2,0))</f>
        <v>#VALUE!</v>
      </c>
      <c r="L86" s="13" t="n">
        <v>0</v>
      </c>
      <c r="M86" s="13" t="str">
        <v>Yes</v>
      </c>
      <c r="N86" s="22"/>
      <c r="Q86" s="40"/>
      <c r="R86" s="13" t="b">
        <f aca="false">FALSE()</f>
        <v>0</v>
      </c>
      <c r="S86" s="13" t="n">
        <v>0</v>
      </c>
      <c r="T86" s="13" t="n">
        <f aca="false">S86*F86</f>
        <v>0</v>
      </c>
      <c r="U86" s="13" t="n">
        <v>0</v>
      </c>
      <c r="V86" s="13" t="n">
        <v>0</v>
      </c>
    </row>
    <row r="87" customFormat="false" ht="15.75" hidden="false" customHeight="false" outlineLevel="0" collapsed="false">
      <c r="A87" s="13" t="n">
        <v>0</v>
      </c>
      <c r="B87" s="13" t="str">
        <v/>
      </c>
      <c r="C87" s="13" t="n">
        <v>0</v>
      </c>
      <c r="D87" s="13" t="n">
        <v>0</v>
      </c>
      <c r="E87" s="13" t="str">
        <v/>
      </c>
      <c r="F87" s="13" t="n">
        <v>0</v>
      </c>
      <c r="G87" s="13" t="n">
        <v>0</v>
      </c>
      <c r="H87" s="13" t="n">
        <v>0</v>
      </c>
      <c r="I87" s="13" t="n">
        <v>0</v>
      </c>
      <c r="J87" s="13" t="b">
        <f aca="false">IF(ISBLANK(I87),"", IF($I$2:$I1084 = "Gohar Rehan","Overnight",IF($I$2:$I1084 = "Taufeeq Akhtar ","Overnight",IF($I$2:$I1084 = "Zeeshan Ali Malik","Audit",IF($I$2:$I1084 = "Ali Raza ","Receiving",IF($I$2:$I1084 = "Ali Ahmad","Full-In"))))))</f>
        <v>0</v>
      </c>
      <c r="K87" s="39" t="e">
        <f aca="false">IFERROR(VLOOKUP(D87,'Brand manager data '!A:B,2,0))</f>
        <v>#VALUE!</v>
      </c>
      <c r="L87" s="13" t="n">
        <v>0</v>
      </c>
      <c r="M87" s="13" t="str">
        <v>Yes</v>
      </c>
      <c r="N87" s="22"/>
      <c r="Q87" s="40"/>
      <c r="R87" s="13" t="b">
        <f aca="false">FALSE()</f>
        <v>0</v>
      </c>
      <c r="S87" s="13" t="n">
        <v>0</v>
      </c>
      <c r="T87" s="13" t="n">
        <f aca="false">S87*F87</f>
        <v>0</v>
      </c>
      <c r="U87" s="13" t="n">
        <v>0</v>
      </c>
      <c r="V87" s="13" t="n">
        <v>0</v>
      </c>
    </row>
    <row r="88" customFormat="false" ht="15.75" hidden="false" customHeight="false" outlineLevel="0" collapsed="false">
      <c r="A88" s="13" t="n">
        <v>0</v>
      </c>
      <c r="B88" s="13" t="str">
        <v/>
      </c>
      <c r="C88" s="13" t="n">
        <v>0</v>
      </c>
      <c r="D88" s="13" t="n">
        <v>0</v>
      </c>
      <c r="E88" s="13" t="str">
        <v/>
      </c>
      <c r="F88" s="13" t="n">
        <v>0</v>
      </c>
      <c r="G88" s="13" t="n">
        <v>0</v>
      </c>
      <c r="H88" s="13" t="n">
        <v>0</v>
      </c>
      <c r="I88" s="13" t="n">
        <v>0</v>
      </c>
      <c r="J88" s="13" t="b">
        <f aca="false">IF(ISBLANK(I88),"", IF($I$2:$I1085 = "Gohar Rehan","Overnight",IF($I$2:$I1085 = "Taufeeq Akhtar ","Overnight",IF($I$2:$I1085 = "Zeeshan Ali Malik","Audit",IF($I$2:$I1085 = "Ali Raza ","Receiving",IF($I$2:$I1085 = "Ali Ahmad","Full-In"))))))</f>
        <v>0</v>
      </c>
      <c r="K88" s="39" t="e">
        <f aca="false">IFERROR(VLOOKUP(D88,'Brand manager data '!A:B,2,0))</f>
        <v>#VALUE!</v>
      </c>
      <c r="L88" s="13" t="n">
        <v>0</v>
      </c>
      <c r="M88" s="13" t="str">
        <v>Yes</v>
      </c>
      <c r="N88" s="22"/>
      <c r="Q88" s="40"/>
      <c r="R88" s="13" t="b">
        <f aca="false">FALSE()</f>
        <v>0</v>
      </c>
      <c r="S88" s="13" t="n">
        <v>0</v>
      </c>
      <c r="T88" s="13" t="n">
        <f aca="false">S88*F88</f>
        <v>0</v>
      </c>
      <c r="U88" s="13" t="n">
        <v>0</v>
      </c>
      <c r="V88" s="13" t="n">
        <v>0</v>
      </c>
    </row>
    <row r="89" customFormat="false" ht="15.75" hidden="false" customHeight="false" outlineLevel="0" collapsed="false">
      <c r="A89" s="13" t="n">
        <v>0</v>
      </c>
      <c r="B89" s="13" t="str">
        <v/>
      </c>
      <c r="C89" s="13" t="n">
        <v>0</v>
      </c>
      <c r="D89" s="13" t="n">
        <v>0</v>
      </c>
      <c r="E89" s="13" t="str">
        <v/>
      </c>
      <c r="F89" s="13" t="n">
        <v>0</v>
      </c>
      <c r="G89" s="13" t="n">
        <v>0</v>
      </c>
      <c r="H89" s="13" t="n">
        <v>0</v>
      </c>
      <c r="I89" s="13" t="n">
        <v>0</v>
      </c>
      <c r="J89" s="13" t="b">
        <f aca="false">IF(ISBLANK(I89),"", IF($I$2:$I1086 = "Gohar Rehan","Overnight",IF($I$2:$I1086 = "Taufeeq Akhtar ","Overnight",IF($I$2:$I1086 = "Zeeshan Ali Malik","Audit",IF($I$2:$I1086 = "Ali Raza ","Receiving",IF($I$2:$I1086 = "Ali Ahmad","Full-In"))))))</f>
        <v>0</v>
      </c>
      <c r="K89" s="39" t="e">
        <f aca="false">IFERROR(VLOOKUP(D89,'Brand manager data '!A:B,2,0))</f>
        <v>#VALUE!</v>
      </c>
      <c r="L89" s="13" t="n">
        <v>0</v>
      </c>
      <c r="M89" s="13" t="str">
        <v>Yes</v>
      </c>
      <c r="N89" s="22"/>
      <c r="Q89" s="40"/>
      <c r="R89" s="13" t="b">
        <f aca="false">FALSE()</f>
        <v>0</v>
      </c>
      <c r="S89" s="13" t="n">
        <v>0</v>
      </c>
      <c r="T89" s="13" t="n">
        <f aca="false">S89*F89</f>
        <v>0</v>
      </c>
      <c r="U89" s="13" t="n">
        <v>0</v>
      </c>
      <c r="V89" s="13" t="n">
        <v>0</v>
      </c>
    </row>
    <row r="90" customFormat="false" ht="15.75" hidden="false" customHeight="false" outlineLevel="0" collapsed="false">
      <c r="A90" s="13" t="n">
        <v>0</v>
      </c>
      <c r="B90" s="13" t="str">
        <v/>
      </c>
      <c r="C90" s="13" t="n">
        <v>0</v>
      </c>
      <c r="D90" s="13" t="n">
        <v>0</v>
      </c>
      <c r="E90" s="13" t="str">
        <v/>
      </c>
      <c r="F90" s="13" t="n">
        <v>0</v>
      </c>
      <c r="G90" s="13" t="n">
        <v>0</v>
      </c>
      <c r="H90" s="13" t="n">
        <v>0</v>
      </c>
      <c r="I90" s="13" t="n">
        <v>0</v>
      </c>
      <c r="J90" s="13" t="b">
        <f aca="false">IF(ISBLANK(I90),"", IF($I$2:$I1087 = "Gohar Rehan","Overnight",IF($I$2:$I1087 = "Taufeeq Akhtar ","Overnight",IF($I$2:$I1087 = "Zeeshan Ali Malik","Audit",IF($I$2:$I1087 = "Ali Raza ","Receiving",IF($I$2:$I1087 = "Ali Ahmad","Full-In"))))))</f>
        <v>0</v>
      </c>
      <c r="K90" s="39" t="e">
        <f aca="false">IFERROR(VLOOKUP(D90,'Brand manager data '!A:B,2,0))</f>
        <v>#VALUE!</v>
      </c>
      <c r="L90" s="13" t="n">
        <v>0</v>
      </c>
      <c r="M90" s="13" t="str">
        <v>Yes</v>
      </c>
      <c r="N90" s="22"/>
      <c r="Q90" s="40"/>
      <c r="R90" s="13" t="b">
        <f aca="false">FALSE()</f>
        <v>0</v>
      </c>
      <c r="S90" s="13" t="n">
        <v>0</v>
      </c>
      <c r="T90" s="13" t="n">
        <f aca="false">S90*F90</f>
        <v>0</v>
      </c>
      <c r="U90" s="13" t="n">
        <v>0</v>
      </c>
      <c r="V90" s="13" t="n">
        <v>0</v>
      </c>
    </row>
    <row r="91" customFormat="false" ht="15.75" hidden="false" customHeight="false" outlineLevel="0" collapsed="false">
      <c r="A91" s="13" t="n">
        <v>0</v>
      </c>
      <c r="B91" s="13" t="str">
        <v/>
      </c>
      <c r="C91" s="13" t="n">
        <v>0</v>
      </c>
      <c r="D91" s="13" t="n">
        <v>0</v>
      </c>
      <c r="E91" s="13" t="str">
        <v/>
      </c>
      <c r="F91" s="13" t="n">
        <v>0</v>
      </c>
      <c r="G91" s="13" t="n">
        <v>0</v>
      </c>
      <c r="H91" s="13" t="n">
        <v>0</v>
      </c>
      <c r="I91" s="13" t="n">
        <v>0</v>
      </c>
      <c r="J91" s="13" t="b">
        <f aca="false">IF(ISBLANK(I91),"", IF($I$2:$I1088 = "Gohar Rehan","Overnight",IF($I$2:$I1088 = "Taufeeq Akhtar ","Overnight",IF($I$2:$I1088 = "Zeeshan Ali Malik","Audit",IF($I$2:$I1088 = "Ali Raza ","Receiving",IF($I$2:$I1088 = "Ali Ahmad","Full-In"))))))</f>
        <v>0</v>
      </c>
      <c r="K91" s="39" t="e">
        <f aca="false">IFERROR(VLOOKUP(D91,'Brand manager data '!A:B,2,0))</f>
        <v>#VALUE!</v>
      </c>
      <c r="L91" s="13" t="n">
        <v>0</v>
      </c>
      <c r="M91" s="13" t="str">
        <v>Yes</v>
      </c>
      <c r="N91" s="22"/>
      <c r="Q91" s="40"/>
      <c r="R91" s="13" t="b">
        <f aca="false">FALSE()</f>
        <v>0</v>
      </c>
      <c r="S91" s="13" t="n">
        <v>0</v>
      </c>
      <c r="T91" s="13" t="n">
        <f aca="false">S91*F91</f>
        <v>0</v>
      </c>
      <c r="U91" s="13" t="n">
        <v>0</v>
      </c>
      <c r="V91" s="13" t="n">
        <v>0</v>
      </c>
    </row>
    <row r="92" customFormat="false" ht="15.75" hidden="false" customHeight="false" outlineLevel="0" collapsed="false">
      <c r="A92" s="13" t="n">
        <v>0</v>
      </c>
      <c r="B92" s="13" t="str">
        <v/>
      </c>
      <c r="C92" s="13" t="n">
        <v>0</v>
      </c>
      <c r="D92" s="13" t="n">
        <v>0</v>
      </c>
      <c r="E92" s="13" t="str">
        <v/>
      </c>
      <c r="F92" s="13" t="n">
        <v>0</v>
      </c>
      <c r="G92" s="13" t="n">
        <v>0</v>
      </c>
      <c r="H92" s="13" t="n">
        <v>0</v>
      </c>
      <c r="I92" s="13" t="n">
        <v>0</v>
      </c>
      <c r="J92" s="13" t="b">
        <f aca="false">IF(ISBLANK(I92),"", IF($I$2:$I1089 = "Gohar Rehan","Overnight",IF($I$2:$I1089 = "Taufeeq Akhtar ","Overnight",IF($I$2:$I1089 = "Zeeshan Ali Malik","Audit",IF($I$2:$I1089 = "Ali Raza ","Receiving",IF($I$2:$I1089 = "Ali Ahmad","Full-In"))))))</f>
        <v>0</v>
      </c>
      <c r="K92" s="39" t="e">
        <f aca="false">IFERROR(VLOOKUP(D92,'Brand manager data '!A:B,2,0))</f>
        <v>#VALUE!</v>
      </c>
      <c r="L92" s="13" t="n">
        <v>0</v>
      </c>
      <c r="M92" s="13" t="str">
        <v>Yes</v>
      </c>
      <c r="N92" s="22"/>
      <c r="Q92" s="40"/>
      <c r="R92" s="13" t="b">
        <f aca="false">FALSE()</f>
        <v>0</v>
      </c>
      <c r="S92" s="13" t="n">
        <v>0</v>
      </c>
      <c r="T92" s="13" t="n">
        <f aca="false">S92*F92</f>
        <v>0</v>
      </c>
      <c r="U92" s="13" t="n">
        <v>0</v>
      </c>
      <c r="V92" s="13" t="n">
        <v>0</v>
      </c>
    </row>
    <row r="93" customFormat="false" ht="15.75" hidden="false" customHeight="false" outlineLevel="0" collapsed="false">
      <c r="A93" s="13" t="n">
        <v>0</v>
      </c>
      <c r="B93" s="13" t="str">
        <v/>
      </c>
      <c r="C93" s="13" t="n">
        <v>0</v>
      </c>
      <c r="D93" s="13" t="n">
        <v>0</v>
      </c>
      <c r="E93" s="13" t="str">
        <v/>
      </c>
      <c r="F93" s="13" t="n">
        <v>0</v>
      </c>
      <c r="G93" s="13" t="n">
        <v>0</v>
      </c>
      <c r="H93" s="13" t="n">
        <v>0</v>
      </c>
      <c r="I93" s="13" t="n">
        <v>0</v>
      </c>
      <c r="J93" s="13" t="b">
        <f aca="false">IF(ISBLANK(I93),"", IF($I$2:$I1090 = "Gohar Rehan","Overnight",IF($I$2:$I1090 = "Taufeeq Akhtar ","Overnight",IF($I$2:$I1090 = "Zeeshan Ali Malik","Audit",IF($I$2:$I1090 = "Ali Raza ","Receiving",IF($I$2:$I1090 = "Ali Ahmad","Full-In"))))))</f>
        <v>0</v>
      </c>
      <c r="K93" s="39" t="e">
        <f aca="false">IFERROR(VLOOKUP(D93,'Brand manager data '!A:B,2,0))</f>
        <v>#VALUE!</v>
      </c>
      <c r="L93" s="13" t="n">
        <v>0</v>
      </c>
      <c r="M93" s="13" t="str">
        <v>Yes</v>
      </c>
      <c r="N93" s="22"/>
      <c r="Q93" s="40"/>
      <c r="R93" s="13" t="b">
        <f aca="false">FALSE()</f>
        <v>0</v>
      </c>
      <c r="S93" s="13" t="n">
        <v>0</v>
      </c>
      <c r="T93" s="13" t="n">
        <f aca="false">S93*F93</f>
        <v>0</v>
      </c>
      <c r="U93" s="13" t="n">
        <v>0</v>
      </c>
      <c r="V93" s="13" t="n">
        <v>0</v>
      </c>
    </row>
    <row r="94" customFormat="false" ht="15.75" hidden="false" customHeight="false" outlineLevel="0" collapsed="false">
      <c r="A94" s="13" t="n">
        <v>0</v>
      </c>
      <c r="B94" s="13" t="str">
        <v/>
      </c>
      <c r="C94" s="13" t="n">
        <v>0</v>
      </c>
      <c r="D94" s="13" t="n">
        <v>0</v>
      </c>
      <c r="E94" s="13" t="str">
        <v/>
      </c>
      <c r="F94" s="13" t="n">
        <v>0</v>
      </c>
      <c r="G94" s="13" t="n">
        <v>0</v>
      </c>
      <c r="H94" s="13" t="n">
        <v>0</v>
      </c>
      <c r="I94" s="13" t="n">
        <v>0</v>
      </c>
      <c r="J94" s="13" t="b">
        <f aca="false">IF(ISBLANK(I94),"", IF($I$2:$I1091 = "Gohar Rehan","Overnight",IF($I$2:$I1091 = "Taufeeq Akhtar ","Overnight",IF($I$2:$I1091 = "Zeeshan Ali Malik","Audit",IF($I$2:$I1091 = "Ali Raza ","Receiving",IF($I$2:$I1091 = "Ali Ahmad","Full-In"))))))</f>
        <v>0</v>
      </c>
      <c r="K94" s="39" t="e">
        <f aca="false">IFERROR(VLOOKUP(D94,'Brand manager data '!A:B,2,0))</f>
        <v>#VALUE!</v>
      </c>
      <c r="L94" s="13" t="n">
        <v>0</v>
      </c>
      <c r="M94" s="13" t="str">
        <v>Yes</v>
      </c>
      <c r="N94" s="22"/>
      <c r="Q94" s="40"/>
      <c r="R94" s="13" t="b">
        <f aca="false">FALSE()</f>
        <v>0</v>
      </c>
      <c r="S94" s="13" t="n">
        <v>0</v>
      </c>
      <c r="T94" s="13" t="n">
        <f aca="false">S94*F94</f>
        <v>0</v>
      </c>
      <c r="U94" s="13" t="n">
        <v>0</v>
      </c>
      <c r="V94" s="13" t="n">
        <v>0</v>
      </c>
    </row>
    <row r="95" customFormat="false" ht="15.75" hidden="false" customHeight="false" outlineLevel="0" collapsed="false">
      <c r="A95" s="13" t="n">
        <v>0</v>
      </c>
      <c r="B95" s="13" t="str">
        <v/>
      </c>
      <c r="C95" s="13" t="n">
        <v>0</v>
      </c>
      <c r="D95" s="13" t="n">
        <v>0</v>
      </c>
      <c r="E95" s="13" t="str">
        <v/>
      </c>
      <c r="F95" s="13" t="n">
        <v>0</v>
      </c>
      <c r="G95" s="13" t="n">
        <v>0</v>
      </c>
      <c r="H95" s="13" t="n">
        <v>0</v>
      </c>
      <c r="I95" s="13" t="n">
        <v>0</v>
      </c>
      <c r="J95" s="13" t="b">
        <f aca="false">IF(ISBLANK(I95),"", IF($I$2:$I1092 = "Gohar Rehan","Overnight",IF($I$2:$I1092 = "Taufeeq Akhtar ","Overnight",IF($I$2:$I1092 = "Zeeshan Ali Malik","Audit",IF($I$2:$I1092 = "Ali Raza ","Receiving",IF($I$2:$I1092 = "Ali Ahmad","Full-In"))))))</f>
        <v>0</v>
      </c>
      <c r="K95" s="39" t="e">
        <f aca="false">IFERROR(VLOOKUP(D95,'Brand manager data '!A:B,2,0))</f>
        <v>#VALUE!</v>
      </c>
      <c r="L95" s="13" t="n">
        <v>0</v>
      </c>
      <c r="M95" s="13" t="str">
        <v>Yes</v>
      </c>
      <c r="N95" s="22"/>
      <c r="Q95" s="40"/>
      <c r="R95" s="13" t="b">
        <f aca="false">FALSE()</f>
        <v>0</v>
      </c>
      <c r="S95" s="13" t="n">
        <v>0</v>
      </c>
      <c r="T95" s="13" t="n">
        <f aca="false">S95*F95</f>
        <v>0</v>
      </c>
      <c r="U95" s="13" t="n">
        <v>0</v>
      </c>
      <c r="V95" s="13" t="n">
        <v>0</v>
      </c>
    </row>
    <row r="96" customFormat="false" ht="15.75" hidden="false" customHeight="false" outlineLevel="0" collapsed="false">
      <c r="A96" s="13" t="n">
        <v>0</v>
      </c>
      <c r="B96" s="13" t="str">
        <v/>
      </c>
      <c r="C96" s="13" t="n">
        <v>0</v>
      </c>
      <c r="D96" s="13" t="n">
        <v>0</v>
      </c>
      <c r="E96" s="13" t="str">
        <v/>
      </c>
      <c r="F96" s="13" t="n">
        <v>0</v>
      </c>
      <c r="G96" s="13" t="n">
        <v>0</v>
      </c>
      <c r="H96" s="13" t="n">
        <v>0</v>
      </c>
      <c r="I96" s="13" t="n">
        <v>0</v>
      </c>
      <c r="J96" s="13" t="b">
        <f aca="false">IF(ISBLANK(I96),"", IF($I$2:$I1093 = "Gohar Rehan","Overnight",IF($I$2:$I1093 = "Taufeeq Akhtar ","Overnight",IF($I$2:$I1093 = "Zeeshan Ali Malik","Audit",IF($I$2:$I1093 = "Ali Raza ","Receiving",IF($I$2:$I1093 = "Ali Ahmad","Full-In"))))))</f>
        <v>0</v>
      </c>
      <c r="K96" s="39" t="e">
        <f aca="false">IFERROR(VLOOKUP(D96,'Brand manager data '!A:B,2,0))</f>
        <v>#VALUE!</v>
      </c>
      <c r="L96" s="13" t="n">
        <v>0</v>
      </c>
      <c r="M96" s="13" t="str">
        <v>Yes</v>
      </c>
      <c r="N96" s="22"/>
      <c r="Q96" s="40"/>
      <c r="R96" s="13" t="b">
        <f aca="false">FALSE()</f>
        <v>0</v>
      </c>
      <c r="S96" s="13" t="n">
        <v>0</v>
      </c>
      <c r="T96" s="13" t="n">
        <f aca="false">S96*F96</f>
        <v>0</v>
      </c>
      <c r="U96" s="13" t="n">
        <v>0</v>
      </c>
      <c r="V96" s="13" t="n">
        <v>0</v>
      </c>
    </row>
    <row r="97" customFormat="false" ht="15.75" hidden="false" customHeight="false" outlineLevel="0" collapsed="false">
      <c r="A97" s="13" t="n">
        <v>0</v>
      </c>
      <c r="B97" s="13" t="str">
        <v/>
      </c>
      <c r="C97" s="13" t="n">
        <v>0</v>
      </c>
      <c r="D97" s="13" t="n">
        <v>0</v>
      </c>
      <c r="E97" s="13" t="str">
        <v/>
      </c>
      <c r="F97" s="13" t="n">
        <v>0</v>
      </c>
      <c r="G97" s="13" t="n">
        <v>0</v>
      </c>
      <c r="H97" s="13" t="n">
        <v>0</v>
      </c>
      <c r="I97" s="13" t="n">
        <v>0</v>
      </c>
      <c r="J97" s="13" t="b">
        <f aca="false">IF(ISBLANK(I97),"", IF($I$2:$I1094 = "Gohar Rehan","Overnight",IF($I$2:$I1094 = "Taufeeq Akhtar ","Overnight",IF($I$2:$I1094 = "Zeeshan Ali Malik","Audit",IF($I$2:$I1094 = "Ali Raza ","Receiving",IF($I$2:$I1094 = "Ali Ahmad","Full-In"))))))</f>
        <v>0</v>
      </c>
      <c r="K97" s="39" t="e">
        <f aca="false">IFERROR(VLOOKUP(D97,'Brand manager data '!A:B,2,0))</f>
        <v>#VALUE!</v>
      </c>
      <c r="L97" s="13" t="n">
        <v>0</v>
      </c>
      <c r="M97" s="13" t="str">
        <v>Yes</v>
      </c>
      <c r="N97" s="22"/>
      <c r="Q97" s="40"/>
      <c r="R97" s="13" t="b">
        <f aca="false">FALSE()</f>
        <v>0</v>
      </c>
      <c r="S97" s="13" t="n">
        <v>0</v>
      </c>
      <c r="T97" s="13" t="n">
        <f aca="false">S97*F97</f>
        <v>0</v>
      </c>
      <c r="U97" s="13" t="n">
        <v>0</v>
      </c>
      <c r="V97" s="13" t="n">
        <v>0</v>
      </c>
    </row>
    <row r="98" customFormat="false" ht="15.75" hidden="false" customHeight="false" outlineLevel="0" collapsed="false">
      <c r="A98" s="13" t="n">
        <v>0</v>
      </c>
      <c r="B98" s="13" t="str">
        <v/>
      </c>
      <c r="C98" s="13" t="n">
        <v>0</v>
      </c>
      <c r="D98" s="13" t="n">
        <v>0</v>
      </c>
      <c r="E98" s="13" t="str">
        <v/>
      </c>
      <c r="F98" s="13" t="n">
        <v>0</v>
      </c>
      <c r="G98" s="13" t="n">
        <v>0</v>
      </c>
      <c r="H98" s="13" t="n">
        <v>0</v>
      </c>
      <c r="I98" s="13" t="n">
        <v>0</v>
      </c>
      <c r="J98" s="13" t="b">
        <f aca="false">IF(ISBLANK(I98),"", IF($I$2:$I1095 = "Gohar Rehan","Overnight",IF($I$2:$I1095 = "Taufeeq Akhtar ","Overnight",IF($I$2:$I1095 = "Zeeshan Ali Malik","Audit",IF($I$2:$I1095 = "Ali Raza ","Receiving",IF($I$2:$I1095 = "Ali Ahmad","Full-In"))))))</f>
        <v>0</v>
      </c>
      <c r="K98" s="39" t="e">
        <f aca="false">IFERROR(VLOOKUP(D98,'Brand manager data '!A:B,2,0))</f>
        <v>#VALUE!</v>
      </c>
      <c r="L98" s="13" t="n">
        <v>0</v>
      </c>
      <c r="M98" s="13" t="str">
        <v>Yes</v>
      </c>
      <c r="N98" s="22"/>
      <c r="Q98" s="40"/>
      <c r="R98" s="13" t="b">
        <f aca="false">FALSE()</f>
        <v>0</v>
      </c>
      <c r="S98" s="13" t="n">
        <v>0</v>
      </c>
      <c r="T98" s="13" t="n">
        <f aca="false">S98*F98</f>
        <v>0</v>
      </c>
      <c r="U98" s="13" t="n">
        <v>0</v>
      </c>
      <c r="V98" s="13" t="n">
        <v>0</v>
      </c>
    </row>
    <row r="99" customFormat="false" ht="15.75" hidden="false" customHeight="false" outlineLevel="0" collapsed="false">
      <c r="A99" s="13" t="n">
        <v>0</v>
      </c>
      <c r="B99" s="13" t="str">
        <v/>
      </c>
      <c r="C99" s="13" t="n">
        <v>0</v>
      </c>
      <c r="D99" s="13" t="n">
        <v>0</v>
      </c>
      <c r="E99" s="13" t="str">
        <v/>
      </c>
      <c r="F99" s="13" t="n">
        <v>0</v>
      </c>
      <c r="G99" s="13" t="n">
        <v>0</v>
      </c>
      <c r="H99" s="13" t="n">
        <v>0</v>
      </c>
      <c r="I99" s="13" t="n">
        <v>0</v>
      </c>
      <c r="J99" s="13" t="b">
        <f aca="false">IF(ISBLANK(I99),"", IF($I$2:$I1096 = "Gohar Rehan","Overnight",IF($I$2:$I1096 = "Taufeeq Akhtar ","Overnight",IF($I$2:$I1096 = "Zeeshan Ali Malik","Audit",IF($I$2:$I1096 = "Ali Raza ","Receiving",IF($I$2:$I1096 = "Ali Ahmad","Full-In"))))))</f>
        <v>0</v>
      </c>
      <c r="K99" s="39" t="e">
        <f aca="false">IFERROR(VLOOKUP(D99,'Brand manager data '!A:B,2,0))</f>
        <v>#VALUE!</v>
      </c>
      <c r="L99" s="13" t="n">
        <v>0</v>
      </c>
      <c r="M99" s="13" t="str">
        <v>Yes</v>
      </c>
      <c r="N99" s="22"/>
      <c r="Q99" s="40"/>
      <c r="R99" s="13" t="b">
        <f aca="false">FALSE()</f>
        <v>0</v>
      </c>
      <c r="S99" s="13" t="n">
        <v>0</v>
      </c>
      <c r="T99" s="13" t="n">
        <f aca="false">S99*F99</f>
        <v>0</v>
      </c>
      <c r="U99" s="13" t="n">
        <v>0</v>
      </c>
      <c r="V99" s="13" t="n">
        <v>0</v>
      </c>
    </row>
    <row r="100" customFormat="false" ht="15.75" hidden="false" customHeight="false" outlineLevel="0" collapsed="false">
      <c r="A100" s="13" t="n">
        <v>0</v>
      </c>
      <c r="B100" s="13" t="str">
        <v/>
      </c>
      <c r="C100" s="13" t="n">
        <v>0</v>
      </c>
      <c r="D100" s="13" t="n">
        <v>0</v>
      </c>
      <c r="E100" s="13" t="str">
        <v/>
      </c>
      <c r="F100" s="13" t="n">
        <v>0</v>
      </c>
      <c r="G100" s="13" t="n">
        <v>0</v>
      </c>
      <c r="H100" s="13" t="n">
        <v>0</v>
      </c>
      <c r="I100" s="13" t="n">
        <v>0</v>
      </c>
      <c r="J100" s="13" t="b">
        <f aca="false">IF(ISBLANK(I100),"", IF($I$2:$I1097 = "Gohar Rehan","Overnight",IF($I$2:$I1097 = "Taufeeq Akhtar ","Overnight",IF($I$2:$I1097 = "Zeeshan Ali Malik","Audit",IF($I$2:$I1097 = "Ali Raza ","Receiving",IF($I$2:$I1097 = "Ali Ahmad","Full-In"))))))</f>
        <v>0</v>
      </c>
      <c r="K100" s="39" t="e">
        <f aca="false">IFERROR(VLOOKUP(D100,'Brand manager data '!A:B,2,0))</f>
        <v>#VALUE!</v>
      </c>
      <c r="L100" s="13" t="n">
        <v>0</v>
      </c>
      <c r="M100" s="13" t="str">
        <v>Yes</v>
      </c>
      <c r="N100" s="22"/>
      <c r="Q100" s="40"/>
      <c r="R100" s="13" t="b">
        <f aca="false">FALSE()</f>
        <v>0</v>
      </c>
      <c r="S100" s="13" t="n">
        <v>0</v>
      </c>
      <c r="T100" s="13" t="n">
        <f aca="false">S100*F100</f>
        <v>0</v>
      </c>
      <c r="U100" s="13" t="n">
        <v>0</v>
      </c>
      <c r="V100" s="13" t="n">
        <v>0</v>
      </c>
    </row>
    <row r="101" customFormat="false" ht="15.75" hidden="false" customHeight="false" outlineLevel="0" collapsed="false">
      <c r="A101" s="13" t="n">
        <v>0</v>
      </c>
      <c r="B101" s="13" t="str">
        <v/>
      </c>
      <c r="C101" s="13" t="n">
        <v>0</v>
      </c>
      <c r="D101" s="13" t="n">
        <v>0</v>
      </c>
      <c r="E101" s="13" t="str">
        <v/>
      </c>
      <c r="F101" s="13" t="n">
        <v>0</v>
      </c>
      <c r="G101" s="13" t="n">
        <v>0</v>
      </c>
      <c r="H101" s="13" t="n">
        <v>0</v>
      </c>
      <c r="I101" s="13" t="n">
        <v>0</v>
      </c>
      <c r="J101" s="13" t="b">
        <f aca="false">IF(ISBLANK(I101),"", IF($I$2:$I1098 = "Gohar Rehan","Overnight",IF($I$2:$I1098 = "Taufeeq Akhtar ","Overnight",IF($I$2:$I1098 = "Zeeshan Ali Malik","Audit",IF($I$2:$I1098 = "Ali Raza ","Receiving",IF($I$2:$I1098 = "Ali Ahmad","Full-In"))))))</f>
        <v>0</v>
      </c>
      <c r="K101" s="39" t="e">
        <f aca="false">IFERROR(VLOOKUP(D101,'Brand manager data '!A:B,2,0))</f>
        <v>#VALUE!</v>
      </c>
      <c r="L101" s="13" t="n">
        <v>0</v>
      </c>
      <c r="M101" s="13" t="str">
        <v>Yes</v>
      </c>
      <c r="N101" s="22"/>
      <c r="Q101" s="40"/>
      <c r="R101" s="13" t="b">
        <f aca="false">FALSE()</f>
        <v>0</v>
      </c>
      <c r="S101" s="13" t="n">
        <v>0</v>
      </c>
      <c r="T101" s="13" t="n">
        <f aca="false">S101*F101</f>
        <v>0</v>
      </c>
      <c r="U101" s="13" t="n">
        <v>0</v>
      </c>
      <c r="V101" s="13" t="n">
        <v>0</v>
      </c>
    </row>
    <row r="102" customFormat="false" ht="15.75" hidden="false" customHeight="false" outlineLevel="0" collapsed="false">
      <c r="A102" s="13" t="n">
        <v>0</v>
      </c>
      <c r="B102" s="13" t="str">
        <v/>
      </c>
      <c r="C102" s="13" t="n">
        <v>0</v>
      </c>
      <c r="D102" s="13" t="n">
        <v>0</v>
      </c>
      <c r="E102" s="13" t="str">
        <v/>
      </c>
      <c r="F102" s="13" t="n">
        <v>0</v>
      </c>
      <c r="G102" s="13" t="n">
        <v>0</v>
      </c>
      <c r="H102" s="13" t="n">
        <v>0</v>
      </c>
      <c r="I102" s="13" t="n">
        <v>0</v>
      </c>
      <c r="J102" s="13" t="b">
        <f aca="false">IF(ISBLANK(I102),"", IF($I$2:$I1099 = "Gohar Rehan","Overnight",IF($I$2:$I1099 = "Taufeeq Akhtar ","Overnight",IF($I$2:$I1099 = "Zeeshan Ali Malik","Audit",IF($I$2:$I1099 = "Ali Raza ","Receiving",IF($I$2:$I1099 = "Ali Ahmad","Full-In"))))))</f>
        <v>0</v>
      </c>
      <c r="K102" s="39" t="e">
        <f aca="false">IFERROR(VLOOKUP(D102,'Brand manager data '!A:B,2,0))</f>
        <v>#VALUE!</v>
      </c>
      <c r="L102" s="13" t="n">
        <v>0</v>
      </c>
      <c r="M102" s="13" t="str">
        <v>Yes</v>
      </c>
      <c r="N102" s="22"/>
      <c r="Q102" s="40"/>
      <c r="R102" s="13" t="b">
        <f aca="false">FALSE()</f>
        <v>0</v>
      </c>
      <c r="S102" s="13" t="n">
        <v>0</v>
      </c>
      <c r="T102" s="13" t="n">
        <f aca="false">S102*F102</f>
        <v>0</v>
      </c>
      <c r="U102" s="13" t="n">
        <v>0</v>
      </c>
      <c r="V102" s="13" t="n">
        <v>0</v>
      </c>
    </row>
    <row r="103" customFormat="false" ht="15.75" hidden="false" customHeight="false" outlineLevel="0" collapsed="false">
      <c r="A103" s="13" t="n">
        <v>0</v>
      </c>
      <c r="B103" s="13" t="str">
        <v/>
      </c>
      <c r="C103" s="13" t="n">
        <v>0</v>
      </c>
      <c r="D103" s="13" t="n">
        <v>0</v>
      </c>
      <c r="E103" s="13" t="str">
        <v/>
      </c>
      <c r="F103" s="13" t="n">
        <v>0</v>
      </c>
      <c r="G103" s="13" t="n">
        <v>0</v>
      </c>
      <c r="H103" s="13" t="n">
        <v>0</v>
      </c>
      <c r="I103" s="13" t="n">
        <v>0</v>
      </c>
      <c r="J103" s="13" t="b">
        <f aca="false">IF(ISBLANK(I103),"", IF($I$2:$I1100 = "Gohar Rehan","Overnight",IF($I$2:$I1100 = "Taufeeq Akhtar ","Overnight",IF($I$2:$I1100 = "Zeeshan Ali Malik","Audit",IF($I$2:$I1100 = "Ali Raza ","Receiving",IF($I$2:$I1100 = "Ali Ahmad","Full-In"))))))</f>
        <v>0</v>
      </c>
      <c r="K103" s="39" t="e">
        <f aca="false">IFERROR(VLOOKUP(D103,'Brand manager data '!A:B,2,0))</f>
        <v>#VALUE!</v>
      </c>
      <c r="L103" s="13" t="n">
        <v>0</v>
      </c>
      <c r="M103" s="13" t="str">
        <v>Yes</v>
      </c>
      <c r="N103" s="22"/>
      <c r="Q103" s="40"/>
      <c r="R103" s="13" t="b">
        <f aca="false">FALSE()</f>
        <v>0</v>
      </c>
      <c r="S103" s="13" t="n">
        <v>0</v>
      </c>
      <c r="T103" s="13" t="n">
        <f aca="false">S103*F103</f>
        <v>0</v>
      </c>
      <c r="U103" s="13" t="n">
        <v>0</v>
      </c>
      <c r="V103" s="13" t="n">
        <v>0</v>
      </c>
    </row>
    <row r="104" customFormat="false" ht="15.75" hidden="false" customHeight="false" outlineLevel="0" collapsed="false">
      <c r="A104" s="13" t="n">
        <v>0</v>
      </c>
      <c r="B104" s="13" t="str">
        <v/>
      </c>
      <c r="C104" s="13" t="n">
        <v>0</v>
      </c>
      <c r="D104" s="13" t="n">
        <v>0</v>
      </c>
      <c r="E104" s="13" t="str">
        <v/>
      </c>
      <c r="F104" s="13" t="n">
        <v>0</v>
      </c>
      <c r="G104" s="13" t="n">
        <v>0</v>
      </c>
      <c r="H104" s="13" t="n">
        <v>0</v>
      </c>
      <c r="I104" s="13" t="n">
        <v>0</v>
      </c>
      <c r="J104" s="13" t="b">
        <f aca="false">IF(ISBLANK(I104),"", IF($I$2:$I1101 = "Gohar Rehan","Overnight",IF($I$2:$I1101 = "Taufeeq Akhtar ","Overnight",IF($I$2:$I1101 = "Zeeshan Ali Malik","Audit",IF($I$2:$I1101 = "Ali Raza ","Receiving",IF($I$2:$I1101 = "Ali Ahmad","Full-In"))))))</f>
        <v>0</v>
      </c>
      <c r="K104" s="39" t="e">
        <f aca="false">IFERROR(VLOOKUP(D104,'Brand manager data '!A:B,2,0))</f>
        <v>#VALUE!</v>
      </c>
      <c r="L104" s="13" t="n">
        <v>0</v>
      </c>
      <c r="M104" s="13" t="str">
        <v>Yes</v>
      </c>
      <c r="N104" s="22"/>
      <c r="Q104" s="40"/>
      <c r="R104" s="13" t="b">
        <f aca="false">FALSE()</f>
        <v>0</v>
      </c>
      <c r="S104" s="13" t="n">
        <v>0</v>
      </c>
      <c r="T104" s="13" t="n">
        <f aca="false">S104*F104</f>
        <v>0</v>
      </c>
      <c r="U104" s="13" t="n">
        <v>0</v>
      </c>
      <c r="V104" s="13" t="n">
        <v>0</v>
      </c>
    </row>
    <row r="105" customFormat="false" ht="15.75" hidden="false" customHeight="false" outlineLevel="0" collapsed="false">
      <c r="A105" s="13" t="n">
        <v>0</v>
      </c>
      <c r="B105" s="13" t="str">
        <v/>
      </c>
      <c r="C105" s="13" t="n">
        <v>0</v>
      </c>
      <c r="D105" s="13" t="n">
        <v>0</v>
      </c>
      <c r="E105" s="13" t="str">
        <v/>
      </c>
      <c r="F105" s="13" t="n">
        <v>0</v>
      </c>
      <c r="G105" s="13" t="n">
        <v>0</v>
      </c>
      <c r="H105" s="13" t="n">
        <v>0</v>
      </c>
      <c r="I105" s="13" t="n">
        <v>0</v>
      </c>
      <c r="J105" s="13" t="b">
        <f aca="false">IF(ISBLANK(I105),"", IF($I$2:$I1102 = "Gohar Rehan","Overnight",IF($I$2:$I1102 = "Taufeeq Akhtar ","Overnight",IF($I$2:$I1102 = "Zeeshan Ali Malik","Audit",IF($I$2:$I1102 = "Ali Raza ","Receiving",IF($I$2:$I1102 = "Ali Ahmad","Full-In"))))))</f>
        <v>0</v>
      </c>
      <c r="K105" s="39" t="e">
        <f aca="false">IFERROR(VLOOKUP(D105,'Brand manager data '!A:B,2,0))</f>
        <v>#VALUE!</v>
      </c>
      <c r="L105" s="13" t="n">
        <v>0</v>
      </c>
      <c r="M105" s="13" t="str">
        <v>Yes</v>
      </c>
      <c r="N105" s="22"/>
      <c r="Q105" s="40"/>
      <c r="R105" s="13" t="b">
        <f aca="false">FALSE()</f>
        <v>0</v>
      </c>
      <c r="S105" s="13" t="n">
        <v>0</v>
      </c>
      <c r="T105" s="13" t="n">
        <f aca="false">S105*F105</f>
        <v>0</v>
      </c>
      <c r="U105" s="13" t="n">
        <v>0</v>
      </c>
      <c r="V105" s="13" t="n">
        <v>0</v>
      </c>
    </row>
    <row r="106" customFormat="false" ht="15.75" hidden="false" customHeight="false" outlineLevel="0" collapsed="false">
      <c r="A106" s="13" t="n">
        <v>0</v>
      </c>
      <c r="B106" s="13" t="str">
        <v/>
      </c>
      <c r="C106" s="13" t="n">
        <v>0</v>
      </c>
      <c r="D106" s="13" t="n">
        <v>0</v>
      </c>
      <c r="E106" s="13" t="str">
        <v/>
      </c>
      <c r="F106" s="13" t="n">
        <v>0</v>
      </c>
      <c r="G106" s="13" t="n">
        <v>0</v>
      </c>
      <c r="H106" s="13" t="n">
        <v>0</v>
      </c>
      <c r="I106" s="13" t="n">
        <v>0</v>
      </c>
      <c r="J106" s="13" t="b">
        <f aca="false">IF(ISBLANK(I106),"", IF($I$2:$I1103 = "Gohar Rehan","Overnight",IF($I$2:$I1103 = "Taufeeq Akhtar ","Overnight",IF($I$2:$I1103 = "Zeeshan Ali Malik","Audit",IF($I$2:$I1103 = "Ali Raza ","Receiving",IF($I$2:$I1103 = "Ali Ahmad","Full-In"))))))</f>
        <v>0</v>
      </c>
      <c r="K106" s="39" t="e">
        <f aca="false">IFERROR(VLOOKUP(D106,'Brand manager data '!A:B,2,0))</f>
        <v>#VALUE!</v>
      </c>
      <c r="L106" s="13" t="n">
        <v>0</v>
      </c>
      <c r="M106" s="13" t="str">
        <v>Yes</v>
      </c>
      <c r="N106" s="22"/>
      <c r="Q106" s="40"/>
      <c r="R106" s="13" t="b">
        <f aca="false">FALSE()</f>
        <v>0</v>
      </c>
      <c r="S106" s="13" t="n">
        <v>0</v>
      </c>
      <c r="T106" s="13" t="n">
        <f aca="false">S106*F106</f>
        <v>0</v>
      </c>
      <c r="U106" s="13" t="n">
        <v>0</v>
      </c>
      <c r="V106" s="13" t="n">
        <v>0</v>
      </c>
    </row>
    <row r="107" customFormat="false" ht="15.75" hidden="false" customHeight="false" outlineLevel="0" collapsed="false">
      <c r="A107" s="13" t="n">
        <v>0</v>
      </c>
      <c r="B107" s="13" t="str">
        <v/>
      </c>
      <c r="C107" s="13" t="n">
        <v>0</v>
      </c>
      <c r="D107" s="13" t="n">
        <v>0</v>
      </c>
      <c r="E107" s="13" t="str">
        <v/>
      </c>
      <c r="F107" s="13" t="n">
        <v>0</v>
      </c>
      <c r="G107" s="13" t="n">
        <v>0</v>
      </c>
      <c r="H107" s="13" t="n">
        <v>0</v>
      </c>
      <c r="I107" s="13" t="n">
        <v>0</v>
      </c>
      <c r="J107" s="13" t="b">
        <f aca="false">IF(ISBLANK(I107),"", IF($I$2:$I1104 = "Gohar Rehan","Overnight",IF($I$2:$I1104 = "Taufeeq Akhtar ","Overnight",IF($I$2:$I1104 = "Zeeshan Ali Malik","Audit",IF($I$2:$I1104 = "Ali Raza ","Receiving",IF($I$2:$I1104 = "Ali Ahmad","Full-In"))))))</f>
        <v>0</v>
      </c>
      <c r="K107" s="39" t="e">
        <f aca="false">IFERROR(VLOOKUP(D107,'Brand manager data '!A:B,2,0))</f>
        <v>#VALUE!</v>
      </c>
      <c r="L107" s="13" t="n">
        <v>0</v>
      </c>
      <c r="M107" s="13" t="str">
        <v>Yes</v>
      </c>
      <c r="N107" s="22"/>
      <c r="Q107" s="40"/>
      <c r="R107" s="13" t="b">
        <f aca="false">FALSE()</f>
        <v>0</v>
      </c>
      <c r="S107" s="13" t="n">
        <v>0</v>
      </c>
      <c r="T107" s="13" t="n">
        <f aca="false">S107*F107</f>
        <v>0</v>
      </c>
      <c r="U107" s="13" t="n">
        <v>0</v>
      </c>
      <c r="V107" s="13" t="n">
        <v>0</v>
      </c>
    </row>
    <row r="108" customFormat="false" ht="15.75" hidden="false" customHeight="false" outlineLevel="0" collapsed="false">
      <c r="A108" s="13" t="n">
        <v>0</v>
      </c>
      <c r="B108" s="13" t="str">
        <v/>
      </c>
      <c r="C108" s="13" t="n">
        <v>0</v>
      </c>
      <c r="D108" s="13" t="n">
        <v>0</v>
      </c>
      <c r="E108" s="13" t="str">
        <v/>
      </c>
      <c r="F108" s="13" t="n">
        <v>0</v>
      </c>
      <c r="G108" s="13" t="n">
        <v>0</v>
      </c>
      <c r="H108" s="13" t="n">
        <v>0</v>
      </c>
      <c r="I108" s="13" t="n">
        <v>0</v>
      </c>
      <c r="J108" s="13" t="b">
        <f aca="false">IF(ISBLANK(I108),"", IF($I$2:$I1105 = "Gohar Rehan","Overnight",IF($I$2:$I1105 = "Taufeeq Akhtar ","Overnight",IF($I$2:$I1105 = "Zeeshan Ali Malik","Audit",IF($I$2:$I1105 = "Ali Raza ","Receiving",IF($I$2:$I1105 = "Ali Ahmad","Full-In"))))))</f>
        <v>0</v>
      </c>
      <c r="K108" s="39" t="e">
        <f aca="false">IFERROR(VLOOKUP(D108,'Brand manager data '!A:B,2,0))</f>
        <v>#VALUE!</v>
      </c>
      <c r="L108" s="13" t="n">
        <v>0</v>
      </c>
      <c r="M108" s="13" t="str">
        <v>Yes</v>
      </c>
      <c r="N108" s="22"/>
      <c r="Q108" s="40"/>
      <c r="R108" s="13" t="b">
        <f aca="false">FALSE()</f>
        <v>0</v>
      </c>
      <c r="S108" s="13" t="n">
        <v>0</v>
      </c>
      <c r="T108" s="13" t="n">
        <f aca="false">S108*F108</f>
        <v>0</v>
      </c>
      <c r="U108" s="13" t="n">
        <v>0</v>
      </c>
      <c r="V108" s="13" t="n">
        <v>0</v>
      </c>
    </row>
    <row r="109" customFormat="false" ht="15.75" hidden="false" customHeight="false" outlineLevel="0" collapsed="false">
      <c r="A109" s="13" t="n">
        <v>0</v>
      </c>
      <c r="B109" s="13" t="str">
        <v/>
      </c>
      <c r="C109" s="13" t="n">
        <v>0</v>
      </c>
      <c r="D109" s="13" t="n">
        <v>0</v>
      </c>
      <c r="E109" s="13" t="str">
        <v/>
      </c>
      <c r="F109" s="13" t="n">
        <v>0</v>
      </c>
      <c r="G109" s="13" t="n">
        <v>0</v>
      </c>
      <c r="H109" s="13" t="n">
        <v>0</v>
      </c>
      <c r="I109" s="13" t="n">
        <v>0</v>
      </c>
      <c r="J109" s="13" t="b">
        <f aca="false">IF(ISBLANK(I109),"", IF($I$2:$I1106 = "Gohar Rehan","Overnight",IF($I$2:$I1106 = "Taufeeq Akhtar ","Overnight",IF($I$2:$I1106 = "Zeeshan Ali Malik","Audit",IF($I$2:$I1106 = "Ali Raza ","Receiving",IF($I$2:$I1106 = "Ali Ahmad","Full-In"))))))</f>
        <v>0</v>
      </c>
      <c r="K109" s="39" t="e">
        <f aca="false">IFERROR(VLOOKUP(D109,'Brand manager data '!A:B,2,0))</f>
        <v>#VALUE!</v>
      </c>
      <c r="L109" s="13" t="n">
        <v>0</v>
      </c>
      <c r="M109" s="13" t="str">
        <v>Yes</v>
      </c>
      <c r="N109" s="22"/>
      <c r="Q109" s="40"/>
      <c r="R109" s="13" t="b">
        <f aca="false">FALSE()</f>
        <v>0</v>
      </c>
      <c r="S109" s="13" t="n">
        <v>0</v>
      </c>
      <c r="T109" s="13" t="n">
        <f aca="false">S109*F109</f>
        <v>0</v>
      </c>
      <c r="U109" s="13" t="n">
        <v>0</v>
      </c>
      <c r="V109" s="13" t="n">
        <v>0</v>
      </c>
    </row>
    <row r="110" customFormat="false" ht="15.75" hidden="false" customHeight="false" outlineLevel="0" collapsed="false">
      <c r="A110" s="13" t="n">
        <v>0</v>
      </c>
      <c r="B110" s="13" t="str">
        <v/>
      </c>
      <c r="C110" s="13" t="n">
        <v>0</v>
      </c>
      <c r="D110" s="13" t="n">
        <v>0</v>
      </c>
      <c r="E110" s="13" t="str">
        <v/>
      </c>
      <c r="F110" s="13" t="n">
        <v>0</v>
      </c>
      <c r="G110" s="13" t="n">
        <v>0</v>
      </c>
      <c r="H110" s="13" t="n">
        <v>0</v>
      </c>
      <c r="I110" s="13" t="n">
        <v>0</v>
      </c>
      <c r="J110" s="13" t="b">
        <f aca="false">IF(ISBLANK(I110),"", IF($I$2:$I1107 = "Gohar Rehan","Overnight",IF($I$2:$I1107 = "Taufeeq Akhtar ","Overnight",IF($I$2:$I1107 = "Zeeshan Ali Malik","Audit",IF($I$2:$I1107 = "Ali Raza ","Receiving",IF($I$2:$I1107 = "Ali Ahmad","Full-In"))))))</f>
        <v>0</v>
      </c>
      <c r="K110" s="39" t="e">
        <f aca="false">IFERROR(VLOOKUP(D110,'Brand manager data '!A:B,2,0))</f>
        <v>#VALUE!</v>
      </c>
      <c r="L110" s="13" t="n">
        <v>0</v>
      </c>
      <c r="M110" s="13" t="str">
        <v>Yes</v>
      </c>
      <c r="N110" s="22"/>
      <c r="Q110" s="40"/>
      <c r="R110" s="13" t="b">
        <f aca="false">FALSE()</f>
        <v>0</v>
      </c>
      <c r="S110" s="13" t="n">
        <v>0</v>
      </c>
      <c r="T110" s="13" t="n">
        <f aca="false">S110*F110</f>
        <v>0</v>
      </c>
      <c r="U110" s="13" t="n">
        <v>0</v>
      </c>
      <c r="V110" s="13" t="n">
        <v>0</v>
      </c>
    </row>
    <row r="111" customFormat="false" ht="15.75" hidden="false" customHeight="false" outlineLevel="0" collapsed="false">
      <c r="A111" s="13" t="n">
        <v>0</v>
      </c>
      <c r="B111" s="13" t="str">
        <v/>
      </c>
      <c r="C111" s="13" t="n">
        <v>0</v>
      </c>
      <c r="D111" s="13" t="n">
        <v>0</v>
      </c>
      <c r="E111" s="13" t="str">
        <v/>
      </c>
      <c r="F111" s="13" t="n">
        <v>0</v>
      </c>
      <c r="G111" s="13" t="n">
        <v>0</v>
      </c>
      <c r="H111" s="13" t="n">
        <v>0</v>
      </c>
      <c r="I111" s="13" t="n">
        <v>0</v>
      </c>
      <c r="J111" s="13" t="b">
        <f aca="false">IF(ISBLANK(I111),"", IF($I$2:$I1108 = "Gohar Rehan","Overnight",IF($I$2:$I1108 = "Taufeeq Akhtar ","Overnight",IF($I$2:$I1108 = "Zeeshan Ali Malik","Audit",IF($I$2:$I1108 = "Ali Raza ","Receiving",IF($I$2:$I1108 = "Ali Ahmad","Full-In"))))))</f>
        <v>0</v>
      </c>
      <c r="K111" s="39" t="e">
        <f aca="false">IFERROR(VLOOKUP(D111,'Brand manager data '!A:B,2,0))</f>
        <v>#VALUE!</v>
      </c>
      <c r="L111" s="13" t="n">
        <v>0</v>
      </c>
      <c r="M111" s="13" t="str">
        <v>Yes</v>
      </c>
      <c r="N111" s="22"/>
      <c r="Q111" s="40"/>
      <c r="R111" s="13" t="b">
        <f aca="false">FALSE()</f>
        <v>0</v>
      </c>
      <c r="S111" s="13" t="n">
        <v>0</v>
      </c>
      <c r="T111" s="13" t="n">
        <f aca="false">S111*F111</f>
        <v>0</v>
      </c>
      <c r="U111" s="13" t="n">
        <v>0</v>
      </c>
      <c r="V111" s="13" t="n">
        <v>0</v>
      </c>
    </row>
    <row r="112" customFormat="false" ht="15.75" hidden="false" customHeight="false" outlineLevel="0" collapsed="false">
      <c r="A112" s="13" t="n">
        <v>0</v>
      </c>
      <c r="B112" s="13" t="str">
        <v/>
      </c>
      <c r="C112" s="13" t="n">
        <v>0</v>
      </c>
      <c r="D112" s="13" t="n">
        <v>0</v>
      </c>
      <c r="E112" s="13" t="str">
        <v/>
      </c>
      <c r="F112" s="13" t="n">
        <v>0</v>
      </c>
      <c r="G112" s="13" t="n">
        <v>0</v>
      </c>
      <c r="H112" s="13" t="n">
        <v>0</v>
      </c>
      <c r="I112" s="13" t="n">
        <v>0</v>
      </c>
      <c r="J112" s="13" t="b">
        <f aca="false">IF(ISBLANK(I112),"", IF($I$2:$I1109 = "Gohar Rehan","Overnight",IF($I$2:$I1109 = "Taufeeq Akhtar ","Overnight",IF($I$2:$I1109 = "Zeeshan Ali Malik","Audit",IF($I$2:$I1109 = "Ali Raza ","Receiving",IF($I$2:$I1109 = "Ali Ahmad","Full-In"))))))</f>
        <v>0</v>
      </c>
      <c r="K112" s="39" t="e">
        <f aca="false">IFERROR(VLOOKUP(D112,'Brand manager data '!A:B,2,0))</f>
        <v>#VALUE!</v>
      </c>
      <c r="L112" s="13" t="n">
        <v>0</v>
      </c>
      <c r="M112" s="13" t="str">
        <v>Yes</v>
      </c>
      <c r="N112" s="22"/>
      <c r="Q112" s="40"/>
      <c r="R112" s="13" t="b">
        <f aca="false">FALSE()</f>
        <v>0</v>
      </c>
      <c r="S112" s="13" t="n">
        <v>0</v>
      </c>
      <c r="T112" s="13" t="n">
        <f aca="false">S112*F112</f>
        <v>0</v>
      </c>
      <c r="U112" s="13" t="n">
        <v>0</v>
      </c>
      <c r="V112" s="13" t="n">
        <v>0</v>
      </c>
    </row>
    <row r="113" customFormat="false" ht="15.75" hidden="false" customHeight="false" outlineLevel="0" collapsed="false">
      <c r="A113" s="13" t="n">
        <v>0</v>
      </c>
      <c r="B113" s="13" t="str">
        <v/>
      </c>
      <c r="C113" s="13" t="n">
        <v>0</v>
      </c>
      <c r="D113" s="13" t="n">
        <v>0</v>
      </c>
      <c r="E113" s="13" t="str">
        <v/>
      </c>
      <c r="F113" s="13" t="n">
        <v>0</v>
      </c>
      <c r="G113" s="13" t="n">
        <v>0</v>
      </c>
      <c r="H113" s="13" t="n">
        <v>0</v>
      </c>
      <c r="I113" s="13" t="n">
        <v>0</v>
      </c>
      <c r="J113" s="13" t="b">
        <f aca="false">IF(ISBLANK(I113),"", IF($I$2:$I1110 = "Gohar Rehan","Overnight",IF($I$2:$I1110 = "Taufeeq Akhtar ","Overnight",IF($I$2:$I1110 = "Zeeshan Ali Malik","Audit",IF($I$2:$I1110 = "Ali Raza ","Receiving",IF($I$2:$I1110 = "Ali Ahmad","Full-In"))))))</f>
        <v>0</v>
      </c>
      <c r="K113" s="39" t="e">
        <f aca="false">IFERROR(VLOOKUP(D113,'Brand manager data '!A:B,2,0))</f>
        <v>#VALUE!</v>
      </c>
      <c r="L113" s="13" t="n">
        <v>0</v>
      </c>
      <c r="M113" s="13" t="str">
        <v>Yes</v>
      </c>
      <c r="N113" s="22"/>
      <c r="Q113" s="40"/>
      <c r="R113" s="13" t="b">
        <f aca="false">FALSE()</f>
        <v>0</v>
      </c>
      <c r="S113" s="13" t="n">
        <v>0</v>
      </c>
      <c r="T113" s="13" t="n">
        <f aca="false">S113*F113</f>
        <v>0</v>
      </c>
      <c r="U113" s="13" t="n">
        <v>0</v>
      </c>
      <c r="V113" s="13" t="n">
        <v>0</v>
      </c>
    </row>
    <row r="114" customFormat="false" ht="15.75" hidden="false" customHeight="false" outlineLevel="0" collapsed="false">
      <c r="A114" s="13" t="n">
        <v>0</v>
      </c>
      <c r="B114" s="13" t="str">
        <v/>
      </c>
      <c r="C114" s="13" t="n">
        <v>0</v>
      </c>
      <c r="D114" s="13" t="n">
        <v>0</v>
      </c>
      <c r="E114" s="13" t="str">
        <v/>
      </c>
      <c r="F114" s="13" t="n">
        <v>0</v>
      </c>
      <c r="G114" s="13" t="n">
        <v>0</v>
      </c>
      <c r="H114" s="13" t="n">
        <v>0</v>
      </c>
      <c r="I114" s="13" t="n">
        <v>0</v>
      </c>
      <c r="J114" s="13" t="b">
        <f aca="false">IF(ISBLANK(I114),"", IF($I$2:$I1111 = "Gohar Rehan","Overnight",IF($I$2:$I1111 = "Taufeeq Akhtar ","Overnight",IF($I$2:$I1111 = "Zeeshan Ali Malik","Audit",IF($I$2:$I1111 = "Ali Raza ","Receiving",IF($I$2:$I1111 = "Ali Ahmad","Full-In"))))))</f>
        <v>0</v>
      </c>
      <c r="K114" s="39" t="e">
        <f aca="false">IFERROR(VLOOKUP(D114,'Brand manager data '!A:B,2,0))</f>
        <v>#VALUE!</v>
      </c>
      <c r="L114" s="13" t="n">
        <v>0</v>
      </c>
      <c r="M114" s="13" t="str">
        <v>Yes</v>
      </c>
      <c r="N114" s="22"/>
      <c r="Q114" s="40"/>
      <c r="R114" s="13" t="b">
        <f aca="false">FALSE()</f>
        <v>0</v>
      </c>
      <c r="S114" s="13" t="n">
        <v>0</v>
      </c>
      <c r="T114" s="13" t="n">
        <f aca="false">S114*F114</f>
        <v>0</v>
      </c>
      <c r="U114" s="13" t="n">
        <v>0</v>
      </c>
      <c r="V114" s="13" t="n">
        <v>0</v>
      </c>
    </row>
    <row r="115" customFormat="false" ht="15.75" hidden="false" customHeight="false" outlineLevel="0" collapsed="false">
      <c r="A115" s="13" t="n">
        <v>0</v>
      </c>
      <c r="B115" s="13" t="str">
        <v/>
      </c>
      <c r="C115" s="13" t="n">
        <v>0</v>
      </c>
      <c r="D115" s="13" t="n">
        <v>0</v>
      </c>
      <c r="E115" s="13" t="str">
        <v/>
      </c>
      <c r="F115" s="13" t="n">
        <v>0</v>
      </c>
      <c r="G115" s="13" t="n">
        <v>0</v>
      </c>
      <c r="H115" s="13" t="n">
        <v>0</v>
      </c>
      <c r="I115" s="13" t="n">
        <v>0</v>
      </c>
      <c r="J115" s="13" t="b">
        <f aca="false">IF(ISBLANK(I115),"", IF($I$2:$I1112 = "Gohar Rehan","Overnight",IF($I$2:$I1112 = "Taufeeq Akhtar ","Overnight",IF($I$2:$I1112 = "Zeeshan Ali Malik","Audit",IF($I$2:$I1112 = "Ali Raza ","Receiving",IF($I$2:$I1112 = "Ali Ahmad","Full-In"))))))</f>
        <v>0</v>
      </c>
      <c r="K115" s="39" t="e">
        <f aca="false">IFERROR(VLOOKUP(D115,'Brand manager data '!A:B,2,0))</f>
        <v>#VALUE!</v>
      </c>
      <c r="L115" s="13" t="n">
        <v>0</v>
      </c>
      <c r="M115" s="13" t="str">
        <v>Yes</v>
      </c>
      <c r="N115" s="22"/>
      <c r="Q115" s="40"/>
      <c r="R115" s="13" t="b">
        <f aca="false">FALSE()</f>
        <v>0</v>
      </c>
      <c r="S115" s="13" t="n">
        <v>0</v>
      </c>
      <c r="T115" s="13" t="n">
        <f aca="false">S115*F115</f>
        <v>0</v>
      </c>
      <c r="U115" s="13" t="n">
        <v>0</v>
      </c>
      <c r="V115" s="13" t="n">
        <v>0</v>
      </c>
    </row>
    <row r="116" customFormat="false" ht="15.75" hidden="false" customHeight="false" outlineLevel="0" collapsed="false">
      <c r="A116" s="13" t="n">
        <v>0</v>
      </c>
      <c r="B116" s="13" t="str">
        <v/>
      </c>
      <c r="C116" s="13" t="n">
        <v>0</v>
      </c>
      <c r="D116" s="13" t="n">
        <v>0</v>
      </c>
      <c r="E116" s="13" t="str">
        <v/>
      </c>
      <c r="F116" s="13" t="n">
        <v>0</v>
      </c>
      <c r="G116" s="13" t="n">
        <v>0</v>
      </c>
      <c r="H116" s="13" t="n">
        <v>0</v>
      </c>
      <c r="I116" s="13" t="n">
        <v>0</v>
      </c>
      <c r="J116" s="13" t="b">
        <f aca="false">IF(ISBLANK(I116),"", IF($I$2:$I1113 = "Gohar Rehan","Overnight",IF($I$2:$I1113 = "Taufeeq Akhtar ","Overnight",IF($I$2:$I1113 = "Zeeshan Ali Malik","Audit",IF($I$2:$I1113 = "Ali Raza ","Receiving",IF($I$2:$I1113 = "Ali Ahmad","Full-In"))))))</f>
        <v>0</v>
      </c>
      <c r="K116" s="39" t="e">
        <f aca="false">IFERROR(VLOOKUP(D116,'Brand manager data '!A:B,2,0))</f>
        <v>#VALUE!</v>
      </c>
      <c r="L116" s="13" t="n">
        <v>0</v>
      </c>
      <c r="M116" s="13" t="str">
        <v>Yes</v>
      </c>
      <c r="N116" s="22"/>
      <c r="Q116" s="40"/>
      <c r="R116" s="13" t="b">
        <f aca="false">FALSE()</f>
        <v>0</v>
      </c>
      <c r="S116" s="13" t="n">
        <v>0</v>
      </c>
      <c r="T116" s="13" t="n">
        <f aca="false">S116*F116</f>
        <v>0</v>
      </c>
      <c r="U116" s="13" t="n">
        <v>0</v>
      </c>
      <c r="V116" s="13" t="n">
        <v>0</v>
      </c>
    </row>
    <row r="117" customFormat="false" ht="15.75" hidden="false" customHeight="false" outlineLevel="0" collapsed="false">
      <c r="A117" s="13" t="n">
        <v>0</v>
      </c>
      <c r="B117" s="13" t="str">
        <v/>
      </c>
      <c r="C117" s="13" t="n">
        <v>0</v>
      </c>
      <c r="D117" s="13" t="n">
        <v>0</v>
      </c>
      <c r="E117" s="13" t="str">
        <v/>
      </c>
      <c r="F117" s="13" t="n">
        <v>0</v>
      </c>
      <c r="G117" s="13" t="n">
        <v>0</v>
      </c>
      <c r="H117" s="13" t="n">
        <v>0</v>
      </c>
      <c r="I117" s="13" t="n">
        <v>0</v>
      </c>
      <c r="J117" s="13" t="b">
        <f aca="false">IF(ISBLANK(I117),"", IF($I$2:$I1114 = "Gohar Rehan","Overnight",IF($I$2:$I1114 = "Taufeeq Akhtar ","Overnight",IF($I$2:$I1114 = "Zeeshan Ali Malik","Audit",IF($I$2:$I1114 = "Ali Raza ","Receiving",IF($I$2:$I1114 = "Ali Ahmad","Full-In"))))))</f>
        <v>0</v>
      </c>
      <c r="K117" s="39" t="e">
        <f aca="false">IFERROR(VLOOKUP(D117,'Brand manager data '!A:B,2,0))</f>
        <v>#VALUE!</v>
      </c>
      <c r="L117" s="13" t="n">
        <v>0</v>
      </c>
      <c r="M117" s="13" t="str">
        <v>Yes</v>
      </c>
      <c r="N117" s="22"/>
      <c r="Q117" s="40"/>
      <c r="R117" s="13" t="b">
        <f aca="false">FALSE()</f>
        <v>0</v>
      </c>
      <c r="S117" s="13" t="n">
        <v>0</v>
      </c>
      <c r="T117" s="13" t="n">
        <f aca="false">S117*F117</f>
        <v>0</v>
      </c>
      <c r="U117" s="13" t="n">
        <v>0</v>
      </c>
      <c r="V117" s="13" t="n">
        <v>0</v>
      </c>
    </row>
    <row r="118" customFormat="false" ht="15.75" hidden="false" customHeight="false" outlineLevel="0" collapsed="false">
      <c r="A118" s="13" t="n">
        <v>0</v>
      </c>
      <c r="B118" s="13" t="str">
        <v/>
      </c>
      <c r="C118" s="13" t="n">
        <v>0</v>
      </c>
      <c r="D118" s="13" t="n">
        <v>0</v>
      </c>
      <c r="E118" s="13" t="str">
        <v/>
      </c>
      <c r="F118" s="13" t="n">
        <v>0</v>
      </c>
      <c r="G118" s="13" t="n">
        <v>0</v>
      </c>
      <c r="H118" s="13" t="n">
        <v>0</v>
      </c>
      <c r="I118" s="13" t="n">
        <v>0</v>
      </c>
      <c r="J118" s="13" t="b">
        <f aca="false">IF(ISBLANK(I118),"", IF($I$2:$I1115 = "Gohar Rehan","Overnight",IF($I$2:$I1115 = "Taufeeq Akhtar ","Overnight",IF($I$2:$I1115 = "Zeeshan Ali Malik","Audit",IF($I$2:$I1115 = "Ali Raza ","Receiving",IF($I$2:$I1115 = "Ali Ahmad","Full-In"))))))</f>
        <v>0</v>
      </c>
      <c r="K118" s="39" t="e">
        <f aca="false">IFERROR(VLOOKUP(D118,'Brand manager data '!A:B,2,0))</f>
        <v>#VALUE!</v>
      </c>
      <c r="L118" s="13" t="n">
        <v>0</v>
      </c>
      <c r="M118" s="13" t="str">
        <v>Yes</v>
      </c>
      <c r="N118" s="22"/>
      <c r="Q118" s="40"/>
      <c r="R118" s="13" t="b">
        <f aca="false">FALSE()</f>
        <v>0</v>
      </c>
      <c r="S118" s="13" t="n">
        <v>0</v>
      </c>
      <c r="T118" s="13" t="n">
        <f aca="false">S118*F118</f>
        <v>0</v>
      </c>
      <c r="U118" s="13" t="n">
        <v>0</v>
      </c>
      <c r="V118" s="13" t="n">
        <v>0</v>
      </c>
    </row>
    <row r="119" customFormat="false" ht="15.75" hidden="false" customHeight="false" outlineLevel="0" collapsed="false">
      <c r="A119" s="13" t="n">
        <v>0</v>
      </c>
      <c r="B119" s="13" t="str">
        <v/>
      </c>
      <c r="C119" s="13" t="n">
        <v>0</v>
      </c>
      <c r="D119" s="13" t="n">
        <v>0</v>
      </c>
      <c r="E119" s="13" t="str">
        <v/>
      </c>
      <c r="F119" s="13" t="n">
        <v>0</v>
      </c>
      <c r="G119" s="13" t="n">
        <v>0</v>
      </c>
      <c r="H119" s="13" t="n">
        <v>0</v>
      </c>
      <c r="I119" s="13" t="n">
        <v>0</v>
      </c>
      <c r="J119" s="13" t="b">
        <f aca="false">IF(ISBLANK(I119),"", IF($I$2:$I1116 = "Gohar Rehan","Overnight",IF($I$2:$I1116 = "Taufeeq Akhtar ","Overnight",IF($I$2:$I1116 = "Zeeshan Ali Malik","Audit",IF($I$2:$I1116 = "Ali Raza ","Receiving",IF($I$2:$I1116 = "Ali Ahmad","Full-In"))))))</f>
        <v>0</v>
      </c>
      <c r="K119" s="39" t="e">
        <f aca="false">IFERROR(VLOOKUP(D119,'Brand manager data '!A:B,2,0))</f>
        <v>#VALUE!</v>
      </c>
      <c r="L119" s="13" t="n">
        <v>0</v>
      </c>
      <c r="M119" s="13" t="str">
        <v>Yes</v>
      </c>
      <c r="N119" s="22"/>
      <c r="Q119" s="40"/>
      <c r="R119" s="13" t="b">
        <f aca="false">FALSE()</f>
        <v>0</v>
      </c>
      <c r="S119" s="13" t="n">
        <v>0</v>
      </c>
      <c r="T119" s="13" t="n">
        <f aca="false">S119*F119</f>
        <v>0</v>
      </c>
      <c r="U119" s="13" t="n">
        <v>0</v>
      </c>
      <c r="V119" s="13" t="n">
        <v>0</v>
      </c>
    </row>
    <row r="120" customFormat="false" ht="15.75" hidden="false" customHeight="false" outlineLevel="0" collapsed="false">
      <c r="A120" s="13" t="n">
        <v>0</v>
      </c>
      <c r="B120" s="13" t="str">
        <v/>
      </c>
      <c r="C120" s="13" t="n">
        <v>0</v>
      </c>
      <c r="D120" s="13" t="n">
        <v>0</v>
      </c>
      <c r="E120" s="13" t="str">
        <v/>
      </c>
      <c r="F120" s="13" t="n">
        <v>0</v>
      </c>
      <c r="G120" s="13" t="n">
        <v>0</v>
      </c>
      <c r="H120" s="13" t="n">
        <v>0</v>
      </c>
      <c r="I120" s="13" t="n">
        <v>0</v>
      </c>
      <c r="J120" s="13" t="b">
        <f aca="false">IF(ISBLANK(I120),"", IF($I$2:$I1117 = "Gohar Rehan","Overnight",IF($I$2:$I1117 = "Taufeeq Akhtar ","Overnight",IF($I$2:$I1117 = "Zeeshan Ali Malik","Audit",IF($I$2:$I1117 = "Ali Raza ","Receiving",IF($I$2:$I1117 = "Ali Ahmad","Full-In"))))))</f>
        <v>0</v>
      </c>
      <c r="K120" s="39" t="e">
        <f aca="false">IFERROR(VLOOKUP(D120,'Brand manager data '!A:B,2,0))</f>
        <v>#VALUE!</v>
      </c>
      <c r="L120" s="13" t="n">
        <v>0</v>
      </c>
      <c r="M120" s="13" t="str">
        <v>Yes</v>
      </c>
      <c r="N120" s="22"/>
      <c r="Q120" s="40"/>
      <c r="R120" s="13" t="b">
        <f aca="false">FALSE()</f>
        <v>0</v>
      </c>
      <c r="S120" s="13" t="n">
        <v>0</v>
      </c>
      <c r="T120" s="13" t="n">
        <f aca="false">S120*F120</f>
        <v>0</v>
      </c>
      <c r="U120" s="13" t="n">
        <v>0</v>
      </c>
      <c r="V120" s="13" t="n">
        <v>0</v>
      </c>
    </row>
    <row r="121" customFormat="false" ht="15.75" hidden="false" customHeight="false" outlineLevel="0" collapsed="false">
      <c r="A121" s="13" t="n">
        <v>0</v>
      </c>
      <c r="B121" s="13" t="str">
        <v/>
      </c>
      <c r="C121" s="13" t="n">
        <v>0</v>
      </c>
      <c r="D121" s="13" t="n">
        <v>0</v>
      </c>
      <c r="E121" s="13" t="str">
        <v/>
      </c>
      <c r="F121" s="13" t="n">
        <v>0</v>
      </c>
      <c r="G121" s="13" t="n">
        <v>0</v>
      </c>
      <c r="H121" s="13" t="n">
        <v>0</v>
      </c>
      <c r="I121" s="13" t="n">
        <v>0</v>
      </c>
      <c r="J121" s="13" t="b">
        <f aca="false">IF(ISBLANK(I121),"", IF($I$2:$I1118 = "Gohar Rehan","Overnight",IF($I$2:$I1118 = "Taufeeq Akhtar ","Overnight",IF($I$2:$I1118 = "Zeeshan Ali Malik","Audit",IF($I$2:$I1118 = "Ali Raza ","Receiving",IF($I$2:$I1118 = "Ali Ahmad","Full-In"))))))</f>
        <v>0</v>
      </c>
      <c r="K121" s="39" t="e">
        <f aca="false">IFERROR(VLOOKUP(D121,'Brand manager data '!A:B,2,0))</f>
        <v>#VALUE!</v>
      </c>
      <c r="L121" s="13" t="n">
        <v>0</v>
      </c>
      <c r="M121" s="13" t="str">
        <v>Yes</v>
      </c>
      <c r="N121" s="22"/>
      <c r="Q121" s="40"/>
      <c r="R121" s="13" t="b">
        <f aca="false">FALSE()</f>
        <v>0</v>
      </c>
      <c r="S121" s="13" t="n">
        <v>0</v>
      </c>
      <c r="T121" s="13" t="n">
        <f aca="false">S121*F121</f>
        <v>0</v>
      </c>
      <c r="U121" s="13" t="n">
        <v>0</v>
      </c>
      <c r="V121" s="13" t="n">
        <v>0</v>
      </c>
    </row>
    <row r="122" customFormat="false" ht="15.75" hidden="false" customHeight="false" outlineLevel="0" collapsed="false">
      <c r="A122" s="13" t="n">
        <v>0</v>
      </c>
      <c r="B122" s="13" t="str">
        <v/>
      </c>
      <c r="C122" s="13" t="n">
        <v>0</v>
      </c>
      <c r="D122" s="13" t="n">
        <v>0</v>
      </c>
      <c r="E122" s="13" t="str">
        <v/>
      </c>
      <c r="F122" s="13" t="n">
        <v>0</v>
      </c>
      <c r="G122" s="13" t="n">
        <v>0</v>
      </c>
      <c r="H122" s="13" t="n">
        <v>0</v>
      </c>
      <c r="I122" s="13" t="n">
        <v>0</v>
      </c>
      <c r="J122" s="13" t="b">
        <f aca="false">IF(ISBLANK(I122),"", IF($I$2:$I1119 = "Gohar Rehan","Overnight",IF($I$2:$I1119 = "Taufeeq Akhtar ","Overnight",IF($I$2:$I1119 = "Zeeshan Ali Malik","Audit",IF($I$2:$I1119 = "Ali Raza ","Receiving",IF($I$2:$I1119 = "Ali Ahmad","Full-In"))))))</f>
        <v>0</v>
      </c>
      <c r="K122" s="39" t="e">
        <f aca="false">IFERROR(VLOOKUP(D122,'Brand manager data '!A:B,2,0))</f>
        <v>#VALUE!</v>
      </c>
      <c r="L122" s="13" t="n">
        <v>0</v>
      </c>
      <c r="M122" s="13" t="str">
        <v>Yes</v>
      </c>
      <c r="N122" s="22"/>
      <c r="Q122" s="40"/>
      <c r="R122" s="13" t="b">
        <f aca="false">FALSE()</f>
        <v>0</v>
      </c>
      <c r="S122" s="13" t="n">
        <v>0</v>
      </c>
      <c r="T122" s="13" t="n">
        <f aca="false">S122*F122</f>
        <v>0</v>
      </c>
      <c r="U122" s="13" t="n">
        <v>0</v>
      </c>
      <c r="V122" s="13" t="n">
        <v>0</v>
      </c>
    </row>
    <row r="123" customFormat="false" ht="15.75" hidden="false" customHeight="false" outlineLevel="0" collapsed="false">
      <c r="A123" s="13" t="n">
        <v>0</v>
      </c>
      <c r="B123" s="13" t="str">
        <v/>
      </c>
      <c r="C123" s="13" t="n">
        <v>0</v>
      </c>
      <c r="D123" s="13" t="n">
        <v>0</v>
      </c>
      <c r="E123" s="13" t="str">
        <v/>
      </c>
      <c r="F123" s="13" t="n">
        <v>0</v>
      </c>
      <c r="G123" s="13" t="n">
        <v>0</v>
      </c>
      <c r="H123" s="13" t="n">
        <v>0</v>
      </c>
      <c r="I123" s="13" t="n">
        <v>0</v>
      </c>
      <c r="J123" s="13" t="b">
        <f aca="false">IF(ISBLANK(I123),"", IF($I$2:$I1120 = "Gohar Rehan","Overnight",IF($I$2:$I1120 = "Taufeeq Akhtar ","Overnight",IF($I$2:$I1120 = "Zeeshan Ali Malik","Audit",IF($I$2:$I1120 = "Ali Raza ","Receiving",IF($I$2:$I1120 = "Ali Ahmad","Full-In"))))))</f>
        <v>0</v>
      </c>
      <c r="K123" s="39" t="e">
        <f aca="false">IFERROR(VLOOKUP(D123,'Brand manager data '!A:B,2,0))</f>
        <v>#VALUE!</v>
      </c>
      <c r="L123" s="13" t="n">
        <v>0</v>
      </c>
      <c r="M123" s="13" t="str">
        <v>Yes</v>
      </c>
      <c r="N123" s="22"/>
      <c r="Q123" s="40"/>
      <c r="R123" s="13" t="b">
        <f aca="false">FALSE()</f>
        <v>0</v>
      </c>
      <c r="S123" s="13" t="n">
        <v>0</v>
      </c>
      <c r="T123" s="13" t="n">
        <f aca="false">S123*F123</f>
        <v>0</v>
      </c>
      <c r="U123" s="13" t="n">
        <v>0</v>
      </c>
      <c r="V123" s="13" t="n">
        <v>0</v>
      </c>
    </row>
    <row r="124" customFormat="false" ht="15.75" hidden="false" customHeight="false" outlineLevel="0" collapsed="false">
      <c r="A124" s="13" t="n">
        <v>0</v>
      </c>
      <c r="B124" s="13" t="str">
        <v/>
      </c>
      <c r="C124" s="13" t="n">
        <v>0</v>
      </c>
      <c r="D124" s="13" t="n">
        <v>0</v>
      </c>
      <c r="E124" s="13" t="str">
        <v/>
      </c>
      <c r="F124" s="13" t="n">
        <v>0</v>
      </c>
      <c r="G124" s="13" t="n">
        <v>0</v>
      </c>
      <c r="H124" s="13" t="n">
        <v>0</v>
      </c>
      <c r="I124" s="13" t="n">
        <v>0</v>
      </c>
      <c r="J124" s="13" t="b">
        <f aca="false">IF(ISBLANK(I124),"", IF($I$2:$I1121 = "Gohar Rehan","Overnight",IF($I$2:$I1121 = "Taufeeq Akhtar ","Overnight",IF($I$2:$I1121 = "Zeeshan Ali Malik","Audit",IF($I$2:$I1121 = "Ali Raza ","Receiving",IF($I$2:$I1121 = "Ali Ahmad","Full-In"))))))</f>
        <v>0</v>
      </c>
      <c r="K124" s="39" t="e">
        <f aca="false">IFERROR(VLOOKUP(D124,'Brand manager data '!A:B,2,0))</f>
        <v>#VALUE!</v>
      </c>
      <c r="L124" s="13" t="n">
        <v>0</v>
      </c>
      <c r="M124" s="13" t="str">
        <v>Yes</v>
      </c>
      <c r="N124" s="22"/>
      <c r="Q124" s="40"/>
      <c r="R124" s="13" t="b">
        <f aca="false">FALSE()</f>
        <v>0</v>
      </c>
      <c r="S124" s="13" t="n">
        <v>0</v>
      </c>
      <c r="T124" s="13" t="n">
        <f aca="false">S124*F124</f>
        <v>0</v>
      </c>
      <c r="U124" s="13" t="n">
        <v>0</v>
      </c>
      <c r="V124" s="13" t="n">
        <v>0</v>
      </c>
    </row>
    <row r="125" customFormat="false" ht="15.75" hidden="false" customHeight="false" outlineLevel="0" collapsed="false">
      <c r="A125" s="13" t="n">
        <v>0</v>
      </c>
      <c r="B125" s="13" t="str">
        <v/>
      </c>
      <c r="C125" s="13" t="n">
        <v>0</v>
      </c>
      <c r="D125" s="13" t="n">
        <v>0</v>
      </c>
      <c r="E125" s="13" t="str">
        <v/>
      </c>
      <c r="F125" s="13" t="n">
        <v>0</v>
      </c>
      <c r="G125" s="13" t="n">
        <v>0</v>
      </c>
      <c r="H125" s="13" t="n">
        <v>0</v>
      </c>
      <c r="I125" s="13" t="n">
        <v>0</v>
      </c>
      <c r="J125" s="13" t="b">
        <f aca="false">IF(ISBLANK(I125),"", IF($I$2:$I1122 = "Gohar Rehan","Overnight",IF($I$2:$I1122 = "Taufeeq Akhtar ","Overnight",IF($I$2:$I1122 = "Zeeshan Ali Malik","Audit",IF($I$2:$I1122 = "Ali Raza ","Receiving",IF($I$2:$I1122 = "Ali Ahmad","Full-In"))))))</f>
        <v>0</v>
      </c>
      <c r="K125" s="39" t="e">
        <f aca="false">IFERROR(VLOOKUP(D125,'Brand manager data '!A:B,2,0))</f>
        <v>#VALUE!</v>
      </c>
      <c r="L125" s="13" t="n">
        <v>0</v>
      </c>
      <c r="M125" s="13" t="str">
        <v>Yes</v>
      </c>
      <c r="N125" s="22"/>
      <c r="Q125" s="40"/>
      <c r="R125" s="13" t="b">
        <f aca="false">FALSE()</f>
        <v>0</v>
      </c>
      <c r="S125" s="13" t="n">
        <v>0</v>
      </c>
      <c r="T125" s="13" t="n">
        <f aca="false">S125*F125</f>
        <v>0</v>
      </c>
      <c r="U125" s="13" t="n">
        <v>0</v>
      </c>
      <c r="V125" s="13" t="n">
        <v>0</v>
      </c>
    </row>
    <row r="126" customFormat="false" ht="15.75" hidden="false" customHeight="false" outlineLevel="0" collapsed="false">
      <c r="A126" s="13" t="n">
        <v>0</v>
      </c>
      <c r="B126" s="13" t="str">
        <v/>
      </c>
      <c r="C126" s="13" t="n">
        <v>0</v>
      </c>
      <c r="D126" s="13" t="n">
        <v>0</v>
      </c>
      <c r="E126" s="13" t="str">
        <v/>
      </c>
      <c r="F126" s="13" t="n">
        <v>0</v>
      </c>
      <c r="G126" s="13" t="n">
        <v>0</v>
      </c>
      <c r="H126" s="13" t="n">
        <v>0</v>
      </c>
      <c r="I126" s="13" t="n">
        <v>0</v>
      </c>
      <c r="J126" s="13" t="b">
        <f aca="false">IF(ISBLANK(I126),"", IF($I$2:$I1123 = "Gohar Rehan","Overnight",IF($I$2:$I1123 = "Taufeeq Akhtar ","Overnight",IF($I$2:$I1123 = "Zeeshan Ali Malik","Audit",IF($I$2:$I1123 = "Ali Raza ","Receiving",IF($I$2:$I1123 = "Ali Ahmad","Full-In"))))))</f>
        <v>0</v>
      </c>
      <c r="K126" s="39" t="e">
        <f aca="false">IFERROR(VLOOKUP(D126,'Brand manager data '!A:B,2,0))</f>
        <v>#VALUE!</v>
      </c>
      <c r="L126" s="13" t="n">
        <v>0</v>
      </c>
      <c r="M126" s="13" t="str">
        <v>Yes</v>
      </c>
      <c r="N126" s="22"/>
      <c r="Q126" s="40"/>
      <c r="R126" s="13" t="b">
        <f aca="false">FALSE()</f>
        <v>0</v>
      </c>
      <c r="S126" s="13" t="n">
        <v>0</v>
      </c>
      <c r="T126" s="13" t="n">
        <f aca="false">S126*F126</f>
        <v>0</v>
      </c>
      <c r="U126" s="13" t="n">
        <v>0</v>
      </c>
      <c r="V126" s="13" t="n">
        <v>0</v>
      </c>
    </row>
    <row r="127" customFormat="false" ht="15.75" hidden="false" customHeight="false" outlineLevel="0" collapsed="false">
      <c r="A127" s="13" t="n">
        <v>0</v>
      </c>
      <c r="B127" s="13" t="str">
        <v/>
      </c>
      <c r="C127" s="13" t="n">
        <v>0</v>
      </c>
      <c r="D127" s="13" t="n">
        <v>0</v>
      </c>
      <c r="E127" s="13" t="str">
        <v/>
      </c>
      <c r="F127" s="13" t="n">
        <v>0</v>
      </c>
      <c r="G127" s="13" t="n">
        <v>0</v>
      </c>
      <c r="H127" s="13" t="n">
        <v>0</v>
      </c>
      <c r="I127" s="13" t="n">
        <v>0</v>
      </c>
      <c r="J127" s="13" t="b">
        <f aca="false">IF(ISBLANK(I127),"", IF($I$2:$I1124 = "Gohar Rehan","Overnight",IF($I$2:$I1124 = "Taufeeq Akhtar ","Overnight",IF($I$2:$I1124 = "Zeeshan Ali Malik","Audit",IF($I$2:$I1124 = "Ali Raza ","Receiving",IF($I$2:$I1124 = "Ali Ahmad","Full-In"))))))</f>
        <v>0</v>
      </c>
      <c r="K127" s="39" t="e">
        <f aca="false">IFERROR(VLOOKUP(D127,'Brand manager data '!A:B,2,0))</f>
        <v>#VALUE!</v>
      </c>
      <c r="L127" s="13" t="n">
        <v>0</v>
      </c>
      <c r="M127" s="13" t="str">
        <v>Yes</v>
      </c>
      <c r="N127" s="22"/>
      <c r="Q127" s="40"/>
      <c r="R127" s="13" t="b">
        <f aca="false">FALSE()</f>
        <v>0</v>
      </c>
      <c r="S127" s="13" t="n">
        <v>0</v>
      </c>
      <c r="T127" s="13" t="n">
        <f aca="false">S127*F127</f>
        <v>0</v>
      </c>
      <c r="U127" s="13" t="n">
        <v>0</v>
      </c>
      <c r="V127" s="13" t="n">
        <v>0</v>
      </c>
    </row>
    <row r="128" customFormat="false" ht="15.75" hidden="false" customHeight="false" outlineLevel="0" collapsed="false">
      <c r="A128" s="13" t="n">
        <v>0</v>
      </c>
      <c r="B128" s="13" t="str">
        <v/>
      </c>
      <c r="C128" s="13" t="n">
        <v>0</v>
      </c>
      <c r="D128" s="13" t="n">
        <v>0</v>
      </c>
      <c r="E128" s="13" t="str">
        <v/>
      </c>
      <c r="F128" s="13" t="n">
        <v>0</v>
      </c>
      <c r="G128" s="13" t="n">
        <v>0</v>
      </c>
      <c r="H128" s="13" t="n">
        <v>0</v>
      </c>
      <c r="I128" s="13" t="n">
        <v>0</v>
      </c>
      <c r="J128" s="13" t="b">
        <f aca="false">IF(ISBLANK(I128),"", IF($I$2:$I1125 = "Gohar Rehan","Overnight",IF($I$2:$I1125 = "Taufeeq Akhtar ","Overnight",IF($I$2:$I1125 = "Zeeshan Ali Malik","Audit",IF($I$2:$I1125 = "Ali Raza ","Receiving",IF($I$2:$I1125 = "Ali Ahmad","Full-In"))))))</f>
        <v>0</v>
      </c>
      <c r="K128" s="39" t="e">
        <f aca="false">IFERROR(VLOOKUP(D128,'Brand manager data '!A:B,2,0))</f>
        <v>#VALUE!</v>
      </c>
      <c r="L128" s="13" t="n">
        <v>0</v>
      </c>
      <c r="M128" s="13" t="str">
        <v>Yes</v>
      </c>
      <c r="N128" s="22"/>
      <c r="Q128" s="40"/>
      <c r="R128" s="13" t="b">
        <f aca="false">FALSE()</f>
        <v>0</v>
      </c>
      <c r="S128" s="13" t="n">
        <v>0</v>
      </c>
      <c r="T128" s="13" t="n">
        <f aca="false">S128*F128</f>
        <v>0</v>
      </c>
      <c r="U128" s="13" t="n">
        <v>0</v>
      </c>
      <c r="V128" s="13" t="n">
        <v>0</v>
      </c>
    </row>
    <row r="129" customFormat="false" ht="15.75" hidden="false" customHeight="false" outlineLevel="0" collapsed="false">
      <c r="A129" s="13" t="n">
        <v>0</v>
      </c>
      <c r="B129" s="13" t="str">
        <v/>
      </c>
      <c r="C129" s="13" t="n">
        <v>0</v>
      </c>
      <c r="D129" s="13" t="n">
        <v>0</v>
      </c>
      <c r="E129" s="13" t="str">
        <v/>
      </c>
      <c r="F129" s="13" t="n">
        <v>0</v>
      </c>
      <c r="G129" s="13" t="n">
        <v>0</v>
      </c>
      <c r="H129" s="13" t="n">
        <v>0</v>
      </c>
      <c r="I129" s="13" t="n">
        <v>0</v>
      </c>
      <c r="J129" s="13" t="b">
        <f aca="false">IF(ISBLANK(I129),"", IF($I$2:$I1126 = "Gohar Rehan","Overnight",IF($I$2:$I1126 = "Taufeeq Akhtar ","Overnight",IF($I$2:$I1126 = "Zeeshan Ali Malik","Audit",IF($I$2:$I1126 = "Ali Raza ","Receiving",IF($I$2:$I1126 = "Ali Ahmad","Full-In"))))))</f>
        <v>0</v>
      </c>
      <c r="K129" s="39" t="e">
        <f aca="false">IFERROR(VLOOKUP(D129,'Brand manager data '!A:B,2,0))</f>
        <v>#VALUE!</v>
      </c>
      <c r="L129" s="13" t="n">
        <v>0</v>
      </c>
      <c r="M129" s="13" t="str">
        <v>Yes</v>
      </c>
      <c r="N129" s="22"/>
      <c r="Q129" s="40"/>
      <c r="R129" s="13" t="b">
        <f aca="false">FALSE()</f>
        <v>0</v>
      </c>
      <c r="S129" s="13" t="n">
        <v>0</v>
      </c>
      <c r="T129" s="13" t="n">
        <f aca="false">S129*F129</f>
        <v>0</v>
      </c>
      <c r="U129" s="13" t="n">
        <v>0</v>
      </c>
      <c r="V129" s="13" t="n">
        <v>0</v>
      </c>
    </row>
    <row r="130" customFormat="false" ht="15.75" hidden="false" customHeight="false" outlineLevel="0" collapsed="false">
      <c r="A130" s="13" t="n">
        <v>0</v>
      </c>
      <c r="B130" s="13" t="str">
        <v/>
      </c>
      <c r="C130" s="13" t="n">
        <v>0</v>
      </c>
      <c r="D130" s="13" t="n">
        <v>0</v>
      </c>
      <c r="E130" s="13" t="str">
        <v/>
      </c>
      <c r="F130" s="13" t="n">
        <v>0</v>
      </c>
      <c r="G130" s="13" t="n">
        <v>0</v>
      </c>
      <c r="H130" s="13" t="n">
        <v>0</v>
      </c>
      <c r="I130" s="13" t="n">
        <v>0</v>
      </c>
      <c r="J130" s="13" t="b">
        <f aca="false">IF(ISBLANK(I130),"", IF($I$2:$I1127 = "Gohar Rehan","Overnight",IF($I$2:$I1127 = "Taufeeq Akhtar ","Overnight",IF($I$2:$I1127 = "Zeeshan Ali Malik","Audit",IF($I$2:$I1127 = "Ali Raza ","Receiving",IF($I$2:$I1127 = "Ali Ahmad","Full-In"))))))</f>
        <v>0</v>
      </c>
      <c r="K130" s="39" t="e">
        <f aca="false">IFERROR(VLOOKUP(D130,'Brand manager data '!A:B,2,0))</f>
        <v>#VALUE!</v>
      </c>
      <c r="L130" s="13" t="n">
        <v>0</v>
      </c>
      <c r="M130" s="13" t="str">
        <v>Yes</v>
      </c>
      <c r="N130" s="22"/>
      <c r="Q130" s="40"/>
      <c r="R130" s="13" t="b">
        <f aca="false">FALSE()</f>
        <v>0</v>
      </c>
      <c r="S130" s="13" t="n">
        <v>0</v>
      </c>
      <c r="T130" s="13" t="n">
        <f aca="false">S130*F130</f>
        <v>0</v>
      </c>
      <c r="U130" s="13" t="n">
        <v>0</v>
      </c>
      <c r="V130" s="13" t="n">
        <v>0</v>
      </c>
    </row>
    <row r="131" customFormat="false" ht="15.75" hidden="false" customHeight="false" outlineLevel="0" collapsed="false">
      <c r="A131" s="13" t="n">
        <v>0</v>
      </c>
      <c r="B131" s="13" t="str">
        <v/>
      </c>
      <c r="C131" s="13" t="n">
        <v>0</v>
      </c>
      <c r="D131" s="13" t="n">
        <v>0</v>
      </c>
      <c r="E131" s="13" t="str">
        <v/>
      </c>
      <c r="F131" s="13" t="n">
        <v>0</v>
      </c>
      <c r="G131" s="13" t="n">
        <v>0</v>
      </c>
      <c r="H131" s="13" t="n">
        <v>0</v>
      </c>
      <c r="I131" s="13" t="n">
        <v>0</v>
      </c>
      <c r="J131" s="13" t="b">
        <f aca="false">IF(ISBLANK(I131),"", IF($I$2:$I1128 = "Gohar Rehan","Overnight",IF($I$2:$I1128 = "Taufeeq Akhtar ","Overnight",IF($I$2:$I1128 = "Zeeshan Ali Malik","Audit",IF($I$2:$I1128 = "Ali Raza ","Receiving",IF($I$2:$I1128 = "Ali Ahmad","Full-In"))))))</f>
        <v>0</v>
      </c>
      <c r="K131" s="39" t="e">
        <f aca="false">IFERROR(VLOOKUP(D131,'Brand manager data '!A:B,2,0))</f>
        <v>#VALUE!</v>
      </c>
      <c r="L131" s="13" t="n">
        <v>0</v>
      </c>
      <c r="M131" s="13" t="str">
        <v>Yes</v>
      </c>
      <c r="N131" s="22"/>
      <c r="Q131" s="40"/>
      <c r="R131" s="13" t="b">
        <f aca="false">FALSE()</f>
        <v>0</v>
      </c>
      <c r="S131" s="13" t="n">
        <v>0</v>
      </c>
      <c r="T131" s="13" t="n">
        <f aca="false">S131*F131</f>
        <v>0</v>
      </c>
      <c r="U131" s="13" t="n">
        <v>0</v>
      </c>
      <c r="V131" s="13" t="n">
        <v>0</v>
      </c>
    </row>
    <row r="132" customFormat="false" ht="15.75" hidden="false" customHeight="false" outlineLevel="0" collapsed="false">
      <c r="A132" s="13" t="n">
        <v>0</v>
      </c>
      <c r="B132" s="13" t="str">
        <v/>
      </c>
      <c r="C132" s="13" t="n">
        <v>0</v>
      </c>
      <c r="D132" s="13" t="n">
        <v>0</v>
      </c>
      <c r="E132" s="13" t="str">
        <v/>
      </c>
      <c r="F132" s="13" t="n">
        <v>0</v>
      </c>
      <c r="G132" s="13" t="n">
        <v>0</v>
      </c>
      <c r="H132" s="13" t="n">
        <v>0</v>
      </c>
      <c r="I132" s="13" t="n">
        <v>0</v>
      </c>
      <c r="J132" s="13" t="b">
        <f aca="false">IF(ISBLANK(I132),"", IF($I$2:$I1129 = "Gohar Rehan","Overnight",IF($I$2:$I1129 = "Taufeeq Akhtar ","Overnight",IF($I$2:$I1129 = "Zeeshan Ali Malik","Audit",IF($I$2:$I1129 = "Ali Raza ","Receiving",IF($I$2:$I1129 = "Ali Ahmad","Full-In"))))))</f>
        <v>0</v>
      </c>
      <c r="K132" s="39" t="e">
        <f aca="false">IFERROR(VLOOKUP(D132,'Brand manager data '!A:B,2,0))</f>
        <v>#VALUE!</v>
      </c>
      <c r="L132" s="13" t="n">
        <v>0</v>
      </c>
      <c r="M132" s="13" t="str">
        <v>Yes</v>
      </c>
      <c r="N132" s="22"/>
      <c r="Q132" s="40"/>
      <c r="R132" s="13" t="b">
        <f aca="false">FALSE()</f>
        <v>0</v>
      </c>
      <c r="S132" s="13" t="n">
        <v>0</v>
      </c>
      <c r="T132" s="13" t="n">
        <f aca="false">S132*F132</f>
        <v>0</v>
      </c>
      <c r="U132" s="13" t="n">
        <v>0</v>
      </c>
      <c r="V132" s="13" t="n">
        <v>0</v>
      </c>
    </row>
    <row r="133" customFormat="false" ht="15.75" hidden="false" customHeight="false" outlineLevel="0" collapsed="false">
      <c r="A133" s="13" t="n">
        <v>0</v>
      </c>
      <c r="B133" s="13" t="str">
        <v/>
      </c>
      <c r="C133" s="13" t="n">
        <v>0</v>
      </c>
      <c r="D133" s="13" t="n">
        <v>0</v>
      </c>
      <c r="E133" s="13" t="str">
        <v/>
      </c>
      <c r="F133" s="13" t="n">
        <v>0</v>
      </c>
      <c r="G133" s="13" t="n">
        <v>0</v>
      </c>
      <c r="H133" s="13" t="n">
        <v>0</v>
      </c>
      <c r="I133" s="13" t="n">
        <v>0</v>
      </c>
      <c r="J133" s="13" t="b">
        <f aca="false">IF(ISBLANK(I133),"", IF($I$2:$I1130 = "Gohar Rehan","Overnight",IF($I$2:$I1130 = "Taufeeq Akhtar ","Overnight",IF($I$2:$I1130 = "Zeeshan Ali Malik","Audit",IF($I$2:$I1130 = "Ali Raza ","Receiving",IF($I$2:$I1130 = "Ali Ahmad","Full-In"))))))</f>
        <v>0</v>
      </c>
      <c r="K133" s="39" t="e">
        <f aca="false">IFERROR(VLOOKUP(D133,'Brand manager data '!A:B,2,0))</f>
        <v>#VALUE!</v>
      </c>
      <c r="L133" s="13" t="n">
        <v>0</v>
      </c>
      <c r="M133" s="13" t="str">
        <v>Yes</v>
      </c>
      <c r="N133" s="22"/>
      <c r="Q133" s="40"/>
      <c r="R133" s="13" t="b">
        <f aca="false">FALSE()</f>
        <v>0</v>
      </c>
      <c r="S133" s="13" t="n">
        <v>0</v>
      </c>
      <c r="T133" s="13" t="n">
        <f aca="false">S133*F133</f>
        <v>0</v>
      </c>
      <c r="U133" s="13" t="n">
        <v>0</v>
      </c>
      <c r="V133" s="13" t="n">
        <v>0</v>
      </c>
    </row>
    <row r="134" customFormat="false" ht="15.75" hidden="false" customHeight="false" outlineLevel="0" collapsed="false">
      <c r="A134" s="13" t="n">
        <v>0</v>
      </c>
      <c r="B134" s="13" t="str">
        <v/>
      </c>
      <c r="C134" s="13" t="n">
        <v>0</v>
      </c>
      <c r="D134" s="13" t="n">
        <v>0</v>
      </c>
      <c r="E134" s="13" t="str">
        <v/>
      </c>
      <c r="F134" s="13" t="n">
        <v>0</v>
      </c>
      <c r="G134" s="13" t="n">
        <v>0</v>
      </c>
      <c r="H134" s="13" t="n">
        <v>0</v>
      </c>
      <c r="I134" s="13" t="n">
        <v>0</v>
      </c>
      <c r="J134" s="13" t="b">
        <f aca="false">IF(ISBLANK(I134),"", IF($I$2:$I1131 = "Gohar Rehan","Overnight",IF($I$2:$I1131 = "Taufeeq Akhtar ","Overnight",IF($I$2:$I1131 = "Zeeshan Ali Malik","Audit",IF($I$2:$I1131 = "Ali Raza ","Receiving",IF($I$2:$I1131 = "Ali Ahmad","Full-In"))))))</f>
        <v>0</v>
      </c>
      <c r="K134" s="39" t="e">
        <f aca="false">IFERROR(VLOOKUP(D134,'Brand manager data '!A:B,2,0))</f>
        <v>#VALUE!</v>
      </c>
      <c r="L134" s="13" t="n">
        <v>0</v>
      </c>
      <c r="M134" s="13" t="str">
        <v>Yes</v>
      </c>
      <c r="N134" s="22"/>
      <c r="Q134" s="40"/>
      <c r="R134" s="13" t="b">
        <f aca="false">FALSE()</f>
        <v>0</v>
      </c>
      <c r="S134" s="13" t="n">
        <v>0</v>
      </c>
      <c r="T134" s="13" t="n">
        <f aca="false">S134*F134</f>
        <v>0</v>
      </c>
      <c r="U134" s="13" t="n">
        <v>0</v>
      </c>
      <c r="V134" s="13" t="n">
        <v>0</v>
      </c>
    </row>
    <row r="135" customFormat="false" ht="15.75" hidden="false" customHeight="false" outlineLevel="0" collapsed="false">
      <c r="A135" s="13" t="n">
        <v>0</v>
      </c>
      <c r="B135" s="13" t="str">
        <v/>
      </c>
      <c r="C135" s="13" t="n">
        <v>0</v>
      </c>
      <c r="D135" s="13" t="n">
        <v>0</v>
      </c>
      <c r="E135" s="13" t="str">
        <v/>
      </c>
      <c r="F135" s="13" t="n">
        <v>0</v>
      </c>
      <c r="G135" s="13" t="n">
        <v>0</v>
      </c>
      <c r="H135" s="13" t="n">
        <v>0</v>
      </c>
      <c r="I135" s="13" t="n">
        <v>0</v>
      </c>
      <c r="J135" s="13" t="b">
        <f aca="false">IF(ISBLANK(I135),"", IF($I$2:$I1132 = "Gohar Rehan","Overnight",IF($I$2:$I1132 = "Taufeeq Akhtar ","Overnight",IF($I$2:$I1132 = "Zeeshan Ali Malik","Audit",IF($I$2:$I1132 = "Ali Raza ","Receiving",IF($I$2:$I1132 = "Ali Ahmad","Full-In"))))))</f>
        <v>0</v>
      </c>
      <c r="K135" s="39" t="e">
        <f aca="false">IFERROR(VLOOKUP(D135,'Brand manager data '!A:B,2,0))</f>
        <v>#VALUE!</v>
      </c>
      <c r="L135" s="13" t="n">
        <v>0</v>
      </c>
      <c r="M135" s="13" t="str">
        <v>Yes</v>
      </c>
      <c r="N135" s="22"/>
      <c r="Q135" s="40"/>
      <c r="R135" s="13" t="b">
        <f aca="false">FALSE()</f>
        <v>0</v>
      </c>
      <c r="S135" s="13" t="n">
        <v>0</v>
      </c>
      <c r="T135" s="13" t="n">
        <f aca="false">S135*F135</f>
        <v>0</v>
      </c>
      <c r="U135" s="13" t="n">
        <v>0</v>
      </c>
      <c r="V135" s="13" t="n">
        <v>0</v>
      </c>
    </row>
    <row r="136" customFormat="false" ht="15.75" hidden="false" customHeight="false" outlineLevel="0" collapsed="false">
      <c r="A136" s="13" t="n">
        <v>0</v>
      </c>
      <c r="B136" s="13" t="str">
        <v/>
      </c>
      <c r="C136" s="13" t="n">
        <v>0</v>
      </c>
      <c r="D136" s="13" t="n">
        <v>0</v>
      </c>
      <c r="E136" s="13" t="str">
        <v/>
      </c>
      <c r="F136" s="13" t="n">
        <v>0</v>
      </c>
      <c r="G136" s="13" t="n">
        <v>0</v>
      </c>
      <c r="H136" s="13" t="n">
        <v>0</v>
      </c>
      <c r="I136" s="13" t="n">
        <v>0</v>
      </c>
      <c r="J136" s="13" t="b">
        <f aca="false">IF(ISBLANK(I136),"", IF($I$2:$I1133 = "Gohar Rehan","Overnight",IF($I$2:$I1133 = "Taufeeq Akhtar ","Overnight",IF($I$2:$I1133 = "Zeeshan Ali Malik","Audit",IF($I$2:$I1133 = "Ali Raza ","Receiving",IF($I$2:$I1133 = "Ali Ahmad","Full-In"))))))</f>
        <v>0</v>
      </c>
      <c r="K136" s="39" t="e">
        <f aca="false">IFERROR(VLOOKUP(D136,'Brand manager data '!A:B,2,0))</f>
        <v>#VALUE!</v>
      </c>
      <c r="L136" s="13" t="n">
        <v>0</v>
      </c>
      <c r="M136" s="13" t="str">
        <v>Yes</v>
      </c>
      <c r="N136" s="22"/>
      <c r="Q136" s="40"/>
      <c r="R136" s="13" t="b">
        <f aca="false">FALSE()</f>
        <v>0</v>
      </c>
      <c r="S136" s="13" t="n">
        <v>0</v>
      </c>
      <c r="T136" s="13" t="n">
        <f aca="false">S136*F136</f>
        <v>0</v>
      </c>
      <c r="U136" s="13" t="n">
        <v>0</v>
      </c>
      <c r="V136" s="13" t="n">
        <v>0</v>
      </c>
    </row>
    <row r="137" customFormat="false" ht="15.75" hidden="false" customHeight="false" outlineLevel="0" collapsed="false">
      <c r="A137" s="13" t="n">
        <v>0</v>
      </c>
      <c r="B137" s="13" t="str">
        <v/>
      </c>
      <c r="C137" s="13" t="n">
        <v>0</v>
      </c>
      <c r="D137" s="13" t="n">
        <v>0</v>
      </c>
      <c r="E137" s="13" t="str">
        <v/>
      </c>
      <c r="F137" s="13" t="n">
        <v>0</v>
      </c>
      <c r="G137" s="13" t="n">
        <v>0</v>
      </c>
      <c r="H137" s="13" t="n">
        <v>0</v>
      </c>
      <c r="I137" s="13" t="n">
        <v>0</v>
      </c>
      <c r="J137" s="13" t="b">
        <f aca="false">IF(ISBLANK(I137),"", IF($I$2:$I1134 = "Gohar Rehan","Overnight",IF($I$2:$I1134 = "Taufeeq Akhtar ","Overnight",IF($I$2:$I1134 = "Zeeshan Ali Malik","Audit",IF($I$2:$I1134 = "Ali Raza ","Receiving",IF($I$2:$I1134 = "Ali Ahmad","Full-In"))))))</f>
        <v>0</v>
      </c>
      <c r="K137" s="39" t="e">
        <f aca="false">IFERROR(VLOOKUP(D137,'Brand manager data '!A:B,2,0))</f>
        <v>#VALUE!</v>
      </c>
      <c r="L137" s="13" t="n">
        <v>0</v>
      </c>
      <c r="M137" s="13" t="str">
        <v>Yes</v>
      </c>
      <c r="N137" s="22"/>
      <c r="Q137" s="40"/>
      <c r="R137" s="13" t="b">
        <f aca="false">FALSE()</f>
        <v>0</v>
      </c>
      <c r="S137" s="13" t="n">
        <v>0</v>
      </c>
      <c r="T137" s="13" t="n">
        <f aca="false">S137*F137</f>
        <v>0</v>
      </c>
      <c r="U137" s="13" t="n">
        <v>0</v>
      </c>
      <c r="V137" s="13" t="n">
        <v>0</v>
      </c>
    </row>
    <row r="138" customFormat="false" ht="15.75" hidden="false" customHeight="false" outlineLevel="0" collapsed="false">
      <c r="A138" s="13" t="n">
        <v>0</v>
      </c>
      <c r="B138" s="13" t="str">
        <v/>
      </c>
      <c r="C138" s="13" t="n">
        <v>0</v>
      </c>
      <c r="D138" s="13" t="n">
        <v>0</v>
      </c>
      <c r="E138" s="13" t="str">
        <v/>
      </c>
      <c r="F138" s="13" t="n">
        <v>0</v>
      </c>
      <c r="G138" s="13" t="n">
        <v>0</v>
      </c>
      <c r="H138" s="13" t="n">
        <v>0</v>
      </c>
      <c r="I138" s="13" t="n">
        <v>0</v>
      </c>
      <c r="J138" s="13" t="b">
        <f aca="false">IF(ISBLANK(I138),"", IF($I$2:$I1135 = "Gohar Rehan","Overnight",IF($I$2:$I1135 = "Taufeeq Akhtar ","Overnight",IF($I$2:$I1135 = "Zeeshan Ali Malik","Audit",IF($I$2:$I1135 = "Ali Raza ","Receiving",IF($I$2:$I1135 = "Ali Ahmad","Full-In"))))))</f>
        <v>0</v>
      </c>
      <c r="K138" s="39" t="e">
        <f aca="false">IFERROR(VLOOKUP(D138,'Brand manager data '!A:B,2,0))</f>
        <v>#VALUE!</v>
      </c>
      <c r="L138" s="13" t="n">
        <v>0</v>
      </c>
      <c r="M138" s="13" t="str">
        <v>Yes</v>
      </c>
      <c r="N138" s="22"/>
      <c r="Q138" s="40"/>
      <c r="R138" s="13" t="b">
        <f aca="false">FALSE()</f>
        <v>0</v>
      </c>
      <c r="S138" s="13" t="n">
        <v>0</v>
      </c>
      <c r="T138" s="13" t="n">
        <f aca="false">S138*F138</f>
        <v>0</v>
      </c>
      <c r="U138" s="13" t="n">
        <v>0</v>
      </c>
      <c r="V138" s="13" t="n">
        <v>0</v>
      </c>
    </row>
    <row r="139" customFormat="false" ht="15.75" hidden="false" customHeight="false" outlineLevel="0" collapsed="false">
      <c r="A139" s="13" t="n">
        <v>0</v>
      </c>
      <c r="B139" s="13" t="str">
        <v/>
      </c>
      <c r="C139" s="13" t="n">
        <v>0</v>
      </c>
      <c r="D139" s="13" t="n">
        <v>0</v>
      </c>
      <c r="E139" s="13" t="str">
        <v/>
      </c>
      <c r="F139" s="13" t="n">
        <v>0</v>
      </c>
      <c r="G139" s="13" t="n">
        <v>0</v>
      </c>
      <c r="H139" s="13" t="n">
        <v>0</v>
      </c>
      <c r="I139" s="13" t="n">
        <v>0</v>
      </c>
      <c r="J139" s="13" t="b">
        <f aca="false">IF(ISBLANK(I139),"", IF($I$2:$I1136 = "Gohar Rehan","Overnight",IF($I$2:$I1136 = "Taufeeq Akhtar ","Overnight",IF($I$2:$I1136 = "Zeeshan Ali Malik","Audit",IF($I$2:$I1136 = "Ali Raza ","Receiving",IF($I$2:$I1136 = "Ali Ahmad","Full-In"))))))</f>
        <v>0</v>
      </c>
      <c r="K139" s="39" t="e">
        <f aca="false">IFERROR(VLOOKUP(D139,'Brand manager data '!A:B,2,0))</f>
        <v>#VALUE!</v>
      </c>
      <c r="L139" s="13" t="n">
        <v>0</v>
      </c>
      <c r="M139" s="13" t="str">
        <v>Yes</v>
      </c>
      <c r="N139" s="22"/>
      <c r="Q139" s="40"/>
      <c r="R139" s="13" t="b">
        <f aca="false">FALSE()</f>
        <v>0</v>
      </c>
      <c r="S139" s="13" t="n">
        <v>0</v>
      </c>
      <c r="T139" s="13" t="n">
        <f aca="false">S139*F139</f>
        <v>0</v>
      </c>
      <c r="U139" s="13" t="n">
        <v>0</v>
      </c>
      <c r="V139" s="13" t="n">
        <v>0</v>
      </c>
    </row>
    <row r="140" customFormat="false" ht="15.75" hidden="false" customHeight="false" outlineLevel="0" collapsed="false">
      <c r="A140" s="13" t="n">
        <v>0</v>
      </c>
      <c r="B140" s="13" t="str">
        <v/>
      </c>
      <c r="C140" s="13" t="n">
        <v>0</v>
      </c>
      <c r="D140" s="13" t="n">
        <v>0</v>
      </c>
      <c r="E140" s="13" t="str">
        <v/>
      </c>
      <c r="F140" s="13" t="n">
        <v>0</v>
      </c>
      <c r="G140" s="13" t="n">
        <v>0</v>
      </c>
      <c r="H140" s="13" t="n">
        <v>0</v>
      </c>
      <c r="I140" s="13" t="n">
        <v>0</v>
      </c>
      <c r="J140" s="13" t="b">
        <f aca="false">IF(ISBLANK(I140),"", IF($I$2:$I1137 = "Gohar Rehan","Overnight",IF($I$2:$I1137 = "Taufeeq Akhtar ","Overnight",IF($I$2:$I1137 = "Zeeshan Ali Malik","Audit",IF($I$2:$I1137 = "Ali Raza ","Receiving",IF($I$2:$I1137 = "Ali Ahmad","Full-In"))))))</f>
        <v>0</v>
      </c>
      <c r="K140" s="39" t="e">
        <f aca="false">IFERROR(VLOOKUP(D140,'Brand manager data '!A:B,2,0))</f>
        <v>#VALUE!</v>
      </c>
      <c r="L140" s="13" t="n">
        <v>0</v>
      </c>
      <c r="M140" s="13" t="str">
        <v>Yes</v>
      </c>
      <c r="N140" s="22"/>
      <c r="Q140" s="40"/>
      <c r="R140" s="13" t="b">
        <f aca="false">FALSE()</f>
        <v>0</v>
      </c>
      <c r="S140" s="13" t="n">
        <v>0</v>
      </c>
      <c r="T140" s="13" t="n">
        <f aca="false">S140*F140</f>
        <v>0</v>
      </c>
      <c r="U140" s="13" t="n">
        <v>0</v>
      </c>
      <c r="V140" s="13" t="n">
        <v>0</v>
      </c>
    </row>
    <row r="141" customFormat="false" ht="15.75" hidden="false" customHeight="false" outlineLevel="0" collapsed="false">
      <c r="A141" s="13" t="n">
        <v>0</v>
      </c>
      <c r="B141" s="13" t="str">
        <v/>
      </c>
      <c r="C141" s="13" t="n">
        <v>0</v>
      </c>
      <c r="D141" s="13" t="n">
        <v>0</v>
      </c>
      <c r="E141" s="13" t="str">
        <v/>
      </c>
      <c r="F141" s="13" t="n">
        <v>0</v>
      </c>
      <c r="G141" s="13" t="n">
        <v>0</v>
      </c>
      <c r="H141" s="13" t="n">
        <v>0</v>
      </c>
      <c r="I141" s="13" t="n">
        <v>0</v>
      </c>
      <c r="J141" s="13" t="b">
        <f aca="false">IF(ISBLANK(I141),"", IF($I$2:$I1138 = "Gohar Rehan","Overnight",IF($I$2:$I1138 = "Taufeeq Akhtar ","Overnight",IF($I$2:$I1138 = "Zeeshan Ali Malik","Audit",IF($I$2:$I1138 = "Ali Raza ","Receiving",IF($I$2:$I1138 = "Ali Ahmad","Full-In"))))))</f>
        <v>0</v>
      </c>
      <c r="K141" s="39" t="e">
        <f aca="false">IFERROR(VLOOKUP(D141,'Brand manager data '!A:B,2,0))</f>
        <v>#VALUE!</v>
      </c>
      <c r="L141" s="13" t="n">
        <v>0</v>
      </c>
      <c r="M141" s="13" t="str">
        <v>Yes</v>
      </c>
      <c r="N141" s="22"/>
      <c r="Q141" s="40"/>
      <c r="R141" s="13" t="b">
        <f aca="false">FALSE()</f>
        <v>0</v>
      </c>
      <c r="S141" s="13" t="n">
        <v>0</v>
      </c>
      <c r="T141" s="13" t="n">
        <f aca="false">S141*F141</f>
        <v>0</v>
      </c>
      <c r="U141" s="13" t="n">
        <v>0</v>
      </c>
      <c r="V141" s="13" t="n">
        <v>0</v>
      </c>
    </row>
    <row r="142" customFormat="false" ht="15.75" hidden="false" customHeight="false" outlineLevel="0" collapsed="false">
      <c r="A142" s="13" t="n">
        <v>0</v>
      </c>
      <c r="B142" s="13" t="str">
        <v/>
      </c>
      <c r="C142" s="13" t="n">
        <v>0</v>
      </c>
      <c r="D142" s="13" t="n">
        <v>0</v>
      </c>
      <c r="E142" s="13" t="str">
        <v/>
      </c>
      <c r="F142" s="13" t="n">
        <v>0</v>
      </c>
      <c r="G142" s="13" t="n">
        <v>0</v>
      </c>
      <c r="H142" s="13" t="n">
        <v>0</v>
      </c>
      <c r="I142" s="13" t="n">
        <v>0</v>
      </c>
      <c r="J142" s="13" t="b">
        <f aca="false">IF(ISBLANK(I142),"", IF($I$2:$I1139 = "Gohar Rehan","Overnight",IF($I$2:$I1139 = "Taufeeq Akhtar ","Overnight",IF($I$2:$I1139 = "Zeeshan Ali Malik","Audit",IF($I$2:$I1139 = "Ali Raza ","Receiving",IF($I$2:$I1139 = "Ali Ahmad","Full-In"))))))</f>
        <v>0</v>
      </c>
      <c r="K142" s="39" t="e">
        <f aca="false">IFERROR(VLOOKUP(D142,'Brand manager data '!A:B,2,0))</f>
        <v>#VALUE!</v>
      </c>
      <c r="L142" s="13" t="n">
        <v>0</v>
      </c>
      <c r="M142" s="13" t="str">
        <v>Yes</v>
      </c>
      <c r="N142" s="22"/>
      <c r="Q142" s="40"/>
      <c r="R142" s="13" t="b">
        <f aca="false">FALSE()</f>
        <v>0</v>
      </c>
      <c r="S142" s="13" t="n">
        <v>0</v>
      </c>
      <c r="T142" s="13" t="n">
        <f aca="false">S142*F142</f>
        <v>0</v>
      </c>
      <c r="U142" s="13" t="n">
        <v>0</v>
      </c>
      <c r="V142" s="13" t="n">
        <v>0</v>
      </c>
    </row>
    <row r="143" customFormat="false" ht="15.75" hidden="false" customHeight="false" outlineLevel="0" collapsed="false">
      <c r="A143" s="13" t="n">
        <v>0</v>
      </c>
      <c r="B143" s="13" t="str">
        <v/>
      </c>
      <c r="C143" s="13" t="n">
        <v>0</v>
      </c>
      <c r="D143" s="13" t="n">
        <v>0</v>
      </c>
      <c r="E143" s="13" t="str">
        <v/>
      </c>
      <c r="F143" s="13" t="n">
        <v>0</v>
      </c>
      <c r="G143" s="13" t="n">
        <v>0</v>
      </c>
      <c r="H143" s="13" t="n">
        <v>0</v>
      </c>
      <c r="I143" s="13" t="n">
        <v>0</v>
      </c>
      <c r="J143" s="13" t="b">
        <f aca="false">IF(ISBLANK(I143),"", IF($I$2:$I1140 = "Gohar Rehan","Overnight",IF($I$2:$I1140 = "Taufeeq Akhtar ","Overnight",IF($I$2:$I1140 = "Zeeshan Ali Malik","Audit",IF($I$2:$I1140 = "Ali Raza ","Receiving",IF($I$2:$I1140 = "Ali Ahmad","Full-In"))))))</f>
        <v>0</v>
      </c>
      <c r="K143" s="39" t="e">
        <f aca="false">IFERROR(VLOOKUP(D143,'Brand manager data '!A:B,2,0))</f>
        <v>#VALUE!</v>
      </c>
      <c r="L143" s="13" t="n">
        <v>0</v>
      </c>
      <c r="M143" s="13" t="str">
        <v>Yes</v>
      </c>
      <c r="N143" s="22"/>
      <c r="Q143" s="40"/>
      <c r="R143" s="13" t="b">
        <f aca="false">FALSE()</f>
        <v>0</v>
      </c>
      <c r="S143" s="13" t="n">
        <v>0</v>
      </c>
      <c r="T143" s="13" t="n">
        <f aca="false">S143*F143</f>
        <v>0</v>
      </c>
      <c r="U143" s="13" t="n">
        <v>0</v>
      </c>
      <c r="V143" s="13" t="n">
        <v>0</v>
      </c>
    </row>
    <row r="144" customFormat="false" ht="15.75" hidden="false" customHeight="false" outlineLevel="0" collapsed="false">
      <c r="A144" s="13" t="n">
        <v>0</v>
      </c>
      <c r="B144" s="13" t="str">
        <v/>
      </c>
      <c r="C144" s="13" t="n">
        <v>0</v>
      </c>
      <c r="D144" s="13" t="n">
        <v>0</v>
      </c>
      <c r="E144" s="13" t="str">
        <v/>
      </c>
      <c r="F144" s="13" t="n">
        <v>0</v>
      </c>
      <c r="G144" s="13" t="n">
        <v>0</v>
      </c>
      <c r="H144" s="13" t="n">
        <v>0</v>
      </c>
      <c r="I144" s="13" t="n">
        <v>0</v>
      </c>
      <c r="J144" s="13" t="b">
        <f aca="false">IF(ISBLANK(I144),"", IF($I$2:$I1141 = "Gohar Rehan","Overnight",IF($I$2:$I1141 = "Taufeeq Akhtar ","Overnight",IF($I$2:$I1141 = "Zeeshan Ali Malik","Audit",IF($I$2:$I1141 = "Ali Raza ","Receiving",IF($I$2:$I1141 = "Ali Ahmad","Full-In"))))))</f>
        <v>0</v>
      </c>
      <c r="K144" s="39" t="e">
        <f aca="false">IFERROR(VLOOKUP(D144,'Brand manager data '!A:B,2,0))</f>
        <v>#VALUE!</v>
      </c>
      <c r="L144" s="13" t="n">
        <v>0</v>
      </c>
      <c r="M144" s="13" t="str">
        <v>Yes</v>
      </c>
      <c r="N144" s="22"/>
      <c r="Q144" s="40"/>
      <c r="R144" s="13" t="b">
        <f aca="false">FALSE()</f>
        <v>0</v>
      </c>
      <c r="S144" s="13" t="n">
        <v>0</v>
      </c>
      <c r="T144" s="13" t="n">
        <f aca="false">S144*F144</f>
        <v>0</v>
      </c>
      <c r="U144" s="13" t="n">
        <v>0</v>
      </c>
      <c r="V144" s="13" t="n">
        <v>0</v>
      </c>
    </row>
    <row r="145" customFormat="false" ht="15.75" hidden="false" customHeight="false" outlineLevel="0" collapsed="false">
      <c r="A145" s="13" t="n">
        <v>0</v>
      </c>
      <c r="B145" s="13" t="str">
        <v/>
      </c>
      <c r="C145" s="13" t="n">
        <v>0</v>
      </c>
      <c r="D145" s="13" t="n">
        <v>0</v>
      </c>
      <c r="E145" s="13" t="str">
        <v/>
      </c>
      <c r="F145" s="13" t="n">
        <v>0</v>
      </c>
      <c r="G145" s="13" t="n">
        <v>0</v>
      </c>
      <c r="H145" s="13" t="n">
        <v>0</v>
      </c>
      <c r="I145" s="13" t="n">
        <v>0</v>
      </c>
      <c r="J145" s="13" t="b">
        <f aca="false">IF(ISBLANK(I145),"", IF($I$2:$I1142 = "Gohar Rehan","Overnight",IF($I$2:$I1142 = "Taufeeq Akhtar ","Overnight",IF($I$2:$I1142 = "Zeeshan Ali Malik","Audit",IF($I$2:$I1142 = "Ali Raza ","Receiving",IF($I$2:$I1142 = "Ali Ahmad","Full-In"))))))</f>
        <v>0</v>
      </c>
      <c r="K145" s="39" t="e">
        <f aca="false">IFERROR(VLOOKUP(D145,'Brand manager data '!A:B,2,0))</f>
        <v>#VALUE!</v>
      </c>
      <c r="L145" s="13" t="n">
        <v>0</v>
      </c>
      <c r="M145" s="13" t="str">
        <v>Yes</v>
      </c>
      <c r="N145" s="22"/>
      <c r="Q145" s="40"/>
      <c r="R145" s="13" t="b">
        <f aca="false">FALSE()</f>
        <v>0</v>
      </c>
      <c r="S145" s="13" t="n">
        <v>0</v>
      </c>
      <c r="T145" s="13" t="n">
        <f aca="false">S145*F145</f>
        <v>0</v>
      </c>
      <c r="U145" s="13" t="n">
        <v>0</v>
      </c>
      <c r="V145" s="13" t="n">
        <v>0</v>
      </c>
    </row>
    <row r="146" customFormat="false" ht="15.75" hidden="false" customHeight="false" outlineLevel="0" collapsed="false">
      <c r="A146" s="13" t="n">
        <v>0</v>
      </c>
      <c r="B146" s="13" t="str">
        <v/>
      </c>
      <c r="C146" s="13" t="n">
        <v>0</v>
      </c>
      <c r="D146" s="13" t="n">
        <v>0</v>
      </c>
      <c r="E146" s="13" t="str">
        <v/>
      </c>
      <c r="F146" s="13" t="n">
        <v>0</v>
      </c>
      <c r="G146" s="13" t="n">
        <v>0</v>
      </c>
      <c r="H146" s="13" t="n">
        <v>0</v>
      </c>
      <c r="I146" s="13" t="n">
        <v>0</v>
      </c>
      <c r="J146" s="13" t="b">
        <f aca="false">IF(ISBLANK(I146),"", IF($I$2:$I1143 = "Gohar Rehan","Overnight",IF($I$2:$I1143 = "Taufeeq Akhtar ","Overnight",IF($I$2:$I1143 = "Zeeshan Ali Malik","Audit",IF($I$2:$I1143 = "Ali Raza ","Receiving",IF($I$2:$I1143 = "Ali Ahmad","Full-In"))))))</f>
        <v>0</v>
      </c>
      <c r="K146" s="39" t="e">
        <f aca="false">IFERROR(VLOOKUP(D146,'Brand manager data '!A:B,2,0))</f>
        <v>#VALUE!</v>
      </c>
      <c r="L146" s="13" t="n">
        <v>0</v>
      </c>
      <c r="M146" s="13" t="str">
        <v>Yes</v>
      </c>
      <c r="N146" s="22"/>
      <c r="Q146" s="40"/>
      <c r="R146" s="13" t="b">
        <f aca="false">FALSE()</f>
        <v>0</v>
      </c>
      <c r="S146" s="13" t="n">
        <v>0</v>
      </c>
      <c r="T146" s="13" t="n">
        <f aca="false">S146*F146</f>
        <v>0</v>
      </c>
      <c r="U146" s="13" t="n">
        <v>0</v>
      </c>
      <c r="V146" s="13" t="n">
        <v>0</v>
      </c>
    </row>
    <row r="147" customFormat="false" ht="15.75" hidden="false" customHeight="false" outlineLevel="0" collapsed="false">
      <c r="A147" s="13" t="n">
        <v>0</v>
      </c>
      <c r="B147" s="13" t="str">
        <v/>
      </c>
      <c r="C147" s="13" t="n">
        <v>0</v>
      </c>
      <c r="D147" s="13" t="n">
        <v>0</v>
      </c>
      <c r="E147" s="13" t="str">
        <v/>
      </c>
      <c r="F147" s="13" t="n">
        <v>0</v>
      </c>
      <c r="G147" s="13" t="n">
        <v>0</v>
      </c>
      <c r="H147" s="13" t="n">
        <v>0</v>
      </c>
      <c r="I147" s="13" t="n">
        <v>0</v>
      </c>
      <c r="J147" s="13" t="b">
        <f aca="false">IF(ISBLANK(I147),"", IF($I$2:$I1144 = "Gohar Rehan","Overnight",IF($I$2:$I1144 = "Taufeeq Akhtar ","Overnight",IF($I$2:$I1144 = "Zeeshan Ali Malik","Audit",IF($I$2:$I1144 = "Ali Raza ","Receiving",IF($I$2:$I1144 = "Ali Ahmad","Full-In"))))))</f>
        <v>0</v>
      </c>
      <c r="K147" s="39" t="e">
        <f aca="false">IFERROR(VLOOKUP(D147,'Brand manager data '!A:B,2,0))</f>
        <v>#VALUE!</v>
      </c>
      <c r="L147" s="13" t="n">
        <v>0</v>
      </c>
      <c r="M147" s="13" t="str">
        <v>Yes</v>
      </c>
      <c r="N147" s="22"/>
      <c r="Q147" s="40"/>
      <c r="R147" s="13" t="b">
        <f aca="false">FALSE()</f>
        <v>0</v>
      </c>
      <c r="S147" s="13" t="n">
        <v>0</v>
      </c>
      <c r="T147" s="13" t="n">
        <f aca="false">S147*F147</f>
        <v>0</v>
      </c>
      <c r="U147" s="13" t="n">
        <v>0</v>
      </c>
      <c r="V147" s="13" t="n">
        <v>0</v>
      </c>
    </row>
    <row r="148" customFormat="false" ht="15.75" hidden="false" customHeight="false" outlineLevel="0" collapsed="false">
      <c r="A148" s="13" t="n">
        <v>0</v>
      </c>
      <c r="B148" s="13" t="str">
        <v/>
      </c>
      <c r="C148" s="13" t="n">
        <v>0</v>
      </c>
      <c r="D148" s="13" t="n">
        <v>0</v>
      </c>
      <c r="E148" s="13" t="str">
        <v/>
      </c>
      <c r="F148" s="13" t="n">
        <v>0</v>
      </c>
      <c r="G148" s="13" t="n">
        <v>0</v>
      </c>
      <c r="H148" s="13" t="n">
        <v>0</v>
      </c>
      <c r="I148" s="13" t="n">
        <v>0</v>
      </c>
      <c r="J148" s="13" t="b">
        <f aca="false">IF(ISBLANK(I148),"", IF($I$2:$I1145 = "Gohar Rehan","Overnight",IF($I$2:$I1145 = "Taufeeq Akhtar ","Overnight",IF($I$2:$I1145 = "Zeeshan Ali Malik","Audit",IF($I$2:$I1145 = "Ali Raza ","Receiving",IF($I$2:$I1145 = "Ali Ahmad","Full-In"))))))</f>
        <v>0</v>
      </c>
      <c r="K148" s="39" t="e">
        <f aca="false">IFERROR(VLOOKUP(D148,'Brand manager data '!A:B,2,0))</f>
        <v>#VALUE!</v>
      </c>
      <c r="L148" s="13" t="n">
        <v>0</v>
      </c>
      <c r="M148" s="13" t="str">
        <v>Yes</v>
      </c>
      <c r="N148" s="22"/>
      <c r="Q148" s="40"/>
      <c r="R148" s="13" t="b">
        <f aca="false">FALSE()</f>
        <v>0</v>
      </c>
      <c r="S148" s="13" t="n">
        <v>0</v>
      </c>
      <c r="T148" s="13" t="n">
        <f aca="false">S148*F148</f>
        <v>0</v>
      </c>
      <c r="U148" s="13" t="n">
        <v>0</v>
      </c>
      <c r="V148" s="13" t="n">
        <v>0</v>
      </c>
    </row>
    <row r="149" customFormat="false" ht="15.75" hidden="false" customHeight="false" outlineLevel="0" collapsed="false">
      <c r="A149" s="13" t="n">
        <v>0</v>
      </c>
      <c r="B149" s="13" t="str">
        <v/>
      </c>
      <c r="C149" s="13" t="n">
        <v>0</v>
      </c>
      <c r="D149" s="13" t="n">
        <v>0</v>
      </c>
      <c r="E149" s="13" t="str">
        <v/>
      </c>
      <c r="F149" s="13" t="n">
        <v>0</v>
      </c>
      <c r="G149" s="13" t="n">
        <v>0</v>
      </c>
      <c r="H149" s="13" t="n">
        <v>0</v>
      </c>
      <c r="I149" s="13" t="n">
        <v>0</v>
      </c>
      <c r="J149" s="13" t="b">
        <f aca="false">IF(ISBLANK(I149),"", IF($I$2:$I1146 = "Gohar Rehan","Overnight",IF($I$2:$I1146 = "Taufeeq Akhtar ","Overnight",IF($I$2:$I1146 = "Zeeshan Ali Malik","Audit",IF($I$2:$I1146 = "Ali Raza ","Receiving",IF($I$2:$I1146 = "Ali Ahmad","Full-In"))))))</f>
        <v>0</v>
      </c>
      <c r="K149" s="39" t="e">
        <f aca="false">IFERROR(VLOOKUP(D149,'Brand manager data '!A:B,2,0))</f>
        <v>#VALUE!</v>
      </c>
      <c r="L149" s="13" t="n">
        <v>0</v>
      </c>
      <c r="M149" s="13" t="str">
        <v>Yes</v>
      </c>
      <c r="N149" s="22"/>
      <c r="Q149" s="40"/>
      <c r="R149" s="13" t="b">
        <f aca="false">FALSE()</f>
        <v>0</v>
      </c>
      <c r="S149" s="13" t="n">
        <v>0</v>
      </c>
      <c r="T149" s="13" t="n">
        <f aca="false">S149*F149</f>
        <v>0</v>
      </c>
      <c r="U149" s="13" t="n">
        <v>0</v>
      </c>
      <c r="V149" s="13" t="n">
        <v>0</v>
      </c>
    </row>
    <row r="150" customFormat="false" ht="15.75" hidden="false" customHeight="false" outlineLevel="0" collapsed="false">
      <c r="A150" s="13" t="n">
        <v>0</v>
      </c>
      <c r="B150" s="13" t="str">
        <v/>
      </c>
      <c r="C150" s="13" t="n">
        <v>0</v>
      </c>
      <c r="D150" s="13" t="n">
        <v>0</v>
      </c>
      <c r="E150" s="13" t="str">
        <v/>
      </c>
      <c r="F150" s="13" t="n">
        <v>0</v>
      </c>
      <c r="G150" s="13" t="n">
        <v>0</v>
      </c>
      <c r="H150" s="13" t="n">
        <v>0</v>
      </c>
      <c r="I150" s="13" t="n">
        <v>0</v>
      </c>
      <c r="J150" s="13" t="b">
        <f aca="false">IF(ISBLANK(I150),"", IF($I$2:$I1147 = "Gohar Rehan","Overnight",IF($I$2:$I1147 = "Taufeeq Akhtar ","Overnight",IF($I$2:$I1147 = "Zeeshan Ali Malik","Audit",IF($I$2:$I1147 = "Ali Raza ","Receiving",IF($I$2:$I1147 = "Ali Ahmad","Full-In"))))))</f>
        <v>0</v>
      </c>
      <c r="K150" s="39" t="e">
        <f aca="false">IFERROR(VLOOKUP(D150,'Brand manager data '!A:B,2,0))</f>
        <v>#VALUE!</v>
      </c>
      <c r="L150" s="13" t="n">
        <v>0</v>
      </c>
      <c r="M150" s="13" t="str">
        <v>Yes</v>
      </c>
      <c r="N150" s="22"/>
      <c r="Q150" s="40"/>
      <c r="R150" s="13" t="b">
        <f aca="false">FALSE()</f>
        <v>0</v>
      </c>
      <c r="S150" s="13" t="n">
        <v>0</v>
      </c>
      <c r="T150" s="13" t="n">
        <f aca="false">S150*F150</f>
        <v>0</v>
      </c>
      <c r="U150" s="13" t="n">
        <v>0</v>
      </c>
      <c r="V150" s="13" t="n">
        <v>0</v>
      </c>
    </row>
    <row r="151" customFormat="false" ht="15.75" hidden="false" customHeight="false" outlineLevel="0" collapsed="false">
      <c r="A151" s="13" t="n">
        <v>0</v>
      </c>
      <c r="B151" s="13" t="str">
        <v/>
      </c>
      <c r="C151" s="13" t="n">
        <v>0</v>
      </c>
      <c r="D151" s="13" t="n">
        <v>0</v>
      </c>
      <c r="E151" s="13" t="str">
        <v/>
      </c>
      <c r="F151" s="13" t="n">
        <v>0</v>
      </c>
      <c r="G151" s="13" t="n">
        <v>0</v>
      </c>
      <c r="H151" s="13" t="n">
        <v>0</v>
      </c>
      <c r="I151" s="13" t="n">
        <v>0</v>
      </c>
      <c r="J151" s="13" t="b">
        <f aca="false">IF(ISBLANK(I151),"", IF($I$2:$I1148 = "Gohar Rehan","Overnight",IF($I$2:$I1148 = "Taufeeq Akhtar ","Overnight",IF($I$2:$I1148 = "Zeeshan Ali Malik","Audit",IF($I$2:$I1148 = "Ali Raza ","Receiving",IF($I$2:$I1148 = "Ali Ahmad","Full-In"))))))</f>
        <v>0</v>
      </c>
      <c r="K151" s="39" t="e">
        <f aca="false">IFERROR(VLOOKUP(D151,'Brand manager data '!A:B,2,0))</f>
        <v>#VALUE!</v>
      </c>
      <c r="L151" s="13" t="n">
        <v>0</v>
      </c>
      <c r="M151" s="13" t="str">
        <v>Yes</v>
      </c>
      <c r="N151" s="22"/>
      <c r="Q151" s="40"/>
      <c r="R151" s="13" t="b">
        <f aca="false">FALSE()</f>
        <v>0</v>
      </c>
      <c r="S151" s="13" t="n">
        <v>0</v>
      </c>
      <c r="T151" s="13" t="n">
        <f aca="false">S151*F151</f>
        <v>0</v>
      </c>
      <c r="U151" s="13" t="n">
        <v>0</v>
      </c>
      <c r="V151" s="13" t="n">
        <v>0</v>
      </c>
    </row>
    <row r="152" customFormat="false" ht="15.75" hidden="false" customHeight="false" outlineLevel="0" collapsed="false">
      <c r="A152" s="13" t="n">
        <v>0</v>
      </c>
      <c r="B152" s="13" t="str">
        <v/>
      </c>
      <c r="C152" s="13" t="n">
        <v>0</v>
      </c>
      <c r="D152" s="13" t="n">
        <v>0</v>
      </c>
      <c r="E152" s="13" t="str">
        <v/>
      </c>
      <c r="F152" s="13" t="n">
        <v>0</v>
      </c>
      <c r="G152" s="13" t="n">
        <v>0</v>
      </c>
      <c r="H152" s="13" t="n">
        <v>0</v>
      </c>
      <c r="I152" s="13" t="n">
        <v>0</v>
      </c>
      <c r="J152" s="13" t="b">
        <f aca="false">IF(ISBLANK(I152),"", IF($I$2:$I1149 = "Gohar Rehan","Overnight",IF($I$2:$I1149 = "Taufeeq Akhtar ","Overnight",IF($I$2:$I1149 = "Zeeshan Ali Malik","Audit",IF($I$2:$I1149 = "Ali Raza ","Receiving",IF($I$2:$I1149 = "Ali Ahmad","Full-In"))))))</f>
        <v>0</v>
      </c>
      <c r="K152" s="39" t="e">
        <f aca="false">IFERROR(VLOOKUP(D152,'Brand manager data '!A:B,2,0))</f>
        <v>#VALUE!</v>
      </c>
      <c r="L152" s="13" t="n">
        <v>0</v>
      </c>
      <c r="M152" s="13" t="str">
        <v>Yes</v>
      </c>
      <c r="N152" s="22"/>
      <c r="Q152" s="40"/>
      <c r="R152" s="13" t="b">
        <f aca="false">FALSE()</f>
        <v>0</v>
      </c>
      <c r="S152" s="13" t="n">
        <v>0</v>
      </c>
      <c r="T152" s="13" t="n">
        <f aca="false">S152*F152</f>
        <v>0</v>
      </c>
      <c r="U152" s="13" t="n">
        <v>0</v>
      </c>
      <c r="V152" s="13" t="n">
        <v>0</v>
      </c>
    </row>
    <row r="153" customFormat="false" ht="15.75" hidden="false" customHeight="false" outlineLevel="0" collapsed="false">
      <c r="A153" s="13" t="n">
        <v>0</v>
      </c>
      <c r="B153" s="13" t="str">
        <v/>
      </c>
      <c r="C153" s="13" t="n">
        <v>0</v>
      </c>
      <c r="D153" s="13" t="n">
        <v>0</v>
      </c>
      <c r="E153" s="13" t="str">
        <v/>
      </c>
      <c r="F153" s="13" t="n">
        <v>0</v>
      </c>
      <c r="G153" s="13" t="n">
        <v>0</v>
      </c>
      <c r="H153" s="13" t="n">
        <v>0</v>
      </c>
      <c r="I153" s="13" t="n">
        <v>0</v>
      </c>
      <c r="J153" s="13" t="b">
        <f aca="false">IF(ISBLANK(I153),"", IF($I$2:$I1150 = "Gohar Rehan","Overnight",IF($I$2:$I1150 = "Taufeeq Akhtar ","Overnight",IF($I$2:$I1150 = "Zeeshan Ali Malik","Audit",IF($I$2:$I1150 = "Ali Raza ","Receiving",IF($I$2:$I1150 = "Ali Ahmad","Full-In"))))))</f>
        <v>0</v>
      </c>
      <c r="K153" s="39" t="e">
        <f aca="false">IFERROR(VLOOKUP(D153,'Brand manager data '!A:B,2,0))</f>
        <v>#VALUE!</v>
      </c>
      <c r="L153" s="13" t="n">
        <v>0</v>
      </c>
      <c r="M153" s="13" t="str">
        <v>Yes</v>
      </c>
      <c r="N153" s="22"/>
      <c r="Q153" s="40"/>
      <c r="R153" s="13" t="b">
        <f aca="false">FALSE()</f>
        <v>0</v>
      </c>
      <c r="S153" s="13" t="n">
        <v>0</v>
      </c>
      <c r="T153" s="13" t="n">
        <f aca="false">S153*F153</f>
        <v>0</v>
      </c>
      <c r="U153" s="13" t="n">
        <v>0</v>
      </c>
      <c r="V153" s="13" t="n">
        <v>0</v>
      </c>
    </row>
    <row r="154" customFormat="false" ht="15.75" hidden="false" customHeight="false" outlineLevel="0" collapsed="false">
      <c r="A154" s="13" t="n">
        <v>0</v>
      </c>
      <c r="B154" s="13" t="str">
        <v/>
      </c>
      <c r="C154" s="13" t="n">
        <v>0</v>
      </c>
      <c r="D154" s="13" t="n">
        <v>0</v>
      </c>
      <c r="E154" s="13" t="str">
        <v/>
      </c>
      <c r="F154" s="13" t="n">
        <v>0</v>
      </c>
      <c r="G154" s="13" t="n">
        <v>0</v>
      </c>
      <c r="H154" s="13" t="n">
        <v>0</v>
      </c>
      <c r="I154" s="13" t="n">
        <v>0</v>
      </c>
      <c r="J154" s="13" t="b">
        <f aca="false">IF(ISBLANK(I154),"", IF($I$2:$I1151 = "Gohar Rehan","Overnight",IF($I$2:$I1151 = "Taufeeq Akhtar ","Overnight",IF($I$2:$I1151 = "Zeeshan Ali Malik","Audit",IF($I$2:$I1151 = "Ali Raza ","Receiving",IF($I$2:$I1151 = "Ali Ahmad","Full-In"))))))</f>
        <v>0</v>
      </c>
      <c r="K154" s="39" t="e">
        <f aca="false">IFERROR(VLOOKUP(D154,'Brand manager data '!A:B,2,0))</f>
        <v>#VALUE!</v>
      </c>
      <c r="L154" s="13" t="n">
        <v>0</v>
      </c>
      <c r="M154" s="13" t="str">
        <v>Yes</v>
      </c>
      <c r="N154" s="22"/>
      <c r="Q154" s="40"/>
      <c r="R154" s="13" t="b">
        <f aca="false">FALSE()</f>
        <v>0</v>
      </c>
      <c r="S154" s="13" t="n">
        <v>0</v>
      </c>
      <c r="T154" s="13" t="n">
        <f aca="false">S154*F154</f>
        <v>0</v>
      </c>
      <c r="U154" s="13" t="n">
        <v>0</v>
      </c>
      <c r="V154" s="13" t="n">
        <v>0</v>
      </c>
    </row>
    <row r="155" customFormat="false" ht="15.75" hidden="false" customHeight="false" outlineLevel="0" collapsed="false">
      <c r="A155" s="13" t="n">
        <v>0</v>
      </c>
      <c r="B155" s="13" t="str">
        <v/>
      </c>
      <c r="C155" s="13" t="n">
        <v>0</v>
      </c>
      <c r="D155" s="13" t="n">
        <v>0</v>
      </c>
      <c r="E155" s="13" t="str">
        <v/>
      </c>
      <c r="F155" s="13" t="n">
        <v>0</v>
      </c>
      <c r="G155" s="13" t="n">
        <v>0</v>
      </c>
      <c r="H155" s="13" t="n">
        <v>0</v>
      </c>
      <c r="I155" s="13" t="n">
        <v>0</v>
      </c>
      <c r="J155" s="13" t="b">
        <f aca="false">IF(ISBLANK(I155),"", IF($I$2:$I1152 = "Gohar Rehan","Overnight",IF($I$2:$I1152 = "Taufeeq Akhtar ","Overnight",IF($I$2:$I1152 = "Zeeshan Ali Malik","Audit",IF($I$2:$I1152 = "Ali Raza ","Receiving",IF($I$2:$I1152 = "Ali Ahmad","Full-In"))))))</f>
        <v>0</v>
      </c>
      <c r="K155" s="39" t="e">
        <f aca="false">IFERROR(VLOOKUP(D155,'Brand manager data '!A:B,2,0))</f>
        <v>#VALUE!</v>
      </c>
      <c r="L155" s="13" t="n">
        <v>0</v>
      </c>
      <c r="M155" s="13" t="str">
        <v>Yes</v>
      </c>
      <c r="N155" s="22"/>
      <c r="Q155" s="40"/>
      <c r="R155" s="13" t="b">
        <f aca="false">FALSE()</f>
        <v>0</v>
      </c>
      <c r="S155" s="13" t="n">
        <v>0</v>
      </c>
      <c r="T155" s="13" t="n">
        <f aca="false">S155*F155</f>
        <v>0</v>
      </c>
      <c r="U155" s="13" t="n">
        <v>0</v>
      </c>
      <c r="V155" s="13" t="n">
        <v>0</v>
      </c>
    </row>
    <row r="156" customFormat="false" ht="15.75" hidden="false" customHeight="false" outlineLevel="0" collapsed="false">
      <c r="A156" s="13" t="n">
        <v>0</v>
      </c>
      <c r="B156" s="13" t="str">
        <v/>
      </c>
      <c r="C156" s="13" t="n">
        <v>0</v>
      </c>
      <c r="D156" s="13" t="n">
        <v>0</v>
      </c>
      <c r="E156" s="13" t="str">
        <v/>
      </c>
      <c r="F156" s="13" t="n">
        <v>0</v>
      </c>
      <c r="G156" s="13" t="n">
        <v>0</v>
      </c>
      <c r="H156" s="13" t="n">
        <v>0</v>
      </c>
      <c r="I156" s="13" t="n">
        <v>0</v>
      </c>
      <c r="J156" s="13" t="b">
        <f aca="false">IF(ISBLANK(I156),"", IF($I$2:$I1153 = "Gohar Rehan","Overnight",IF($I$2:$I1153 = "Taufeeq Akhtar ","Overnight",IF($I$2:$I1153 = "Zeeshan Ali Malik","Audit",IF($I$2:$I1153 = "Ali Raza ","Receiving",IF($I$2:$I1153 = "Ali Ahmad","Full-In"))))))</f>
        <v>0</v>
      </c>
      <c r="K156" s="39" t="e">
        <f aca="false">IFERROR(VLOOKUP(D156,'Brand manager data '!A:B,2,0))</f>
        <v>#VALUE!</v>
      </c>
      <c r="L156" s="13" t="n">
        <v>0</v>
      </c>
      <c r="M156" s="13" t="str">
        <v>Yes</v>
      </c>
      <c r="N156" s="22"/>
      <c r="Q156" s="40"/>
      <c r="R156" s="13" t="b">
        <f aca="false">FALSE()</f>
        <v>0</v>
      </c>
      <c r="S156" s="13" t="n">
        <v>0</v>
      </c>
      <c r="T156" s="13" t="n">
        <f aca="false">S156*F156</f>
        <v>0</v>
      </c>
      <c r="U156" s="13" t="n">
        <v>0</v>
      </c>
      <c r="V156" s="13" t="n">
        <v>0</v>
      </c>
    </row>
    <row r="157" customFormat="false" ht="15.75" hidden="false" customHeight="false" outlineLevel="0" collapsed="false">
      <c r="A157" s="13" t="n">
        <v>0</v>
      </c>
      <c r="B157" s="13" t="str">
        <v/>
      </c>
      <c r="C157" s="13" t="n">
        <v>0</v>
      </c>
      <c r="D157" s="13" t="n">
        <v>0</v>
      </c>
      <c r="E157" s="13" t="str">
        <v/>
      </c>
      <c r="F157" s="13" t="n">
        <v>0</v>
      </c>
      <c r="G157" s="13" t="n">
        <v>0</v>
      </c>
      <c r="H157" s="13" t="n">
        <v>0</v>
      </c>
      <c r="I157" s="13" t="n">
        <v>0</v>
      </c>
      <c r="J157" s="13" t="b">
        <f aca="false">IF(ISBLANK(I157),"", IF($I$2:$I1154 = "Gohar Rehan","Overnight",IF($I$2:$I1154 = "Taufeeq Akhtar ","Overnight",IF($I$2:$I1154 = "Zeeshan Ali Malik","Audit",IF($I$2:$I1154 = "Ali Raza ","Receiving",IF($I$2:$I1154 = "Ali Ahmad","Full-In"))))))</f>
        <v>0</v>
      </c>
      <c r="K157" s="39" t="e">
        <f aca="false">IFERROR(VLOOKUP(D157,'Brand manager data '!A:B,2,0))</f>
        <v>#VALUE!</v>
      </c>
      <c r="L157" s="13" t="n">
        <v>0</v>
      </c>
      <c r="M157" s="13" t="str">
        <v>Yes</v>
      </c>
      <c r="N157" s="22"/>
      <c r="Q157" s="40"/>
      <c r="R157" s="13" t="b">
        <f aca="false">FALSE()</f>
        <v>0</v>
      </c>
      <c r="S157" s="13" t="n">
        <v>0</v>
      </c>
      <c r="T157" s="13" t="n">
        <f aca="false">S157*F157</f>
        <v>0</v>
      </c>
      <c r="U157" s="13" t="n">
        <v>0</v>
      </c>
      <c r="V157" s="13" t="n">
        <v>0</v>
      </c>
    </row>
    <row r="158" customFormat="false" ht="15.75" hidden="false" customHeight="false" outlineLevel="0" collapsed="false">
      <c r="A158" s="13" t="n">
        <v>0</v>
      </c>
      <c r="B158" s="13" t="str">
        <v/>
      </c>
      <c r="C158" s="13" t="n">
        <v>0</v>
      </c>
      <c r="D158" s="13" t="n">
        <v>0</v>
      </c>
      <c r="E158" s="13" t="str">
        <v/>
      </c>
      <c r="F158" s="13" t="n">
        <v>0</v>
      </c>
      <c r="G158" s="13" t="n">
        <v>0</v>
      </c>
      <c r="H158" s="13" t="n">
        <v>0</v>
      </c>
      <c r="I158" s="13" t="n">
        <v>0</v>
      </c>
      <c r="J158" s="13" t="b">
        <f aca="false">IF(ISBLANK(I158),"", IF($I$2:$I1155 = "Gohar Rehan","Overnight",IF($I$2:$I1155 = "Taufeeq Akhtar ","Overnight",IF($I$2:$I1155 = "Zeeshan Ali Malik","Audit",IF($I$2:$I1155 = "Ali Raza ","Receiving",IF($I$2:$I1155 = "Ali Ahmad","Full-In"))))))</f>
        <v>0</v>
      </c>
      <c r="K158" s="39" t="e">
        <f aca="false">IFERROR(VLOOKUP(D158,'Brand manager data '!A:B,2,0))</f>
        <v>#VALUE!</v>
      </c>
      <c r="L158" s="13" t="n">
        <v>0</v>
      </c>
      <c r="M158" s="13" t="str">
        <v>Yes</v>
      </c>
      <c r="N158" s="22"/>
      <c r="Q158" s="40"/>
      <c r="R158" s="13" t="b">
        <f aca="false">FALSE()</f>
        <v>0</v>
      </c>
      <c r="S158" s="13" t="n">
        <v>0</v>
      </c>
      <c r="T158" s="13" t="n">
        <f aca="false">S158*F158</f>
        <v>0</v>
      </c>
      <c r="U158" s="13" t="n">
        <v>0</v>
      </c>
      <c r="V158" s="13" t="n">
        <v>0</v>
      </c>
    </row>
    <row r="159" customFormat="false" ht="15.75" hidden="false" customHeight="false" outlineLevel="0" collapsed="false">
      <c r="A159" s="13" t="n">
        <v>0</v>
      </c>
      <c r="B159" s="13" t="str">
        <v/>
      </c>
      <c r="C159" s="13" t="n">
        <v>0</v>
      </c>
      <c r="D159" s="13" t="n">
        <v>0</v>
      </c>
      <c r="E159" s="13" t="str">
        <v/>
      </c>
      <c r="F159" s="13" t="n">
        <v>0</v>
      </c>
      <c r="G159" s="13" t="n">
        <v>0</v>
      </c>
      <c r="H159" s="13" t="n">
        <v>0</v>
      </c>
      <c r="I159" s="13" t="n">
        <v>0</v>
      </c>
      <c r="J159" s="13" t="b">
        <f aca="false">IF(ISBLANK(I159),"", IF($I$2:$I1156 = "Gohar Rehan","Overnight",IF($I$2:$I1156 = "Taufeeq Akhtar ","Overnight",IF($I$2:$I1156 = "Zeeshan Ali Malik","Audit",IF($I$2:$I1156 = "Ali Raza ","Receiving",IF($I$2:$I1156 = "Ali Ahmad","Full-In"))))))</f>
        <v>0</v>
      </c>
      <c r="K159" s="39" t="e">
        <f aca="false">IFERROR(VLOOKUP(D159,'Brand manager data '!A:B,2,0))</f>
        <v>#VALUE!</v>
      </c>
      <c r="L159" s="13" t="n">
        <v>0</v>
      </c>
      <c r="M159" s="13" t="str">
        <v>Yes</v>
      </c>
      <c r="N159" s="22"/>
      <c r="Q159" s="40"/>
      <c r="R159" s="13" t="b">
        <f aca="false">FALSE()</f>
        <v>0</v>
      </c>
      <c r="S159" s="13" t="n">
        <v>0</v>
      </c>
      <c r="T159" s="13" t="n">
        <f aca="false">S159*F159</f>
        <v>0</v>
      </c>
      <c r="U159" s="13" t="n">
        <v>0</v>
      </c>
      <c r="V159" s="13" t="n">
        <v>0</v>
      </c>
    </row>
    <row r="160" customFormat="false" ht="15.75" hidden="false" customHeight="false" outlineLevel="0" collapsed="false">
      <c r="A160" s="13" t="n">
        <v>0</v>
      </c>
      <c r="B160" s="13" t="str">
        <v/>
      </c>
      <c r="C160" s="13" t="n">
        <v>0</v>
      </c>
      <c r="D160" s="13" t="n">
        <v>0</v>
      </c>
      <c r="E160" s="13" t="str">
        <v/>
      </c>
      <c r="F160" s="13" t="n">
        <v>0</v>
      </c>
      <c r="G160" s="13" t="n">
        <v>0</v>
      </c>
      <c r="H160" s="13" t="n">
        <v>0</v>
      </c>
      <c r="I160" s="13" t="n">
        <v>0</v>
      </c>
      <c r="J160" s="13" t="b">
        <f aca="false">IF(ISBLANK(I160),"", IF($I$2:$I1157 = "Gohar Rehan","Overnight",IF($I$2:$I1157 = "Taufeeq Akhtar ","Overnight",IF($I$2:$I1157 = "Zeeshan Ali Malik","Audit",IF($I$2:$I1157 = "Ali Raza ","Receiving",IF($I$2:$I1157 = "Ali Ahmad","Full-In"))))))</f>
        <v>0</v>
      </c>
      <c r="K160" s="39" t="e">
        <f aca="false">IFERROR(VLOOKUP(D160,'Brand manager data '!A:B,2,0))</f>
        <v>#VALUE!</v>
      </c>
      <c r="L160" s="13" t="n">
        <v>0</v>
      </c>
      <c r="M160" s="13" t="str">
        <v>Yes</v>
      </c>
      <c r="N160" s="22"/>
      <c r="Q160" s="40"/>
      <c r="R160" s="13" t="b">
        <f aca="false">FALSE()</f>
        <v>0</v>
      </c>
      <c r="S160" s="13" t="n">
        <v>0</v>
      </c>
      <c r="T160" s="13" t="n">
        <f aca="false">S160*F160</f>
        <v>0</v>
      </c>
      <c r="U160" s="13" t="n">
        <v>0</v>
      </c>
      <c r="V160" s="13" t="n">
        <v>0</v>
      </c>
    </row>
    <row r="161" customFormat="false" ht="15.75" hidden="false" customHeight="false" outlineLevel="0" collapsed="false">
      <c r="A161" s="13" t="n">
        <v>0</v>
      </c>
      <c r="B161" s="13" t="str">
        <v/>
      </c>
      <c r="C161" s="13" t="n">
        <v>0</v>
      </c>
      <c r="D161" s="13" t="n">
        <v>0</v>
      </c>
      <c r="E161" s="13" t="str">
        <v/>
      </c>
      <c r="F161" s="13" t="n">
        <v>0</v>
      </c>
      <c r="G161" s="13" t="n">
        <v>0</v>
      </c>
      <c r="H161" s="13" t="n">
        <v>0</v>
      </c>
      <c r="I161" s="13" t="n">
        <v>0</v>
      </c>
      <c r="J161" s="13" t="b">
        <f aca="false">IF(ISBLANK(I161),"", IF($I$2:$I1158 = "Gohar Rehan","Overnight",IF($I$2:$I1158 = "Taufeeq Akhtar ","Overnight",IF($I$2:$I1158 = "Zeeshan Ali Malik","Audit",IF($I$2:$I1158 = "Ali Raza ","Receiving",IF($I$2:$I1158 = "Ali Ahmad","Full-In"))))))</f>
        <v>0</v>
      </c>
      <c r="K161" s="39" t="e">
        <f aca="false">IFERROR(VLOOKUP(D161,'Brand manager data '!A:B,2,0))</f>
        <v>#VALUE!</v>
      </c>
      <c r="L161" s="13" t="n">
        <v>0</v>
      </c>
      <c r="M161" s="13" t="str">
        <v>Yes</v>
      </c>
      <c r="N161" s="22"/>
      <c r="Q161" s="40"/>
      <c r="R161" s="13" t="b">
        <f aca="false">FALSE()</f>
        <v>0</v>
      </c>
      <c r="S161" s="13" t="n">
        <v>0</v>
      </c>
      <c r="T161" s="13" t="n">
        <f aca="false">S161*F161</f>
        <v>0</v>
      </c>
      <c r="U161" s="13" t="n">
        <v>0</v>
      </c>
      <c r="V161" s="13" t="n">
        <v>0</v>
      </c>
    </row>
    <row r="162" customFormat="false" ht="15.75" hidden="false" customHeight="false" outlineLevel="0" collapsed="false">
      <c r="A162" s="13" t="n">
        <v>0</v>
      </c>
      <c r="B162" s="13" t="str">
        <v/>
      </c>
      <c r="C162" s="13" t="n">
        <v>0</v>
      </c>
      <c r="D162" s="13" t="n">
        <v>0</v>
      </c>
      <c r="E162" s="13" t="str">
        <v/>
      </c>
      <c r="F162" s="13" t="n">
        <v>0</v>
      </c>
      <c r="G162" s="13" t="n">
        <v>0</v>
      </c>
      <c r="H162" s="13" t="n">
        <v>0</v>
      </c>
      <c r="I162" s="13" t="n">
        <v>0</v>
      </c>
      <c r="J162" s="13" t="b">
        <f aca="false">IF(ISBLANK(I162),"", IF($I$2:$I1159 = "Gohar Rehan","Overnight",IF($I$2:$I1159 = "Taufeeq Akhtar ","Overnight",IF($I$2:$I1159 = "Zeeshan Ali Malik","Audit",IF($I$2:$I1159 = "Ali Raza ","Receiving",IF($I$2:$I1159 = "Ali Ahmad","Full-In"))))))</f>
        <v>0</v>
      </c>
      <c r="K162" s="39" t="e">
        <f aca="false">IFERROR(VLOOKUP(D162,'Brand manager data '!A:B,2,0))</f>
        <v>#VALUE!</v>
      </c>
      <c r="L162" s="13" t="n">
        <v>0</v>
      </c>
      <c r="M162" s="13" t="str">
        <v>Yes</v>
      </c>
      <c r="N162" s="22"/>
      <c r="Q162" s="40"/>
      <c r="R162" s="13" t="b">
        <f aca="false">FALSE()</f>
        <v>0</v>
      </c>
      <c r="S162" s="13" t="n">
        <v>0</v>
      </c>
      <c r="T162" s="13" t="n">
        <f aca="false">S162*F162</f>
        <v>0</v>
      </c>
      <c r="U162" s="13" t="n">
        <v>0</v>
      </c>
      <c r="V162" s="13" t="n">
        <v>0</v>
      </c>
    </row>
    <row r="163" customFormat="false" ht="15.75" hidden="false" customHeight="false" outlineLevel="0" collapsed="false">
      <c r="A163" s="13" t="n">
        <v>0</v>
      </c>
      <c r="B163" s="13" t="str">
        <v/>
      </c>
      <c r="C163" s="13" t="n">
        <v>0</v>
      </c>
      <c r="D163" s="13" t="n">
        <v>0</v>
      </c>
      <c r="E163" s="13" t="str">
        <v/>
      </c>
      <c r="F163" s="13" t="n">
        <v>0</v>
      </c>
      <c r="G163" s="13" t="n">
        <v>0</v>
      </c>
      <c r="H163" s="13" t="n">
        <v>0</v>
      </c>
      <c r="I163" s="13" t="n">
        <v>0</v>
      </c>
      <c r="J163" s="13" t="b">
        <f aca="false">IF(ISBLANK(I163),"", IF($I$2:$I1160 = "Gohar Rehan","Overnight",IF($I$2:$I1160 = "Taufeeq Akhtar ","Overnight",IF($I$2:$I1160 = "Zeeshan Ali Malik","Audit",IF($I$2:$I1160 = "Ali Raza ","Receiving",IF($I$2:$I1160 = "Ali Ahmad","Full-In"))))))</f>
        <v>0</v>
      </c>
      <c r="K163" s="39" t="e">
        <f aca="false">IFERROR(VLOOKUP(D163,'Brand manager data '!A:B,2,0))</f>
        <v>#VALUE!</v>
      </c>
      <c r="L163" s="13" t="n">
        <v>0</v>
      </c>
      <c r="M163" s="13" t="str">
        <v>Yes</v>
      </c>
      <c r="N163" s="22"/>
      <c r="Q163" s="40"/>
      <c r="R163" s="13" t="b">
        <f aca="false">FALSE()</f>
        <v>0</v>
      </c>
      <c r="S163" s="13" t="n">
        <v>0</v>
      </c>
      <c r="T163" s="13" t="n">
        <f aca="false">S163*F163</f>
        <v>0</v>
      </c>
      <c r="U163" s="13" t="n">
        <v>0</v>
      </c>
      <c r="V163" s="13" t="n">
        <v>0</v>
      </c>
    </row>
    <row r="164" customFormat="false" ht="15.75" hidden="false" customHeight="false" outlineLevel="0" collapsed="false">
      <c r="A164" s="13" t="n">
        <v>0</v>
      </c>
      <c r="B164" s="13" t="str">
        <v/>
      </c>
      <c r="C164" s="13" t="n">
        <v>0</v>
      </c>
      <c r="D164" s="13" t="n">
        <v>0</v>
      </c>
      <c r="E164" s="13" t="str">
        <v/>
      </c>
      <c r="F164" s="13" t="n">
        <v>0</v>
      </c>
      <c r="G164" s="13" t="n">
        <v>0</v>
      </c>
      <c r="H164" s="13" t="n">
        <v>0</v>
      </c>
      <c r="I164" s="13" t="n">
        <v>0</v>
      </c>
      <c r="J164" s="13" t="b">
        <f aca="false">IF(ISBLANK(I164),"", IF($I$2:$I1161 = "Gohar Rehan","Overnight",IF($I$2:$I1161 = "Taufeeq Akhtar ","Overnight",IF($I$2:$I1161 = "Zeeshan Ali Malik","Audit",IF($I$2:$I1161 = "Ali Raza ","Receiving",IF($I$2:$I1161 = "Ali Ahmad","Full-In"))))))</f>
        <v>0</v>
      </c>
      <c r="K164" s="39" t="e">
        <f aca="false">IFERROR(VLOOKUP(D164,'Brand manager data '!A:B,2,0))</f>
        <v>#VALUE!</v>
      </c>
      <c r="L164" s="13" t="n">
        <v>0</v>
      </c>
      <c r="M164" s="13" t="str">
        <v>Yes</v>
      </c>
      <c r="N164" s="22"/>
      <c r="Q164" s="40"/>
      <c r="R164" s="13" t="b">
        <f aca="false">FALSE()</f>
        <v>0</v>
      </c>
      <c r="S164" s="13" t="n">
        <v>0</v>
      </c>
      <c r="T164" s="13" t="n">
        <f aca="false">S164*F164</f>
        <v>0</v>
      </c>
      <c r="U164" s="13" t="n">
        <v>0</v>
      </c>
      <c r="V164" s="13" t="n">
        <v>0</v>
      </c>
    </row>
    <row r="165" customFormat="false" ht="15.75" hidden="false" customHeight="false" outlineLevel="0" collapsed="false">
      <c r="A165" s="13" t="n">
        <v>0</v>
      </c>
      <c r="B165" s="13" t="str">
        <v/>
      </c>
      <c r="C165" s="13" t="n">
        <v>0</v>
      </c>
      <c r="D165" s="13" t="n">
        <v>0</v>
      </c>
      <c r="E165" s="13" t="str">
        <v/>
      </c>
      <c r="F165" s="13" t="n">
        <v>0</v>
      </c>
      <c r="G165" s="13" t="n">
        <v>0</v>
      </c>
      <c r="H165" s="13" t="n">
        <v>0</v>
      </c>
      <c r="I165" s="13" t="n">
        <v>0</v>
      </c>
      <c r="J165" s="13" t="b">
        <f aca="false">IF(ISBLANK(I165),"", IF($I$2:$I1162 = "Gohar Rehan","Overnight",IF($I$2:$I1162 = "Taufeeq Akhtar ","Overnight",IF($I$2:$I1162 = "Zeeshan Ali Malik","Audit",IF($I$2:$I1162 = "Ali Raza ","Receiving",IF($I$2:$I1162 = "Ali Ahmad","Full-In"))))))</f>
        <v>0</v>
      </c>
      <c r="K165" s="39" t="e">
        <f aca="false">IFERROR(VLOOKUP(D165,'Brand manager data '!A:B,2,0))</f>
        <v>#VALUE!</v>
      </c>
      <c r="L165" s="13" t="n">
        <v>0</v>
      </c>
      <c r="M165" s="13" t="str">
        <v>Yes</v>
      </c>
      <c r="N165" s="22"/>
      <c r="Q165" s="40"/>
      <c r="R165" s="13" t="b">
        <f aca="false">FALSE()</f>
        <v>0</v>
      </c>
      <c r="S165" s="13" t="n">
        <v>0</v>
      </c>
      <c r="T165" s="13" t="n">
        <f aca="false">S165*F165</f>
        <v>0</v>
      </c>
      <c r="U165" s="13" t="n">
        <v>0</v>
      </c>
      <c r="V165" s="13" t="n">
        <v>0</v>
      </c>
    </row>
    <row r="166" customFormat="false" ht="15.75" hidden="false" customHeight="false" outlineLevel="0" collapsed="false">
      <c r="A166" s="13" t="n">
        <v>0</v>
      </c>
      <c r="B166" s="13" t="str">
        <v/>
      </c>
      <c r="C166" s="13" t="n">
        <v>0</v>
      </c>
      <c r="D166" s="13" t="n">
        <v>0</v>
      </c>
      <c r="E166" s="13" t="str">
        <v/>
      </c>
      <c r="F166" s="13" t="n">
        <v>0</v>
      </c>
      <c r="G166" s="13" t="n">
        <v>0</v>
      </c>
      <c r="H166" s="13" t="n">
        <v>0</v>
      </c>
      <c r="I166" s="13" t="n">
        <v>0</v>
      </c>
      <c r="J166" s="13" t="b">
        <f aca="false">IF(ISBLANK(I166),"", IF($I$2:$I1163 = "Gohar Rehan","Overnight",IF($I$2:$I1163 = "Taufeeq Akhtar ","Overnight",IF($I$2:$I1163 = "Zeeshan Ali Malik","Audit",IF($I$2:$I1163 = "Ali Raza ","Receiving",IF($I$2:$I1163 = "Ali Ahmad","Full-In"))))))</f>
        <v>0</v>
      </c>
      <c r="K166" s="39" t="e">
        <f aca="false">IFERROR(VLOOKUP(D166,'Brand manager data '!A:B,2,0))</f>
        <v>#VALUE!</v>
      </c>
      <c r="L166" s="13" t="n">
        <v>0</v>
      </c>
      <c r="M166" s="13" t="str">
        <v>Yes</v>
      </c>
      <c r="N166" s="22"/>
      <c r="Q166" s="40"/>
      <c r="R166" s="13" t="b">
        <f aca="false">FALSE()</f>
        <v>0</v>
      </c>
      <c r="S166" s="13" t="n">
        <v>0</v>
      </c>
      <c r="T166" s="13" t="n">
        <f aca="false">S166*F166</f>
        <v>0</v>
      </c>
      <c r="U166" s="13" t="n">
        <v>0</v>
      </c>
      <c r="V166" s="13" t="n">
        <v>0</v>
      </c>
    </row>
    <row r="167" customFormat="false" ht="15.75" hidden="false" customHeight="false" outlineLevel="0" collapsed="false">
      <c r="A167" s="13" t="n">
        <v>0</v>
      </c>
      <c r="B167" s="13" t="str">
        <v/>
      </c>
      <c r="C167" s="13" t="n">
        <v>0</v>
      </c>
      <c r="D167" s="13" t="n">
        <v>0</v>
      </c>
      <c r="E167" s="13" t="str">
        <v/>
      </c>
      <c r="F167" s="13" t="n">
        <v>0</v>
      </c>
      <c r="G167" s="13" t="n">
        <v>0</v>
      </c>
      <c r="H167" s="13" t="n">
        <v>0</v>
      </c>
      <c r="I167" s="13" t="n">
        <v>0</v>
      </c>
      <c r="J167" s="13" t="b">
        <f aca="false">IF(ISBLANK(I167),"", IF($I$2:$I1164 = "Gohar Rehan","Overnight",IF($I$2:$I1164 = "Taufeeq Akhtar ","Overnight",IF($I$2:$I1164 = "Zeeshan Ali Malik","Audit",IF($I$2:$I1164 = "Ali Raza ","Receiving",IF($I$2:$I1164 = "Ali Ahmad","Full-In"))))))</f>
        <v>0</v>
      </c>
      <c r="K167" s="39" t="e">
        <f aca="false">IFERROR(VLOOKUP(D167,'Brand manager data '!A:B,2,0))</f>
        <v>#VALUE!</v>
      </c>
      <c r="L167" s="13" t="n">
        <v>0</v>
      </c>
      <c r="M167" s="13" t="str">
        <v>Yes</v>
      </c>
      <c r="N167" s="22"/>
      <c r="Q167" s="40"/>
      <c r="R167" s="13" t="b">
        <f aca="false">FALSE()</f>
        <v>0</v>
      </c>
      <c r="S167" s="13" t="n">
        <v>0</v>
      </c>
      <c r="T167" s="13" t="n">
        <f aca="false">S167*F167</f>
        <v>0</v>
      </c>
      <c r="U167" s="13" t="n">
        <v>0</v>
      </c>
      <c r="V167" s="13" t="n">
        <v>0</v>
      </c>
    </row>
    <row r="168" customFormat="false" ht="15.75" hidden="false" customHeight="false" outlineLevel="0" collapsed="false">
      <c r="A168" s="13" t="n">
        <v>0</v>
      </c>
      <c r="B168" s="13" t="str">
        <v/>
      </c>
      <c r="C168" s="13" t="n">
        <v>0</v>
      </c>
      <c r="D168" s="13" t="n">
        <v>0</v>
      </c>
      <c r="E168" s="13" t="str">
        <v/>
      </c>
      <c r="F168" s="13" t="n">
        <v>0</v>
      </c>
      <c r="G168" s="13" t="n">
        <v>0</v>
      </c>
      <c r="H168" s="13" t="n">
        <v>0</v>
      </c>
      <c r="I168" s="13" t="n">
        <v>0</v>
      </c>
      <c r="J168" s="13" t="b">
        <f aca="false">IF(ISBLANK(I168),"", IF($I$2:$I1165 = "Gohar Rehan","Overnight",IF($I$2:$I1165 = "Taufeeq Akhtar ","Overnight",IF($I$2:$I1165 = "Zeeshan Ali Malik","Audit",IF($I$2:$I1165 = "Ali Raza ","Receiving",IF($I$2:$I1165 = "Ali Ahmad","Full-In"))))))</f>
        <v>0</v>
      </c>
      <c r="K168" s="39" t="e">
        <f aca="false">IFERROR(VLOOKUP(D168,'Brand manager data '!A:B,2,0))</f>
        <v>#VALUE!</v>
      </c>
      <c r="L168" s="13" t="n">
        <v>0</v>
      </c>
      <c r="M168" s="13" t="str">
        <v>Yes</v>
      </c>
      <c r="N168" s="22"/>
      <c r="Q168" s="40"/>
      <c r="R168" s="13" t="b">
        <f aca="false">FALSE()</f>
        <v>0</v>
      </c>
      <c r="S168" s="13" t="n">
        <v>0</v>
      </c>
      <c r="T168" s="13" t="n">
        <f aca="false">S168*F168</f>
        <v>0</v>
      </c>
      <c r="U168" s="13" t="n">
        <v>0</v>
      </c>
      <c r="V168" s="13" t="n">
        <v>0</v>
      </c>
    </row>
    <row r="169" customFormat="false" ht="15.75" hidden="false" customHeight="false" outlineLevel="0" collapsed="false">
      <c r="A169" s="13" t="n">
        <v>0</v>
      </c>
      <c r="B169" s="13" t="str">
        <v/>
      </c>
      <c r="C169" s="13" t="n">
        <v>0</v>
      </c>
      <c r="D169" s="13" t="n">
        <v>0</v>
      </c>
      <c r="E169" s="13" t="str">
        <v/>
      </c>
      <c r="F169" s="13" t="n">
        <v>0</v>
      </c>
      <c r="G169" s="13" t="n">
        <v>0</v>
      </c>
      <c r="H169" s="13" t="n">
        <v>0</v>
      </c>
      <c r="I169" s="13" t="n">
        <v>0</v>
      </c>
      <c r="J169" s="13" t="b">
        <f aca="false">IF(ISBLANK(I169),"", IF($I$2:$I1166 = "Gohar Rehan","Overnight",IF($I$2:$I1166 = "Taufeeq Akhtar ","Overnight",IF($I$2:$I1166 = "Zeeshan Ali Malik","Audit",IF($I$2:$I1166 = "Ali Raza ","Receiving",IF($I$2:$I1166 = "Ali Ahmad","Full-In"))))))</f>
        <v>0</v>
      </c>
      <c r="K169" s="39" t="e">
        <f aca="false">IFERROR(VLOOKUP(D169,'Brand manager data '!A:B,2,0))</f>
        <v>#VALUE!</v>
      </c>
      <c r="L169" s="13" t="n">
        <v>0</v>
      </c>
      <c r="M169" s="13" t="str">
        <v>Yes</v>
      </c>
      <c r="N169" s="22"/>
      <c r="Q169" s="40"/>
      <c r="R169" s="13" t="b">
        <f aca="false">FALSE()</f>
        <v>0</v>
      </c>
      <c r="S169" s="13" t="n">
        <v>0</v>
      </c>
      <c r="T169" s="13" t="n">
        <f aca="false">S169*F169</f>
        <v>0</v>
      </c>
      <c r="U169" s="13" t="n">
        <v>0</v>
      </c>
      <c r="V169" s="13" t="n">
        <v>0</v>
      </c>
    </row>
    <row r="170" customFormat="false" ht="15.75" hidden="false" customHeight="false" outlineLevel="0" collapsed="false">
      <c r="A170" s="13" t="n">
        <v>0</v>
      </c>
      <c r="B170" s="13" t="str">
        <v/>
      </c>
      <c r="C170" s="13" t="n">
        <v>0</v>
      </c>
      <c r="D170" s="13" t="n">
        <v>0</v>
      </c>
      <c r="E170" s="13" t="str">
        <v/>
      </c>
      <c r="F170" s="13" t="n">
        <v>0</v>
      </c>
      <c r="G170" s="13" t="n">
        <v>0</v>
      </c>
      <c r="H170" s="13" t="n">
        <v>0</v>
      </c>
      <c r="I170" s="13" t="n">
        <v>0</v>
      </c>
      <c r="J170" s="13" t="b">
        <f aca="false">IF(ISBLANK(I170),"", IF($I$2:$I1167 = "Gohar Rehan","Overnight",IF($I$2:$I1167 = "Taufeeq Akhtar ","Overnight",IF($I$2:$I1167 = "Zeeshan Ali Malik","Audit",IF($I$2:$I1167 = "Ali Raza ","Receiving",IF($I$2:$I1167 = "Ali Ahmad","Full-In"))))))</f>
        <v>0</v>
      </c>
      <c r="K170" s="39" t="e">
        <f aca="false">IFERROR(VLOOKUP(D170,'Brand manager data '!A:B,2,0))</f>
        <v>#VALUE!</v>
      </c>
      <c r="L170" s="13" t="n">
        <v>0</v>
      </c>
      <c r="M170" s="13" t="str">
        <v>Yes</v>
      </c>
      <c r="N170" s="22"/>
      <c r="Q170" s="40"/>
      <c r="R170" s="13" t="b">
        <f aca="false">FALSE()</f>
        <v>0</v>
      </c>
      <c r="S170" s="13" t="n">
        <v>0</v>
      </c>
      <c r="T170" s="13" t="n">
        <f aca="false">S170*F170</f>
        <v>0</v>
      </c>
      <c r="U170" s="13" t="n">
        <v>0</v>
      </c>
      <c r="V170" s="13" t="n">
        <v>0</v>
      </c>
    </row>
    <row r="171" customFormat="false" ht="15.75" hidden="false" customHeight="false" outlineLevel="0" collapsed="false">
      <c r="A171" s="13" t="n">
        <v>0</v>
      </c>
      <c r="B171" s="13" t="str">
        <v/>
      </c>
      <c r="C171" s="13" t="n">
        <v>0</v>
      </c>
      <c r="D171" s="13" t="n">
        <v>0</v>
      </c>
      <c r="E171" s="13" t="str">
        <v/>
      </c>
      <c r="F171" s="13" t="n">
        <v>0</v>
      </c>
      <c r="G171" s="13" t="n">
        <v>0</v>
      </c>
      <c r="H171" s="13" t="n">
        <v>0</v>
      </c>
      <c r="I171" s="13" t="n">
        <v>0</v>
      </c>
      <c r="J171" s="13" t="b">
        <f aca="false">IF(ISBLANK(I171),"", IF($I$2:$I1168 = "Gohar Rehan","Overnight",IF($I$2:$I1168 = "Taufeeq Akhtar ","Overnight",IF($I$2:$I1168 = "Zeeshan Ali Malik","Audit",IF($I$2:$I1168 = "Ali Raza ","Receiving",IF($I$2:$I1168 = "Ali Ahmad","Full-In"))))))</f>
        <v>0</v>
      </c>
      <c r="K171" s="39" t="e">
        <f aca="false">IFERROR(VLOOKUP(D171,'Brand manager data '!A:B,2,0))</f>
        <v>#VALUE!</v>
      </c>
      <c r="L171" s="13" t="n">
        <v>0</v>
      </c>
      <c r="M171" s="13" t="str">
        <v>Yes</v>
      </c>
      <c r="N171" s="22"/>
      <c r="Q171" s="40"/>
      <c r="R171" s="13" t="b">
        <f aca="false">FALSE()</f>
        <v>0</v>
      </c>
      <c r="S171" s="13" t="n">
        <v>0</v>
      </c>
      <c r="T171" s="13" t="n">
        <f aca="false">S171*F171</f>
        <v>0</v>
      </c>
      <c r="U171" s="13" t="n">
        <v>0</v>
      </c>
      <c r="V171" s="13" t="n">
        <v>0</v>
      </c>
    </row>
    <row r="172" customFormat="false" ht="15.75" hidden="false" customHeight="false" outlineLevel="0" collapsed="false">
      <c r="A172" s="13" t="n">
        <v>0</v>
      </c>
      <c r="B172" s="13" t="str">
        <v/>
      </c>
      <c r="C172" s="13" t="n">
        <v>0</v>
      </c>
      <c r="D172" s="13" t="n">
        <v>0</v>
      </c>
      <c r="E172" s="13" t="str">
        <v/>
      </c>
      <c r="F172" s="13" t="n">
        <v>0</v>
      </c>
      <c r="G172" s="13" t="n">
        <v>0</v>
      </c>
      <c r="H172" s="13" t="n">
        <v>0</v>
      </c>
      <c r="I172" s="13" t="n">
        <v>0</v>
      </c>
      <c r="J172" s="13" t="b">
        <f aca="false">IF(ISBLANK(I172),"", IF($I$2:$I1169 = "Gohar Rehan","Overnight",IF($I$2:$I1169 = "Taufeeq Akhtar ","Overnight",IF($I$2:$I1169 = "Zeeshan Ali Malik","Audit",IF($I$2:$I1169 = "Ali Raza ","Receiving",IF($I$2:$I1169 = "Ali Ahmad","Full-In"))))))</f>
        <v>0</v>
      </c>
      <c r="K172" s="39" t="e">
        <f aca="false">IFERROR(VLOOKUP(D172,'Brand manager data '!A:B,2,0))</f>
        <v>#VALUE!</v>
      </c>
      <c r="L172" s="13" t="n">
        <v>0</v>
      </c>
      <c r="M172" s="13" t="str">
        <v>Yes</v>
      </c>
      <c r="N172" s="22"/>
      <c r="Q172" s="40"/>
      <c r="R172" s="13" t="b">
        <f aca="false">FALSE()</f>
        <v>0</v>
      </c>
      <c r="S172" s="13" t="n">
        <v>0</v>
      </c>
      <c r="T172" s="13" t="n">
        <f aca="false">S172*F172</f>
        <v>0</v>
      </c>
      <c r="U172" s="13" t="n">
        <v>0</v>
      </c>
      <c r="V172" s="13" t="n">
        <v>0</v>
      </c>
    </row>
    <row r="173" customFormat="false" ht="15.75" hidden="false" customHeight="false" outlineLevel="0" collapsed="false">
      <c r="A173" s="13" t="n">
        <v>0</v>
      </c>
      <c r="B173" s="13" t="str">
        <v/>
      </c>
      <c r="C173" s="13" t="n">
        <v>0</v>
      </c>
      <c r="D173" s="13" t="n">
        <v>0</v>
      </c>
      <c r="E173" s="13" t="str">
        <v/>
      </c>
      <c r="F173" s="13" t="n">
        <v>0</v>
      </c>
      <c r="G173" s="13" t="n">
        <v>0</v>
      </c>
      <c r="H173" s="13" t="n">
        <v>0</v>
      </c>
      <c r="I173" s="13" t="n">
        <v>0</v>
      </c>
      <c r="J173" s="13" t="b">
        <f aca="false">IF(ISBLANK(I173),"", IF($I$2:$I1170 = "Gohar Rehan","Overnight",IF($I$2:$I1170 = "Taufeeq Akhtar ","Overnight",IF($I$2:$I1170 = "Zeeshan Ali Malik","Audit",IF($I$2:$I1170 = "Ali Raza ","Receiving",IF($I$2:$I1170 = "Ali Ahmad","Full-In"))))))</f>
        <v>0</v>
      </c>
      <c r="K173" s="39" t="e">
        <f aca="false">IFERROR(VLOOKUP(D173,'Brand manager data '!A:B,2,0))</f>
        <v>#VALUE!</v>
      </c>
      <c r="L173" s="13" t="n">
        <v>0</v>
      </c>
      <c r="M173" s="13" t="str">
        <v>Yes</v>
      </c>
      <c r="N173" s="22"/>
      <c r="Q173" s="40"/>
      <c r="R173" s="13" t="b">
        <f aca="false">FALSE()</f>
        <v>0</v>
      </c>
      <c r="S173" s="13" t="n">
        <v>0</v>
      </c>
      <c r="T173" s="13" t="n">
        <f aca="false">S173*F173</f>
        <v>0</v>
      </c>
      <c r="U173" s="13" t="n">
        <v>0</v>
      </c>
      <c r="V173" s="13" t="n">
        <v>0</v>
      </c>
    </row>
    <row r="174" customFormat="false" ht="15.75" hidden="false" customHeight="false" outlineLevel="0" collapsed="false">
      <c r="A174" s="13" t="n">
        <v>0</v>
      </c>
      <c r="B174" s="13" t="str">
        <v/>
      </c>
      <c r="C174" s="13" t="n">
        <v>0</v>
      </c>
      <c r="D174" s="13" t="n">
        <v>0</v>
      </c>
      <c r="E174" s="13" t="str">
        <v/>
      </c>
      <c r="F174" s="13" t="n">
        <v>0</v>
      </c>
      <c r="G174" s="13" t="n">
        <v>0</v>
      </c>
      <c r="H174" s="13" t="n">
        <v>0</v>
      </c>
      <c r="I174" s="13" t="n">
        <v>0</v>
      </c>
      <c r="J174" s="13" t="b">
        <f aca="false">IF(ISBLANK(I174),"", IF($I$2:$I1171 = "Gohar Rehan","Overnight",IF($I$2:$I1171 = "Taufeeq Akhtar ","Overnight",IF($I$2:$I1171 = "Zeeshan Ali Malik","Audit",IF($I$2:$I1171 = "Ali Raza ","Receiving",IF($I$2:$I1171 = "Ali Ahmad","Full-In"))))))</f>
        <v>0</v>
      </c>
      <c r="K174" s="39" t="e">
        <f aca="false">IFERROR(VLOOKUP(D174,'Brand manager data '!A:B,2,0))</f>
        <v>#VALUE!</v>
      </c>
      <c r="L174" s="13" t="n">
        <v>0</v>
      </c>
      <c r="M174" s="13" t="str">
        <v>Yes</v>
      </c>
      <c r="N174" s="22"/>
      <c r="Q174" s="40"/>
      <c r="R174" s="13" t="b">
        <f aca="false">FALSE()</f>
        <v>0</v>
      </c>
      <c r="S174" s="13" t="n">
        <v>0</v>
      </c>
      <c r="T174" s="13" t="n">
        <f aca="false">S174*F174</f>
        <v>0</v>
      </c>
      <c r="U174" s="13" t="n">
        <v>0</v>
      </c>
      <c r="V174" s="13" t="n">
        <v>0</v>
      </c>
    </row>
    <row r="175" customFormat="false" ht="15.75" hidden="false" customHeight="false" outlineLevel="0" collapsed="false">
      <c r="A175" s="13" t="n">
        <v>0</v>
      </c>
      <c r="B175" s="13" t="str">
        <v/>
      </c>
      <c r="C175" s="13" t="n">
        <v>0</v>
      </c>
      <c r="D175" s="13" t="n">
        <v>0</v>
      </c>
      <c r="E175" s="13" t="str">
        <v/>
      </c>
      <c r="F175" s="13" t="n">
        <v>0</v>
      </c>
      <c r="G175" s="13" t="n">
        <v>0</v>
      </c>
      <c r="H175" s="13" t="n">
        <v>0</v>
      </c>
      <c r="I175" s="13" t="n">
        <v>0</v>
      </c>
      <c r="J175" s="13" t="b">
        <f aca="false">IF(ISBLANK(I175),"", IF($I$2:$I1172 = "Gohar Rehan","Overnight",IF($I$2:$I1172 = "Taufeeq Akhtar ","Overnight",IF($I$2:$I1172 = "Zeeshan Ali Malik","Audit",IF($I$2:$I1172 = "Ali Raza ","Receiving",IF($I$2:$I1172 = "Ali Ahmad","Full-In"))))))</f>
        <v>0</v>
      </c>
      <c r="K175" s="39" t="e">
        <f aca="false">IFERROR(VLOOKUP(D175,'Brand manager data '!A:B,2,0))</f>
        <v>#VALUE!</v>
      </c>
      <c r="L175" s="13" t="n">
        <v>0</v>
      </c>
      <c r="M175" s="13" t="str">
        <v>Yes</v>
      </c>
      <c r="N175" s="22"/>
      <c r="Q175" s="40"/>
      <c r="R175" s="13" t="b">
        <f aca="false">FALSE()</f>
        <v>0</v>
      </c>
      <c r="S175" s="13" t="n">
        <v>0</v>
      </c>
      <c r="T175" s="13" t="n">
        <f aca="false">S175*F175</f>
        <v>0</v>
      </c>
      <c r="U175" s="13" t="n">
        <v>0</v>
      </c>
      <c r="V175" s="13" t="n">
        <v>0</v>
      </c>
    </row>
    <row r="176" customFormat="false" ht="15.75" hidden="false" customHeight="false" outlineLevel="0" collapsed="false">
      <c r="A176" s="13" t="n">
        <v>0</v>
      </c>
      <c r="B176" s="13" t="str">
        <v/>
      </c>
      <c r="C176" s="13" t="n">
        <v>0</v>
      </c>
      <c r="D176" s="13" t="n">
        <v>0</v>
      </c>
      <c r="E176" s="13" t="str">
        <v/>
      </c>
      <c r="F176" s="13" t="n">
        <v>0</v>
      </c>
      <c r="G176" s="13" t="n">
        <v>0</v>
      </c>
      <c r="H176" s="13" t="n">
        <v>0</v>
      </c>
      <c r="I176" s="13" t="n">
        <v>0</v>
      </c>
      <c r="J176" s="13" t="b">
        <f aca="false">IF(ISBLANK(I176),"", IF($I$2:$I1173 = "Gohar Rehan","Overnight",IF($I$2:$I1173 = "Taufeeq Akhtar ","Overnight",IF($I$2:$I1173 = "Zeeshan Ali Malik","Audit",IF($I$2:$I1173 = "Ali Raza ","Receiving",IF($I$2:$I1173 = "Ali Ahmad","Full-In"))))))</f>
        <v>0</v>
      </c>
      <c r="K176" s="39" t="e">
        <f aca="false">IFERROR(VLOOKUP(D176,'Brand manager data '!A:B,2,0))</f>
        <v>#VALUE!</v>
      </c>
      <c r="L176" s="13" t="n">
        <v>0</v>
      </c>
      <c r="M176" s="13" t="str">
        <v>Yes</v>
      </c>
      <c r="N176" s="22"/>
      <c r="Q176" s="40"/>
      <c r="R176" s="13" t="b">
        <f aca="false">FALSE()</f>
        <v>0</v>
      </c>
      <c r="S176" s="13" t="n">
        <v>0</v>
      </c>
      <c r="T176" s="13" t="n">
        <f aca="false">S176*F176</f>
        <v>0</v>
      </c>
      <c r="U176" s="13" t="n">
        <v>0</v>
      </c>
      <c r="V176" s="13" t="n">
        <v>0</v>
      </c>
    </row>
    <row r="177" customFormat="false" ht="15.75" hidden="false" customHeight="false" outlineLevel="0" collapsed="false">
      <c r="A177" s="13" t="n">
        <v>0</v>
      </c>
      <c r="B177" s="13" t="str">
        <v/>
      </c>
      <c r="C177" s="13" t="n">
        <v>0</v>
      </c>
      <c r="D177" s="13" t="n">
        <v>0</v>
      </c>
      <c r="E177" s="13" t="str">
        <v/>
      </c>
      <c r="F177" s="13" t="n">
        <v>0</v>
      </c>
      <c r="G177" s="13" t="n">
        <v>0</v>
      </c>
      <c r="H177" s="13" t="n">
        <v>0</v>
      </c>
      <c r="I177" s="13" t="n">
        <v>0</v>
      </c>
      <c r="J177" s="13" t="b">
        <f aca="false">IF(ISBLANK(I177),"", IF($I$2:$I1174 = "Gohar Rehan","Overnight",IF($I$2:$I1174 = "Taufeeq Akhtar ","Overnight",IF($I$2:$I1174 = "Zeeshan Ali Malik","Audit",IF($I$2:$I1174 = "Ali Raza ","Receiving",IF($I$2:$I1174 = "Ali Ahmad","Full-In"))))))</f>
        <v>0</v>
      </c>
      <c r="K177" s="39" t="e">
        <f aca="false">IFERROR(VLOOKUP(D177,'Brand manager data '!A:B,2,0))</f>
        <v>#VALUE!</v>
      </c>
      <c r="L177" s="13" t="n">
        <v>0</v>
      </c>
      <c r="M177" s="13" t="str">
        <v>Yes</v>
      </c>
      <c r="N177" s="22"/>
      <c r="Q177" s="40"/>
      <c r="R177" s="13" t="b">
        <f aca="false">FALSE()</f>
        <v>0</v>
      </c>
      <c r="S177" s="13" t="n">
        <v>0</v>
      </c>
      <c r="T177" s="13" t="n">
        <f aca="false">S177*F177</f>
        <v>0</v>
      </c>
      <c r="U177" s="13" t="n">
        <v>0</v>
      </c>
      <c r="V177" s="13" t="n">
        <v>0</v>
      </c>
    </row>
    <row r="178" customFormat="false" ht="15.75" hidden="false" customHeight="false" outlineLevel="0" collapsed="false">
      <c r="A178" s="13" t="n">
        <v>0</v>
      </c>
      <c r="B178" s="13" t="str">
        <v/>
      </c>
      <c r="C178" s="13" t="n">
        <v>0</v>
      </c>
      <c r="D178" s="13" t="n">
        <v>0</v>
      </c>
      <c r="E178" s="13" t="str">
        <v/>
      </c>
      <c r="F178" s="13" t="n">
        <v>0</v>
      </c>
      <c r="G178" s="13" t="n">
        <v>0</v>
      </c>
      <c r="H178" s="13" t="n">
        <v>0</v>
      </c>
      <c r="I178" s="13" t="n">
        <v>0</v>
      </c>
      <c r="J178" s="13" t="b">
        <f aca="false">IF(ISBLANK(I178),"", IF($I$2:$I1175 = "Gohar Rehan","Overnight",IF($I$2:$I1175 = "Taufeeq Akhtar ","Overnight",IF($I$2:$I1175 = "Zeeshan Ali Malik","Audit",IF($I$2:$I1175 = "Ali Raza ","Receiving",IF($I$2:$I1175 = "Ali Ahmad","Full-In"))))))</f>
        <v>0</v>
      </c>
      <c r="K178" s="39" t="e">
        <f aca="false">IFERROR(VLOOKUP(D178,'Brand manager data '!A:B,2,0))</f>
        <v>#VALUE!</v>
      </c>
      <c r="L178" s="13" t="n">
        <v>0</v>
      </c>
      <c r="M178" s="13" t="str">
        <v>Yes</v>
      </c>
      <c r="N178" s="22"/>
      <c r="Q178" s="40"/>
      <c r="R178" s="13" t="b">
        <f aca="false">FALSE()</f>
        <v>0</v>
      </c>
      <c r="S178" s="13" t="n">
        <v>0</v>
      </c>
      <c r="T178" s="13" t="n">
        <f aca="false">S178*F178</f>
        <v>0</v>
      </c>
      <c r="U178" s="13" t="n">
        <v>0</v>
      </c>
      <c r="V178" s="13" t="n">
        <v>0</v>
      </c>
    </row>
    <row r="179" customFormat="false" ht="15.75" hidden="false" customHeight="false" outlineLevel="0" collapsed="false">
      <c r="A179" s="13" t="n">
        <v>0</v>
      </c>
      <c r="B179" s="13" t="str">
        <v/>
      </c>
      <c r="C179" s="13" t="n">
        <v>0</v>
      </c>
      <c r="D179" s="13" t="n">
        <v>0</v>
      </c>
      <c r="E179" s="13" t="str">
        <v/>
      </c>
      <c r="F179" s="13" t="n">
        <v>0</v>
      </c>
      <c r="G179" s="13" t="n">
        <v>0</v>
      </c>
      <c r="H179" s="13" t="n">
        <v>0</v>
      </c>
      <c r="I179" s="13" t="n">
        <v>0</v>
      </c>
      <c r="J179" s="13" t="b">
        <f aca="false">IF(ISBLANK(I179),"", IF($I$2:$I1176 = "Gohar Rehan","Overnight",IF($I$2:$I1176 = "Taufeeq Akhtar ","Overnight",IF($I$2:$I1176 = "Zeeshan Ali Malik","Audit",IF($I$2:$I1176 = "Ali Raza ","Receiving",IF($I$2:$I1176 = "Ali Ahmad","Full-In"))))))</f>
        <v>0</v>
      </c>
      <c r="K179" s="39" t="e">
        <f aca="false">IFERROR(VLOOKUP(D179,'Brand manager data '!A:B,2,0))</f>
        <v>#VALUE!</v>
      </c>
      <c r="L179" s="13" t="n">
        <v>0</v>
      </c>
      <c r="M179" s="13" t="str">
        <v>Yes</v>
      </c>
      <c r="N179" s="22"/>
      <c r="Q179" s="40"/>
      <c r="R179" s="13" t="b">
        <f aca="false">FALSE()</f>
        <v>0</v>
      </c>
      <c r="S179" s="13" t="n">
        <v>0</v>
      </c>
      <c r="T179" s="13" t="n">
        <f aca="false">S179*F179</f>
        <v>0</v>
      </c>
      <c r="U179" s="13" t="n">
        <v>0</v>
      </c>
      <c r="V179" s="13" t="n">
        <v>0</v>
      </c>
    </row>
    <row r="180" customFormat="false" ht="15.75" hidden="false" customHeight="false" outlineLevel="0" collapsed="false">
      <c r="A180" s="13" t="n">
        <v>0</v>
      </c>
      <c r="B180" s="13" t="str">
        <v/>
      </c>
      <c r="C180" s="13" t="n">
        <v>0</v>
      </c>
      <c r="D180" s="13" t="n">
        <v>0</v>
      </c>
      <c r="E180" s="13" t="str">
        <v/>
      </c>
      <c r="F180" s="13" t="n">
        <v>0</v>
      </c>
      <c r="G180" s="13" t="n">
        <v>0</v>
      </c>
      <c r="H180" s="13" t="n">
        <v>0</v>
      </c>
      <c r="I180" s="13" t="n">
        <v>0</v>
      </c>
      <c r="J180" s="13" t="b">
        <f aca="false">IF(ISBLANK(I180),"", IF($I$2:$I1177 = "Gohar Rehan","Overnight",IF($I$2:$I1177 = "Taufeeq Akhtar ","Overnight",IF($I$2:$I1177 = "Zeeshan Ali Malik","Audit",IF($I$2:$I1177 = "Ali Raza ","Receiving",IF($I$2:$I1177 = "Ali Ahmad","Full-In"))))))</f>
        <v>0</v>
      </c>
      <c r="K180" s="39" t="e">
        <f aca="false">IFERROR(VLOOKUP(D180,'Brand manager data '!A:B,2,0))</f>
        <v>#VALUE!</v>
      </c>
      <c r="L180" s="13" t="n">
        <v>0</v>
      </c>
      <c r="M180" s="13" t="str">
        <v>Yes</v>
      </c>
      <c r="N180" s="22"/>
      <c r="Q180" s="40"/>
      <c r="R180" s="13" t="b">
        <f aca="false">FALSE()</f>
        <v>0</v>
      </c>
      <c r="S180" s="13" t="n">
        <v>0</v>
      </c>
      <c r="T180" s="13" t="n">
        <f aca="false">S180*F180</f>
        <v>0</v>
      </c>
      <c r="U180" s="13" t="n">
        <v>0</v>
      </c>
      <c r="V180" s="13" t="n">
        <v>0</v>
      </c>
    </row>
    <row r="181" customFormat="false" ht="15.75" hidden="false" customHeight="false" outlineLevel="0" collapsed="false">
      <c r="A181" s="13" t="n">
        <v>0</v>
      </c>
      <c r="B181" s="13" t="str">
        <v/>
      </c>
      <c r="C181" s="13" t="n">
        <v>0</v>
      </c>
      <c r="D181" s="13" t="n">
        <v>0</v>
      </c>
      <c r="E181" s="13" t="str">
        <v/>
      </c>
      <c r="F181" s="13" t="n">
        <v>0</v>
      </c>
      <c r="G181" s="13" t="n">
        <v>0</v>
      </c>
      <c r="H181" s="13" t="n">
        <v>0</v>
      </c>
      <c r="I181" s="13" t="n">
        <v>0</v>
      </c>
      <c r="J181" s="13" t="b">
        <f aca="false">IF(ISBLANK(I181),"", IF($I$2:$I1178 = "Gohar Rehan","Overnight",IF($I$2:$I1178 = "Taufeeq Akhtar ","Overnight",IF($I$2:$I1178 = "Zeeshan Ali Malik","Audit",IF($I$2:$I1178 = "Ali Raza ","Receiving",IF($I$2:$I1178 = "Ali Ahmad","Full-In"))))))</f>
        <v>0</v>
      </c>
      <c r="K181" s="39" t="e">
        <f aca="false">IFERROR(VLOOKUP(D181,'Brand manager data '!A:B,2,0))</f>
        <v>#VALUE!</v>
      </c>
      <c r="L181" s="13" t="n">
        <v>0</v>
      </c>
      <c r="M181" s="13" t="str">
        <v>Yes</v>
      </c>
      <c r="N181" s="22"/>
      <c r="Q181" s="40"/>
      <c r="R181" s="13" t="b">
        <f aca="false">FALSE()</f>
        <v>0</v>
      </c>
      <c r="S181" s="13" t="n">
        <v>0</v>
      </c>
      <c r="T181" s="13" t="n">
        <f aca="false">S181*F181</f>
        <v>0</v>
      </c>
      <c r="U181" s="13" t="n">
        <v>0</v>
      </c>
      <c r="V181" s="13" t="n">
        <v>0</v>
      </c>
    </row>
    <row r="182" customFormat="false" ht="15.75" hidden="false" customHeight="false" outlineLevel="0" collapsed="false">
      <c r="A182" s="13" t="n">
        <v>0</v>
      </c>
      <c r="B182" s="13" t="str">
        <v/>
      </c>
      <c r="C182" s="13" t="n">
        <v>0</v>
      </c>
      <c r="D182" s="13" t="n">
        <v>0</v>
      </c>
      <c r="E182" s="13" t="str">
        <v/>
      </c>
      <c r="F182" s="13" t="n">
        <v>0</v>
      </c>
      <c r="G182" s="13" t="n">
        <v>0</v>
      </c>
      <c r="H182" s="13" t="n">
        <v>0</v>
      </c>
      <c r="I182" s="13" t="n">
        <v>0</v>
      </c>
      <c r="J182" s="13" t="b">
        <f aca="false">IF(ISBLANK(I182),"", IF($I$2:$I1179 = "Gohar Rehan","Overnight",IF($I$2:$I1179 = "Taufeeq Akhtar ","Overnight",IF($I$2:$I1179 = "Zeeshan Ali Malik","Audit",IF($I$2:$I1179 = "Ali Raza ","Receiving",IF($I$2:$I1179 = "Ali Ahmad","Full-In"))))))</f>
        <v>0</v>
      </c>
      <c r="K182" s="39" t="e">
        <f aca="false">IFERROR(VLOOKUP(D182,'Brand manager data '!A:B,2,0))</f>
        <v>#VALUE!</v>
      </c>
      <c r="L182" s="13" t="n">
        <v>0</v>
      </c>
      <c r="M182" s="13" t="str">
        <v>Yes</v>
      </c>
      <c r="N182" s="22"/>
      <c r="Q182" s="40"/>
      <c r="R182" s="13" t="b">
        <f aca="false">FALSE()</f>
        <v>0</v>
      </c>
      <c r="S182" s="13" t="n">
        <v>0</v>
      </c>
      <c r="T182" s="13" t="n">
        <f aca="false">S182*F182</f>
        <v>0</v>
      </c>
      <c r="U182" s="13" t="n">
        <v>0</v>
      </c>
      <c r="V182" s="13" t="n">
        <v>0</v>
      </c>
    </row>
    <row r="183" customFormat="false" ht="15.75" hidden="false" customHeight="false" outlineLevel="0" collapsed="false">
      <c r="A183" s="13" t="n">
        <v>0</v>
      </c>
      <c r="B183" s="13" t="str">
        <v/>
      </c>
      <c r="C183" s="13" t="n">
        <v>0</v>
      </c>
      <c r="D183" s="13" t="n">
        <v>0</v>
      </c>
      <c r="E183" s="13" t="str">
        <v/>
      </c>
      <c r="F183" s="13" t="n">
        <v>0</v>
      </c>
      <c r="G183" s="13" t="n">
        <v>0</v>
      </c>
      <c r="H183" s="13" t="n">
        <v>0</v>
      </c>
      <c r="I183" s="13" t="n">
        <v>0</v>
      </c>
      <c r="J183" s="13" t="b">
        <f aca="false">IF(ISBLANK(I183),"", IF($I$2:$I1180 = "Gohar Rehan","Overnight",IF($I$2:$I1180 = "Taufeeq Akhtar ","Overnight",IF($I$2:$I1180 = "Zeeshan Ali Malik","Audit",IF($I$2:$I1180 = "Ali Raza ","Receiving",IF($I$2:$I1180 = "Ali Ahmad","Full-In"))))))</f>
        <v>0</v>
      </c>
      <c r="K183" s="39" t="e">
        <f aca="false">IFERROR(VLOOKUP(D183,'Brand manager data '!A:B,2,0))</f>
        <v>#VALUE!</v>
      </c>
      <c r="L183" s="13" t="n">
        <v>0</v>
      </c>
      <c r="M183" s="13" t="str">
        <v>Yes</v>
      </c>
      <c r="N183" s="22"/>
      <c r="Q183" s="40"/>
      <c r="R183" s="13" t="b">
        <f aca="false">FALSE()</f>
        <v>0</v>
      </c>
      <c r="S183" s="13" t="n">
        <v>0</v>
      </c>
      <c r="T183" s="13" t="n">
        <f aca="false">S183*F183</f>
        <v>0</v>
      </c>
      <c r="U183" s="13" t="n">
        <v>0</v>
      </c>
      <c r="V183" s="13" t="n">
        <v>0</v>
      </c>
    </row>
    <row r="184" customFormat="false" ht="15.75" hidden="false" customHeight="false" outlineLevel="0" collapsed="false">
      <c r="A184" s="13" t="n">
        <v>0</v>
      </c>
      <c r="B184" s="13" t="str">
        <v/>
      </c>
      <c r="C184" s="13" t="n">
        <v>0</v>
      </c>
      <c r="D184" s="13" t="n">
        <v>0</v>
      </c>
      <c r="E184" s="13" t="str">
        <v/>
      </c>
      <c r="F184" s="13" t="n">
        <v>0</v>
      </c>
      <c r="G184" s="13" t="n">
        <v>0</v>
      </c>
      <c r="H184" s="13" t="n">
        <v>0</v>
      </c>
      <c r="I184" s="13" t="n">
        <v>0</v>
      </c>
      <c r="J184" s="13" t="b">
        <f aca="false">IF(ISBLANK(I184),"", IF($I$2:$I1181 = "Gohar Rehan","Overnight",IF($I$2:$I1181 = "Taufeeq Akhtar ","Overnight",IF($I$2:$I1181 = "Zeeshan Ali Malik","Audit",IF($I$2:$I1181 = "Ali Raza ","Receiving",IF($I$2:$I1181 = "Ali Ahmad","Full-In"))))))</f>
        <v>0</v>
      </c>
      <c r="K184" s="39" t="e">
        <f aca="false">IFERROR(VLOOKUP(D184,'Brand manager data '!A:B,2,0))</f>
        <v>#VALUE!</v>
      </c>
      <c r="L184" s="13" t="n">
        <v>0</v>
      </c>
      <c r="M184" s="13" t="str">
        <v>Yes</v>
      </c>
      <c r="N184" s="22"/>
      <c r="Q184" s="40"/>
      <c r="R184" s="13" t="b">
        <f aca="false">FALSE()</f>
        <v>0</v>
      </c>
      <c r="S184" s="13" t="n">
        <v>0</v>
      </c>
      <c r="T184" s="13" t="n">
        <f aca="false">S184*F184</f>
        <v>0</v>
      </c>
      <c r="U184" s="13" t="n">
        <v>0</v>
      </c>
      <c r="V184" s="13" t="n">
        <v>0</v>
      </c>
    </row>
    <row r="185" customFormat="false" ht="15.75" hidden="false" customHeight="false" outlineLevel="0" collapsed="false">
      <c r="A185" s="13" t="n">
        <v>0</v>
      </c>
      <c r="B185" s="13" t="str">
        <v/>
      </c>
      <c r="C185" s="13" t="n">
        <v>0</v>
      </c>
      <c r="D185" s="13" t="n">
        <v>0</v>
      </c>
      <c r="E185" s="13" t="str">
        <v/>
      </c>
      <c r="F185" s="13" t="n">
        <v>0</v>
      </c>
      <c r="G185" s="13" t="n">
        <v>0</v>
      </c>
      <c r="H185" s="13" t="n">
        <v>0</v>
      </c>
      <c r="I185" s="13" t="n">
        <v>0</v>
      </c>
      <c r="J185" s="13" t="b">
        <f aca="false">IF(ISBLANK(I185),"", IF($I$2:$I1182 = "Gohar Rehan","Overnight",IF($I$2:$I1182 = "Taufeeq Akhtar ","Overnight",IF($I$2:$I1182 = "Zeeshan Ali Malik","Audit",IF($I$2:$I1182 = "Ali Raza ","Receiving",IF($I$2:$I1182 = "Ali Ahmad","Full-In"))))))</f>
        <v>0</v>
      </c>
      <c r="K185" s="39" t="e">
        <f aca="false">IFERROR(VLOOKUP(D185,'Brand manager data '!A:B,2,0))</f>
        <v>#VALUE!</v>
      </c>
      <c r="L185" s="13" t="n">
        <v>0</v>
      </c>
      <c r="M185" s="13" t="str">
        <v>Yes</v>
      </c>
      <c r="N185" s="22"/>
      <c r="Q185" s="40"/>
      <c r="R185" s="13" t="b">
        <f aca="false">FALSE()</f>
        <v>0</v>
      </c>
      <c r="S185" s="13" t="n">
        <v>0</v>
      </c>
      <c r="T185" s="13" t="n">
        <f aca="false">S185*F185</f>
        <v>0</v>
      </c>
      <c r="U185" s="13" t="n">
        <v>0</v>
      </c>
      <c r="V185" s="13" t="n">
        <v>0</v>
      </c>
    </row>
    <row r="186" customFormat="false" ht="15.75" hidden="false" customHeight="false" outlineLevel="0" collapsed="false">
      <c r="A186" s="13" t="n">
        <v>0</v>
      </c>
      <c r="B186" s="13" t="str">
        <v/>
      </c>
      <c r="C186" s="13" t="n">
        <v>0</v>
      </c>
      <c r="D186" s="13" t="n">
        <v>0</v>
      </c>
      <c r="E186" s="13" t="str">
        <v/>
      </c>
      <c r="F186" s="13" t="n">
        <v>0</v>
      </c>
      <c r="G186" s="13" t="n">
        <v>0</v>
      </c>
      <c r="H186" s="13" t="n">
        <v>0</v>
      </c>
      <c r="I186" s="13" t="n">
        <v>0</v>
      </c>
      <c r="J186" s="13" t="b">
        <f aca="false">IF(ISBLANK(I186),"", IF($I$2:$I1183 = "Gohar Rehan","Overnight",IF($I$2:$I1183 = "Taufeeq Akhtar ","Overnight",IF($I$2:$I1183 = "Zeeshan Ali Malik","Audit",IF($I$2:$I1183 = "Ali Raza ","Receiving",IF($I$2:$I1183 = "Ali Ahmad","Full-In"))))))</f>
        <v>0</v>
      </c>
      <c r="K186" s="39" t="e">
        <f aca="false">IFERROR(VLOOKUP(D186,'Brand manager data '!A:B,2,0))</f>
        <v>#VALUE!</v>
      </c>
      <c r="L186" s="13" t="n">
        <v>0</v>
      </c>
      <c r="M186" s="13" t="str">
        <v>Yes</v>
      </c>
      <c r="N186" s="22"/>
      <c r="Q186" s="40"/>
      <c r="R186" s="13" t="b">
        <f aca="false">FALSE()</f>
        <v>0</v>
      </c>
      <c r="S186" s="13" t="n">
        <v>0</v>
      </c>
      <c r="T186" s="13" t="n">
        <f aca="false">S186*F186</f>
        <v>0</v>
      </c>
      <c r="U186" s="13" t="n">
        <v>0</v>
      </c>
      <c r="V186" s="13" t="n">
        <v>0</v>
      </c>
    </row>
    <row r="187" customFormat="false" ht="15.75" hidden="false" customHeight="false" outlineLevel="0" collapsed="false">
      <c r="A187" s="13" t="n">
        <v>0</v>
      </c>
      <c r="B187" s="13" t="str">
        <v/>
      </c>
      <c r="C187" s="13" t="n">
        <v>0</v>
      </c>
      <c r="D187" s="13" t="n">
        <v>0</v>
      </c>
      <c r="E187" s="13" t="str">
        <v/>
      </c>
      <c r="F187" s="13" t="n">
        <v>0</v>
      </c>
      <c r="G187" s="13" t="n">
        <v>0</v>
      </c>
      <c r="H187" s="13" t="n">
        <v>0</v>
      </c>
      <c r="I187" s="13" t="n">
        <v>0</v>
      </c>
      <c r="J187" s="13" t="b">
        <f aca="false">IF(ISBLANK(I187),"", IF($I$2:$I1184 = "Gohar Rehan","Overnight",IF($I$2:$I1184 = "Taufeeq Akhtar ","Overnight",IF($I$2:$I1184 = "Zeeshan Ali Malik","Audit",IF($I$2:$I1184 = "Ali Raza ","Receiving",IF($I$2:$I1184 = "Ali Ahmad","Full-In"))))))</f>
        <v>0</v>
      </c>
      <c r="K187" s="39" t="e">
        <f aca="false">IFERROR(VLOOKUP(D187,'Brand manager data '!A:B,2,0))</f>
        <v>#VALUE!</v>
      </c>
      <c r="L187" s="13" t="n">
        <v>0</v>
      </c>
      <c r="M187" s="13" t="str">
        <v>Yes</v>
      </c>
      <c r="N187" s="22"/>
      <c r="Q187" s="40"/>
      <c r="R187" s="13" t="b">
        <f aca="false">FALSE()</f>
        <v>0</v>
      </c>
      <c r="S187" s="13" t="n">
        <v>0</v>
      </c>
      <c r="T187" s="13" t="n">
        <f aca="false">S187*F187</f>
        <v>0</v>
      </c>
      <c r="U187" s="13" t="n">
        <v>0</v>
      </c>
      <c r="V187" s="13" t="n">
        <v>0</v>
      </c>
    </row>
    <row r="188" customFormat="false" ht="15.75" hidden="false" customHeight="false" outlineLevel="0" collapsed="false">
      <c r="A188" s="13" t="n">
        <v>0</v>
      </c>
      <c r="B188" s="13" t="str">
        <v/>
      </c>
      <c r="C188" s="13" t="n">
        <v>0</v>
      </c>
      <c r="D188" s="13" t="n">
        <v>0</v>
      </c>
      <c r="E188" s="13" t="str">
        <v/>
      </c>
      <c r="F188" s="13" t="n">
        <v>0</v>
      </c>
      <c r="G188" s="13" t="n">
        <v>0</v>
      </c>
      <c r="H188" s="13" t="n">
        <v>0</v>
      </c>
      <c r="I188" s="13" t="n">
        <v>0</v>
      </c>
      <c r="J188" s="13" t="b">
        <f aca="false">IF(ISBLANK(I188),"", IF($I$2:$I1185 = "Gohar Rehan","Overnight",IF($I$2:$I1185 = "Taufeeq Akhtar ","Overnight",IF($I$2:$I1185 = "Zeeshan Ali Malik","Audit",IF($I$2:$I1185 = "Ali Raza ","Receiving",IF($I$2:$I1185 = "Ali Ahmad","Full-In"))))))</f>
        <v>0</v>
      </c>
      <c r="K188" s="39" t="e">
        <f aca="false">IFERROR(VLOOKUP(D188,'Brand manager data '!A:B,2,0))</f>
        <v>#VALUE!</v>
      </c>
      <c r="L188" s="13" t="n">
        <v>0</v>
      </c>
      <c r="M188" s="13" t="str">
        <v>Yes</v>
      </c>
      <c r="N188" s="22"/>
      <c r="Q188" s="40"/>
      <c r="R188" s="13" t="b">
        <f aca="false">FALSE()</f>
        <v>0</v>
      </c>
      <c r="S188" s="13" t="n">
        <v>0</v>
      </c>
      <c r="T188" s="13" t="n">
        <f aca="false">S188*F188</f>
        <v>0</v>
      </c>
      <c r="U188" s="13" t="n">
        <v>0</v>
      </c>
      <c r="V188" s="13" t="n">
        <v>0</v>
      </c>
    </row>
    <row r="189" customFormat="false" ht="15.75" hidden="false" customHeight="false" outlineLevel="0" collapsed="false">
      <c r="A189" s="13" t="n">
        <v>0</v>
      </c>
      <c r="B189" s="13" t="str">
        <v/>
      </c>
      <c r="C189" s="13" t="n">
        <v>0</v>
      </c>
      <c r="D189" s="13" t="n">
        <v>0</v>
      </c>
      <c r="E189" s="13" t="str">
        <v/>
      </c>
      <c r="F189" s="13" t="n">
        <v>0</v>
      </c>
      <c r="G189" s="13" t="n">
        <v>0</v>
      </c>
      <c r="H189" s="13" t="n">
        <v>0</v>
      </c>
      <c r="I189" s="13" t="n">
        <v>0</v>
      </c>
      <c r="J189" s="13" t="b">
        <f aca="false">IF(ISBLANK(I189),"", IF($I$2:$I1186 = "Gohar Rehan","Overnight",IF($I$2:$I1186 = "Taufeeq Akhtar ","Overnight",IF($I$2:$I1186 = "Zeeshan Ali Malik","Audit",IF($I$2:$I1186 = "Ali Raza ","Receiving",IF($I$2:$I1186 = "Ali Ahmad","Full-In"))))))</f>
        <v>0</v>
      </c>
      <c r="K189" s="39" t="e">
        <f aca="false">IFERROR(VLOOKUP(D189,'Brand manager data '!A:B,2,0))</f>
        <v>#VALUE!</v>
      </c>
      <c r="L189" s="13" t="n">
        <v>0</v>
      </c>
      <c r="M189" s="13" t="str">
        <v>Yes</v>
      </c>
      <c r="N189" s="22"/>
      <c r="Q189" s="40"/>
      <c r="R189" s="13" t="b">
        <f aca="false">FALSE()</f>
        <v>0</v>
      </c>
      <c r="S189" s="13" t="n">
        <v>0</v>
      </c>
      <c r="T189" s="13" t="n">
        <f aca="false">S189*F189</f>
        <v>0</v>
      </c>
      <c r="U189" s="13" t="n">
        <v>0</v>
      </c>
      <c r="V189" s="13" t="n">
        <v>0</v>
      </c>
    </row>
    <row r="190" customFormat="false" ht="15.75" hidden="false" customHeight="false" outlineLevel="0" collapsed="false">
      <c r="A190" s="13" t="n">
        <v>0</v>
      </c>
      <c r="B190" s="13" t="str">
        <v/>
      </c>
      <c r="C190" s="13" t="n">
        <v>0</v>
      </c>
      <c r="D190" s="13" t="n">
        <v>0</v>
      </c>
      <c r="E190" s="13" t="str">
        <v/>
      </c>
      <c r="F190" s="13" t="n">
        <v>0</v>
      </c>
      <c r="G190" s="13" t="n">
        <v>0</v>
      </c>
      <c r="H190" s="13" t="n">
        <v>0</v>
      </c>
      <c r="I190" s="13" t="n">
        <v>0</v>
      </c>
      <c r="J190" s="13" t="b">
        <f aca="false">IF(ISBLANK(I190),"", IF($I$2:$I1187 = "Gohar Rehan","Overnight",IF($I$2:$I1187 = "Taufeeq Akhtar ","Overnight",IF($I$2:$I1187 = "Zeeshan Ali Malik","Audit",IF($I$2:$I1187 = "Ali Raza ","Receiving",IF($I$2:$I1187 = "Ali Ahmad","Full-In"))))))</f>
        <v>0</v>
      </c>
      <c r="K190" s="39" t="e">
        <f aca="false">IFERROR(VLOOKUP(D190,'Brand manager data '!A:B,2,0))</f>
        <v>#VALUE!</v>
      </c>
      <c r="L190" s="13" t="n">
        <v>0</v>
      </c>
      <c r="M190" s="13" t="str">
        <v>Yes</v>
      </c>
      <c r="N190" s="22"/>
      <c r="Q190" s="40"/>
      <c r="R190" s="13" t="b">
        <f aca="false">FALSE()</f>
        <v>0</v>
      </c>
      <c r="S190" s="13" t="n">
        <v>0</v>
      </c>
      <c r="T190" s="13" t="n">
        <f aca="false">S190*F190</f>
        <v>0</v>
      </c>
      <c r="U190" s="13" t="n">
        <v>0</v>
      </c>
      <c r="V190" s="13" t="n">
        <v>0</v>
      </c>
    </row>
    <row r="191" customFormat="false" ht="15.75" hidden="false" customHeight="false" outlineLevel="0" collapsed="false">
      <c r="A191" s="13" t="n">
        <v>0</v>
      </c>
      <c r="B191" s="13" t="str">
        <v/>
      </c>
      <c r="C191" s="13" t="n">
        <v>0</v>
      </c>
      <c r="D191" s="13" t="n">
        <v>0</v>
      </c>
      <c r="E191" s="13" t="str">
        <v/>
      </c>
      <c r="F191" s="13" t="n">
        <v>0</v>
      </c>
      <c r="G191" s="13" t="n">
        <v>0</v>
      </c>
      <c r="H191" s="13" t="n">
        <v>0</v>
      </c>
      <c r="I191" s="13" t="n">
        <v>0</v>
      </c>
      <c r="J191" s="13" t="b">
        <f aca="false">IF(ISBLANK(I191),"", IF($I$2:$I1188 = "Gohar Rehan","Overnight",IF($I$2:$I1188 = "Taufeeq Akhtar ","Overnight",IF($I$2:$I1188 = "Zeeshan Ali Malik","Audit",IF($I$2:$I1188 = "Ali Raza ","Receiving",IF($I$2:$I1188 = "Ali Ahmad","Full-In"))))))</f>
        <v>0</v>
      </c>
      <c r="K191" s="39" t="e">
        <f aca="false">IFERROR(VLOOKUP(D191,'Brand manager data '!A:B,2,0))</f>
        <v>#VALUE!</v>
      </c>
      <c r="L191" s="13" t="n">
        <v>0</v>
      </c>
      <c r="M191" s="13" t="str">
        <v>Yes</v>
      </c>
      <c r="N191" s="22"/>
      <c r="Q191" s="40"/>
      <c r="R191" s="13" t="b">
        <f aca="false">FALSE()</f>
        <v>0</v>
      </c>
      <c r="S191" s="13" t="n">
        <v>0</v>
      </c>
      <c r="T191" s="13" t="n">
        <f aca="false">S191*F191</f>
        <v>0</v>
      </c>
      <c r="U191" s="13" t="n">
        <v>0</v>
      </c>
      <c r="V191" s="13" t="n">
        <v>0</v>
      </c>
    </row>
    <row r="192" customFormat="false" ht="15.75" hidden="false" customHeight="false" outlineLevel="0" collapsed="false">
      <c r="A192" s="13" t="n">
        <v>0</v>
      </c>
      <c r="B192" s="13" t="str">
        <v/>
      </c>
      <c r="C192" s="13" t="n">
        <v>0</v>
      </c>
      <c r="D192" s="13" t="n">
        <v>0</v>
      </c>
      <c r="E192" s="13" t="str">
        <v/>
      </c>
      <c r="F192" s="13" t="n">
        <v>0</v>
      </c>
      <c r="G192" s="13" t="n">
        <v>0</v>
      </c>
      <c r="H192" s="13" t="n">
        <v>0</v>
      </c>
      <c r="I192" s="13" t="n">
        <v>0</v>
      </c>
      <c r="J192" s="13" t="b">
        <f aca="false">IF(ISBLANK(I192),"", IF($I$2:$I1189 = "Gohar Rehan","Overnight",IF($I$2:$I1189 = "Taufeeq Akhtar ","Overnight",IF($I$2:$I1189 = "Zeeshan Ali Malik","Audit",IF($I$2:$I1189 = "Ali Raza ","Receiving",IF($I$2:$I1189 = "Ali Ahmad","Full-In"))))))</f>
        <v>0</v>
      </c>
      <c r="K192" s="39" t="e">
        <f aca="false">IFERROR(VLOOKUP(D192,'Brand manager data '!A:B,2,0))</f>
        <v>#VALUE!</v>
      </c>
      <c r="L192" s="13" t="n">
        <v>0</v>
      </c>
      <c r="M192" s="13" t="str">
        <v>Yes</v>
      </c>
      <c r="N192" s="22"/>
      <c r="Q192" s="40"/>
      <c r="R192" s="13" t="b">
        <f aca="false">FALSE()</f>
        <v>0</v>
      </c>
      <c r="S192" s="13" t="n">
        <v>0</v>
      </c>
      <c r="T192" s="13" t="n">
        <f aca="false">S192*F192</f>
        <v>0</v>
      </c>
      <c r="U192" s="13" t="n">
        <v>0</v>
      </c>
      <c r="V192" s="13" t="n">
        <v>0</v>
      </c>
    </row>
    <row r="193" customFormat="false" ht="15.75" hidden="false" customHeight="false" outlineLevel="0" collapsed="false">
      <c r="A193" s="13" t="n">
        <v>0</v>
      </c>
      <c r="B193" s="13" t="str">
        <v/>
      </c>
      <c r="C193" s="13" t="n">
        <v>0</v>
      </c>
      <c r="D193" s="13" t="n">
        <v>0</v>
      </c>
      <c r="E193" s="13" t="str">
        <v/>
      </c>
      <c r="F193" s="13" t="n">
        <v>0</v>
      </c>
      <c r="G193" s="13" t="n">
        <v>0</v>
      </c>
      <c r="H193" s="13" t="n">
        <v>0</v>
      </c>
      <c r="I193" s="13" t="n">
        <v>0</v>
      </c>
      <c r="J193" s="13" t="b">
        <f aca="false">IF(ISBLANK(I193),"", IF($I$2:$I1190 = "Gohar Rehan","Overnight",IF($I$2:$I1190 = "Taufeeq Akhtar ","Overnight",IF($I$2:$I1190 = "Zeeshan Ali Malik","Audit",IF($I$2:$I1190 = "Ali Raza ","Receiving",IF($I$2:$I1190 = "Ali Ahmad","Full-In"))))))</f>
        <v>0</v>
      </c>
      <c r="K193" s="39" t="e">
        <f aca="false">IFERROR(VLOOKUP(D193,'Brand manager data '!A:B,2,0))</f>
        <v>#VALUE!</v>
      </c>
      <c r="L193" s="13" t="n">
        <v>0</v>
      </c>
      <c r="M193" s="13" t="str">
        <v>Yes</v>
      </c>
      <c r="N193" s="22"/>
      <c r="Q193" s="40"/>
      <c r="R193" s="13" t="b">
        <f aca="false">FALSE()</f>
        <v>0</v>
      </c>
      <c r="S193" s="13" t="n">
        <v>0</v>
      </c>
      <c r="T193" s="13" t="n">
        <f aca="false">S193*F193</f>
        <v>0</v>
      </c>
      <c r="U193" s="13" t="n">
        <v>0</v>
      </c>
      <c r="V193" s="13" t="n">
        <v>0</v>
      </c>
    </row>
    <row r="194" customFormat="false" ht="15.75" hidden="false" customHeight="false" outlineLevel="0" collapsed="false">
      <c r="A194" s="13" t="n">
        <v>0</v>
      </c>
      <c r="B194" s="13" t="str">
        <v/>
      </c>
      <c r="C194" s="13" t="n">
        <v>0</v>
      </c>
      <c r="D194" s="13" t="n">
        <v>0</v>
      </c>
      <c r="E194" s="13" t="str">
        <v/>
      </c>
      <c r="F194" s="13" t="n">
        <v>0</v>
      </c>
      <c r="G194" s="13" t="n">
        <v>0</v>
      </c>
      <c r="H194" s="13" t="n">
        <v>0</v>
      </c>
      <c r="I194" s="13" t="n">
        <v>0</v>
      </c>
      <c r="J194" s="13" t="b">
        <f aca="false">IF(ISBLANK(I194),"", IF($I$2:$I1191 = "Gohar Rehan","Overnight",IF($I$2:$I1191 = "Taufeeq Akhtar ","Overnight",IF($I$2:$I1191 = "Zeeshan Ali Malik","Audit",IF($I$2:$I1191 = "Ali Raza ","Receiving",IF($I$2:$I1191 = "Ali Ahmad","Full-In"))))))</f>
        <v>0</v>
      </c>
      <c r="K194" s="39" t="e">
        <f aca="false">IFERROR(VLOOKUP(D194,'Brand manager data '!A:B,2,0))</f>
        <v>#VALUE!</v>
      </c>
      <c r="L194" s="13" t="n">
        <v>0</v>
      </c>
      <c r="M194" s="13" t="str">
        <v>Yes</v>
      </c>
      <c r="N194" s="22"/>
      <c r="Q194" s="40"/>
      <c r="R194" s="13" t="b">
        <f aca="false">FALSE()</f>
        <v>0</v>
      </c>
      <c r="S194" s="13" t="n">
        <v>0</v>
      </c>
      <c r="T194" s="13" t="n">
        <f aca="false">S194*F194</f>
        <v>0</v>
      </c>
      <c r="U194" s="13" t="n">
        <v>0</v>
      </c>
      <c r="V194" s="13" t="n">
        <v>0</v>
      </c>
    </row>
    <row r="195" customFormat="false" ht="15.75" hidden="false" customHeight="false" outlineLevel="0" collapsed="false">
      <c r="A195" s="13" t="n">
        <v>0</v>
      </c>
      <c r="B195" s="13" t="str">
        <v/>
      </c>
      <c r="C195" s="13" t="n">
        <v>0</v>
      </c>
      <c r="D195" s="13" t="n">
        <v>0</v>
      </c>
      <c r="E195" s="13" t="str">
        <v/>
      </c>
      <c r="F195" s="13" t="n">
        <v>0</v>
      </c>
      <c r="G195" s="13" t="n">
        <v>0</v>
      </c>
      <c r="H195" s="13" t="n">
        <v>0</v>
      </c>
      <c r="I195" s="13" t="n">
        <v>0</v>
      </c>
      <c r="J195" s="13" t="b">
        <f aca="false">IF(ISBLANK(I195),"", IF($I$2:$I1192 = "Gohar Rehan","Overnight",IF($I$2:$I1192 = "Taufeeq Akhtar ","Overnight",IF($I$2:$I1192 = "Zeeshan Ali Malik","Audit",IF($I$2:$I1192 = "Ali Raza ","Receiving",IF($I$2:$I1192 = "Ali Ahmad","Full-In"))))))</f>
        <v>0</v>
      </c>
      <c r="K195" s="39" t="e">
        <f aca="false">IFERROR(VLOOKUP(D195,'Brand manager data '!A:B,2,0))</f>
        <v>#VALUE!</v>
      </c>
      <c r="L195" s="13" t="n">
        <v>0</v>
      </c>
      <c r="M195" s="13" t="str">
        <v>Yes</v>
      </c>
      <c r="N195" s="22"/>
      <c r="Q195" s="40"/>
      <c r="R195" s="13" t="b">
        <f aca="false">FALSE()</f>
        <v>0</v>
      </c>
      <c r="S195" s="13" t="n">
        <v>0</v>
      </c>
      <c r="T195" s="13" t="n">
        <f aca="false">S195*F195</f>
        <v>0</v>
      </c>
      <c r="U195" s="13" t="n">
        <v>0</v>
      </c>
      <c r="V195" s="13" t="n">
        <v>0</v>
      </c>
    </row>
    <row r="196" customFormat="false" ht="15.75" hidden="false" customHeight="false" outlineLevel="0" collapsed="false">
      <c r="A196" s="13" t="n">
        <v>0</v>
      </c>
      <c r="B196" s="13" t="str">
        <v/>
      </c>
      <c r="C196" s="13" t="n">
        <v>0</v>
      </c>
      <c r="D196" s="13" t="n">
        <v>0</v>
      </c>
      <c r="E196" s="13" t="str">
        <v/>
      </c>
      <c r="F196" s="13" t="n">
        <v>0</v>
      </c>
      <c r="G196" s="13" t="n">
        <v>0</v>
      </c>
      <c r="H196" s="13" t="n">
        <v>0</v>
      </c>
      <c r="I196" s="13" t="n">
        <v>0</v>
      </c>
      <c r="J196" s="13" t="b">
        <f aca="false">IF(ISBLANK(I196),"", IF($I$2:$I1193 = "Gohar Rehan","Overnight",IF($I$2:$I1193 = "Taufeeq Akhtar ","Overnight",IF($I$2:$I1193 = "Zeeshan Ali Malik","Audit",IF($I$2:$I1193 = "Ali Raza ","Receiving",IF($I$2:$I1193 = "Ali Ahmad","Full-In"))))))</f>
        <v>0</v>
      </c>
      <c r="K196" s="39" t="e">
        <f aca="false">IFERROR(VLOOKUP(D196,'Brand manager data '!A:B,2,0))</f>
        <v>#VALUE!</v>
      </c>
      <c r="L196" s="13" t="n">
        <v>0</v>
      </c>
      <c r="M196" s="13" t="str">
        <v>Yes</v>
      </c>
      <c r="N196" s="22"/>
      <c r="Q196" s="40"/>
      <c r="R196" s="13" t="b">
        <f aca="false">FALSE()</f>
        <v>0</v>
      </c>
      <c r="S196" s="13" t="n">
        <v>0</v>
      </c>
      <c r="T196" s="13" t="n">
        <f aca="false">S196*F196</f>
        <v>0</v>
      </c>
      <c r="U196" s="13" t="n">
        <v>0</v>
      </c>
      <c r="V196" s="13" t="n">
        <v>0</v>
      </c>
    </row>
    <row r="197" customFormat="false" ht="15.75" hidden="false" customHeight="false" outlineLevel="0" collapsed="false">
      <c r="A197" s="13" t="n">
        <v>0</v>
      </c>
      <c r="B197" s="13" t="str">
        <v/>
      </c>
      <c r="C197" s="13" t="n">
        <v>0</v>
      </c>
      <c r="D197" s="13" t="n">
        <v>0</v>
      </c>
      <c r="E197" s="13" t="str">
        <v/>
      </c>
      <c r="F197" s="13" t="n">
        <v>0</v>
      </c>
      <c r="G197" s="13" t="n">
        <v>0</v>
      </c>
      <c r="H197" s="13" t="n">
        <v>0</v>
      </c>
      <c r="I197" s="13" t="n">
        <v>0</v>
      </c>
      <c r="J197" s="13" t="b">
        <f aca="false">IF(ISBLANK(I197),"", IF($I$2:$I1194 = "Gohar Rehan","Overnight",IF($I$2:$I1194 = "Taufeeq Akhtar ","Overnight",IF($I$2:$I1194 = "Zeeshan Ali Malik","Audit",IF($I$2:$I1194 = "Ali Raza ","Receiving",IF($I$2:$I1194 = "Ali Ahmad","Full-In"))))))</f>
        <v>0</v>
      </c>
      <c r="K197" s="39" t="e">
        <f aca="false">IFERROR(VLOOKUP(D197,'Brand manager data '!A:B,2,0))</f>
        <v>#VALUE!</v>
      </c>
      <c r="L197" s="13" t="n">
        <v>0</v>
      </c>
      <c r="M197" s="13" t="str">
        <v>Yes</v>
      </c>
      <c r="N197" s="22"/>
      <c r="Q197" s="40"/>
      <c r="R197" s="13" t="b">
        <f aca="false">FALSE()</f>
        <v>0</v>
      </c>
      <c r="S197" s="13" t="n">
        <v>0</v>
      </c>
      <c r="T197" s="13" t="n">
        <f aca="false">S197*F197</f>
        <v>0</v>
      </c>
      <c r="U197" s="13" t="n">
        <v>0</v>
      </c>
      <c r="V197" s="13" t="n">
        <v>0</v>
      </c>
    </row>
    <row r="198" customFormat="false" ht="15.75" hidden="false" customHeight="false" outlineLevel="0" collapsed="false">
      <c r="A198" s="13" t="n">
        <v>0</v>
      </c>
      <c r="B198" s="13" t="str">
        <v/>
      </c>
      <c r="C198" s="13" t="n">
        <v>0</v>
      </c>
      <c r="D198" s="13" t="n">
        <v>0</v>
      </c>
      <c r="E198" s="13" t="str">
        <v/>
      </c>
      <c r="F198" s="13" t="n">
        <v>0</v>
      </c>
      <c r="G198" s="13" t="n">
        <v>0</v>
      </c>
      <c r="H198" s="13" t="n">
        <v>0</v>
      </c>
      <c r="I198" s="13" t="n">
        <v>0</v>
      </c>
      <c r="J198" s="13" t="b">
        <f aca="false">IF(ISBLANK(I198),"", IF($I$2:$I1195 = "Gohar Rehan","Overnight",IF($I$2:$I1195 = "Taufeeq Akhtar ","Overnight",IF($I$2:$I1195 = "Zeeshan Ali Malik","Audit",IF($I$2:$I1195 = "Ali Raza ","Receiving",IF($I$2:$I1195 = "Ali Ahmad","Full-In"))))))</f>
        <v>0</v>
      </c>
      <c r="K198" s="39" t="e">
        <f aca="false">IFERROR(VLOOKUP(D198,'Brand manager data '!A:B,2,0))</f>
        <v>#VALUE!</v>
      </c>
      <c r="L198" s="13" t="n">
        <v>0</v>
      </c>
      <c r="M198" s="13" t="str">
        <v>Yes</v>
      </c>
      <c r="N198" s="22"/>
      <c r="Q198" s="40"/>
      <c r="R198" s="13" t="b">
        <f aca="false">FALSE()</f>
        <v>0</v>
      </c>
      <c r="S198" s="13" t="n">
        <v>0</v>
      </c>
      <c r="T198" s="13" t="n">
        <f aca="false">S198*F198</f>
        <v>0</v>
      </c>
      <c r="U198" s="13" t="n">
        <v>0</v>
      </c>
      <c r="V198" s="13" t="n">
        <v>0</v>
      </c>
    </row>
    <row r="199" customFormat="false" ht="15.75" hidden="false" customHeight="false" outlineLevel="0" collapsed="false">
      <c r="A199" s="13" t="n">
        <v>0</v>
      </c>
      <c r="B199" s="13" t="str">
        <v/>
      </c>
      <c r="C199" s="13" t="n">
        <v>0</v>
      </c>
      <c r="D199" s="13" t="n">
        <v>0</v>
      </c>
      <c r="E199" s="13" t="str">
        <v/>
      </c>
      <c r="F199" s="13" t="n">
        <v>0</v>
      </c>
      <c r="G199" s="13" t="n">
        <v>0</v>
      </c>
      <c r="H199" s="13" t="n">
        <v>0</v>
      </c>
      <c r="I199" s="13" t="n">
        <v>0</v>
      </c>
      <c r="J199" s="13" t="b">
        <f aca="false">IF(ISBLANK(I199),"", IF($I$2:$I1196 = "Gohar Rehan","Overnight",IF($I$2:$I1196 = "Taufeeq Akhtar ","Overnight",IF($I$2:$I1196 = "Zeeshan Ali Malik","Audit",IF($I$2:$I1196 = "Ali Raza ","Receiving",IF($I$2:$I1196 = "Ali Ahmad","Full-In"))))))</f>
        <v>0</v>
      </c>
      <c r="K199" s="39" t="e">
        <f aca="false">IFERROR(VLOOKUP(D199,'Brand manager data '!A:B,2,0))</f>
        <v>#VALUE!</v>
      </c>
      <c r="L199" s="13" t="n">
        <v>0</v>
      </c>
      <c r="M199" s="13" t="str">
        <v>Yes</v>
      </c>
      <c r="N199" s="22"/>
      <c r="Q199" s="40"/>
      <c r="R199" s="13" t="b">
        <f aca="false">FALSE()</f>
        <v>0</v>
      </c>
      <c r="S199" s="13" t="n">
        <v>0</v>
      </c>
      <c r="T199" s="13" t="n">
        <f aca="false">S199*F199</f>
        <v>0</v>
      </c>
      <c r="U199" s="13" t="n">
        <v>0</v>
      </c>
      <c r="V199" s="13" t="n">
        <v>0</v>
      </c>
    </row>
    <row r="200" customFormat="false" ht="15.75" hidden="false" customHeight="false" outlineLevel="0" collapsed="false">
      <c r="A200" s="13" t="n">
        <v>0</v>
      </c>
      <c r="B200" s="13" t="str">
        <v/>
      </c>
      <c r="C200" s="13" t="n">
        <v>0</v>
      </c>
      <c r="D200" s="13" t="n">
        <v>0</v>
      </c>
      <c r="E200" s="13" t="str">
        <v/>
      </c>
      <c r="F200" s="13" t="n">
        <v>0</v>
      </c>
      <c r="G200" s="13" t="n">
        <v>0</v>
      </c>
      <c r="H200" s="13" t="n">
        <v>0</v>
      </c>
      <c r="I200" s="13" t="n">
        <v>0</v>
      </c>
      <c r="J200" s="13" t="b">
        <f aca="false">IF(ISBLANK(I200),"", IF($I$2:$I1197 = "Gohar Rehan","Overnight",IF($I$2:$I1197 = "Taufeeq Akhtar ","Overnight",IF($I$2:$I1197 = "Zeeshan Ali Malik","Audit",IF($I$2:$I1197 = "Ali Raza ","Receiving",IF($I$2:$I1197 = "Ali Ahmad","Full-In"))))))</f>
        <v>0</v>
      </c>
      <c r="K200" s="39" t="e">
        <f aca="false">IFERROR(VLOOKUP(D200,'Brand manager data '!A:B,2,0))</f>
        <v>#VALUE!</v>
      </c>
      <c r="L200" s="13" t="n">
        <v>0</v>
      </c>
      <c r="M200" s="13" t="str">
        <v>Yes</v>
      </c>
      <c r="N200" s="22"/>
      <c r="Q200" s="40"/>
      <c r="R200" s="13" t="b">
        <f aca="false">FALSE()</f>
        <v>0</v>
      </c>
      <c r="S200" s="13" t="n">
        <v>0</v>
      </c>
      <c r="T200" s="13" t="n">
        <f aca="false">S200*F200</f>
        <v>0</v>
      </c>
      <c r="U200" s="13" t="n">
        <v>0</v>
      </c>
      <c r="V200" s="13" t="n">
        <v>0</v>
      </c>
    </row>
    <row r="201" customFormat="false" ht="15.75" hidden="false" customHeight="false" outlineLevel="0" collapsed="false">
      <c r="A201" s="13" t="n">
        <v>0</v>
      </c>
      <c r="B201" s="13" t="str">
        <v/>
      </c>
      <c r="C201" s="13" t="n">
        <v>0</v>
      </c>
      <c r="D201" s="13" t="n">
        <v>0</v>
      </c>
      <c r="E201" s="13" t="str">
        <v/>
      </c>
      <c r="F201" s="13" t="n">
        <v>0</v>
      </c>
      <c r="G201" s="13" t="n">
        <v>0</v>
      </c>
      <c r="H201" s="13" t="n">
        <v>0</v>
      </c>
      <c r="I201" s="13" t="n">
        <v>0</v>
      </c>
      <c r="J201" s="13" t="b">
        <f aca="false">IF(ISBLANK(I201),"", IF($I$2:$I1198 = "Gohar Rehan","Overnight",IF($I$2:$I1198 = "Taufeeq Akhtar ","Overnight",IF($I$2:$I1198 = "Zeeshan Ali Malik","Audit",IF($I$2:$I1198 = "Ali Raza ","Receiving",IF($I$2:$I1198 = "Ali Ahmad","Full-In"))))))</f>
        <v>0</v>
      </c>
      <c r="K201" s="39" t="e">
        <f aca="false">IFERROR(VLOOKUP(D201,'Brand manager data '!A:B,2,0))</f>
        <v>#VALUE!</v>
      </c>
      <c r="L201" s="13" t="n">
        <v>0</v>
      </c>
      <c r="M201" s="13" t="str">
        <v>Yes</v>
      </c>
      <c r="N201" s="22"/>
      <c r="Q201" s="40"/>
      <c r="R201" s="13" t="b">
        <f aca="false">FALSE()</f>
        <v>0</v>
      </c>
      <c r="S201" s="13" t="n">
        <v>0</v>
      </c>
      <c r="T201" s="13" t="n">
        <f aca="false">S201*F201</f>
        <v>0</v>
      </c>
      <c r="U201" s="13" t="n">
        <v>0</v>
      </c>
      <c r="V201" s="13" t="n">
        <v>0</v>
      </c>
    </row>
    <row r="202" customFormat="false" ht="15.75" hidden="false" customHeight="false" outlineLevel="0" collapsed="false">
      <c r="A202" s="13" t="n">
        <v>0</v>
      </c>
      <c r="B202" s="13" t="str">
        <v/>
      </c>
      <c r="C202" s="13" t="n">
        <v>0</v>
      </c>
      <c r="D202" s="13" t="n">
        <v>0</v>
      </c>
      <c r="E202" s="13" t="str">
        <v/>
      </c>
      <c r="F202" s="13" t="n">
        <v>0</v>
      </c>
      <c r="G202" s="13" t="n">
        <v>0</v>
      </c>
      <c r="H202" s="13" t="n">
        <v>0</v>
      </c>
      <c r="I202" s="13" t="n">
        <v>0</v>
      </c>
      <c r="J202" s="13" t="b">
        <f aca="false">IF(ISBLANK(I202),"", IF($I$2:$I1199 = "Gohar Rehan","Overnight",IF($I$2:$I1199 = "Taufeeq Akhtar ","Overnight",IF($I$2:$I1199 = "Zeeshan Ali Malik","Audit",IF($I$2:$I1199 = "Ali Raza ","Receiving",IF($I$2:$I1199 = "Ali Ahmad","Full-In"))))))</f>
        <v>0</v>
      </c>
      <c r="K202" s="39" t="e">
        <f aca="false">IFERROR(VLOOKUP(D202,'Brand manager data '!A:B,2,0))</f>
        <v>#VALUE!</v>
      </c>
      <c r="L202" s="13" t="n">
        <v>0</v>
      </c>
      <c r="M202" s="13" t="str">
        <v>Yes</v>
      </c>
      <c r="N202" s="22"/>
      <c r="Q202" s="40"/>
      <c r="R202" s="13" t="b">
        <f aca="false">FALSE()</f>
        <v>0</v>
      </c>
      <c r="S202" s="13" t="n">
        <v>0</v>
      </c>
      <c r="T202" s="13" t="n">
        <f aca="false">S202*F202</f>
        <v>0</v>
      </c>
      <c r="U202" s="13" t="n">
        <v>0</v>
      </c>
      <c r="V202" s="13" t="n">
        <v>0</v>
      </c>
    </row>
    <row r="203" customFormat="false" ht="15.75" hidden="false" customHeight="false" outlineLevel="0" collapsed="false">
      <c r="A203" s="13" t="n">
        <v>0</v>
      </c>
      <c r="B203" s="13" t="str">
        <v/>
      </c>
      <c r="C203" s="13" t="n">
        <v>0</v>
      </c>
      <c r="D203" s="13" t="n">
        <v>0</v>
      </c>
      <c r="E203" s="13" t="str">
        <v/>
      </c>
      <c r="F203" s="13" t="n">
        <v>0</v>
      </c>
      <c r="G203" s="13" t="n">
        <v>0</v>
      </c>
      <c r="H203" s="13" t="n">
        <v>0</v>
      </c>
      <c r="I203" s="13" t="n">
        <v>0</v>
      </c>
      <c r="J203" s="13" t="b">
        <f aca="false">IF(ISBLANK(I203),"", IF($I$2:$I1200 = "Gohar Rehan","Overnight",IF($I$2:$I1200 = "Taufeeq Akhtar ","Overnight",IF($I$2:$I1200 = "Zeeshan Ali Malik","Audit",IF($I$2:$I1200 = "Ali Raza ","Receiving",IF($I$2:$I1200 = "Ali Ahmad","Full-In"))))))</f>
        <v>0</v>
      </c>
      <c r="K203" s="39" t="e">
        <f aca="false">IFERROR(VLOOKUP(D203,'Brand manager data '!A:B,2,0))</f>
        <v>#VALUE!</v>
      </c>
      <c r="L203" s="13" t="n">
        <v>0</v>
      </c>
      <c r="M203" s="13" t="str">
        <v>Yes</v>
      </c>
      <c r="N203" s="22"/>
      <c r="Q203" s="40"/>
      <c r="R203" s="13" t="b">
        <f aca="false">FALSE()</f>
        <v>0</v>
      </c>
      <c r="S203" s="13" t="n">
        <v>0</v>
      </c>
      <c r="T203" s="13" t="n">
        <f aca="false">S203*F203</f>
        <v>0</v>
      </c>
      <c r="U203" s="13" t="n">
        <v>0</v>
      </c>
      <c r="V203" s="13" t="n">
        <v>0</v>
      </c>
    </row>
    <row r="204" customFormat="false" ht="15.75" hidden="false" customHeight="false" outlineLevel="0" collapsed="false">
      <c r="A204" s="13" t="n">
        <v>0</v>
      </c>
      <c r="B204" s="13" t="str">
        <v/>
      </c>
      <c r="C204" s="13" t="n">
        <v>0</v>
      </c>
      <c r="D204" s="13" t="n">
        <v>0</v>
      </c>
      <c r="E204" s="13" t="str">
        <v/>
      </c>
      <c r="F204" s="13" t="n">
        <v>0</v>
      </c>
      <c r="G204" s="13" t="n">
        <v>0</v>
      </c>
      <c r="H204" s="13" t="n">
        <v>0</v>
      </c>
      <c r="I204" s="13" t="n">
        <v>0</v>
      </c>
      <c r="J204" s="13" t="b">
        <f aca="false">IF(ISBLANK(I204),"", IF($I$2:$I1201 = "Gohar Rehan","Overnight",IF($I$2:$I1201 = "Taufeeq Akhtar ","Overnight",IF($I$2:$I1201 = "Zeeshan Ali Malik","Audit",IF($I$2:$I1201 = "Ali Raza ","Receiving",IF($I$2:$I1201 = "Ali Ahmad","Full-In"))))))</f>
        <v>0</v>
      </c>
      <c r="K204" s="39" t="e">
        <f aca="false">IFERROR(VLOOKUP(D204,'Brand manager data '!A:B,2,0))</f>
        <v>#VALUE!</v>
      </c>
      <c r="L204" s="13" t="n">
        <v>0</v>
      </c>
      <c r="M204" s="13" t="str">
        <v>Yes</v>
      </c>
      <c r="N204" s="22"/>
      <c r="Q204" s="40"/>
      <c r="R204" s="13" t="b">
        <f aca="false">FALSE()</f>
        <v>0</v>
      </c>
      <c r="S204" s="13" t="n">
        <v>0</v>
      </c>
      <c r="T204" s="13" t="n">
        <f aca="false">S204*F204</f>
        <v>0</v>
      </c>
      <c r="U204" s="13" t="n">
        <v>0</v>
      </c>
      <c r="V204" s="13" t="n">
        <v>0</v>
      </c>
    </row>
    <row r="205" customFormat="false" ht="15.75" hidden="false" customHeight="false" outlineLevel="0" collapsed="false">
      <c r="A205" s="13" t="n">
        <v>0</v>
      </c>
      <c r="B205" s="13" t="str">
        <v/>
      </c>
      <c r="C205" s="13" t="n">
        <v>0</v>
      </c>
      <c r="D205" s="13" t="n">
        <v>0</v>
      </c>
      <c r="E205" s="13" t="str">
        <v/>
      </c>
      <c r="F205" s="13" t="n">
        <v>0</v>
      </c>
      <c r="G205" s="13" t="n">
        <v>0</v>
      </c>
      <c r="H205" s="13" t="n">
        <v>0</v>
      </c>
      <c r="I205" s="13" t="n">
        <v>0</v>
      </c>
      <c r="J205" s="13" t="b">
        <f aca="false">IF(ISBLANK(I205),"", IF($I$2:$I1202 = "Gohar Rehan","Overnight",IF($I$2:$I1202 = "Taufeeq Akhtar ","Overnight",IF($I$2:$I1202 = "Zeeshan Ali Malik","Audit",IF($I$2:$I1202 = "Ali Raza ","Receiving",IF($I$2:$I1202 = "Ali Ahmad","Full-In"))))))</f>
        <v>0</v>
      </c>
      <c r="K205" s="39" t="e">
        <f aca="false">IFERROR(VLOOKUP(D205,'Brand manager data '!A:B,2,0))</f>
        <v>#VALUE!</v>
      </c>
      <c r="L205" s="13" t="n">
        <v>0</v>
      </c>
      <c r="M205" s="13" t="str">
        <v>Yes</v>
      </c>
      <c r="N205" s="22"/>
      <c r="Q205" s="40"/>
      <c r="R205" s="13" t="b">
        <f aca="false">FALSE()</f>
        <v>0</v>
      </c>
      <c r="S205" s="13" t="n">
        <v>0</v>
      </c>
      <c r="T205" s="13" t="n">
        <f aca="false">S205*F205</f>
        <v>0</v>
      </c>
      <c r="U205" s="13" t="n">
        <v>0</v>
      </c>
      <c r="V205" s="13" t="n">
        <v>0</v>
      </c>
    </row>
    <row r="206" customFormat="false" ht="15.75" hidden="false" customHeight="false" outlineLevel="0" collapsed="false">
      <c r="A206" s="13" t="n">
        <v>0</v>
      </c>
      <c r="B206" s="13" t="str">
        <v/>
      </c>
      <c r="C206" s="13" t="n">
        <v>0</v>
      </c>
      <c r="D206" s="13" t="n">
        <v>0</v>
      </c>
      <c r="E206" s="13" t="str">
        <v/>
      </c>
      <c r="F206" s="13" t="n">
        <v>0</v>
      </c>
      <c r="G206" s="13" t="n">
        <v>0</v>
      </c>
      <c r="H206" s="13" t="n">
        <v>0</v>
      </c>
      <c r="I206" s="13" t="n">
        <v>0</v>
      </c>
      <c r="J206" s="13" t="b">
        <f aca="false">IF(ISBLANK(I206),"", IF($I$2:$I1203 = "Gohar Rehan","Overnight",IF($I$2:$I1203 = "Taufeeq Akhtar ","Overnight",IF($I$2:$I1203 = "Zeeshan Ali Malik","Audit",IF($I$2:$I1203 = "Ali Raza ","Receiving",IF($I$2:$I1203 = "Ali Ahmad","Full-In"))))))</f>
        <v>0</v>
      </c>
      <c r="K206" s="39" t="e">
        <f aca="false">IFERROR(VLOOKUP(D206,'Brand manager data '!A:B,2,0))</f>
        <v>#VALUE!</v>
      </c>
      <c r="L206" s="13" t="n">
        <v>0</v>
      </c>
      <c r="M206" s="13" t="str">
        <v>Yes</v>
      </c>
      <c r="N206" s="22"/>
      <c r="Q206" s="40"/>
      <c r="R206" s="13" t="b">
        <f aca="false">FALSE()</f>
        <v>0</v>
      </c>
      <c r="S206" s="13" t="n">
        <v>0</v>
      </c>
      <c r="T206" s="13" t="n">
        <f aca="false">S206*F206</f>
        <v>0</v>
      </c>
      <c r="U206" s="13" t="n">
        <v>0</v>
      </c>
      <c r="V206" s="13" t="n">
        <v>0</v>
      </c>
    </row>
    <row r="207" customFormat="false" ht="15.75" hidden="false" customHeight="false" outlineLevel="0" collapsed="false">
      <c r="A207" s="13" t="n">
        <v>0</v>
      </c>
      <c r="B207" s="13" t="str">
        <v/>
      </c>
      <c r="C207" s="13" t="n">
        <v>0</v>
      </c>
      <c r="D207" s="13" t="n">
        <v>0</v>
      </c>
      <c r="E207" s="13" t="str">
        <v/>
      </c>
      <c r="F207" s="13" t="n">
        <v>0</v>
      </c>
      <c r="G207" s="13" t="n">
        <v>0</v>
      </c>
      <c r="H207" s="13" t="n">
        <v>0</v>
      </c>
      <c r="I207" s="13" t="n">
        <v>0</v>
      </c>
      <c r="J207" s="13" t="b">
        <f aca="false">IF(ISBLANK(I207),"", IF($I$2:$I1204 = "Gohar Rehan","Overnight",IF($I$2:$I1204 = "Taufeeq Akhtar ","Overnight",IF($I$2:$I1204 = "Zeeshan Ali Malik","Audit",IF($I$2:$I1204 = "Ali Raza ","Receiving",IF($I$2:$I1204 = "Ali Ahmad","Full-In"))))))</f>
        <v>0</v>
      </c>
      <c r="K207" s="39" t="e">
        <f aca="false">IFERROR(VLOOKUP(D207,'Brand manager data '!A:B,2,0))</f>
        <v>#VALUE!</v>
      </c>
      <c r="L207" s="13" t="n">
        <v>0</v>
      </c>
      <c r="M207" s="13" t="str">
        <v>Yes</v>
      </c>
      <c r="N207" s="22"/>
      <c r="Q207" s="40"/>
      <c r="R207" s="13" t="b">
        <f aca="false">FALSE()</f>
        <v>0</v>
      </c>
      <c r="S207" s="13" t="n">
        <v>0</v>
      </c>
      <c r="T207" s="13" t="n">
        <f aca="false">S207*F207</f>
        <v>0</v>
      </c>
      <c r="U207" s="13" t="n">
        <v>0</v>
      </c>
      <c r="V207" s="13" t="n">
        <v>0</v>
      </c>
    </row>
    <row r="208" customFormat="false" ht="15.75" hidden="false" customHeight="false" outlineLevel="0" collapsed="false">
      <c r="A208" s="13" t="n">
        <v>0</v>
      </c>
      <c r="B208" s="13" t="str">
        <v/>
      </c>
      <c r="C208" s="13" t="n">
        <v>0</v>
      </c>
      <c r="D208" s="13" t="n">
        <v>0</v>
      </c>
      <c r="E208" s="13" t="str">
        <v/>
      </c>
      <c r="F208" s="13" t="n">
        <v>0</v>
      </c>
      <c r="G208" s="13" t="n">
        <v>0</v>
      </c>
      <c r="H208" s="13" t="n">
        <v>0</v>
      </c>
      <c r="I208" s="13" t="n">
        <v>0</v>
      </c>
      <c r="J208" s="13" t="b">
        <f aca="false">IF(ISBLANK(I208),"", IF($I$2:$I1205 = "Gohar Rehan","Overnight",IF($I$2:$I1205 = "Taufeeq Akhtar ","Overnight",IF($I$2:$I1205 = "Zeeshan Ali Malik","Audit",IF($I$2:$I1205 = "Ali Raza ","Receiving",IF($I$2:$I1205 = "Ali Ahmad","Full-In"))))))</f>
        <v>0</v>
      </c>
      <c r="K208" s="39" t="e">
        <f aca="false">IFERROR(VLOOKUP(D208,'Brand manager data '!A:B,2,0))</f>
        <v>#VALUE!</v>
      </c>
      <c r="L208" s="13" t="n">
        <v>0</v>
      </c>
      <c r="M208" s="13" t="str">
        <v>Yes</v>
      </c>
      <c r="N208" s="22"/>
      <c r="Q208" s="40"/>
      <c r="R208" s="13" t="b">
        <f aca="false">FALSE()</f>
        <v>0</v>
      </c>
      <c r="S208" s="13" t="n">
        <v>0</v>
      </c>
      <c r="T208" s="13" t="n">
        <f aca="false">S208*F208</f>
        <v>0</v>
      </c>
      <c r="U208" s="13" t="n">
        <v>0</v>
      </c>
      <c r="V208" s="13" t="n">
        <v>0</v>
      </c>
    </row>
    <row r="209" customFormat="false" ht="15.75" hidden="false" customHeight="false" outlineLevel="0" collapsed="false">
      <c r="A209" s="13" t="n">
        <v>0</v>
      </c>
      <c r="B209" s="13" t="str">
        <v/>
      </c>
      <c r="C209" s="13" t="n">
        <v>0</v>
      </c>
      <c r="D209" s="13" t="n">
        <v>0</v>
      </c>
      <c r="E209" s="13" t="str">
        <v/>
      </c>
      <c r="F209" s="13" t="n">
        <v>0</v>
      </c>
      <c r="G209" s="13" t="n">
        <v>0</v>
      </c>
      <c r="H209" s="13" t="n">
        <v>0</v>
      </c>
      <c r="I209" s="13" t="n">
        <v>0</v>
      </c>
      <c r="J209" s="13" t="b">
        <f aca="false">IF(ISBLANK(I209),"", IF($I$2:$I1206 = "Gohar Rehan","Overnight",IF($I$2:$I1206 = "Taufeeq Akhtar ","Overnight",IF($I$2:$I1206 = "Zeeshan Ali Malik","Audit",IF($I$2:$I1206 = "Ali Raza ","Receiving",IF($I$2:$I1206 = "Ali Ahmad","Full-In"))))))</f>
        <v>0</v>
      </c>
      <c r="K209" s="39" t="e">
        <f aca="false">IFERROR(VLOOKUP(D209,'Brand manager data '!A:B,2,0))</f>
        <v>#VALUE!</v>
      </c>
      <c r="L209" s="13" t="n">
        <v>0</v>
      </c>
      <c r="M209" s="13" t="str">
        <v>Yes</v>
      </c>
      <c r="N209" s="22"/>
      <c r="Q209" s="40"/>
      <c r="R209" s="13" t="b">
        <f aca="false">FALSE()</f>
        <v>0</v>
      </c>
      <c r="S209" s="13" t="n">
        <v>0</v>
      </c>
      <c r="T209" s="13" t="n">
        <f aca="false">S209*F209</f>
        <v>0</v>
      </c>
      <c r="U209" s="13" t="n">
        <v>0</v>
      </c>
      <c r="V209" s="13" t="n">
        <v>0</v>
      </c>
    </row>
    <row r="210" customFormat="false" ht="15.75" hidden="false" customHeight="false" outlineLevel="0" collapsed="false">
      <c r="A210" s="13" t="n">
        <v>0</v>
      </c>
      <c r="B210" s="13" t="str">
        <v/>
      </c>
      <c r="C210" s="13" t="n">
        <v>0</v>
      </c>
      <c r="D210" s="13" t="n">
        <v>0</v>
      </c>
      <c r="E210" s="13" t="str">
        <v/>
      </c>
      <c r="F210" s="13" t="n">
        <v>0</v>
      </c>
      <c r="G210" s="13" t="n">
        <v>0</v>
      </c>
      <c r="H210" s="13" t="n">
        <v>0</v>
      </c>
      <c r="I210" s="13" t="n">
        <v>0</v>
      </c>
      <c r="J210" s="13" t="b">
        <f aca="false">IF(ISBLANK(I210),"", IF($I$2:$I1207 = "Gohar Rehan","Overnight",IF($I$2:$I1207 = "Taufeeq Akhtar ","Overnight",IF($I$2:$I1207 = "Zeeshan Ali Malik","Audit",IF($I$2:$I1207 = "Ali Raza ","Receiving",IF($I$2:$I1207 = "Ali Ahmad","Full-In"))))))</f>
        <v>0</v>
      </c>
      <c r="K210" s="39" t="e">
        <f aca="false">IFERROR(VLOOKUP(D210,'Brand manager data '!A:B,2,0))</f>
        <v>#VALUE!</v>
      </c>
      <c r="L210" s="13" t="n">
        <v>0</v>
      </c>
      <c r="M210" s="13" t="str">
        <v>Yes</v>
      </c>
      <c r="N210" s="22"/>
      <c r="Q210" s="40"/>
      <c r="R210" s="13" t="b">
        <f aca="false">FALSE()</f>
        <v>0</v>
      </c>
      <c r="S210" s="13" t="n">
        <v>0</v>
      </c>
      <c r="T210" s="13" t="n">
        <f aca="false">S210*F210</f>
        <v>0</v>
      </c>
      <c r="U210" s="13" t="n">
        <v>0</v>
      </c>
      <c r="V210" s="13" t="n">
        <v>0</v>
      </c>
    </row>
    <row r="211" customFormat="false" ht="15.75" hidden="false" customHeight="false" outlineLevel="0" collapsed="false">
      <c r="A211" s="13" t="n">
        <v>0</v>
      </c>
      <c r="B211" s="13" t="str">
        <v/>
      </c>
      <c r="C211" s="13" t="n">
        <v>0</v>
      </c>
      <c r="D211" s="13" t="n">
        <v>0</v>
      </c>
      <c r="E211" s="13" t="str">
        <v/>
      </c>
      <c r="F211" s="13" t="n">
        <v>0</v>
      </c>
      <c r="G211" s="13" t="n">
        <v>0</v>
      </c>
      <c r="H211" s="13" t="n">
        <v>0</v>
      </c>
      <c r="I211" s="13" t="n">
        <v>0</v>
      </c>
      <c r="J211" s="13" t="b">
        <f aca="false">IF(ISBLANK(I211),"", IF($I$2:$I1208 = "Gohar Rehan","Overnight",IF($I$2:$I1208 = "Taufeeq Akhtar ","Overnight",IF($I$2:$I1208 = "Zeeshan Ali Malik","Audit",IF($I$2:$I1208 = "Ali Raza ","Receiving",IF($I$2:$I1208 = "Ali Ahmad","Full-In"))))))</f>
        <v>0</v>
      </c>
      <c r="K211" s="39" t="e">
        <f aca="false">IFERROR(VLOOKUP(D211,'Brand manager data '!A:B,2,0))</f>
        <v>#VALUE!</v>
      </c>
      <c r="L211" s="13" t="n">
        <v>0</v>
      </c>
      <c r="M211" s="13" t="str">
        <v>Yes</v>
      </c>
      <c r="N211" s="22"/>
      <c r="Q211" s="40"/>
      <c r="R211" s="13" t="b">
        <f aca="false">FALSE()</f>
        <v>0</v>
      </c>
      <c r="S211" s="13" t="n">
        <v>0</v>
      </c>
      <c r="T211" s="13" t="n">
        <f aca="false">S211*F211</f>
        <v>0</v>
      </c>
      <c r="U211" s="13" t="n">
        <v>0</v>
      </c>
      <c r="V211" s="13" t="n">
        <v>0</v>
      </c>
    </row>
    <row r="212" customFormat="false" ht="15.75" hidden="false" customHeight="false" outlineLevel="0" collapsed="false">
      <c r="A212" s="13" t="n">
        <v>0</v>
      </c>
      <c r="B212" s="13" t="str">
        <v/>
      </c>
      <c r="C212" s="13" t="n">
        <v>0</v>
      </c>
      <c r="D212" s="13" t="n">
        <v>0</v>
      </c>
      <c r="E212" s="13" t="str">
        <v/>
      </c>
      <c r="F212" s="13" t="n">
        <v>0</v>
      </c>
      <c r="G212" s="13" t="n">
        <v>0</v>
      </c>
      <c r="H212" s="13" t="n">
        <v>0</v>
      </c>
      <c r="I212" s="13" t="n">
        <v>0</v>
      </c>
      <c r="J212" s="13" t="b">
        <f aca="false">IF(ISBLANK(I212),"", IF($I$2:$I1209 = "Gohar Rehan","Overnight",IF($I$2:$I1209 = "Taufeeq Akhtar ","Overnight",IF($I$2:$I1209 = "Zeeshan Ali Malik","Audit",IF($I$2:$I1209 = "Ali Raza ","Receiving",IF($I$2:$I1209 = "Ali Ahmad","Full-In"))))))</f>
        <v>0</v>
      </c>
      <c r="K212" s="39" t="e">
        <f aca="false">IFERROR(VLOOKUP(D212,'Brand manager data '!A:B,2,0))</f>
        <v>#VALUE!</v>
      </c>
      <c r="L212" s="13" t="n">
        <v>0</v>
      </c>
      <c r="M212" s="13" t="str">
        <v>Yes</v>
      </c>
      <c r="N212" s="22"/>
      <c r="Q212" s="40"/>
      <c r="R212" s="13" t="b">
        <f aca="false">FALSE()</f>
        <v>0</v>
      </c>
      <c r="S212" s="13" t="n">
        <v>0</v>
      </c>
      <c r="T212" s="13" t="n">
        <f aca="false">S212*F212</f>
        <v>0</v>
      </c>
      <c r="U212" s="13" t="n">
        <v>0</v>
      </c>
      <c r="V212" s="13" t="n">
        <v>0</v>
      </c>
    </row>
    <row r="213" customFormat="false" ht="15.75" hidden="false" customHeight="false" outlineLevel="0" collapsed="false">
      <c r="A213" s="13" t="n">
        <v>0</v>
      </c>
      <c r="B213" s="13" t="str">
        <v/>
      </c>
      <c r="C213" s="13" t="n">
        <v>0</v>
      </c>
      <c r="D213" s="13" t="n">
        <v>0</v>
      </c>
      <c r="E213" s="13" t="str">
        <v/>
      </c>
      <c r="F213" s="13" t="n">
        <v>0</v>
      </c>
      <c r="G213" s="13" t="n">
        <v>0</v>
      </c>
      <c r="H213" s="13" t="n">
        <v>0</v>
      </c>
      <c r="I213" s="13" t="n">
        <v>0</v>
      </c>
      <c r="J213" s="13" t="b">
        <f aca="false">IF(ISBLANK(I213),"", IF($I$2:$I1210 = "Gohar Rehan","Overnight",IF($I$2:$I1210 = "Taufeeq Akhtar ","Overnight",IF($I$2:$I1210 = "Zeeshan Ali Malik","Audit",IF($I$2:$I1210 = "Ali Raza ","Receiving",IF($I$2:$I1210 = "Ali Ahmad","Full-In"))))))</f>
        <v>0</v>
      </c>
      <c r="K213" s="39" t="e">
        <f aca="false">IFERROR(VLOOKUP(D213,'Brand manager data '!A:B,2,0))</f>
        <v>#VALUE!</v>
      </c>
      <c r="L213" s="13" t="n">
        <v>0</v>
      </c>
      <c r="M213" s="13" t="str">
        <v>Yes</v>
      </c>
      <c r="N213" s="22"/>
      <c r="Q213" s="40"/>
      <c r="R213" s="13" t="b">
        <f aca="false">FALSE()</f>
        <v>0</v>
      </c>
      <c r="S213" s="13" t="n">
        <v>0</v>
      </c>
      <c r="T213" s="13" t="n">
        <f aca="false">S213*F213</f>
        <v>0</v>
      </c>
      <c r="U213" s="13" t="n">
        <v>0</v>
      </c>
      <c r="V213" s="13" t="n">
        <v>0</v>
      </c>
    </row>
    <row r="214" customFormat="false" ht="15.75" hidden="false" customHeight="false" outlineLevel="0" collapsed="false">
      <c r="A214" s="13" t="n">
        <v>0</v>
      </c>
      <c r="B214" s="13" t="str">
        <v/>
      </c>
      <c r="C214" s="13" t="n">
        <v>0</v>
      </c>
      <c r="D214" s="13" t="n">
        <v>0</v>
      </c>
      <c r="E214" s="13" t="str">
        <v/>
      </c>
      <c r="F214" s="13" t="n">
        <v>0</v>
      </c>
      <c r="G214" s="13" t="n">
        <v>0</v>
      </c>
      <c r="H214" s="13" t="n">
        <v>0</v>
      </c>
      <c r="I214" s="13" t="n">
        <v>0</v>
      </c>
      <c r="J214" s="13" t="b">
        <f aca="false">IF(ISBLANK(I214),"", IF($I$2:$I1211 = "Gohar Rehan","Overnight",IF($I$2:$I1211 = "Taufeeq Akhtar ","Overnight",IF($I$2:$I1211 = "Zeeshan Ali Malik","Audit",IF($I$2:$I1211 = "Ali Raza ","Receiving",IF($I$2:$I1211 = "Ali Ahmad","Full-In"))))))</f>
        <v>0</v>
      </c>
      <c r="K214" s="39" t="e">
        <f aca="false">IFERROR(VLOOKUP(D214,'Brand manager data '!A:B,2,0))</f>
        <v>#VALUE!</v>
      </c>
      <c r="L214" s="13" t="n">
        <v>0</v>
      </c>
      <c r="M214" s="13" t="str">
        <v>Yes</v>
      </c>
      <c r="N214" s="22"/>
      <c r="Q214" s="40"/>
      <c r="R214" s="13" t="b">
        <f aca="false">FALSE()</f>
        <v>0</v>
      </c>
      <c r="S214" s="13" t="n">
        <v>0</v>
      </c>
      <c r="T214" s="13" t="n">
        <f aca="false">S214*F214</f>
        <v>0</v>
      </c>
      <c r="U214" s="13" t="n">
        <v>0</v>
      </c>
      <c r="V214" s="13" t="n">
        <v>0</v>
      </c>
    </row>
    <row r="215" customFormat="false" ht="15.75" hidden="false" customHeight="false" outlineLevel="0" collapsed="false">
      <c r="A215" s="13" t="n">
        <v>0</v>
      </c>
      <c r="B215" s="13" t="str">
        <v/>
      </c>
      <c r="C215" s="13" t="n">
        <v>0</v>
      </c>
      <c r="D215" s="13" t="n">
        <v>0</v>
      </c>
      <c r="E215" s="13" t="str">
        <v/>
      </c>
      <c r="F215" s="13" t="n">
        <v>0</v>
      </c>
      <c r="G215" s="13" t="n">
        <v>0</v>
      </c>
      <c r="H215" s="13" t="n">
        <v>0</v>
      </c>
      <c r="I215" s="13" t="n">
        <v>0</v>
      </c>
      <c r="J215" s="13" t="b">
        <f aca="false">IF(ISBLANK(I215),"", IF($I$2:$I1212 = "Gohar Rehan","Overnight",IF($I$2:$I1212 = "Taufeeq Akhtar ","Overnight",IF($I$2:$I1212 = "Zeeshan Ali Malik","Audit",IF($I$2:$I1212 = "Ali Raza ","Receiving",IF($I$2:$I1212 = "Ali Ahmad","Full-In"))))))</f>
        <v>0</v>
      </c>
      <c r="K215" s="39" t="e">
        <f aca="false">IFERROR(VLOOKUP(D215,'Brand manager data '!A:B,2,0))</f>
        <v>#VALUE!</v>
      </c>
      <c r="L215" s="13" t="n">
        <v>0</v>
      </c>
      <c r="M215" s="13" t="str">
        <v>Yes</v>
      </c>
      <c r="N215" s="22"/>
      <c r="Q215" s="40"/>
      <c r="R215" s="13" t="b">
        <f aca="false">FALSE()</f>
        <v>0</v>
      </c>
      <c r="S215" s="13" t="n">
        <v>0</v>
      </c>
      <c r="T215" s="13" t="n">
        <f aca="false">S215*F215</f>
        <v>0</v>
      </c>
      <c r="U215" s="13" t="n">
        <v>0</v>
      </c>
      <c r="V215" s="13" t="n">
        <v>0</v>
      </c>
    </row>
    <row r="216" customFormat="false" ht="15.75" hidden="false" customHeight="false" outlineLevel="0" collapsed="false">
      <c r="A216" s="13" t="n">
        <v>0</v>
      </c>
      <c r="B216" s="13" t="str">
        <v/>
      </c>
      <c r="C216" s="13" t="n">
        <v>0</v>
      </c>
      <c r="D216" s="13" t="n">
        <v>0</v>
      </c>
      <c r="E216" s="13" t="str">
        <v/>
      </c>
      <c r="F216" s="13" t="n">
        <v>0</v>
      </c>
      <c r="G216" s="13" t="n">
        <v>0</v>
      </c>
      <c r="H216" s="13" t="n">
        <v>0</v>
      </c>
      <c r="I216" s="13" t="n">
        <v>0</v>
      </c>
      <c r="J216" s="13" t="b">
        <f aca="false">IF(ISBLANK(I216),"", IF($I$2:$I1213 = "Gohar Rehan","Overnight",IF($I$2:$I1213 = "Taufeeq Akhtar ","Overnight",IF($I$2:$I1213 = "Zeeshan Ali Malik","Audit",IF($I$2:$I1213 = "Ali Raza ","Receiving",IF($I$2:$I1213 = "Ali Ahmad","Full-In"))))))</f>
        <v>0</v>
      </c>
      <c r="K216" s="39" t="e">
        <f aca="false">IFERROR(VLOOKUP(D216,'Brand manager data '!A:B,2,0))</f>
        <v>#VALUE!</v>
      </c>
      <c r="L216" s="13" t="n">
        <v>0</v>
      </c>
      <c r="M216" s="13" t="str">
        <v>Yes</v>
      </c>
      <c r="N216" s="22"/>
      <c r="Q216" s="40"/>
      <c r="R216" s="13" t="b">
        <f aca="false">FALSE()</f>
        <v>0</v>
      </c>
      <c r="S216" s="13" t="n">
        <v>0</v>
      </c>
      <c r="T216" s="13" t="n">
        <f aca="false">S216*F216</f>
        <v>0</v>
      </c>
      <c r="U216" s="13" t="n">
        <v>0</v>
      </c>
      <c r="V216" s="13" t="n">
        <v>0</v>
      </c>
    </row>
    <row r="217" customFormat="false" ht="15.75" hidden="false" customHeight="false" outlineLevel="0" collapsed="false">
      <c r="A217" s="13" t="n">
        <v>0</v>
      </c>
      <c r="B217" s="13" t="str">
        <v/>
      </c>
      <c r="C217" s="13" t="n">
        <v>0</v>
      </c>
      <c r="D217" s="13" t="n">
        <v>0</v>
      </c>
      <c r="E217" s="13" t="str">
        <v/>
      </c>
      <c r="F217" s="13" t="n">
        <v>0</v>
      </c>
      <c r="G217" s="13" t="n">
        <v>0</v>
      </c>
      <c r="H217" s="13" t="n">
        <v>0</v>
      </c>
      <c r="I217" s="13" t="n">
        <v>0</v>
      </c>
      <c r="J217" s="13" t="b">
        <f aca="false">IF(ISBLANK(I217),"", IF($I$2:$I1214 = "Gohar Rehan","Overnight",IF($I$2:$I1214 = "Taufeeq Akhtar ","Overnight",IF($I$2:$I1214 = "Zeeshan Ali Malik","Audit",IF($I$2:$I1214 = "Ali Raza ","Receiving",IF($I$2:$I1214 = "Ali Ahmad","Full-In"))))))</f>
        <v>0</v>
      </c>
      <c r="K217" s="39" t="e">
        <f aca="false">IFERROR(VLOOKUP(D217,'Brand manager data '!A:B,2,0))</f>
        <v>#VALUE!</v>
      </c>
      <c r="L217" s="13" t="n">
        <v>0</v>
      </c>
      <c r="M217" s="13" t="str">
        <v>Yes</v>
      </c>
      <c r="N217" s="22"/>
      <c r="Q217" s="40"/>
      <c r="R217" s="13" t="b">
        <f aca="false">FALSE()</f>
        <v>0</v>
      </c>
      <c r="S217" s="13" t="n">
        <v>0</v>
      </c>
      <c r="T217" s="13" t="n">
        <f aca="false">S217*F217</f>
        <v>0</v>
      </c>
      <c r="U217" s="13" t="n">
        <v>0</v>
      </c>
      <c r="V217" s="13" t="n">
        <v>0</v>
      </c>
    </row>
    <row r="218" customFormat="false" ht="15.75" hidden="false" customHeight="false" outlineLevel="0" collapsed="false">
      <c r="A218" s="13" t="n">
        <v>0</v>
      </c>
      <c r="B218" s="13" t="str">
        <v/>
      </c>
      <c r="C218" s="13" t="n">
        <v>0</v>
      </c>
      <c r="D218" s="13" t="n">
        <v>0</v>
      </c>
      <c r="E218" s="13" t="str">
        <v/>
      </c>
      <c r="F218" s="13" t="n">
        <v>0</v>
      </c>
      <c r="G218" s="13" t="n">
        <v>0</v>
      </c>
      <c r="H218" s="13" t="n">
        <v>0</v>
      </c>
      <c r="I218" s="13" t="n">
        <v>0</v>
      </c>
      <c r="J218" s="13" t="b">
        <f aca="false">IF(ISBLANK(I218),"", IF($I$2:$I1215 = "Gohar Rehan","Overnight",IF($I$2:$I1215 = "Taufeeq Akhtar ","Overnight",IF($I$2:$I1215 = "Zeeshan Ali Malik","Audit",IF($I$2:$I1215 = "Ali Raza ","Receiving",IF($I$2:$I1215 = "Ali Ahmad","Full-In"))))))</f>
        <v>0</v>
      </c>
      <c r="K218" s="39" t="e">
        <f aca="false">IFERROR(VLOOKUP(D218,'Brand manager data '!A:B,2,0))</f>
        <v>#VALUE!</v>
      </c>
      <c r="L218" s="13" t="n">
        <v>0</v>
      </c>
      <c r="M218" s="13" t="str">
        <v>Yes</v>
      </c>
      <c r="N218" s="22"/>
      <c r="Q218" s="40"/>
      <c r="R218" s="13" t="b">
        <f aca="false">FALSE()</f>
        <v>0</v>
      </c>
      <c r="S218" s="13" t="n">
        <v>0</v>
      </c>
      <c r="T218" s="13" t="n">
        <f aca="false">S218*F218</f>
        <v>0</v>
      </c>
      <c r="U218" s="13" t="n">
        <v>0</v>
      </c>
      <c r="V218" s="13" t="n">
        <v>0</v>
      </c>
    </row>
    <row r="219" customFormat="false" ht="15.75" hidden="false" customHeight="false" outlineLevel="0" collapsed="false">
      <c r="A219" s="13" t="n">
        <v>0</v>
      </c>
      <c r="B219" s="13" t="str">
        <v/>
      </c>
      <c r="C219" s="13" t="n">
        <v>0</v>
      </c>
      <c r="D219" s="13" t="n">
        <v>0</v>
      </c>
      <c r="E219" s="13" t="str">
        <v/>
      </c>
      <c r="F219" s="13" t="n">
        <v>0</v>
      </c>
      <c r="G219" s="13" t="n">
        <v>0</v>
      </c>
      <c r="H219" s="13" t="n">
        <v>0</v>
      </c>
      <c r="I219" s="13" t="n">
        <v>0</v>
      </c>
      <c r="J219" s="13" t="b">
        <f aca="false">IF(ISBLANK(I219),"", IF($I$2:$I1216 = "Gohar Rehan","Overnight",IF($I$2:$I1216 = "Taufeeq Akhtar ","Overnight",IF($I$2:$I1216 = "Zeeshan Ali Malik","Audit",IF($I$2:$I1216 = "Ali Raza ","Receiving",IF($I$2:$I1216 = "Ali Ahmad","Full-In"))))))</f>
        <v>0</v>
      </c>
      <c r="K219" s="39" t="e">
        <f aca="false">IFERROR(VLOOKUP(D219,'Brand manager data '!A:B,2,0))</f>
        <v>#VALUE!</v>
      </c>
      <c r="L219" s="13" t="n">
        <v>0</v>
      </c>
      <c r="M219" s="13" t="str">
        <v>Yes</v>
      </c>
      <c r="N219" s="22"/>
      <c r="Q219" s="40"/>
      <c r="R219" s="13" t="b">
        <f aca="false">FALSE()</f>
        <v>0</v>
      </c>
      <c r="S219" s="13" t="n">
        <v>0</v>
      </c>
      <c r="T219" s="13" t="n">
        <f aca="false">S219*F219</f>
        <v>0</v>
      </c>
      <c r="U219" s="13" t="n">
        <v>0</v>
      </c>
      <c r="V219" s="13" t="n">
        <v>0</v>
      </c>
    </row>
    <row r="220" customFormat="false" ht="15.75" hidden="false" customHeight="false" outlineLevel="0" collapsed="false">
      <c r="A220" s="13" t="n">
        <v>0</v>
      </c>
      <c r="B220" s="13" t="str">
        <v/>
      </c>
      <c r="C220" s="13" t="n">
        <v>0</v>
      </c>
      <c r="D220" s="13" t="n">
        <v>0</v>
      </c>
      <c r="E220" s="13" t="str">
        <v/>
      </c>
      <c r="F220" s="13" t="n">
        <v>0</v>
      </c>
      <c r="G220" s="13" t="n">
        <v>0</v>
      </c>
      <c r="H220" s="13" t="n">
        <v>0</v>
      </c>
      <c r="I220" s="13" t="n">
        <v>0</v>
      </c>
      <c r="J220" s="13" t="b">
        <f aca="false">IF(ISBLANK(I220),"", IF($I$2:$I1217 = "Gohar Rehan","Overnight",IF($I$2:$I1217 = "Taufeeq Akhtar ","Overnight",IF($I$2:$I1217 = "Zeeshan Ali Malik","Audit",IF($I$2:$I1217 = "Ali Raza ","Receiving",IF($I$2:$I1217 = "Ali Ahmad","Full-In"))))))</f>
        <v>0</v>
      </c>
      <c r="K220" s="39" t="e">
        <f aca="false">IFERROR(VLOOKUP(D220,'Brand manager data '!A:B,2,0))</f>
        <v>#VALUE!</v>
      </c>
      <c r="L220" s="13" t="n">
        <v>0</v>
      </c>
      <c r="M220" s="13" t="str">
        <v>Yes</v>
      </c>
      <c r="N220" s="22"/>
      <c r="Q220" s="40"/>
      <c r="R220" s="13" t="b">
        <f aca="false">FALSE()</f>
        <v>0</v>
      </c>
      <c r="S220" s="13" t="n">
        <v>0</v>
      </c>
      <c r="T220" s="13" t="n">
        <f aca="false">S220*F220</f>
        <v>0</v>
      </c>
      <c r="U220" s="13" t="n">
        <v>0</v>
      </c>
      <c r="V220" s="13" t="n">
        <v>0</v>
      </c>
    </row>
    <row r="221" customFormat="false" ht="15.75" hidden="false" customHeight="false" outlineLevel="0" collapsed="false">
      <c r="A221" s="13" t="n">
        <v>0</v>
      </c>
      <c r="B221" s="13" t="str">
        <v/>
      </c>
      <c r="C221" s="13" t="n">
        <v>0</v>
      </c>
      <c r="D221" s="13" t="n">
        <v>0</v>
      </c>
      <c r="E221" s="13" t="str">
        <v/>
      </c>
      <c r="F221" s="13" t="n">
        <v>0</v>
      </c>
      <c r="G221" s="13" t="n">
        <v>0</v>
      </c>
      <c r="H221" s="13" t="n">
        <v>0</v>
      </c>
      <c r="I221" s="13" t="n">
        <v>0</v>
      </c>
      <c r="J221" s="13" t="b">
        <f aca="false">IF(ISBLANK(I221),"", IF($I$2:$I1218 = "Gohar Rehan","Overnight",IF($I$2:$I1218 = "Taufeeq Akhtar ","Overnight",IF($I$2:$I1218 = "Zeeshan Ali Malik","Audit",IF($I$2:$I1218 = "Ali Raza ","Receiving",IF($I$2:$I1218 = "Ali Ahmad","Full-In"))))))</f>
        <v>0</v>
      </c>
      <c r="K221" s="39" t="e">
        <f aca="false">IFERROR(VLOOKUP(D221,'Brand manager data '!A:B,2,0))</f>
        <v>#VALUE!</v>
      </c>
      <c r="L221" s="13" t="n">
        <v>0</v>
      </c>
      <c r="M221" s="13" t="str">
        <v>Yes</v>
      </c>
      <c r="N221" s="22"/>
      <c r="Q221" s="40"/>
      <c r="R221" s="13" t="b">
        <f aca="false">FALSE()</f>
        <v>0</v>
      </c>
      <c r="S221" s="13" t="n">
        <v>0</v>
      </c>
      <c r="T221" s="13" t="n">
        <f aca="false">S221*F221</f>
        <v>0</v>
      </c>
      <c r="U221" s="13" t="n">
        <v>0</v>
      </c>
      <c r="V221" s="13" t="n">
        <v>0</v>
      </c>
    </row>
    <row r="222" customFormat="false" ht="15.75" hidden="false" customHeight="false" outlineLevel="0" collapsed="false">
      <c r="A222" s="13" t="n">
        <v>0</v>
      </c>
      <c r="B222" s="13" t="str">
        <v/>
      </c>
      <c r="C222" s="13" t="n">
        <v>0</v>
      </c>
      <c r="D222" s="13" t="n">
        <v>0</v>
      </c>
      <c r="E222" s="13" t="str">
        <v/>
      </c>
      <c r="F222" s="13" t="n">
        <v>0</v>
      </c>
      <c r="G222" s="13" t="n">
        <v>0</v>
      </c>
      <c r="H222" s="13" t="n">
        <v>0</v>
      </c>
      <c r="I222" s="13" t="n">
        <v>0</v>
      </c>
      <c r="J222" s="13" t="b">
        <f aca="false">IF(ISBLANK(I222),"", IF($I$2:$I1219 = "Gohar Rehan","Overnight",IF($I$2:$I1219 = "Taufeeq Akhtar ","Overnight",IF($I$2:$I1219 = "Zeeshan Ali Malik","Audit",IF($I$2:$I1219 = "Ali Raza ","Receiving",IF($I$2:$I1219 = "Ali Ahmad","Full-In"))))))</f>
        <v>0</v>
      </c>
      <c r="K222" s="39" t="e">
        <f aca="false">IFERROR(VLOOKUP(D222,'Brand manager data '!A:B,2,0))</f>
        <v>#VALUE!</v>
      </c>
      <c r="L222" s="13" t="n">
        <v>0</v>
      </c>
      <c r="M222" s="13" t="str">
        <v>Yes</v>
      </c>
      <c r="N222" s="22"/>
      <c r="Q222" s="40"/>
      <c r="R222" s="13" t="b">
        <f aca="false">FALSE()</f>
        <v>0</v>
      </c>
      <c r="S222" s="13" t="n">
        <v>0</v>
      </c>
      <c r="T222" s="13" t="n">
        <f aca="false">S222*F222</f>
        <v>0</v>
      </c>
      <c r="U222" s="13" t="n">
        <v>0</v>
      </c>
      <c r="V222" s="13" t="n">
        <v>0</v>
      </c>
    </row>
    <row r="223" customFormat="false" ht="15.75" hidden="false" customHeight="false" outlineLevel="0" collapsed="false">
      <c r="A223" s="13" t="n">
        <v>0</v>
      </c>
      <c r="B223" s="13" t="str">
        <v/>
      </c>
      <c r="C223" s="13" t="n">
        <v>0</v>
      </c>
      <c r="D223" s="13" t="n">
        <v>0</v>
      </c>
      <c r="E223" s="13" t="str">
        <v/>
      </c>
      <c r="F223" s="13" t="n">
        <v>0</v>
      </c>
      <c r="G223" s="13" t="n">
        <v>0</v>
      </c>
      <c r="H223" s="13" t="n">
        <v>0</v>
      </c>
      <c r="I223" s="13" t="n">
        <v>0</v>
      </c>
      <c r="J223" s="13" t="b">
        <f aca="false">IF(ISBLANK(I223),"", IF($I$2:$I1220 = "Gohar Rehan","Overnight",IF($I$2:$I1220 = "Taufeeq Akhtar ","Overnight",IF($I$2:$I1220 = "Zeeshan Ali Malik","Audit",IF($I$2:$I1220 = "Ali Raza ","Receiving",IF($I$2:$I1220 = "Ali Ahmad","Full-In"))))))</f>
        <v>0</v>
      </c>
      <c r="K223" s="39" t="e">
        <f aca="false">IFERROR(VLOOKUP(D223,'Brand manager data '!A:B,2,0))</f>
        <v>#VALUE!</v>
      </c>
      <c r="L223" s="13" t="n">
        <v>0</v>
      </c>
      <c r="M223" s="13" t="str">
        <v>Yes</v>
      </c>
      <c r="N223" s="22"/>
      <c r="Q223" s="40"/>
      <c r="R223" s="13" t="b">
        <f aca="false">FALSE()</f>
        <v>0</v>
      </c>
      <c r="S223" s="13" t="n">
        <v>0</v>
      </c>
      <c r="T223" s="13" t="n">
        <f aca="false">S223*F223</f>
        <v>0</v>
      </c>
      <c r="U223" s="13" t="n">
        <v>0</v>
      </c>
      <c r="V223" s="13" t="n">
        <v>0</v>
      </c>
    </row>
    <row r="224" customFormat="false" ht="15.75" hidden="false" customHeight="false" outlineLevel="0" collapsed="false">
      <c r="A224" s="13" t="n">
        <v>0</v>
      </c>
      <c r="B224" s="13" t="str">
        <v/>
      </c>
      <c r="C224" s="13" t="n">
        <v>0</v>
      </c>
      <c r="D224" s="13" t="n">
        <v>0</v>
      </c>
      <c r="E224" s="13" t="str">
        <v/>
      </c>
      <c r="F224" s="13" t="n">
        <v>0</v>
      </c>
      <c r="G224" s="13" t="n">
        <v>0</v>
      </c>
      <c r="H224" s="13" t="n">
        <v>0</v>
      </c>
      <c r="I224" s="13" t="n">
        <v>0</v>
      </c>
      <c r="J224" s="13" t="b">
        <f aca="false">IF(ISBLANK(I224),"", IF($I$2:$I1221 = "Gohar Rehan","Overnight",IF($I$2:$I1221 = "Taufeeq Akhtar ","Overnight",IF($I$2:$I1221 = "Zeeshan Ali Malik","Audit",IF($I$2:$I1221 = "Ali Raza ","Receiving",IF($I$2:$I1221 = "Ali Ahmad","Full-In"))))))</f>
        <v>0</v>
      </c>
      <c r="K224" s="39" t="e">
        <f aca="false">IFERROR(VLOOKUP(D224,'Brand manager data '!A:B,2,0))</f>
        <v>#VALUE!</v>
      </c>
      <c r="L224" s="13" t="n">
        <v>0</v>
      </c>
      <c r="M224" s="13" t="str">
        <v>Yes</v>
      </c>
      <c r="N224" s="22"/>
      <c r="Q224" s="40"/>
      <c r="R224" s="13" t="b">
        <f aca="false">FALSE()</f>
        <v>0</v>
      </c>
      <c r="S224" s="13" t="n">
        <v>0</v>
      </c>
      <c r="T224" s="13" t="n">
        <f aca="false">S224*F224</f>
        <v>0</v>
      </c>
      <c r="U224" s="13" t="n">
        <v>0</v>
      </c>
      <c r="V224" s="13" t="n">
        <v>0</v>
      </c>
    </row>
    <row r="225" customFormat="false" ht="15.75" hidden="false" customHeight="false" outlineLevel="0" collapsed="false">
      <c r="A225" s="13" t="n">
        <v>0</v>
      </c>
      <c r="B225" s="13" t="str">
        <v/>
      </c>
      <c r="C225" s="13" t="n">
        <v>0</v>
      </c>
      <c r="D225" s="13" t="n">
        <v>0</v>
      </c>
      <c r="E225" s="13" t="str">
        <v/>
      </c>
      <c r="F225" s="13" t="n">
        <v>0</v>
      </c>
      <c r="G225" s="13" t="n">
        <v>0</v>
      </c>
      <c r="H225" s="13" t="n">
        <v>0</v>
      </c>
      <c r="I225" s="13" t="n">
        <v>0</v>
      </c>
      <c r="J225" s="13" t="b">
        <f aca="false">IF(ISBLANK(I225),"", IF($I$2:$I1222 = "Gohar Rehan","Overnight",IF($I$2:$I1222 = "Taufeeq Akhtar ","Overnight",IF($I$2:$I1222 = "Zeeshan Ali Malik","Audit",IF($I$2:$I1222 = "Ali Raza ","Receiving",IF($I$2:$I1222 = "Ali Ahmad","Full-In"))))))</f>
        <v>0</v>
      </c>
      <c r="K225" s="39" t="e">
        <f aca="false">IFERROR(VLOOKUP(D225,'Brand manager data '!A:B,2,0))</f>
        <v>#VALUE!</v>
      </c>
      <c r="L225" s="13" t="n">
        <v>0</v>
      </c>
      <c r="M225" s="13" t="str">
        <v>Yes</v>
      </c>
      <c r="N225" s="22"/>
      <c r="Q225" s="40"/>
      <c r="R225" s="13" t="b">
        <f aca="false">FALSE()</f>
        <v>0</v>
      </c>
      <c r="S225" s="13" t="n">
        <v>0</v>
      </c>
      <c r="T225" s="13" t="n">
        <f aca="false">S225*F225</f>
        <v>0</v>
      </c>
      <c r="U225" s="13" t="n">
        <v>0</v>
      </c>
      <c r="V225" s="13" t="n">
        <v>0</v>
      </c>
    </row>
    <row r="226" customFormat="false" ht="15.75" hidden="false" customHeight="false" outlineLevel="0" collapsed="false">
      <c r="A226" s="13" t="n">
        <v>0</v>
      </c>
      <c r="B226" s="13" t="str">
        <v/>
      </c>
      <c r="C226" s="13" t="n">
        <v>0</v>
      </c>
      <c r="D226" s="13" t="n">
        <v>0</v>
      </c>
      <c r="E226" s="13" t="str">
        <v/>
      </c>
      <c r="F226" s="13" t="n">
        <v>0</v>
      </c>
      <c r="G226" s="13" t="n">
        <v>0</v>
      </c>
      <c r="H226" s="13" t="n">
        <v>0</v>
      </c>
      <c r="I226" s="13" t="n">
        <v>0</v>
      </c>
      <c r="J226" s="13" t="b">
        <f aca="false">IF(ISBLANK(I226),"", IF($I$2:$I1223 = "Gohar Rehan","Overnight",IF($I$2:$I1223 = "Taufeeq Akhtar ","Overnight",IF($I$2:$I1223 = "Zeeshan Ali Malik","Audit",IF($I$2:$I1223 = "Ali Raza ","Receiving",IF($I$2:$I1223 = "Ali Ahmad","Full-In"))))))</f>
        <v>0</v>
      </c>
      <c r="K226" s="39" t="e">
        <f aca="false">IFERROR(VLOOKUP(D226,'Brand manager data '!A:B,2,0))</f>
        <v>#VALUE!</v>
      </c>
      <c r="L226" s="13" t="n">
        <v>0</v>
      </c>
      <c r="M226" s="13" t="str">
        <v>Yes</v>
      </c>
      <c r="N226" s="22"/>
      <c r="Q226" s="40"/>
      <c r="R226" s="13" t="b">
        <f aca="false">FALSE()</f>
        <v>0</v>
      </c>
      <c r="S226" s="13" t="n">
        <v>0</v>
      </c>
      <c r="T226" s="13" t="n">
        <f aca="false">S226*F226</f>
        <v>0</v>
      </c>
      <c r="U226" s="13" t="n">
        <v>0</v>
      </c>
      <c r="V226" s="13" t="n">
        <v>0</v>
      </c>
    </row>
    <row r="227" customFormat="false" ht="15.75" hidden="false" customHeight="false" outlineLevel="0" collapsed="false">
      <c r="A227" s="13" t="n">
        <v>0</v>
      </c>
      <c r="B227" s="13" t="str">
        <v/>
      </c>
      <c r="C227" s="13" t="n">
        <v>0</v>
      </c>
      <c r="D227" s="13" t="n">
        <v>0</v>
      </c>
      <c r="E227" s="13" t="str">
        <v/>
      </c>
      <c r="F227" s="13" t="n">
        <v>0</v>
      </c>
      <c r="G227" s="13" t="n">
        <v>0</v>
      </c>
      <c r="H227" s="13" t="n">
        <v>0</v>
      </c>
      <c r="I227" s="13" t="n">
        <v>0</v>
      </c>
      <c r="J227" s="13" t="b">
        <f aca="false">IF(ISBLANK(I227),"", IF($I$2:$I1224 = "Gohar Rehan","Overnight",IF($I$2:$I1224 = "Taufeeq Akhtar ","Overnight",IF($I$2:$I1224 = "Zeeshan Ali Malik","Audit",IF($I$2:$I1224 = "Ali Raza ","Receiving",IF($I$2:$I1224 = "Ali Ahmad","Full-In"))))))</f>
        <v>0</v>
      </c>
      <c r="K227" s="39" t="e">
        <f aca="false">IFERROR(VLOOKUP(D227,'Brand manager data '!A:B,2,0))</f>
        <v>#VALUE!</v>
      </c>
      <c r="L227" s="13" t="n">
        <v>0</v>
      </c>
      <c r="M227" s="13" t="str">
        <v>Yes</v>
      </c>
      <c r="N227" s="22"/>
      <c r="Q227" s="40"/>
      <c r="R227" s="13" t="b">
        <f aca="false">FALSE()</f>
        <v>0</v>
      </c>
      <c r="S227" s="13" t="n">
        <v>0</v>
      </c>
      <c r="T227" s="13" t="n">
        <f aca="false">S227*F227</f>
        <v>0</v>
      </c>
      <c r="U227" s="13" t="n">
        <v>0</v>
      </c>
      <c r="V227" s="13" t="n">
        <v>0</v>
      </c>
    </row>
    <row r="228" customFormat="false" ht="15.75" hidden="false" customHeight="false" outlineLevel="0" collapsed="false">
      <c r="A228" s="13" t="n">
        <v>0</v>
      </c>
      <c r="B228" s="13" t="str">
        <v/>
      </c>
      <c r="C228" s="13" t="n">
        <v>0</v>
      </c>
      <c r="D228" s="13" t="n">
        <v>0</v>
      </c>
      <c r="E228" s="13" t="str">
        <v/>
      </c>
      <c r="F228" s="13" t="n">
        <v>0</v>
      </c>
      <c r="G228" s="13" t="n">
        <v>0</v>
      </c>
      <c r="H228" s="13" t="n">
        <v>0</v>
      </c>
      <c r="I228" s="13" t="n">
        <v>0</v>
      </c>
      <c r="J228" s="13" t="b">
        <f aca="false">IF(ISBLANK(I228),"", IF($I$2:$I1225 = "Gohar Rehan","Overnight",IF($I$2:$I1225 = "Taufeeq Akhtar ","Overnight",IF($I$2:$I1225 = "Zeeshan Ali Malik","Audit",IF($I$2:$I1225 = "Ali Raza ","Receiving",IF($I$2:$I1225 = "Ali Ahmad","Full-In"))))))</f>
        <v>0</v>
      </c>
      <c r="K228" s="39" t="e">
        <f aca="false">IFERROR(VLOOKUP(D228,'Brand manager data '!A:B,2,0))</f>
        <v>#VALUE!</v>
      </c>
      <c r="L228" s="13" t="n">
        <v>0</v>
      </c>
      <c r="M228" s="13" t="str">
        <v>Yes</v>
      </c>
      <c r="N228" s="22"/>
      <c r="Q228" s="40"/>
      <c r="R228" s="13" t="b">
        <f aca="false">FALSE()</f>
        <v>0</v>
      </c>
      <c r="S228" s="13" t="n">
        <v>0</v>
      </c>
      <c r="T228" s="13" t="n">
        <f aca="false">S228*F228</f>
        <v>0</v>
      </c>
      <c r="U228" s="13" t="n">
        <v>0</v>
      </c>
      <c r="V228" s="13" t="n">
        <v>0</v>
      </c>
    </row>
    <row r="229" customFormat="false" ht="15.75" hidden="false" customHeight="false" outlineLevel="0" collapsed="false">
      <c r="A229" s="13" t="n">
        <v>0</v>
      </c>
      <c r="B229" s="13" t="str">
        <v/>
      </c>
      <c r="C229" s="13" t="n">
        <v>0</v>
      </c>
      <c r="D229" s="13" t="n">
        <v>0</v>
      </c>
      <c r="E229" s="13" t="str">
        <v/>
      </c>
      <c r="F229" s="13" t="n">
        <v>0</v>
      </c>
      <c r="G229" s="13" t="n">
        <v>0</v>
      </c>
      <c r="H229" s="13" t="n">
        <v>0</v>
      </c>
      <c r="I229" s="13" t="n">
        <v>0</v>
      </c>
      <c r="J229" s="13" t="b">
        <f aca="false">IF(ISBLANK(I229),"", IF($I$2:$I1226 = "Gohar Rehan","Overnight",IF($I$2:$I1226 = "Taufeeq Akhtar ","Overnight",IF($I$2:$I1226 = "Zeeshan Ali Malik","Audit",IF($I$2:$I1226 = "Ali Raza ","Receiving",IF($I$2:$I1226 = "Ali Ahmad","Full-In"))))))</f>
        <v>0</v>
      </c>
      <c r="K229" s="39" t="e">
        <f aca="false">IFERROR(VLOOKUP(D229,'Brand manager data '!A:B,2,0))</f>
        <v>#VALUE!</v>
      </c>
      <c r="L229" s="13" t="n">
        <v>0</v>
      </c>
      <c r="M229" s="13" t="str">
        <v>Yes</v>
      </c>
      <c r="N229" s="22"/>
      <c r="Q229" s="40"/>
      <c r="R229" s="13" t="b">
        <f aca="false">FALSE()</f>
        <v>0</v>
      </c>
      <c r="S229" s="13" t="n">
        <v>0</v>
      </c>
      <c r="T229" s="13" t="n">
        <f aca="false">S229*F229</f>
        <v>0</v>
      </c>
      <c r="U229" s="13" t="n">
        <v>0</v>
      </c>
      <c r="V229" s="13" t="n">
        <v>0</v>
      </c>
    </row>
    <row r="230" customFormat="false" ht="15.75" hidden="false" customHeight="false" outlineLevel="0" collapsed="false">
      <c r="A230" s="13" t="n">
        <v>0</v>
      </c>
      <c r="B230" s="13" t="str">
        <v/>
      </c>
      <c r="C230" s="13" t="n">
        <v>0</v>
      </c>
      <c r="D230" s="13" t="n">
        <v>0</v>
      </c>
      <c r="E230" s="13" t="str">
        <v/>
      </c>
      <c r="F230" s="13" t="n">
        <v>0</v>
      </c>
      <c r="G230" s="13" t="n">
        <v>0</v>
      </c>
      <c r="H230" s="13" t="n">
        <v>0</v>
      </c>
      <c r="I230" s="13" t="n">
        <v>0</v>
      </c>
      <c r="J230" s="13" t="b">
        <f aca="false">IF(ISBLANK(I230),"", IF($I$2:$I1227 = "Gohar Rehan","Overnight",IF($I$2:$I1227 = "Taufeeq Akhtar ","Overnight",IF($I$2:$I1227 = "Zeeshan Ali Malik","Audit",IF($I$2:$I1227 = "Ali Raza ","Receiving",IF($I$2:$I1227 = "Ali Ahmad","Full-In"))))))</f>
        <v>0</v>
      </c>
      <c r="K230" s="39" t="e">
        <f aca="false">IFERROR(VLOOKUP(D230,'Brand manager data '!A:B,2,0))</f>
        <v>#VALUE!</v>
      </c>
      <c r="L230" s="13" t="n">
        <v>0</v>
      </c>
      <c r="M230" s="13" t="str">
        <v>Yes</v>
      </c>
      <c r="N230" s="22"/>
      <c r="Q230" s="40"/>
      <c r="R230" s="13" t="b">
        <f aca="false">FALSE()</f>
        <v>0</v>
      </c>
      <c r="S230" s="13" t="n">
        <v>0</v>
      </c>
      <c r="T230" s="13" t="n">
        <f aca="false">S230*F230</f>
        <v>0</v>
      </c>
      <c r="U230" s="13" t="n">
        <v>0</v>
      </c>
      <c r="V230" s="13" t="n">
        <v>0</v>
      </c>
    </row>
    <row r="231" customFormat="false" ht="15.75" hidden="false" customHeight="false" outlineLevel="0" collapsed="false">
      <c r="A231" s="13" t="n">
        <v>0</v>
      </c>
      <c r="B231" s="13" t="str">
        <v/>
      </c>
      <c r="C231" s="13" t="n">
        <v>0</v>
      </c>
      <c r="D231" s="13" t="n">
        <v>0</v>
      </c>
      <c r="E231" s="13" t="str">
        <v/>
      </c>
      <c r="F231" s="13" t="n">
        <v>0</v>
      </c>
      <c r="G231" s="13" t="n">
        <v>0</v>
      </c>
      <c r="H231" s="13" t="n">
        <v>0</v>
      </c>
      <c r="I231" s="13" t="n">
        <v>0</v>
      </c>
      <c r="J231" s="13" t="b">
        <f aca="false">IF(ISBLANK(I231),"", IF($I$2:$I1228 = "Gohar Rehan","Overnight",IF($I$2:$I1228 = "Taufeeq Akhtar ","Overnight",IF($I$2:$I1228 = "Zeeshan Ali Malik","Audit",IF($I$2:$I1228 = "Ali Raza ","Receiving",IF($I$2:$I1228 = "Ali Ahmad","Full-In"))))))</f>
        <v>0</v>
      </c>
      <c r="K231" s="39" t="e">
        <f aca="false">IFERROR(VLOOKUP(D231,'Brand manager data '!A:B,2,0))</f>
        <v>#VALUE!</v>
      </c>
      <c r="L231" s="13" t="n">
        <v>0</v>
      </c>
      <c r="M231" s="13" t="str">
        <v>Yes</v>
      </c>
      <c r="N231" s="22"/>
      <c r="Q231" s="40"/>
      <c r="R231" s="13" t="b">
        <f aca="false">FALSE()</f>
        <v>0</v>
      </c>
      <c r="S231" s="13" t="n">
        <v>0</v>
      </c>
      <c r="T231" s="13" t="n">
        <f aca="false">S231*F231</f>
        <v>0</v>
      </c>
      <c r="U231" s="13" t="n">
        <v>0</v>
      </c>
      <c r="V231" s="13" t="n">
        <v>0</v>
      </c>
    </row>
    <row r="232" customFormat="false" ht="15.75" hidden="false" customHeight="false" outlineLevel="0" collapsed="false">
      <c r="A232" s="13" t="n">
        <v>0</v>
      </c>
      <c r="B232" s="13" t="str">
        <v/>
      </c>
      <c r="C232" s="13" t="n">
        <v>0</v>
      </c>
      <c r="D232" s="13" t="n">
        <v>0</v>
      </c>
      <c r="E232" s="13" t="str">
        <v/>
      </c>
      <c r="F232" s="13" t="n">
        <v>0</v>
      </c>
      <c r="G232" s="13" t="n">
        <v>0</v>
      </c>
      <c r="H232" s="13" t="n">
        <v>0</v>
      </c>
      <c r="I232" s="13" t="n">
        <v>0</v>
      </c>
      <c r="J232" s="13" t="b">
        <f aca="false">IF(ISBLANK(I232),"", IF($I$2:$I1229 = "Gohar Rehan","Overnight",IF($I$2:$I1229 = "Taufeeq Akhtar ","Overnight",IF($I$2:$I1229 = "Zeeshan Ali Malik","Audit",IF($I$2:$I1229 = "Ali Raza ","Receiving",IF($I$2:$I1229 = "Ali Ahmad","Full-In"))))))</f>
        <v>0</v>
      </c>
      <c r="K232" s="39" t="e">
        <f aca="false">IFERROR(VLOOKUP(D232,'Brand manager data '!A:B,2,0))</f>
        <v>#VALUE!</v>
      </c>
      <c r="L232" s="13" t="n">
        <v>0</v>
      </c>
      <c r="M232" s="13" t="str">
        <v>Yes</v>
      </c>
      <c r="N232" s="22"/>
      <c r="Q232" s="40"/>
      <c r="R232" s="13" t="b">
        <f aca="false">FALSE()</f>
        <v>0</v>
      </c>
      <c r="S232" s="13" t="n">
        <v>0</v>
      </c>
      <c r="T232" s="13" t="n">
        <f aca="false">S232*F232</f>
        <v>0</v>
      </c>
      <c r="U232" s="13" t="n">
        <v>0</v>
      </c>
      <c r="V232" s="13" t="n">
        <v>0</v>
      </c>
    </row>
    <row r="233" customFormat="false" ht="15.75" hidden="false" customHeight="false" outlineLevel="0" collapsed="false">
      <c r="A233" s="13" t="n">
        <v>0</v>
      </c>
      <c r="B233" s="13" t="str">
        <v/>
      </c>
      <c r="C233" s="13" t="n">
        <v>0</v>
      </c>
      <c r="D233" s="13" t="n">
        <v>0</v>
      </c>
      <c r="E233" s="13" t="str">
        <v/>
      </c>
      <c r="F233" s="13" t="n">
        <v>0</v>
      </c>
      <c r="G233" s="13" t="n">
        <v>0</v>
      </c>
      <c r="H233" s="13" t="n">
        <v>0</v>
      </c>
      <c r="I233" s="13" t="n">
        <v>0</v>
      </c>
      <c r="J233" s="13" t="b">
        <f aca="false">IF(ISBLANK(I233),"", IF($I$2:$I1230 = "Gohar Rehan","Overnight",IF($I$2:$I1230 = "Taufeeq Akhtar ","Overnight",IF($I$2:$I1230 = "Zeeshan Ali Malik","Audit",IF($I$2:$I1230 = "Ali Raza ","Receiving",IF($I$2:$I1230 = "Ali Ahmad","Full-In"))))))</f>
        <v>0</v>
      </c>
      <c r="K233" s="39" t="e">
        <f aca="false">IFERROR(VLOOKUP(D233,'Brand manager data '!A:B,2,0))</f>
        <v>#VALUE!</v>
      </c>
      <c r="L233" s="13" t="n">
        <v>0</v>
      </c>
      <c r="M233" s="13" t="str">
        <v>Yes</v>
      </c>
      <c r="N233" s="22"/>
      <c r="Q233" s="40"/>
      <c r="R233" s="13" t="b">
        <f aca="false">FALSE()</f>
        <v>0</v>
      </c>
      <c r="S233" s="13" t="n">
        <v>0</v>
      </c>
      <c r="T233" s="13" t="n">
        <f aca="false">S233*F233</f>
        <v>0</v>
      </c>
      <c r="U233" s="13" t="n">
        <v>0</v>
      </c>
      <c r="V233" s="13" t="n">
        <v>0</v>
      </c>
    </row>
    <row r="234" customFormat="false" ht="15.75" hidden="false" customHeight="false" outlineLevel="0" collapsed="false">
      <c r="A234" s="13" t="n">
        <v>0</v>
      </c>
      <c r="B234" s="13" t="str">
        <v/>
      </c>
      <c r="C234" s="13" t="n">
        <v>0</v>
      </c>
      <c r="D234" s="13" t="n">
        <v>0</v>
      </c>
      <c r="E234" s="13" t="str">
        <v/>
      </c>
      <c r="F234" s="13" t="n">
        <v>0</v>
      </c>
      <c r="G234" s="13" t="n">
        <v>0</v>
      </c>
      <c r="H234" s="13" t="n">
        <v>0</v>
      </c>
      <c r="I234" s="13" t="n">
        <v>0</v>
      </c>
      <c r="J234" s="13" t="b">
        <f aca="false">IF(ISBLANK(I234),"", IF($I$2:$I1231 = "Gohar Rehan","Overnight",IF($I$2:$I1231 = "Taufeeq Akhtar ","Overnight",IF($I$2:$I1231 = "Zeeshan Ali Malik","Audit",IF($I$2:$I1231 = "Ali Raza ","Receiving",IF($I$2:$I1231 = "Ali Ahmad","Full-In"))))))</f>
        <v>0</v>
      </c>
      <c r="K234" s="39" t="e">
        <f aca="false">IFERROR(VLOOKUP(D234,'Brand manager data '!A:B,2,0))</f>
        <v>#VALUE!</v>
      </c>
      <c r="L234" s="13" t="n">
        <v>0</v>
      </c>
      <c r="M234" s="13" t="str">
        <v>Yes</v>
      </c>
      <c r="N234" s="22"/>
      <c r="Q234" s="40"/>
      <c r="R234" s="13" t="b">
        <f aca="false">FALSE()</f>
        <v>0</v>
      </c>
      <c r="S234" s="13" t="n">
        <v>0</v>
      </c>
      <c r="T234" s="13" t="n">
        <f aca="false">S234*F234</f>
        <v>0</v>
      </c>
      <c r="U234" s="13" t="n">
        <v>0</v>
      </c>
      <c r="V234" s="13" t="n">
        <v>0</v>
      </c>
    </row>
    <row r="235" customFormat="false" ht="15.75" hidden="false" customHeight="false" outlineLevel="0" collapsed="false">
      <c r="A235" s="13" t="n">
        <v>0</v>
      </c>
      <c r="B235" s="13" t="str">
        <v/>
      </c>
      <c r="C235" s="13" t="n">
        <v>0</v>
      </c>
      <c r="D235" s="13" t="n">
        <v>0</v>
      </c>
      <c r="E235" s="13" t="str">
        <v/>
      </c>
      <c r="F235" s="13" t="n">
        <v>0</v>
      </c>
      <c r="G235" s="13" t="n">
        <v>0</v>
      </c>
      <c r="H235" s="13" t="n">
        <v>0</v>
      </c>
      <c r="I235" s="13" t="n">
        <v>0</v>
      </c>
      <c r="J235" s="13" t="b">
        <f aca="false">IF(ISBLANK(I235),"", IF($I$2:$I1232 = "Gohar Rehan","Overnight",IF($I$2:$I1232 = "Taufeeq Akhtar ","Overnight",IF($I$2:$I1232 = "Zeeshan Ali Malik","Audit",IF($I$2:$I1232 = "Ali Raza ","Receiving",IF($I$2:$I1232 = "Ali Ahmad","Full-In"))))))</f>
        <v>0</v>
      </c>
      <c r="K235" s="39" t="e">
        <f aca="false">IFERROR(VLOOKUP(D235,'Brand manager data '!A:B,2,0))</f>
        <v>#VALUE!</v>
      </c>
      <c r="L235" s="13" t="n">
        <v>0</v>
      </c>
      <c r="M235" s="13" t="str">
        <v>Yes</v>
      </c>
      <c r="N235" s="22"/>
      <c r="Q235" s="40"/>
      <c r="R235" s="13" t="b">
        <f aca="false">FALSE()</f>
        <v>0</v>
      </c>
      <c r="S235" s="13" t="n">
        <v>0</v>
      </c>
      <c r="T235" s="13" t="n">
        <f aca="false">S235*F235</f>
        <v>0</v>
      </c>
      <c r="U235" s="13" t="n">
        <v>0</v>
      </c>
      <c r="V235" s="13" t="n">
        <v>0</v>
      </c>
    </row>
    <row r="236" customFormat="false" ht="15.75" hidden="false" customHeight="false" outlineLevel="0" collapsed="false">
      <c r="A236" s="13" t="n">
        <v>0</v>
      </c>
      <c r="B236" s="13" t="str">
        <v/>
      </c>
      <c r="C236" s="13" t="n">
        <v>0</v>
      </c>
      <c r="D236" s="13" t="n">
        <v>0</v>
      </c>
      <c r="E236" s="13" t="str">
        <v/>
      </c>
      <c r="F236" s="13" t="n">
        <v>0</v>
      </c>
      <c r="G236" s="13" t="n">
        <v>0</v>
      </c>
      <c r="H236" s="13" t="n">
        <v>0</v>
      </c>
      <c r="I236" s="13" t="n">
        <v>0</v>
      </c>
      <c r="J236" s="13" t="b">
        <f aca="false">IF(ISBLANK(I236),"", IF($I$2:$I1233 = "Gohar Rehan","Overnight",IF($I$2:$I1233 = "Taufeeq Akhtar ","Overnight",IF($I$2:$I1233 = "Zeeshan Ali Malik","Audit",IF($I$2:$I1233 = "Ali Raza ","Receiving",IF($I$2:$I1233 = "Ali Ahmad","Full-In"))))))</f>
        <v>0</v>
      </c>
      <c r="K236" s="39" t="e">
        <f aca="false">IFERROR(VLOOKUP(D236,'Brand manager data '!A:B,2,0))</f>
        <v>#VALUE!</v>
      </c>
      <c r="L236" s="13" t="n">
        <v>0</v>
      </c>
      <c r="M236" s="13" t="str">
        <v>Yes</v>
      </c>
      <c r="N236" s="22"/>
      <c r="Q236" s="40"/>
      <c r="R236" s="13" t="b">
        <f aca="false">FALSE()</f>
        <v>0</v>
      </c>
      <c r="S236" s="13" t="n">
        <v>0</v>
      </c>
      <c r="T236" s="13" t="n">
        <f aca="false">S236*F236</f>
        <v>0</v>
      </c>
      <c r="U236" s="13" t="n">
        <v>0</v>
      </c>
      <c r="V236" s="13" t="n">
        <v>0</v>
      </c>
    </row>
    <row r="237" customFormat="false" ht="15.75" hidden="false" customHeight="false" outlineLevel="0" collapsed="false">
      <c r="A237" s="13" t="n">
        <v>0</v>
      </c>
      <c r="B237" s="13" t="str">
        <v/>
      </c>
      <c r="C237" s="13" t="n">
        <v>0</v>
      </c>
      <c r="D237" s="13" t="n">
        <v>0</v>
      </c>
      <c r="E237" s="13" t="str">
        <v/>
      </c>
      <c r="F237" s="13" t="n">
        <v>0</v>
      </c>
      <c r="G237" s="13" t="n">
        <v>0</v>
      </c>
      <c r="H237" s="13" t="n">
        <v>0</v>
      </c>
      <c r="I237" s="13" t="n">
        <v>0</v>
      </c>
      <c r="J237" s="13" t="b">
        <f aca="false">IF(ISBLANK(I237),"", IF($I$2:$I1234 = "Gohar Rehan","Overnight",IF($I$2:$I1234 = "Taufeeq Akhtar ","Overnight",IF($I$2:$I1234 = "Zeeshan Ali Malik","Audit",IF($I$2:$I1234 = "Ali Raza ","Receiving",IF($I$2:$I1234 = "Ali Ahmad","Full-In"))))))</f>
        <v>0</v>
      </c>
      <c r="K237" s="39" t="e">
        <f aca="false">IFERROR(VLOOKUP(D237,'Brand manager data '!A:B,2,0))</f>
        <v>#VALUE!</v>
      </c>
      <c r="L237" s="13" t="n">
        <v>0</v>
      </c>
      <c r="M237" s="13" t="str">
        <v>Yes</v>
      </c>
      <c r="N237" s="22"/>
      <c r="Q237" s="40"/>
      <c r="R237" s="13" t="b">
        <f aca="false">FALSE()</f>
        <v>0</v>
      </c>
      <c r="S237" s="13" t="n">
        <v>0</v>
      </c>
      <c r="T237" s="13" t="n">
        <f aca="false">S237*F237</f>
        <v>0</v>
      </c>
      <c r="U237" s="13" t="n">
        <v>0</v>
      </c>
      <c r="V237" s="13" t="n">
        <v>0</v>
      </c>
    </row>
    <row r="238" customFormat="false" ht="15.75" hidden="false" customHeight="false" outlineLevel="0" collapsed="false">
      <c r="A238" s="13" t="n">
        <v>0</v>
      </c>
      <c r="B238" s="13" t="str">
        <v/>
      </c>
      <c r="C238" s="13" t="n">
        <v>0</v>
      </c>
      <c r="D238" s="13" t="n">
        <v>0</v>
      </c>
      <c r="E238" s="13" t="str">
        <v/>
      </c>
      <c r="F238" s="13" t="n">
        <v>0</v>
      </c>
      <c r="G238" s="13" t="n">
        <v>0</v>
      </c>
      <c r="H238" s="13" t="n">
        <v>0</v>
      </c>
      <c r="I238" s="13" t="n">
        <v>0</v>
      </c>
      <c r="J238" s="13" t="b">
        <f aca="false">IF(ISBLANK(I238),"", IF($I$2:$I1235 = "Gohar Rehan","Overnight",IF($I$2:$I1235 = "Taufeeq Akhtar ","Overnight",IF($I$2:$I1235 = "Zeeshan Ali Malik","Audit",IF($I$2:$I1235 = "Ali Raza ","Receiving",IF($I$2:$I1235 = "Ali Ahmad","Full-In"))))))</f>
        <v>0</v>
      </c>
      <c r="K238" s="39" t="e">
        <f aca="false">IFERROR(VLOOKUP(D238,'Brand manager data '!A:B,2,0))</f>
        <v>#VALUE!</v>
      </c>
      <c r="L238" s="13" t="n">
        <v>0</v>
      </c>
      <c r="M238" s="13" t="str">
        <v>Yes</v>
      </c>
      <c r="N238" s="22"/>
      <c r="Q238" s="40"/>
      <c r="R238" s="13" t="b">
        <f aca="false">FALSE()</f>
        <v>0</v>
      </c>
      <c r="S238" s="13" t="n">
        <v>0</v>
      </c>
      <c r="T238" s="13" t="n">
        <f aca="false">S238*F238</f>
        <v>0</v>
      </c>
      <c r="U238" s="13" t="n">
        <v>0</v>
      </c>
      <c r="V238" s="13" t="n">
        <v>0</v>
      </c>
    </row>
    <row r="239" customFormat="false" ht="15.75" hidden="false" customHeight="false" outlineLevel="0" collapsed="false">
      <c r="A239" s="13" t="n">
        <v>0</v>
      </c>
      <c r="B239" s="13" t="str">
        <v/>
      </c>
      <c r="C239" s="13" t="n">
        <v>0</v>
      </c>
      <c r="D239" s="13" t="n">
        <v>0</v>
      </c>
      <c r="E239" s="13" t="str">
        <v/>
      </c>
      <c r="F239" s="13" t="n">
        <v>0</v>
      </c>
      <c r="G239" s="13" t="n">
        <v>0</v>
      </c>
      <c r="H239" s="13" t="n">
        <v>0</v>
      </c>
      <c r="I239" s="13" t="n">
        <v>0</v>
      </c>
      <c r="J239" s="13" t="b">
        <f aca="false">IF(ISBLANK(I239),"", IF($I$2:$I1236 = "Gohar Rehan","Overnight",IF($I$2:$I1236 = "Taufeeq Akhtar ","Overnight",IF($I$2:$I1236 = "Zeeshan Ali Malik","Audit",IF($I$2:$I1236 = "Ali Raza ","Receiving",IF($I$2:$I1236 = "Ali Ahmad","Full-In"))))))</f>
        <v>0</v>
      </c>
      <c r="K239" s="39" t="e">
        <f aca="false">IFERROR(VLOOKUP(D239,'Brand manager data '!A:B,2,0))</f>
        <v>#VALUE!</v>
      </c>
      <c r="L239" s="13" t="n">
        <v>0</v>
      </c>
      <c r="M239" s="13" t="str">
        <v>Yes</v>
      </c>
      <c r="N239" s="22"/>
      <c r="Q239" s="40"/>
      <c r="R239" s="13" t="b">
        <f aca="false">FALSE()</f>
        <v>0</v>
      </c>
      <c r="S239" s="13" t="n">
        <v>0</v>
      </c>
      <c r="T239" s="13" t="n">
        <f aca="false">S239*F239</f>
        <v>0</v>
      </c>
      <c r="U239" s="13" t="n">
        <v>0</v>
      </c>
      <c r="V239" s="13" t="n">
        <v>0</v>
      </c>
    </row>
    <row r="240" customFormat="false" ht="15.75" hidden="false" customHeight="false" outlineLevel="0" collapsed="false">
      <c r="A240" s="13" t="n">
        <v>0</v>
      </c>
      <c r="B240" s="13" t="str">
        <v/>
      </c>
      <c r="C240" s="13" t="n">
        <v>0</v>
      </c>
      <c r="D240" s="13" t="n">
        <v>0</v>
      </c>
      <c r="E240" s="13" t="str">
        <v/>
      </c>
      <c r="F240" s="13" t="n">
        <v>0</v>
      </c>
      <c r="G240" s="13" t="n">
        <v>0</v>
      </c>
      <c r="H240" s="13" t="n">
        <v>0</v>
      </c>
      <c r="I240" s="13" t="n">
        <v>0</v>
      </c>
      <c r="J240" s="13" t="b">
        <f aca="false">IF(ISBLANK(I240),"", IF($I$2:$I1237 = "Gohar Rehan","Overnight",IF($I$2:$I1237 = "Taufeeq Akhtar ","Overnight",IF($I$2:$I1237 = "Zeeshan Ali Malik","Audit",IF($I$2:$I1237 = "Ali Raza ","Receiving",IF($I$2:$I1237 = "Ali Ahmad","Full-In"))))))</f>
        <v>0</v>
      </c>
      <c r="K240" s="39" t="e">
        <f aca="false">IFERROR(VLOOKUP(D240,'Brand manager data '!A:B,2,0))</f>
        <v>#VALUE!</v>
      </c>
      <c r="L240" s="13" t="n">
        <v>0</v>
      </c>
      <c r="M240" s="13" t="str">
        <v>Yes</v>
      </c>
      <c r="N240" s="22"/>
      <c r="Q240" s="40"/>
      <c r="R240" s="13" t="b">
        <f aca="false">FALSE()</f>
        <v>0</v>
      </c>
      <c r="S240" s="13" t="n">
        <v>0</v>
      </c>
      <c r="T240" s="13" t="n">
        <f aca="false">S240*F240</f>
        <v>0</v>
      </c>
      <c r="U240" s="13" t="n">
        <v>0</v>
      </c>
      <c r="V240" s="13" t="n">
        <v>0</v>
      </c>
    </row>
    <row r="241" customFormat="false" ht="15.75" hidden="false" customHeight="false" outlineLevel="0" collapsed="false">
      <c r="A241" s="13" t="n">
        <v>0</v>
      </c>
      <c r="B241" s="13" t="str">
        <v/>
      </c>
      <c r="C241" s="13" t="n">
        <v>0</v>
      </c>
      <c r="D241" s="13" t="n">
        <v>0</v>
      </c>
      <c r="E241" s="13" t="str">
        <v/>
      </c>
      <c r="F241" s="13" t="n">
        <v>0</v>
      </c>
      <c r="G241" s="13" t="n">
        <v>0</v>
      </c>
      <c r="H241" s="13" t="n">
        <v>0</v>
      </c>
      <c r="I241" s="13" t="n">
        <v>0</v>
      </c>
      <c r="J241" s="13" t="b">
        <f aca="false">IF(ISBLANK(I241),"", IF($I$2:$I1238 = "Gohar Rehan","Overnight",IF($I$2:$I1238 = "Taufeeq Akhtar ","Overnight",IF($I$2:$I1238 = "Zeeshan Ali Malik","Audit",IF($I$2:$I1238 = "Ali Raza ","Receiving",IF($I$2:$I1238 = "Ali Ahmad","Full-In"))))))</f>
        <v>0</v>
      </c>
      <c r="K241" s="39" t="e">
        <f aca="false">IFERROR(VLOOKUP(D241,'Brand manager data '!A:B,2,0))</f>
        <v>#VALUE!</v>
      </c>
      <c r="L241" s="13" t="n">
        <v>0</v>
      </c>
      <c r="M241" s="13" t="str">
        <v>Yes</v>
      </c>
      <c r="N241" s="22"/>
      <c r="Q241" s="40"/>
      <c r="R241" s="13" t="b">
        <f aca="false">FALSE()</f>
        <v>0</v>
      </c>
      <c r="S241" s="13" t="n">
        <v>0</v>
      </c>
      <c r="T241" s="13" t="n">
        <f aca="false">S241*F241</f>
        <v>0</v>
      </c>
      <c r="U241" s="13" t="n">
        <v>0</v>
      </c>
      <c r="V241" s="13" t="n">
        <v>0</v>
      </c>
    </row>
    <row r="242" customFormat="false" ht="15.75" hidden="false" customHeight="false" outlineLevel="0" collapsed="false">
      <c r="A242" s="13" t="n">
        <v>0</v>
      </c>
      <c r="B242" s="13" t="str">
        <v/>
      </c>
      <c r="C242" s="13" t="n">
        <v>0</v>
      </c>
      <c r="D242" s="13" t="n">
        <v>0</v>
      </c>
      <c r="E242" s="13" t="str">
        <v/>
      </c>
      <c r="F242" s="13" t="n">
        <v>0</v>
      </c>
      <c r="G242" s="13" t="n">
        <v>0</v>
      </c>
      <c r="H242" s="13" t="n">
        <v>0</v>
      </c>
      <c r="I242" s="13" t="n">
        <v>0</v>
      </c>
      <c r="J242" s="13" t="b">
        <f aca="false">IF(ISBLANK(I242),"", IF($I$2:$I1239 = "Gohar Rehan","Overnight",IF($I$2:$I1239 = "Taufeeq Akhtar ","Overnight",IF($I$2:$I1239 = "Zeeshan Ali Malik","Audit",IF($I$2:$I1239 = "Ali Raza ","Receiving",IF($I$2:$I1239 = "Ali Ahmad","Full-In"))))))</f>
        <v>0</v>
      </c>
      <c r="K242" s="39" t="e">
        <f aca="false">IFERROR(VLOOKUP(D242,'Brand manager data '!A:B,2,0))</f>
        <v>#VALUE!</v>
      </c>
      <c r="L242" s="13" t="n">
        <v>0</v>
      </c>
      <c r="M242" s="13" t="str">
        <v>Yes</v>
      </c>
      <c r="N242" s="22"/>
      <c r="Q242" s="40"/>
      <c r="R242" s="13" t="b">
        <f aca="false">FALSE()</f>
        <v>0</v>
      </c>
      <c r="S242" s="13" t="n">
        <v>0</v>
      </c>
      <c r="T242" s="13" t="n">
        <f aca="false">S242*F242</f>
        <v>0</v>
      </c>
      <c r="U242" s="13" t="n">
        <v>0</v>
      </c>
      <c r="V242" s="13" t="n">
        <v>0</v>
      </c>
    </row>
    <row r="243" customFormat="false" ht="15.75" hidden="false" customHeight="false" outlineLevel="0" collapsed="false">
      <c r="A243" s="13" t="n">
        <v>0</v>
      </c>
      <c r="B243" s="13" t="str">
        <v/>
      </c>
      <c r="C243" s="13" t="n">
        <v>0</v>
      </c>
      <c r="D243" s="13" t="n">
        <v>0</v>
      </c>
      <c r="E243" s="13" t="str">
        <v/>
      </c>
      <c r="F243" s="13" t="n">
        <v>0</v>
      </c>
      <c r="G243" s="13" t="n">
        <v>0</v>
      </c>
      <c r="H243" s="13" t="n">
        <v>0</v>
      </c>
      <c r="I243" s="13" t="n">
        <v>0</v>
      </c>
      <c r="J243" s="13" t="b">
        <f aca="false">IF(ISBLANK(I243),"", IF($I$2:$I1240 = "Gohar Rehan","Overnight",IF($I$2:$I1240 = "Taufeeq Akhtar ","Overnight",IF($I$2:$I1240 = "Zeeshan Ali Malik","Audit",IF($I$2:$I1240 = "Ali Raza ","Receiving",IF($I$2:$I1240 = "Ali Ahmad","Full-In"))))))</f>
        <v>0</v>
      </c>
      <c r="K243" s="39" t="e">
        <f aca="false">IFERROR(VLOOKUP(D243,'Brand manager data '!A:B,2,0))</f>
        <v>#VALUE!</v>
      </c>
      <c r="L243" s="13" t="n">
        <v>0</v>
      </c>
      <c r="M243" s="13" t="str">
        <v>Yes</v>
      </c>
      <c r="N243" s="22"/>
      <c r="Q243" s="40"/>
      <c r="R243" s="13" t="b">
        <f aca="false">FALSE()</f>
        <v>0</v>
      </c>
      <c r="S243" s="13" t="n">
        <v>0</v>
      </c>
      <c r="T243" s="13" t="n">
        <f aca="false">S243*F243</f>
        <v>0</v>
      </c>
      <c r="U243" s="13" t="n">
        <v>0</v>
      </c>
      <c r="V243" s="13" t="n">
        <v>0</v>
      </c>
    </row>
    <row r="244" customFormat="false" ht="15.75" hidden="false" customHeight="false" outlineLevel="0" collapsed="false">
      <c r="A244" s="13" t="n">
        <v>0</v>
      </c>
      <c r="B244" s="13" t="str">
        <v/>
      </c>
      <c r="C244" s="13" t="n">
        <v>0</v>
      </c>
      <c r="D244" s="13" t="n">
        <v>0</v>
      </c>
      <c r="E244" s="13" t="str">
        <v/>
      </c>
      <c r="F244" s="13" t="n">
        <v>0</v>
      </c>
      <c r="G244" s="13" t="n">
        <v>0</v>
      </c>
      <c r="H244" s="13" t="n">
        <v>0</v>
      </c>
      <c r="I244" s="13" t="n">
        <v>0</v>
      </c>
      <c r="J244" s="13" t="b">
        <f aca="false">IF(ISBLANK(I244),"", IF($I$2:$I1241 = "Gohar Rehan","Overnight",IF($I$2:$I1241 = "Taufeeq Akhtar ","Overnight",IF($I$2:$I1241 = "Zeeshan Ali Malik","Audit",IF($I$2:$I1241 = "Ali Raza ","Receiving",IF($I$2:$I1241 = "Ali Ahmad","Full-In"))))))</f>
        <v>0</v>
      </c>
      <c r="K244" s="39" t="e">
        <f aca="false">IFERROR(VLOOKUP(D244,'Brand manager data '!A:B,2,0))</f>
        <v>#VALUE!</v>
      </c>
      <c r="L244" s="13" t="n">
        <v>0</v>
      </c>
      <c r="M244" s="13" t="str">
        <v>Yes</v>
      </c>
      <c r="N244" s="22"/>
      <c r="Q244" s="40"/>
      <c r="R244" s="13" t="b">
        <f aca="false">FALSE()</f>
        <v>0</v>
      </c>
      <c r="S244" s="13" t="n">
        <v>0</v>
      </c>
      <c r="T244" s="13" t="n">
        <f aca="false">S244*F244</f>
        <v>0</v>
      </c>
      <c r="U244" s="13" t="n">
        <v>0</v>
      </c>
      <c r="V244" s="13" t="n">
        <v>0</v>
      </c>
    </row>
    <row r="245" customFormat="false" ht="15.75" hidden="false" customHeight="false" outlineLevel="0" collapsed="false">
      <c r="A245" s="13" t="n">
        <v>0</v>
      </c>
      <c r="B245" s="13" t="str">
        <v/>
      </c>
      <c r="C245" s="13" t="n">
        <v>0</v>
      </c>
      <c r="D245" s="13" t="n">
        <v>0</v>
      </c>
      <c r="E245" s="13" t="str">
        <v/>
      </c>
      <c r="F245" s="13" t="n">
        <v>0</v>
      </c>
      <c r="G245" s="13" t="n">
        <v>0</v>
      </c>
      <c r="H245" s="13" t="n">
        <v>0</v>
      </c>
      <c r="I245" s="13" t="n">
        <v>0</v>
      </c>
      <c r="J245" s="13" t="b">
        <f aca="false">IF(ISBLANK(I245),"", IF($I$2:$I1242 = "Gohar Rehan","Overnight",IF($I$2:$I1242 = "Taufeeq Akhtar ","Overnight",IF($I$2:$I1242 = "Zeeshan Ali Malik","Audit",IF($I$2:$I1242 = "Ali Raza ","Receiving",IF($I$2:$I1242 = "Ali Ahmad","Full-In"))))))</f>
        <v>0</v>
      </c>
      <c r="K245" s="39" t="e">
        <f aca="false">IFERROR(VLOOKUP(D245,'Brand manager data '!A:B,2,0))</f>
        <v>#VALUE!</v>
      </c>
      <c r="L245" s="13" t="n">
        <v>0</v>
      </c>
      <c r="M245" s="13" t="str">
        <v>Yes</v>
      </c>
      <c r="N245" s="22"/>
      <c r="Q245" s="40"/>
      <c r="R245" s="13" t="b">
        <f aca="false">FALSE()</f>
        <v>0</v>
      </c>
      <c r="S245" s="13" t="n">
        <v>0</v>
      </c>
      <c r="T245" s="13" t="n">
        <f aca="false">S245*F245</f>
        <v>0</v>
      </c>
      <c r="U245" s="13" t="n">
        <v>0</v>
      </c>
      <c r="V245" s="13" t="n">
        <v>0</v>
      </c>
    </row>
    <row r="246" customFormat="false" ht="15.75" hidden="false" customHeight="false" outlineLevel="0" collapsed="false">
      <c r="A246" s="13" t="n">
        <v>0</v>
      </c>
      <c r="B246" s="13" t="str">
        <v/>
      </c>
      <c r="C246" s="13" t="n">
        <v>0</v>
      </c>
      <c r="D246" s="13" t="n">
        <v>0</v>
      </c>
      <c r="E246" s="13" t="str">
        <v/>
      </c>
      <c r="F246" s="13" t="n">
        <v>0</v>
      </c>
      <c r="G246" s="13" t="n">
        <v>0</v>
      </c>
      <c r="H246" s="13" t="n">
        <v>0</v>
      </c>
      <c r="I246" s="13" t="n">
        <v>0</v>
      </c>
      <c r="J246" s="13" t="b">
        <f aca="false">IF(ISBLANK(I246),"", IF($I$2:$I1243 = "Gohar Rehan","Overnight",IF($I$2:$I1243 = "Taufeeq Akhtar ","Overnight",IF($I$2:$I1243 = "Zeeshan Ali Malik","Audit",IF($I$2:$I1243 = "Ali Raza ","Receiving",IF($I$2:$I1243 = "Ali Ahmad","Full-In"))))))</f>
        <v>0</v>
      </c>
      <c r="K246" s="39" t="e">
        <f aca="false">IFERROR(VLOOKUP(D246,'Brand manager data '!A:B,2,0))</f>
        <v>#VALUE!</v>
      </c>
      <c r="L246" s="13" t="n">
        <v>0</v>
      </c>
      <c r="M246" s="13" t="str">
        <v>Yes</v>
      </c>
      <c r="N246" s="22"/>
      <c r="Q246" s="40"/>
      <c r="R246" s="13" t="b">
        <f aca="false">FALSE()</f>
        <v>0</v>
      </c>
      <c r="S246" s="13" t="n">
        <v>0</v>
      </c>
      <c r="T246" s="13" t="n">
        <f aca="false">S246*F246</f>
        <v>0</v>
      </c>
      <c r="U246" s="13" t="n">
        <v>0</v>
      </c>
      <c r="V246" s="13" t="n">
        <v>0</v>
      </c>
    </row>
    <row r="247" customFormat="false" ht="15.75" hidden="false" customHeight="false" outlineLevel="0" collapsed="false">
      <c r="A247" s="13" t="n">
        <v>0</v>
      </c>
      <c r="B247" s="13" t="str">
        <v/>
      </c>
      <c r="C247" s="13" t="n">
        <v>0</v>
      </c>
      <c r="D247" s="13" t="n">
        <v>0</v>
      </c>
      <c r="E247" s="13" t="str">
        <v/>
      </c>
      <c r="F247" s="13" t="n">
        <v>0</v>
      </c>
      <c r="G247" s="13" t="n">
        <v>0</v>
      </c>
      <c r="H247" s="13" t="n">
        <v>0</v>
      </c>
      <c r="I247" s="13" t="n">
        <v>0</v>
      </c>
      <c r="J247" s="13" t="b">
        <f aca="false">IF(ISBLANK(I247),"", IF($I$2:$I1244 = "Gohar Rehan","Overnight",IF($I$2:$I1244 = "Taufeeq Akhtar ","Overnight",IF($I$2:$I1244 = "Zeeshan Ali Malik","Audit",IF($I$2:$I1244 = "Ali Raza ","Receiving",IF($I$2:$I1244 = "Ali Ahmad","Full-In"))))))</f>
        <v>0</v>
      </c>
      <c r="K247" s="39" t="e">
        <f aca="false">IFERROR(VLOOKUP(D247,'Brand manager data '!A:B,2,0))</f>
        <v>#VALUE!</v>
      </c>
      <c r="L247" s="13" t="n">
        <v>0</v>
      </c>
      <c r="M247" s="13" t="str">
        <v>Yes</v>
      </c>
      <c r="N247" s="22"/>
      <c r="Q247" s="40"/>
      <c r="R247" s="13" t="b">
        <f aca="false">FALSE()</f>
        <v>0</v>
      </c>
      <c r="S247" s="13" t="n">
        <v>0</v>
      </c>
      <c r="T247" s="13" t="n">
        <f aca="false">S247*F247</f>
        <v>0</v>
      </c>
      <c r="U247" s="13" t="n">
        <v>0</v>
      </c>
      <c r="V247" s="13" t="n">
        <v>0</v>
      </c>
    </row>
    <row r="248" customFormat="false" ht="15.75" hidden="false" customHeight="false" outlineLevel="0" collapsed="false">
      <c r="A248" s="13" t="n">
        <v>0</v>
      </c>
      <c r="B248" s="13" t="str">
        <v/>
      </c>
      <c r="C248" s="13" t="n">
        <v>0</v>
      </c>
      <c r="D248" s="13" t="n">
        <v>0</v>
      </c>
      <c r="E248" s="13" t="str">
        <v/>
      </c>
      <c r="F248" s="13" t="n">
        <v>0</v>
      </c>
      <c r="G248" s="13" t="n">
        <v>0</v>
      </c>
      <c r="H248" s="13" t="n">
        <v>0</v>
      </c>
      <c r="I248" s="13" t="n">
        <v>0</v>
      </c>
      <c r="J248" s="13" t="b">
        <f aca="false">IF(ISBLANK(I248),"", IF($I$2:$I1245 = "Gohar Rehan","Overnight",IF($I$2:$I1245 = "Taufeeq Akhtar ","Overnight",IF($I$2:$I1245 = "Zeeshan Ali Malik","Audit",IF($I$2:$I1245 = "Ali Raza ","Receiving",IF($I$2:$I1245 = "Ali Ahmad","Full-In"))))))</f>
        <v>0</v>
      </c>
      <c r="K248" s="39" t="e">
        <f aca="false">IFERROR(VLOOKUP(D248,'Brand manager data '!A:B,2,0))</f>
        <v>#VALUE!</v>
      </c>
      <c r="L248" s="13" t="n">
        <v>0</v>
      </c>
      <c r="M248" s="13" t="str">
        <v>Yes</v>
      </c>
      <c r="N248" s="22"/>
      <c r="Q248" s="40"/>
      <c r="R248" s="13" t="b">
        <f aca="false">FALSE()</f>
        <v>0</v>
      </c>
      <c r="S248" s="13" t="n">
        <v>0</v>
      </c>
      <c r="T248" s="13" t="n">
        <f aca="false">S248*F248</f>
        <v>0</v>
      </c>
      <c r="U248" s="13" t="n">
        <v>0</v>
      </c>
      <c r="V248" s="13" t="n">
        <v>0</v>
      </c>
    </row>
    <row r="249" customFormat="false" ht="15.75" hidden="false" customHeight="false" outlineLevel="0" collapsed="false">
      <c r="A249" s="13" t="n">
        <v>0</v>
      </c>
      <c r="B249" s="13" t="str">
        <v/>
      </c>
      <c r="C249" s="13" t="n">
        <v>0</v>
      </c>
      <c r="D249" s="13" t="n">
        <v>0</v>
      </c>
      <c r="E249" s="13" t="str">
        <v/>
      </c>
      <c r="F249" s="13" t="n">
        <v>0</v>
      </c>
      <c r="G249" s="13" t="n">
        <v>0</v>
      </c>
      <c r="H249" s="13" t="n">
        <v>0</v>
      </c>
      <c r="I249" s="13" t="n">
        <v>0</v>
      </c>
      <c r="J249" s="13" t="b">
        <f aca="false">IF(ISBLANK(I249),"", IF($I$2:$I1246 = "Gohar Rehan","Overnight",IF($I$2:$I1246 = "Taufeeq Akhtar ","Overnight",IF($I$2:$I1246 = "Zeeshan Ali Malik","Audit",IF($I$2:$I1246 = "Ali Raza ","Receiving",IF($I$2:$I1246 = "Ali Ahmad","Full-In"))))))</f>
        <v>0</v>
      </c>
      <c r="K249" s="39" t="e">
        <f aca="false">IFERROR(VLOOKUP(D249,'Brand manager data '!A:B,2,0))</f>
        <v>#VALUE!</v>
      </c>
      <c r="L249" s="13" t="n">
        <v>0</v>
      </c>
      <c r="M249" s="13" t="str">
        <v>Yes</v>
      </c>
      <c r="N249" s="22"/>
      <c r="Q249" s="40"/>
      <c r="R249" s="13" t="b">
        <f aca="false">FALSE()</f>
        <v>0</v>
      </c>
      <c r="S249" s="13" t="n">
        <v>0</v>
      </c>
      <c r="T249" s="13" t="n">
        <f aca="false">S249*F249</f>
        <v>0</v>
      </c>
      <c r="U249" s="13" t="n">
        <v>0</v>
      </c>
      <c r="V249" s="13" t="n">
        <v>0</v>
      </c>
    </row>
    <row r="250" customFormat="false" ht="15.75" hidden="false" customHeight="false" outlineLevel="0" collapsed="false">
      <c r="A250" s="13" t="n">
        <v>0</v>
      </c>
      <c r="B250" s="13" t="str">
        <v/>
      </c>
      <c r="C250" s="13" t="n">
        <v>0</v>
      </c>
      <c r="D250" s="13" t="n">
        <v>0</v>
      </c>
      <c r="E250" s="13" t="str">
        <v/>
      </c>
      <c r="F250" s="13" t="n">
        <v>0</v>
      </c>
      <c r="G250" s="13" t="n">
        <v>0</v>
      </c>
      <c r="H250" s="13" t="n">
        <v>0</v>
      </c>
      <c r="I250" s="13" t="n">
        <v>0</v>
      </c>
      <c r="J250" s="13" t="b">
        <f aca="false">IF(ISBLANK(I250),"", IF($I$2:$I1247 = "Gohar Rehan","Overnight",IF($I$2:$I1247 = "Taufeeq Akhtar ","Overnight",IF($I$2:$I1247 = "Zeeshan Ali Malik","Audit",IF($I$2:$I1247 = "Ali Raza ","Receiving",IF($I$2:$I1247 = "Ali Ahmad","Full-In"))))))</f>
        <v>0</v>
      </c>
      <c r="K250" s="39" t="e">
        <f aca="false">IFERROR(VLOOKUP(D250,'Brand manager data '!A:B,2,0))</f>
        <v>#VALUE!</v>
      </c>
      <c r="L250" s="13" t="n">
        <v>0</v>
      </c>
      <c r="M250" s="13" t="str">
        <v>Yes</v>
      </c>
      <c r="N250" s="22"/>
      <c r="Q250" s="40"/>
      <c r="R250" s="13" t="b">
        <f aca="false">FALSE()</f>
        <v>0</v>
      </c>
      <c r="S250" s="13" t="n">
        <v>0</v>
      </c>
      <c r="T250" s="13" t="n">
        <f aca="false">S250*F250</f>
        <v>0</v>
      </c>
      <c r="U250" s="13" t="n">
        <v>0</v>
      </c>
      <c r="V250" s="13" t="n">
        <v>0</v>
      </c>
    </row>
    <row r="251" customFormat="false" ht="15.75" hidden="false" customHeight="false" outlineLevel="0" collapsed="false">
      <c r="A251" s="13" t="n">
        <v>0</v>
      </c>
      <c r="B251" s="13" t="str">
        <v/>
      </c>
      <c r="C251" s="13" t="n">
        <v>0</v>
      </c>
      <c r="D251" s="13" t="n">
        <v>0</v>
      </c>
      <c r="E251" s="13" t="str">
        <v/>
      </c>
      <c r="F251" s="13" t="n">
        <v>0</v>
      </c>
      <c r="G251" s="13" t="n">
        <v>0</v>
      </c>
      <c r="H251" s="13" t="n">
        <v>0</v>
      </c>
      <c r="I251" s="13" t="n">
        <v>0</v>
      </c>
      <c r="J251" s="13" t="b">
        <f aca="false">IF(ISBLANK(I251),"", IF($I$2:$I1248 = "Gohar Rehan","Overnight",IF($I$2:$I1248 = "Taufeeq Akhtar ","Overnight",IF($I$2:$I1248 = "Zeeshan Ali Malik","Audit",IF($I$2:$I1248 = "Ali Raza ","Receiving",IF($I$2:$I1248 = "Ali Ahmad","Full-In"))))))</f>
        <v>0</v>
      </c>
      <c r="K251" s="39" t="e">
        <f aca="false">IFERROR(VLOOKUP(D251,'Brand manager data '!A:B,2,0))</f>
        <v>#VALUE!</v>
      </c>
      <c r="L251" s="13" t="n">
        <v>0</v>
      </c>
      <c r="M251" s="13" t="str">
        <v>Yes</v>
      </c>
      <c r="N251" s="22"/>
      <c r="Q251" s="40"/>
      <c r="R251" s="13" t="b">
        <f aca="false">FALSE()</f>
        <v>0</v>
      </c>
      <c r="S251" s="13" t="n">
        <v>0</v>
      </c>
      <c r="T251" s="13" t="n">
        <f aca="false">S251*F251</f>
        <v>0</v>
      </c>
      <c r="U251" s="13" t="n">
        <v>0</v>
      </c>
      <c r="V251" s="13" t="n">
        <v>0</v>
      </c>
    </row>
    <row r="252" customFormat="false" ht="15.75" hidden="false" customHeight="false" outlineLevel="0" collapsed="false">
      <c r="A252" s="13" t="n">
        <v>0</v>
      </c>
      <c r="B252" s="13" t="str">
        <v/>
      </c>
      <c r="C252" s="13" t="n">
        <v>0</v>
      </c>
      <c r="D252" s="13" t="n">
        <v>0</v>
      </c>
      <c r="E252" s="13" t="str">
        <v/>
      </c>
      <c r="F252" s="13" t="n">
        <v>0</v>
      </c>
      <c r="G252" s="13" t="n">
        <v>0</v>
      </c>
      <c r="H252" s="13" t="n">
        <v>0</v>
      </c>
      <c r="I252" s="13" t="n">
        <v>0</v>
      </c>
      <c r="J252" s="13" t="b">
        <f aca="false">IF(ISBLANK(I252),"", IF($I$2:$I1249 = "Gohar Rehan","Overnight",IF($I$2:$I1249 = "Taufeeq Akhtar ","Overnight",IF($I$2:$I1249 = "Zeeshan Ali Malik","Audit",IF($I$2:$I1249 = "Ali Raza ","Receiving",IF($I$2:$I1249 = "Ali Ahmad","Full-In"))))))</f>
        <v>0</v>
      </c>
      <c r="K252" s="39" t="e">
        <f aca="false">IFERROR(VLOOKUP(D252,'Brand manager data '!A:B,2,0))</f>
        <v>#VALUE!</v>
      </c>
      <c r="L252" s="13" t="n">
        <v>0</v>
      </c>
      <c r="M252" s="13" t="str">
        <v>Yes</v>
      </c>
      <c r="N252" s="22"/>
      <c r="Q252" s="40"/>
      <c r="R252" s="13" t="b">
        <f aca="false">FALSE()</f>
        <v>0</v>
      </c>
      <c r="S252" s="13" t="n">
        <v>0</v>
      </c>
      <c r="T252" s="13" t="n">
        <f aca="false">S252*F252</f>
        <v>0</v>
      </c>
      <c r="U252" s="13" t="n">
        <v>0</v>
      </c>
      <c r="V252" s="13" t="n">
        <v>0</v>
      </c>
    </row>
    <row r="253" customFormat="false" ht="15.75" hidden="false" customHeight="false" outlineLevel="0" collapsed="false">
      <c r="A253" s="13" t="n">
        <v>0</v>
      </c>
      <c r="B253" s="13" t="str">
        <v/>
      </c>
      <c r="C253" s="13" t="n">
        <v>0</v>
      </c>
      <c r="D253" s="13" t="n">
        <v>0</v>
      </c>
      <c r="E253" s="13" t="str">
        <v/>
      </c>
      <c r="F253" s="13" t="n">
        <v>0</v>
      </c>
      <c r="G253" s="13" t="n">
        <v>0</v>
      </c>
      <c r="H253" s="13" t="n">
        <v>0</v>
      </c>
      <c r="I253" s="13" t="n">
        <v>0</v>
      </c>
      <c r="J253" s="13" t="b">
        <f aca="false">IF(ISBLANK(I253),"", IF($I$2:$I1250 = "Gohar Rehan","Overnight",IF($I$2:$I1250 = "Taufeeq Akhtar ","Overnight",IF($I$2:$I1250 = "Zeeshan Ali Malik","Audit",IF($I$2:$I1250 = "Ali Raza ","Receiving",IF($I$2:$I1250 = "Ali Ahmad","Full-In"))))))</f>
        <v>0</v>
      </c>
      <c r="K253" s="39" t="e">
        <f aca="false">IFERROR(VLOOKUP(D253,'Brand manager data '!A:B,2,0))</f>
        <v>#VALUE!</v>
      </c>
      <c r="L253" s="13" t="n">
        <v>0</v>
      </c>
      <c r="M253" s="13" t="str">
        <v>Yes</v>
      </c>
      <c r="N253" s="22"/>
      <c r="Q253" s="40"/>
      <c r="R253" s="13" t="b">
        <f aca="false">FALSE()</f>
        <v>0</v>
      </c>
      <c r="S253" s="13" t="n">
        <v>0</v>
      </c>
      <c r="T253" s="13" t="n">
        <f aca="false">S253*F253</f>
        <v>0</v>
      </c>
      <c r="U253" s="13" t="n">
        <v>0</v>
      </c>
      <c r="V253" s="13" t="n">
        <v>0</v>
      </c>
    </row>
    <row r="254" customFormat="false" ht="15.75" hidden="false" customHeight="false" outlineLevel="0" collapsed="false">
      <c r="A254" s="13" t="n">
        <v>0</v>
      </c>
      <c r="B254" s="13" t="str">
        <v/>
      </c>
      <c r="C254" s="13" t="n">
        <v>0</v>
      </c>
      <c r="D254" s="13" t="n">
        <v>0</v>
      </c>
      <c r="E254" s="13" t="str">
        <v/>
      </c>
      <c r="F254" s="13" t="n">
        <v>0</v>
      </c>
      <c r="G254" s="13" t="n">
        <v>0</v>
      </c>
      <c r="H254" s="13" t="n">
        <v>0</v>
      </c>
      <c r="I254" s="13" t="n">
        <v>0</v>
      </c>
      <c r="J254" s="13" t="b">
        <f aca="false">IF(ISBLANK(I254),"", IF($I$2:$I1251 = "Gohar Rehan","Overnight",IF($I$2:$I1251 = "Taufeeq Akhtar ","Overnight",IF($I$2:$I1251 = "Zeeshan Ali Malik","Audit",IF($I$2:$I1251 = "Ali Raza ","Receiving",IF($I$2:$I1251 = "Ali Ahmad","Full-In"))))))</f>
        <v>0</v>
      </c>
      <c r="K254" s="39" t="e">
        <f aca="false">IFERROR(VLOOKUP(D254,'Brand manager data '!A:B,2,0))</f>
        <v>#VALUE!</v>
      </c>
      <c r="L254" s="13" t="n">
        <v>0</v>
      </c>
      <c r="M254" s="13" t="str">
        <v>Yes</v>
      </c>
      <c r="N254" s="22"/>
      <c r="Q254" s="40"/>
      <c r="R254" s="13" t="b">
        <f aca="false">FALSE()</f>
        <v>0</v>
      </c>
      <c r="S254" s="13" t="n">
        <v>0</v>
      </c>
      <c r="T254" s="13" t="n">
        <f aca="false">S254*F254</f>
        <v>0</v>
      </c>
      <c r="U254" s="13" t="n">
        <v>0</v>
      </c>
      <c r="V254" s="13" t="n">
        <v>0</v>
      </c>
    </row>
    <row r="255" customFormat="false" ht="15.75" hidden="false" customHeight="false" outlineLevel="0" collapsed="false">
      <c r="A255" s="13" t="n">
        <v>0</v>
      </c>
      <c r="B255" s="13" t="str">
        <v/>
      </c>
      <c r="C255" s="13" t="n">
        <v>0</v>
      </c>
      <c r="D255" s="13" t="n">
        <v>0</v>
      </c>
      <c r="E255" s="13" t="str">
        <v/>
      </c>
      <c r="F255" s="13" t="n">
        <v>0</v>
      </c>
      <c r="G255" s="13" t="n">
        <v>0</v>
      </c>
      <c r="H255" s="13" t="n">
        <v>0</v>
      </c>
      <c r="I255" s="13" t="n">
        <v>0</v>
      </c>
      <c r="J255" s="13" t="b">
        <f aca="false">IF(ISBLANK(I255),"", IF($I$2:$I1252 = "Gohar Rehan","Overnight",IF($I$2:$I1252 = "Taufeeq Akhtar ","Overnight",IF($I$2:$I1252 = "Zeeshan Ali Malik","Audit",IF($I$2:$I1252 = "Ali Raza ","Receiving",IF($I$2:$I1252 = "Ali Ahmad","Full-In"))))))</f>
        <v>0</v>
      </c>
      <c r="K255" s="39" t="e">
        <f aca="false">IFERROR(VLOOKUP(D255,'Brand manager data '!A:B,2,0))</f>
        <v>#VALUE!</v>
      </c>
      <c r="L255" s="13" t="n">
        <v>0</v>
      </c>
      <c r="M255" s="13" t="str">
        <v>Yes</v>
      </c>
      <c r="N255" s="22"/>
      <c r="Q255" s="40"/>
      <c r="R255" s="13" t="b">
        <f aca="false">FALSE()</f>
        <v>0</v>
      </c>
      <c r="S255" s="13" t="n">
        <v>0</v>
      </c>
      <c r="T255" s="13" t="n">
        <f aca="false">S255*F255</f>
        <v>0</v>
      </c>
      <c r="U255" s="13" t="n">
        <v>0</v>
      </c>
      <c r="V255" s="13" t="n">
        <v>0</v>
      </c>
    </row>
    <row r="256" customFormat="false" ht="15.75" hidden="false" customHeight="false" outlineLevel="0" collapsed="false">
      <c r="A256" s="13" t="n">
        <v>0</v>
      </c>
      <c r="B256" s="13" t="str">
        <v/>
      </c>
      <c r="C256" s="13" t="n">
        <v>0</v>
      </c>
      <c r="D256" s="13" t="n">
        <v>0</v>
      </c>
      <c r="E256" s="13" t="str">
        <v/>
      </c>
      <c r="F256" s="13" t="n">
        <v>0</v>
      </c>
      <c r="G256" s="13" t="n">
        <v>0</v>
      </c>
      <c r="H256" s="13" t="n">
        <v>0</v>
      </c>
      <c r="I256" s="13" t="n">
        <v>0</v>
      </c>
      <c r="J256" s="13" t="b">
        <f aca="false">IF(ISBLANK(I256),"", IF($I$2:$I1253 = "Gohar Rehan","Overnight",IF($I$2:$I1253 = "Taufeeq Akhtar ","Overnight",IF($I$2:$I1253 = "Zeeshan Ali Malik","Audit",IF($I$2:$I1253 = "Ali Raza ","Receiving",IF($I$2:$I1253 = "Ali Ahmad","Full-In"))))))</f>
        <v>0</v>
      </c>
      <c r="K256" s="39" t="e">
        <f aca="false">IFERROR(VLOOKUP(D256,'Brand manager data '!A:B,2,0))</f>
        <v>#VALUE!</v>
      </c>
      <c r="L256" s="13" t="n">
        <v>0</v>
      </c>
      <c r="M256" s="13" t="str">
        <v>Yes</v>
      </c>
      <c r="N256" s="22"/>
      <c r="Q256" s="40"/>
      <c r="R256" s="13" t="b">
        <f aca="false">FALSE()</f>
        <v>0</v>
      </c>
      <c r="S256" s="13" t="n">
        <v>0</v>
      </c>
      <c r="T256" s="13" t="n">
        <f aca="false">S256*F256</f>
        <v>0</v>
      </c>
      <c r="U256" s="13" t="n">
        <v>0</v>
      </c>
      <c r="V256" s="13" t="n">
        <v>0</v>
      </c>
    </row>
    <row r="257" customFormat="false" ht="15.75" hidden="false" customHeight="false" outlineLevel="0" collapsed="false">
      <c r="A257" s="13" t="n">
        <v>0</v>
      </c>
      <c r="B257" s="13" t="str">
        <v/>
      </c>
      <c r="C257" s="13" t="n">
        <v>0</v>
      </c>
      <c r="D257" s="13" t="n">
        <v>0</v>
      </c>
      <c r="E257" s="13" t="str">
        <v/>
      </c>
      <c r="F257" s="13" t="n">
        <v>0</v>
      </c>
      <c r="G257" s="13" t="n">
        <v>0</v>
      </c>
      <c r="H257" s="13" t="n">
        <v>0</v>
      </c>
      <c r="I257" s="13" t="n">
        <v>0</v>
      </c>
      <c r="J257" s="13" t="b">
        <f aca="false">IF(ISBLANK(I257),"", IF($I$2:$I1254 = "Gohar Rehan","Overnight",IF($I$2:$I1254 = "Taufeeq Akhtar ","Overnight",IF($I$2:$I1254 = "Zeeshan Ali Malik","Audit",IF($I$2:$I1254 = "Ali Raza ","Receiving",IF($I$2:$I1254 = "Ali Ahmad","Full-In"))))))</f>
        <v>0</v>
      </c>
      <c r="K257" s="39" t="e">
        <f aca="false">IFERROR(VLOOKUP(D257,'Brand manager data '!A:B,2,0))</f>
        <v>#VALUE!</v>
      </c>
      <c r="L257" s="13" t="n">
        <v>0</v>
      </c>
      <c r="M257" s="13" t="str">
        <v>Yes</v>
      </c>
      <c r="N257" s="22"/>
      <c r="Q257" s="40"/>
      <c r="R257" s="13" t="b">
        <f aca="false">FALSE()</f>
        <v>0</v>
      </c>
      <c r="S257" s="13" t="n">
        <v>0</v>
      </c>
      <c r="T257" s="13" t="n">
        <f aca="false">S257*F257</f>
        <v>0</v>
      </c>
      <c r="U257" s="13" t="n">
        <v>0</v>
      </c>
      <c r="V257" s="13" t="n">
        <v>0</v>
      </c>
    </row>
    <row r="258" customFormat="false" ht="15.75" hidden="false" customHeight="false" outlineLevel="0" collapsed="false">
      <c r="A258" s="13" t="n">
        <v>0</v>
      </c>
      <c r="B258" s="13" t="str">
        <v/>
      </c>
      <c r="C258" s="13" t="n">
        <v>0</v>
      </c>
      <c r="D258" s="13" t="n">
        <v>0</v>
      </c>
      <c r="E258" s="13" t="str">
        <v/>
      </c>
      <c r="F258" s="13" t="n">
        <v>0</v>
      </c>
      <c r="G258" s="13" t="n">
        <v>0</v>
      </c>
      <c r="H258" s="13" t="n">
        <v>0</v>
      </c>
      <c r="I258" s="13" t="n">
        <v>0</v>
      </c>
      <c r="J258" s="13" t="b">
        <f aca="false">IF(ISBLANK(I258),"", IF($I$2:$I1255 = "Gohar Rehan","Overnight",IF($I$2:$I1255 = "Taufeeq Akhtar ","Overnight",IF($I$2:$I1255 = "Zeeshan Ali Malik","Audit",IF($I$2:$I1255 = "Ali Raza ","Receiving",IF($I$2:$I1255 = "Ali Ahmad","Full-In"))))))</f>
        <v>0</v>
      </c>
      <c r="K258" s="39" t="e">
        <f aca="false">IFERROR(VLOOKUP(D258,'Brand manager data '!A:B,2,0))</f>
        <v>#VALUE!</v>
      </c>
      <c r="L258" s="13" t="n">
        <v>0</v>
      </c>
      <c r="M258" s="13" t="str">
        <v>Yes</v>
      </c>
      <c r="N258" s="22"/>
      <c r="Q258" s="40"/>
      <c r="R258" s="13" t="b">
        <f aca="false">FALSE()</f>
        <v>0</v>
      </c>
      <c r="S258" s="13" t="n">
        <v>0</v>
      </c>
      <c r="T258" s="13" t="n">
        <f aca="false">S258*F258</f>
        <v>0</v>
      </c>
      <c r="U258" s="13" t="n">
        <v>0</v>
      </c>
      <c r="V258" s="13" t="n">
        <v>0</v>
      </c>
    </row>
    <row r="259" customFormat="false" ht="15.75" hidden="false" customHeight="false" outlineLevel="0" collapsed="false">
      <c r="A259" s="13" t="n">
        <v>0</v>
      </c>
      <c r="B259" s="13" t="str">
        <v/>
      </c>
      <c r="C259" s="13" t="n">
        <v>0</v>
      </c>
      <c r="D259" s="13" t="n">
        <v>0</v>
      </c>
      <c r="E259" s="13" t="str">
        <v/>
      </c>
      <c r="F259" s="13" t="n">
        <v>0</v>
      </c>
      <c r="G259" s="13" t="n">
        <v>0</v>
      </c>
      <c r="H259" s="13" t="n">
        <v>0</v>
      </c>
      <c r="I259" s="13" t="n">
        <v>0</v>
      </c>
      <c r="J259" s="13" t="b">
        <f aca="false">IF(ISBLANK(I259),"", IF($I$2:$I1256 = "Gohar Rehan","Overnight",IF($I$2:$I1256 = "Taufeeq Akhtar ","Overnight",IF($I$2:$I1256 = "Zeeshan Ali Malik","Audit",IF($I$2:$I1256 = "Ali Raza ","Receiving",IF($I$2:$I1256 = "Ali Ahmad","Full-In"))))))</f>
        <v>0</v>
      </c>
      <c r="K259" s="39" t="e">
        <f aca="false">IFERROR(VLOOKUP(D259,'Brand manager data '!A:B,2,0))</f>
        <v>#VALUE!</v>
      </c>
      <c r="L259" s="13" t="n">
        <v>0</v>
      </c>
      <c r="M259" s="13" t="str">
        <v>Yes</v>
      </c>
      <c r="N259" s="22"/>
      <c r="Q259" s="40"/>
      <c r="R259" s="13" t="b">
        <f aca="false">FALSE()</f>
        <v>0</v>
      </c>
      <c r="S259" s="13" t="n">
        <v>0</v>
      </c>
      <c r="T259" s="13" t="n">
        <f aca="false">S259*F259</f>
        <v>0</v>
      </c>
      <c r="U259" s="13" t="n">
        <v>0</v>
      </c>
      <c r="V259" s="13" t="n">
        <v>0</v>
      </c>
    </row>
    <row r="260" customFormat="false" ht="15.75" hidden="false" customHeight="false" outlineLevel="0" collapsed="false">
      <c r="A260" s="13" t="n">
        <v>0</v>
      </c>
      <c r="B260" s="13" t="str">
        <v/>
      </c>
      <c r="C260" s="13" t="n">
        <v>0</v>
      </c>
      <c r="D260" s="13" t="n">
        <v>0</v>
      </c>
      <c r="E260" s="13" t="str">
        <v/>
      </c>
      <c r="F260" s="13" t="n">
        <v>0</v>
      </c>
      <c r="G260" s="13" t="n">
        <v>0</v>
      </c>
      <c r="H260" s="13" t="n">
        <v>0</v>
      </c>
      <c r="I260" s="13" t="n">
        <v>0</v>
      </c>
      <c r="J260" s="13" t="b">
        <f aca="false">IF(ISBLANK(I260),"", IF($I$2:$I1257 = "Gohar Rehan","Overnight",IF($I$2:$I1257 = "Taufeeq Akhtar ","Overnight",IF($I$2:$I1257 = "Zeeshan Ali Malik","Audit",IF($I$2:$I1257 = "Ali Raza ","Receiving",IF($I$2:$I1257 = "Ali Ahmad","Full-In"))))))</f>
        <v>0</v>
      </c>
      <c r="K260" s="39" t="e">
        <f aca="false">IFERROR(VLOOKUP(D260,'Brand manager data '!A:B,2,0))</f>
        <v>#VALUE!</v>
      </c>
      <c r="L260" s="13" t="n">
        <v>0</v>
      </c>
      <c r="M260" s="13" t="str">
        <v>Yes</v>
      </c>
      <c r="N260" s="22"/>
      <c r="Q260" s="40"/>
      <c r="R260" s="13" t="b">
        <f aca="false">FALSE()</f>
        <v>0</v>
      </c>
      <c r="S260" s="13" t="n">
        <v>0</v>
      </c>
      <c r="T260" s="13" t="n">
        <f aca="false">S260*F260</f>
        <v>0</v>
      </c>
      <c r="U260" s="13" t="n">
        <v>0</v>
      </c>
      <c r="V260" s="13" t="n">
        <v>0</v>
      </c>
    </row>
    <row r="261" customFormat="false" ht="15.75" hidden="false" customHeight="false" outlineLevel="0" collapsed="false">
      <c r="A261" s="13" t="n">
        <v>0</v>
      </c>
      <c r="B261" s="13" t="str">
        <v/>
      </c>
      <c r="C261" s="13" t="n">
        <v>0</v>
      </c>
      <c r="D261" s="13" t="n">
        <v>0</v>
      </c>
      <c r="E261" s="13" t="str">
        <v/>
      </c>
      <c r="F261" s="13" t="n">
        <v>0</v>
      </c>
      <c r="G261" s="13" t="n">
        <v>0</v>
      </c>
      <c r="H261" s="13" t="n">
        <v>0</v>
      </c>
      <c r="I261" s="13" t="n">
        <v>0</v>
      </c>
      <c r="J261" s="13" t="b">
        <f aca="false">IF(ISBLANK(I261),"", IF($I$2:$I1258 = "Gohar Rehan","Overnight",IF($I$2:$I1258 = "Taufeeq Akhtar ","Overnight",IF($I$2:$I1258 = "Zeeshan Ali Malik","Audit",IF($I$2:$I1258 = "Ali Raza ","Receiving",IF($I$2:$I1258 = "Ali Ahmad","Full-In"))))))</f>
        <v>0</v>
      </c>
      <c r="K261" s="39" t="e">
        <f aca="false">IFERROR(VLOOKUP(D261,'Brand manager data '!A:B,2,0))</f>
        <v>#VALUE!</v>
      </c>
      <c r="L261" s="13" t="n">
        <v>0</v>
      </c>
      <c r="M261" s="13" t="str">
        <v>Yes</v>
      </c>
      <c r="N261" s="22"/>
      <c r="Q261" s="40"/>
      <c r="R261" s="13" t="b">
        <f aca="false">FALSE()</f>
        <v>0</v>
      </c>
      <c r="S261" s="13" t="n">
        <v>0</v>
      </c>
      <c r="T261" s="13" t="n">
        <f aca="false">S261*F261</f>
        <v>0</v>
      </c>
      <c r="U261" s="13" t="n">
        <v>0</v>
      </c>
      <c r="V261" s="13" t="n">
        <v>0</v>
      </c>
    </row>
    <row r="262" customFormat="false" ht="15.75" hidden="false" customHeight="false" outlineLevel="0" collapsed="false">
      <c r="A262" s="13" t="n">
        <v>0</v>
      </c>
      <c r="B262" s="13" t="str">
        <v/>
      </c>
      <c r="C262" s="13" t="n">
        <v>0</v>
      </c>
      <c r="D262" s="13" t="n">
        <v>0</v>
      </c>
      <c r="E262" s="13" t="str">
        <v/>
      </c>
      <c r="F262" s="13" t="n">
        <v>0</v>
      </c>
      <c r="G262" s="13" t="n">
        <v>0</v>
      </c>
      <c r="H262" s="13" t="n">
        <v>0</v>
      </c>
      <c r="I262" s="13" t="n">
        <v>0</v>
      </c>
      <c r="J262" s="13" t="b">
        <f aca="false">IF(ISBLANK(I262),"", IF($I$2:$I1259 = "Gohar Rehan","Overnight",IF($I$2:$I1259 = "Taufeeq Akhtar ","Overnight",IF($I$2:$I1259 = "Zeeshan Ali Malik","Audit",IF($I$2:$I1259 = "Ali Raza ","Receiving",IF($I$2:$I1259 = "Ali Ahmad","Full-In"))))))</f>
        <v>0</v>
      </c>
      <c r="K262" s="39" t="e">
        <f aca="false">IFERROR(VLOOKUP(D262,'Brand manager data '!A:B,2,0))</f>
        <v>#VALUE!</v>
      </c>
      <c r="L262" s="13" t="n">
        <v>0</v>
      </c>
      <c r="M262" s="13" t="str">
        <v>Yes</v>
      </c>
      <c r="N262" s="22"/>
      <c r="Q262" s="40"/>
      <c r="R262" s="13" t="b">
        <f aca="false">FALSE()</f>
        <v>0</v>
      </c>
      <c r="S262" s="13" t="n">
        <v>0</v>
      </c>
      <c r="T262" s="13" t="n">
        <f aca="false">S262*F262</f>
        <v>0</v>
      </c>
      <c r="U262" s="13" t="n">
        <v>0</v>
      </c>
      <c r="V262" s="13" t="n">
        <v>0</v>
      </c>
    </row>
    <row r="263" customFormat="false" ht="15.75" hidden="false" customHeight="false" outlineLevel="0" collapsed="false">
      <c r="A263" s="13" t="n">
        <v>0</v>
      </c>
      <c r="B263" s="13" t="str">
        <v/>
      </c>
      <c r="C263" s="13" t="n">
        <v>0</v>
      </c>
      <c r="D263" s="13" t="n">
        <v>0</v>
      </c>
      <c r="E263" s="13" t="str">
        <v/>
      </c>
      <c r="F263" s="13" t="n">
        <v>0</v>
      </c>
      <c r="G263" s="13" t="n">
        <v>0</v>
      </c>
      <c r="H263" s="13" t="n">
        <v>0</v>
      </c>
      <c r="I263" s="13" t="n">
        <v>0</v>
      </c>
      <c r="J263" s="13" t="b">
        <f aca="false">IF(ISBLANK(I263),"", IF($I$2:$I1260 = "Gohar Rehan","Overnight",IF($I$2:$I1260 = "Taufeeq Akhtar ","Overnight",IF($I$2:$I1260 = "Zeeshan Ali Malik","Audit",IF($I$2:$I1260 = "Ali Raza ","Receiving",IF($I$2:$I1260 = "Ali Ahmad","Full-In"))))))</f>
        <v>0</v>
      </c>
      <c r="K263" s="39" t="e">
        <f aca="false">IFERROR(VLOOKUP(D263,'Brand manager data '!A:B,2,0))</f>
        <v>#VALUE!</v>
      </c>
      <c r="L263" s="13" t="n">
        <v>0</v>
      </c>
      <c r="M263" s="13" t="str">
        <v>Yes</v>
      </c>
      <c r="N263" s="22"/>
      <c r="Q263" s="40"/>
      <c r="R263" s="13" t="b">
        <f aca="false">FALSE()</f>
        <v>0</v>
      </c>
      <c r="S263" s="13" t="n">
        <v>0</v>
      </c>
      <c r="T263" s="13" t="n">
        <f aca="false">S263*F263</f>
        <v>0</v>
      </c>
      <c r="U263" s="13" t="n">
        <v>0</v>
      </c>
      <c r="V263" s="13" t="n">
        <v>0</v>
      </c>
    </row>
    <row r="264" customFormat="false" ht="15.75" hidden="false" customHeight="false" outlineLevel="0" collapsed="false">
      <c r="A264" s="13" t="n">
        <v>0</v>
      </c>
      <c r="B264" s="13" t="str">
        <v/>
      </c>
      <c r="C264" s="13" t="n">
        <v>0</v>
      </c>
      <c r="D264" s="13" t="n">
        <v>0</v>
      </c>
      <c r="E264" s="13" t="str">
        <v/>
      </c>
      <c r="F264" s="13" t="n">
        <v>0</v>
      </c>
      <c r="G264" s="13" t="n">
        <v>0</v>
      </c>
      <c r="H264" s="13" t="n">
        <v>0</v>
      </c>
      <c r="I264" s="13" t="n">
        <v>0</v>
      </c>
      <c r="J264" s="13" t="b">
        <f aca="false">IF(ISBLANK(I264),"", IF($I$2:$I1261 = "Gohar Rehan","Overnight",IF($I$2:$I1261 = "Taufeeq Akhtar ","Overnight",IF($I$2:$I1261 = "Zeeshan Ali Malik","Audit",IF($I$2:$I1261 = "Ali Raza ","Receiving",IF($I$2:$I1261 = "Ali Ahmad","Full-In"))))))</f>
        <v>0</v>
      </c>
      <c r="K264" s="39" t="e">
        <f aca="false">IFERROR(VLOOKUP(D264,'Brand manager data '!A:B,2,0))</f>
        <v>#VALUE!</v>
      </c>
      <c r="L264" s="13" t="n">
        <v>0</v>
      </c>
      <c r="M264" s="13" t="str">
        <v>Yes</v>
      </c>
      <c r="N264" s="22"/>
      <c r="Q264" s="40"/>
      <c r="R264" s="13" t="b">
        <f aca="false">FALSE()</f>
        <v>0</v>
      </c>
      <c r="S264" s="13" t="n">
        <v>0</v>
      </c>
      <c r="T264" s="13" t="n">
        <f aca="false">S264*F264</f>
        <v>0</v>
      </c>
      <c r="U264" s="13" t="n">
        <v>0</v>
      </c>
      <c r="V264" s="13" t="n">
        <v>0</v>
      </c>
    </row>
    <row r="265" customFormat="false" ht="15.75" hidden="false" customHeight="false" outlineLevel="0" collapsed="false">
      <c r="A265" s="13" t="n">
        <v>0</v>
      </c>
      <c r="B265" s="13" t="str">
        <v/>
      </c>
      <c r="C265" s="13" t="n">
        <v>0</v>
      </c>
      <c r="D265" s="13" t="n">
        <v>0</v>
      </c>
      <c r="E265" s="13" t="str">
        <v/>
      </c>
      <c r="F265" s="13" t="n">
        <v>0</v>
      </c>
      <c r="G265" s="13" t="n">
        <v>0</v>
      </c>
      <c r="H265" s="13" t="n">
        <v>0</v>
      </c>
      <c r="I265" s="13" t="n">
        <v>0</v>
      </c>
      <c r="J265" s="13" t="b">
        <f aca="false">IF(ISBLANK(I265),"", IF($I$2:$I1262 = "Gohar Rehan","Overnight",IF($I$2:$I1262 = "Taufeeq Akhtar ","Overnight",IF($I$2:$I1262 = "Zeeshan Ali Malik","Audit",IF($I$2:$I1262 = "Ali Raza ","Receiving",IF($I$2:$I1262 = "Ali Ahmad","Full-In"))))))</f>
        <v>0</v>
      </c>
      <c r="K265" s="39" t="e">
        <f aca="false">IFERROR(VLOOKUP(D265,'Brand manager data '!A:B,2,0))</f>
        <v>#VALUE!</v>
      </c>
      <c r="L265" s="13" t="n">
        <v>0</v>
      </c>
      <c r="M265" s="13" t="str">
        <v>Yes</v>
      </c>
      <c r="N265" s="22"/>
      <c r="Q265" s="40"/>
      <c r="R265" s="13" t="b">
        <f aca="false">FALSE()</f>
        <v>0</v>
      </c>
      <c r="S265" s="13" t="n">
        <v>0</v>
      </c>
      <c r="T265" s="13" t="n">
        <f aca="false">S265*F265</f>
        <v>0</v>
      </c>
      <c r="U265" s="13" t="n">
        <v>0</v>
      </c>
      <c r="V265" s="13" t="n">
        <v>0</v>
      </c>
    </row>
    <row r="266" customFormat="false" ht="15.75" hidden="false" customHeight="false" outlineLevel="0" collapsed="false">
      <c r="A266" s="13" t="n">
        <v>0</v>
      </c>
      <c r="B266" s="13" t="str">
        <v/>
      </c>
      <c r="C266" s="13" t="n">
        <v>0</v>
      </c>
      <c r="D266" s="13" t="n">
        <v>0</v>
      </c>
      <c r="E266" s="13" t="str">
        <v/>
      </c>
      <c r="F266" s="13" t="n">
        <v>0</v>
      </c>
      <c r="G266" s="13" t="n">
        <v>0</v>
      </c>
      <c r="H266" s="13" t="n">
        <v>0</v>
      </c>
      <c r="I266" s="13" t="n">
        <v>0</v>
      </c>
      <c r="J266" s="13" t="b">
        <f aca="false">IF(ISBLANK(I266),"", IF($I$2:$I1263 = "Gohar Rehan","Overnight",IF($I$2:$I1263 = "Taufeeq Akhtar ","Overnight",IF($I$2:$I1263 = "Zeeshan Ali Malik","Audit",IF($I$2:$I1263 = "Ali Raza ","Receiving",IF($I$2:$I1263 = "Ali Ahmad","Full-In"))))))</f>
        <v>0</v>
      </c>
      <c r="K266" s="39" t="e">
        <f aca="false">IFERROR(VLOOKUP(D266,'Brand manager data '!A:B,2,0))</f>
        <v>#VALUE!</v>
      </c>
      <c r="L266" s="13" t="n">
        <v>0</v>
      </c>
      <c r="M266" s="13" t="str">
        <v>Yes</v>
      </c>
      <c r="N266" s="22"/>
      <c r="Q266" s="40"/>
      <c r="R266" s="13" t="b">
        <f aca="false">FALSE()</f>
        <v>0</v>
      </c>
      <c r="S266" s="13" t="n">
        <v>0</v>
      </c>
      <c r="T266" s="13" t="n">
        <f aca="false">S266*F266</f>
        <v>0</v>
      </c>
      <c r="U266" s="13" t="n">
        <v>0</v>
      </c>
      <c r="V266" s="13" t="n">
        <v>0</v>
      </c>
    </row>
    <row r="267" customFormat="false" ht="15.75" hidden="false" customHeight="false" outlineLevel="0" collapsed="false">
      <c r="A267" s="13" t="n">
        <v>0</v>
      </c>
      <c r="B267" s="13" t="str">
        <v/>
      </c>
      <c r="C267" s="13" t="n">
        <v>0</v>
      </c>
      <c r="D267" s="13" t="n">
        <v>0</v>
      </c>
      <c r="E267" s="13" t="str">
        <v/>
      </c>
      <c r="F267" s="13" t="n">
        <v>0</v>
      </c>
      <c r="G267" s="13" t="n">
        <v>0</v>
      </c>
      <c r="H267" s="13" t="n">
        <v>0</v>
      </c>
      <c r="I267" s="13" t="n">
        <v>0</v>
      </c>
      <c r="J267" s="13" t="b">
        <f aca="false">IF(ISBLANK(I267),"", IF($I$2:$I1264 = "Gohar Rehan","Overnight",IF($I$2:$I1264 = "Taufeeq Akhtar ","Overnight",IF($I$2:$I1264 = "Zeeshan Ali Malik","Audit",IF($I$2:$I1264 = "Ali Raza ","Receiving",IF($I$2:$I1264 = "Ali Ahmad","Full-In"))))))</f>
        <v>0</v>
      </c>
      <c r="K267" s="39" t="e">
        <f aca="false">IFERROR(VLOOKUP(D267,'Brand manager data '!A:B,2,0))</f>
        <v>#VALUE!</v>
      </c>
      <c r="L267" s="13" t="n">
        <v>0</v>
      </c>
      <c r="M267" s="13" t="str">
        <v>Yes</v>
      </c>
      <c r="N267" s="22"/>
      <c r="Q267" s="40"/>
      <c r="R267" s="13" t="b">
        <f aca="false">FALSE()</f>
        <v>0</v>
      </c>
      <c r="S267" s="13" t="n">
        <v>0</v>
      </c>
      <c r="T267" s="13" t="n">
        <f aca="false">S267*F267</f>
        <v>0</v>
      </c>
      <c r="U267" s="13" t="n">
        <v>0</v>
      </c>
      <c r="V267" s="13" t="n">
        <v>0</v>
      </c>
    </row>
    <row r="268" customFormat="false" ht="15.75" hidden="false" customHeight="false" outlineLevel="0" collapsed="false">
      <c r="A268" s="13" t="n">
        <v>0</v>
      </c>
      <c r="B268" s="13" t="str">
        <v/>
      </c>
      <c r="C268" s="13" t="n">
        <v>0</v>
      </c>
      <c r="D268" s="13" t="n">
        <v>0</v>
      </c>
      <c r="E268" s="13" t="str">
        <v/>
      </c>
      <c r="F268" s="13" t="n">
        <v>0</v>
      </c>
      <c r="G268" s="13" t="n">
        <v>0</v>
      </c>
      <c r="H268" s="13" t="n">
        <v>0</v>
      </c>
      <c r="I268" s="13" t="n">
        <v>0</v>
      </c>
      <c r="J268" s="13" t="b">
        <f aca="false">IF(ISBLANK(I268),"", IF($I$2:$I1265 = "Gohar Rehan","Overnight",IF($I$2:$I1265 = "Taufeeq Akhtar ","Overnight",IF($I$2:$I1265 = "Zeeshan Ali Malik","Audit",IF($I$2:$I1265 = "Ali Raza ","Receiving",IF($I$2:$I1265 = "Ali Ahmad","Full-In"))))))</f>
        <v>0</v>
      </c>
      <c r="K268" s="39" t="e">
        <f aca="false">IFERROR(VLOOKUP(D268,'Brand manager data '!A:B,2,0))</f>
        <v>#VALUE!</v>
      </c>
      <c r="L268" s="13" t="n">
        <v>0</v>
      </c>
      <c r="M268" s="13" t="str">
        <v>Yes</v>
      </c>
      <c r="N268" s="22"/>
      <c r="Q268" s="40"/>
      <c r="R268" s="13" t="b">
        <f aca="false">FALSE()</f>
        <v>0</v>
      </c>
      <c r="S268" s="13" t="n">
        <v>0</v>
      </c>
      <c r="T268" s="13" t="n">
        <f aca="false">S268*F268</f>
        <v>0</v>
      </c>
      <c r="U268" s="13" t="n">
        <v>0</v>
      </c>
      <c r="V268" s="13" t="n">
        <v>0</v>
      </c>
    </row>
    <row r="269" customFormat="false" ht="15.75" hidden="false" customHeight="false" outlineLevel="0" collapsed="false">
      <c r="A269" s="13" t="n">
        <v>0</v>
      </c>
      <c r="B269" s="13" t="str">
        <v/>
      </c>
      <c r="C269" s="13" t="n">
        <v>0</v>
      </c>
      <c r="D269" s="13" t="n">
        <v>0</v>
      </c>
      <c r="E269" s="13" t="str">
        <v/>
      </c>
      <c r="F269" s="13" t="n">
        <v>0</v>
      </c>
      <c r="G269" s="13" t="n">
        <v>0</v>
      </c>
      <c r="H269" s="13" t="n">
        <v>0</v>
      </c>
      <c r="I269" s="13" t="n">
        <v>0</v>
      </c>
      <c r="J269" s="13" t="b">
        <f aca="false">IF(ISBLANK(I269),"", IF($I$2:$I1266 = "Gohar Rehan","Overnight",IF($I$2:$I1266 = "Taufeeq Akhtar ","Overnight",IF($I$2:$I1266 = "Zeeshan Ali Malik","Audit",IF($I$2:$I1266 = "Ali Raza ","Receiving",IF($I$2:$I1266 = "Ali Ahmad","Full-In"))))))</f>
        <v>0</v>
      </c>
      <c r="K269" s="39" t="e">
        <f aca="false">IFERROR(VLOOKUP(D269,'Brand manager data '!A:B,2,0))</f>
        <v>#VALUE!</v>
      </c>
      <c r="L269" s="13" t="n">
        <v>0</v>
      </c>
      <c r="M269" s="13" t="str">
        <v>Yes</v>
      </c>
      <c r="N269" s="22"/>
      <c r="Q269" s="40"/>
      <c r="R269" s="13" t="b">
        <f aca="false">FALSE()</f>
        <v>0</v>
      </c>
      <c r="S269" s="13" t="n">
        <v>0</v>
      </c>
      <c r="T269" s="13" t="n">
        <f aca="false">S269*F269</f>
        <v>0</v>
      </c>
      <c r="U269" s="13" t="n">
        <v>0</v>
      </c>
      <c r="V269" s="13" t="n">
        <v>0</v>
      </c>
    </row>
    <row r="270" customFormat="false" ht="15.75" hidden="false" customHeight="false" outlineLevel="0" collapsed="false">
      <c r="A270" s="13" t="n">
        <v>0</v>
      </c>
      <c r="B270" s="13" t="str">
        <v/>
      </c>
      <c r="C270" s="13" t="n">
        <v>0</v>
      </c>
      <c r="D270" s="13" t="n">
        <v>0</v>
      </c>
      <c r="E270" s="13" t="str">
        <v/>
      </c>
      <c r="F270" s="13" t="n">
        <v>0</v>
      </c>
      <c r="G270" s="13" t="n">
        <v>0</v>
      </c>
      <c r="H270" s="13" t="n">
        <v>0</v>
      </c>
      <c r="I270" s="13" t="n">
        <v>0</v>
      </c>
      <c r="J270" s="13" t="b">
        <f aca="false">IF(ISBLANK(I270),"", IF($I$2:$I1267 = "Gohar Rehan","Overnight",IF($I$2:$I1267 = "Taufeeq Akhtar ","Overnight",IF($I$2:$I1267 = "Zeeshan Ali Malik","Audit",IF($I$2:$I1267 = "Ali Raza ","Receiving",IF($I$2:$I1267 = "Ali Ahmad","Full-In"))))))</f>
        <v>0</v>
      </c>
      <c r="K270" s="39" t="e">
        <f aca="false">IFERROR(VLOOKUP(D270,'Brand manager data '!A:B,2,0))</f>
        <v>#VALUE!</v>
      </c>
      <c r="L270" s="13" t="n">
        <v>0</v>
      </c>
      <c r="M270" s="13" t="str">
        <v>Yes</v>
      </c>
      <c r="N270" s="22"/>
      <c r="Q270" s="40"/>
      <c r="R270" s="13" t="b">
        <f aca="false">FALSE()</f>
        <v>0</v>
      </c>
      <c r="S270" s="13" t="n">
        <v>0</v>
      </c>
      <c r="T270" s="13" t="n">
        <f aca="false">S270*F270</f>
        <v>0</v>
      </c>
      <c r="U270" s="13" t="n">
        <v>0</v>
      </c>
      <c r="V270" s="13" t="n">
        <v>0</v>
      </c>
    </row>
    <row r="271" customFormat="false" ht="15.75" hidden="false" customHeight="false" outlineLevel="0" collapsed="false">
      <c r="A271" s="13" t="n">
        <v>0</v>
      </c>
      <c r="B271" s="13" t="str">
        <v/>
      </c>
      <c r="C271" s="13" t="n">
        <v>0</v>
      </c>
      <c r="D271" s="13" t="n">
        <v>0</v>
      </c>
      <c r="E271" s="13" t="str">
        <v/>
      </c>
      <c r="F271" s="13" t="n">
        <v>0</v>
      </c>
      <c r="G271" s="13" t="n">
        <v>0</v>
      </c>
      <c r="H271" s="13" t="n">
        <v>0</v>
      </c>
      <c r="I271" s="13" t="n">
        <v>0</v>
      </c>
      <c r="J271" s="13" t="b">
        <f aca="false">IF(ISBLANK(I271),"", IF($I$2:$I1268 = "Gohar Rehan","Overnight",IF($I$2:$I1268 = "Taufeeq Akhtar ","Overnight",IF($I$2:$I1268 = "Zeeshan Ali Malik","Audit",IF($I$2:$I1268 = "Ali Raza ","Receiving",IF($I$2:$I1268 = "Ali Ahmad","Full-In"))))))</f>
        <v>0</v>
      </c>
      <c r="K271" s="39" t="e">
        <f aca="false">IFERROR(VLOOKUP(D271,'Brand manager data '!A:B,2,0))</f>
        <v>#VALUE!</v>
      </c>
      <c r="L271" s="13" t="n">
        <v>0</v>
      </c>
      <c r="M271" s="13" t="str">
        <v>Yes</v>
      </c>
      <c r="N271" s="22"/>
      <c r="Q271" s="40"/>
      <c r="R271" s="13" t="b">
        <f aca="false">FALSE()</f>
        <v>0</v>
      </c>
      <c r="S271" s="13" t="n">
        <v>0</v>
      </c>
      <c r="T271" s="13" t="n">
        <f aca="false">S271*F271</f>
        <v>0</v>
      </c>
      <c r="U271" s="13" t="n">
        <v>0</v>
      </c>
      <c r="V271" s="13" t="n">
        <v>0</v>
      </c>
    </row>
    <row r="272" customFormat="false" ht="15.75" hidden="false" customHeight="false" outlineLevel="0" collapsed="false">
      <c r="A272" s="13" t="n">
        <v>0</v>
      </c>
      <c r="B272" s="13" t="str">
        <v/>
      </c>
      <c r="C272" s="13" t="n">
        <v>0</v>
      </c>
      <c r="D272" s="13" t="n">
        <v>0</v>
      </c>
      <c r="E272" s="13" t="str">
        <v/>
      </c>
      <c r="F272" s="13" t="n">
        <v>0</v>
      </c>
      <c r="G272" s="13" t="n">
        <v>0</v>
      </c>
      <c r="H272" s="13" t="n">
        <v>0</v>
      </c>
      <c r="I272" s="13" t="n">
        <v>0</v>
      </c>
      <c r="J272" s="13" t="b">
        <f aca="false">IF(ISBLANK(I272),"", IF($I$2:$I1269 = "Gohar Rehan","Overnight",IF($I$2:$I1269 = "Taufeeq Akhtar ","Overnight",IF($I$2:$I1269 = "Zeeshan Ali Malik","Audit",IF($I$2:$I1269 = "Ali Raza ","Receiving",IF($I$2:$I1269 = "Ali Ahmad","Full-In"))))))</f>
        <v>0</v>
      </c>
      <c r="K272" s="39" t="e">
        <f aca="false">IFERROR(VLOOKUP(D272,'Brand manager data '!A:B,2,0))</f>
        <v>#VALUE!</v>
      </c>
      <c r="L272" s="13" t="n">
        <v>0</v>
      </c>
      <c r="M272" s="13" t="str">
        <v>Yes</v>
      </c>
      <c r="N272" s="22"/>
      <c r="Q272" s="40"/>
      <c r="R272" s="13" t="b">
        <f aca="false">FALSE()</f>
        <v>0</v>
      </c>
      <c r="S272" s="13" t="n">
        <v>0</v>
      </c>
      <c r="T272" s="13" t="n">
        <f aca="false">S272*F272</f>
        <v>0</v>
      </c>
      <c r="U272" s="13" t="n">
        <v>0</v>
      </c>
      <c r="V272" s="13" t="n">
        <v>0</v>
      </c>
    </row>
    <row r="273" customFormat="false" ht="15.75" hidden="false" customHeight="false" outlineLevel="0" collapsed="false">
      <c r="A273" s="13" t="n">
        <v>0</v>
      </c>
      <c r="B273" s="13" t="str">
        <v/>
      </c>
      <c r="C273" s="13" t="n">
        <v>0</v>
      </c>
      <c r="D273" s="13" t="n">
        <v>0</v>
      </c>
      <c r="E273" s="13" t="str">
        <v/>
      </c>
      <c r="F273" s="13" t="n">
        <v>0</v>
      </c>
      <c r="G273" s="13" t="n">
        <v>0</v>
      </c>
      <c r="H273" s="13" t="n">
        <v>0</v>
      </c>
      <c r="I273" s="13" t="n">
        <v>0</v>
      </c>
      <c r="J273" s="13" t="b">
        <f aca="false">IF(ISBLANK(I273),"", IF($I$2:$I1270 = "Gohar Rehan","Overnight",IF($I$2:$I1270 = "Taufeeq Akhtar ","Overnight",IF($I$2:$I1270 = "Zeeshan Ali Malik","Audit",IF($I$2:$I1270 = "Ali Raza ","Receiving",IF($I$2:$I1270 = "Ali Ahmad","Full-In"))))))</f>
        <v>0</v>
      </c>
      <c r="K273" s="39" t="e">
        <f aca="false">IFERROR(VLOOKUP(D273,'Brand manager data '!A:B,2,0))</f>
        <v>#VALUE!</v>
      </c>
      <c r="L273" s="13" t="n">
        <v>0</v>
      </c>
      <c r="M273" s="13" t="str">
        <v>Yes</v>
      </c>
      <c r="N273" s="22"/>
      <c r="Q273" s="40"/>
      <c r="R273" s="13" t="b">
        <f aca="false">FALSE()</f>
        <v>0</v>
      </c>
      <c r="S273" s="13" t="n">
        <v>0</v>
      </c>
      <c r="T273" s="13" t="n">
        <f aca="false">S273*F273</f>
        <v>0</v>
      </c>
      <c r="U273" s="13" t="n">
        <v>0</v>
      </c>
      <c r="V273" s="13" t="n">
        <v>0</v>
      </c>
    </row>
    <row r="274" customFormat="false" ht="15.75" hidden="false" customHeight="false" outlineLevel="0" collapsed="false">
      <c r="A274" s="13" t="n">
        <v>0</v>
      </c>
      <c r="B274" s="13" t="str">
        <v/>
      </c>
      <c r="C274" s="13" t="n">
        <v>0</v>
      </c>
      <c r="D274" s="13" t="n">
        <v>0</v>
      </c>
      <c r="E274" s="13" t="str">
        <v/>
      </c>
      <c r="F274" s="13" t="n">
        <v>0</v>
      </c>
      <c r="G274" s="13" t="n">
        <v>0</v>
      </c>
      <c r="H274" s="13" t="n">
        <v>0</v>
      </c>
      <c r="I274" s="13" t="n">
        <v>0</v>
      </c>
      <c r="J274" s="13" t="b">
        <f aca="false">IF(ISBLANK(I274),"", IF($I$2:$I1271 = "Gohar Rehan","Overnight",IF($I$2:$I1271 = "Taufeeq Akhtar ","Overnight",IF($I$2:$I1271 = "Zeeshan Ali Malik","Audit",IF($I$2:$I1271 = "Ali Raza ","Receiving",IF($I$2:$I1271 = "Ali Ahmad","Full-In"))))))</f>
        <v>0</v>
      </c>
      <c r="K274" s="39" t="e">
        <f aca="false">IFERROR(VLOOKUP(D274,'Brand manager data '!A:B,2,0))</f>
        <v>#VALUE!</v>
      </c>
      <c r="L274" s="13" t="n">
        <v>0</v>
      </c>
      <c r="M274" s="13" t="str">
        <v>Yes</v>
      </c>
      <c r="N274" s="22"/>
      <c r="Q274" s="40"/>
      <c r="R274" s="13" t="b">
        <f aca="false">FALSE()</f>
        <v>0</v>
      </c>
      <c r="S274" s="13" t="n">
        <v>0</v>
      </c>
      <c r="T274" s="13" t="n">
        <f aca="false">S274*F274</f>
        <v>0</v>
      </c>
      <c r="U274" s="13" t="n">
        <v>0</v>
      </c>
      <c r="V274" s="13" t="n">
        <v>0</v>
      </c>
    </row>
    <row r="275" customFormat="false" ht="15.75" hidden="false" customHeight="false" outlineLevel="0" collapsed="false">
      <c r="A275" s="13" t="n">
        <v>0</v>
      </c>
      <c r="B275" s="13" t="str">
        <v/>
      </c>
      <c r="C275" s="13" t="n">
        <v>0</v>
      </c>
      <c r="D275" s="13" t="n">
        <v>0</v>
      </c>
      <c r="E275" s="13" t="str">
        <v/>
      </c>
      <c r="F275" s="13" t="n">
        <v>0</v>
      </c>
      <c r="G275" s="13" t="n">
        <v>0</v>
      </c>
      <c r="H275" s="13" t="n">
        <v>0</v>
      </c>
      <c r="I275" s="13" t="n">
        <v>0</v>
      </c>
      <c r="J275" s="13" t="b">
        <f aca="false">IF(ISBLANK(I275),"", IF($I$2:$I1272 = "Gohar Rehan","Overnight",IF($I$2:$I1272 = "Taufeeq Akhtar ","Overnight",IF($I$2:$I1272 = "Zeeshan Ali Malik","Audit",IF($I$2:$I1272 = "Ali Raza ","Receiving",IF($I$2:$I1272 = "Ali Ahmad","Full-In"))))))</f>
        <v>0</v>
      </c>
      <c r="K275" s="39" t="e">
        <f aca="false">IFERROR(VLOOKUP(D275,'Brand manager data '!A:B,2,0))</f>
        <v>#VALUE!</v>
      </c>
      <c r="L275" s="13" t="n">
        <v>0</v>
      </c>
      <c r="M275" s="13" t="str">
        <v>Yes</v>
      </c>
      <c r="N275" s="22"/>
      <c r="Q275" s="40"/>
      <c r="R275" s="13" t="b">
        <f aca="false">FALSE()</f>
        <v>0</v>
      </c>
      <c r="S275" s="13" t="n">
        <v>0</v>
      </c>
      <c r="T275" s="13" t="n">
        <f aca="false">S275*F275</f>
        <v>0</v>
      </c>
      <c r="U275" s="13" t="n">
        <v>0</v>
      </c>
      <c r="V275" s="13" t="n">
        <v>0</v>
      </c>
    </row>
    <row r="276" customFormat="false" ht="15.75" hidden="false" customHeight="false" outlineLevel="0" collapsed="false">
      <c r="A276" s="13" t="n">
        <v>0</v>
      </c>
      <c r="B276" s="13" t="str">
        <v/>
      </c>
      <c r="C276" s="13" t="n">
        <v>0</v>
      </c>
      <c r="D276" s="13" t="n">
        <v>0</v>
      </c>
      <c r="E276" s="13" t="str">
        <v/>
      </c>
      <c r="F276" s="13" t="n">
        <v>0</v>
      </c>
      <c r="G276" s="13" t="n">
        <v>0</v>
      </c>
      <c r="H276" s="13" t="n">
        <v>0</v>
      </c>
      <c r="I276" s="13" t="n">
        <v>0</v>
      </c>
      <c r="J276" s="13" t="b">
        <f aca="false">IF(ISBLANK(I276),"", IF($I$2:$I1273 = "Gohar Rehan","Overnight",IF($I$2:$I1273 = "Taufeeq Akhtar ","Overnight",IF($I$2:$I1273 = "Zeeshan Ali Malik","Audit",IF($I$2:$I1273 = "Ali Raza ","Receiving",IF($I$2:$I1273 = "Ali Ahmad","Full-In"))))))</f>
        <v>0</v>
      </c>
      <c r="K276" s="39" t="e">
        <f aca="false">IFERROR(VLOOKUP(D276,'Brand manager data '!A:B,2,0))</f>
        <v>#VALUE!</v>
      </c>
      <c r="L276" s="13" t="n">
        <v>0</v>
      </c>
      <c r="M276" s="13" t="str">
        <v>Yes</v>
      </c>
      <c r="N276" s="22"/>
      <c r="Q276" s="40"/>
      <c r="R276" s="13" t="b">
        <f aca="false">FALSE()</f>
        <v>0</v>
      </c>
      <c r="S276" s="13" t="n">
        <v>0</v>
      </c>
      <c r="T276" s="13" t="n">
        <f aca="false">S276*F276</f>
        <v>0</v>
      </c>
      <c r="U276" s="13" t="n">
        <v>0</v>
      </c>
      <c r="V276" s="13" t="n">
        <v>0</v>
      </c>
    </row>
    <row r="277" customFormat="false" ht="15.75" hidden="false" customHeight="false" outlineLevel="0" collapsed="false">
      <c r="A277" s="13" t="n">
        <v>0</v>
      </c>
      <c r="B277" s="13" t="str">
        <v/>
      </c>
      <c r="C277" s="13" t="n">
        <v>0</v>
      </c>
      <c r="D277" s="13" t="n">
        <v>0</v>
      </c>
      <c r="E277" s="13" t="str">
        <v/>
      </c>
      <c r="F277" s="13" t="n">
        <v>0</v>
      </c>
      <c r="G277" s="13" t="n">
        <v>0</v>
      </c>
      <c r="H277" s="13" t="n">
        <v>0</v>
      </c>
      <c r="I277" s="13" t="n">
        <v>0</v>
      </c>
      <c r="J277" s="13" t="b">
        <f aca="false">IF(ISBLANK(I277),"", IF($I$2:$I1274 = "Gohar Rehan","Overnight",IF($I$2:$I1274 = "Taufeeq Akhtar ","Overnight",IF($I$2:$I1274 = "Zeeshan Ali Malik","Audit",IF($I$2:$I1274 = "Ali Raza ","Receiving",IF($I$2:$I1274 = "Ali Ahmad","Full-In"))))))</f>
        <v>0</v>
      </c>
      <c r="K277" s="39" t="e">
        <f aca="false">IFERROR(VLOOKUP(D277,'Brand manager data '!A:B,2,0))</f>
        <v>#VALUE!</v>
      </c>
      <c r="L277" s="13" t="n">
        <v>0</v>
      </c>
      <c r="M277" s="13" t="str">
        <v>Yes</v>
      </c>
      <c r="N277" s="22"/>
      <c r="Q277" s="40"/>
      <c r="R277" s="13" t="b">
        <f aca="false">FALSE()</f>
        <v>0</v>
      </c>
      <c r="S277" s="13" t="n">
        <v>0</v>
      </c>
      <c r="T277" s="13" t="n">
        <f aca="false">S277*F277</f>
        <v>0</v>
      </c>
      <c r="U277" s="13" t="n">
        <v>0</v>
      </c>
      <c r="V277" s="13" t="n">
        <v>0</v>
      </c>
    </row>
    <row r="278" customFormat="false" ht="15.75" hidden="false" customHeight="false" outlineLevel="0" collapsed="false">
      <c r="A278" s="13" t="n">
        <v>0</v>
      </c>
      <c r="B278" s="13" t="str">
        <v/>
      </c>
      <c r="C278" s="13" t="n">
        <v>0</v>
      </c>
      <c r="D278" s="13" t="n">
        <v>0</v>
      </c>
      <c r="E278" s="13" t="str">
        <v/>
      </c>
      <c r="F278" s="13" t="n">
        <v>0</v>
      </c>
      <c r="G278" s="13" t="n">
        <v>0</v>
      </c>
      <c r="H278" s="13" t="n">
        <v>0</v>
      </c>
      <c r="I278" s="13" t="n">
        <v>0</v>
      </c>
      <c r="J278" s="13" t="b">
        <f aca="false">IF(ISBLANK(I278),"", IF($I$2:$I1275 = "Gohar Rehan","Overnight",IF($I$2:$I1275 = "Taufeeq Akhtar ","Overnight",IF($I$2:$I1275 = "Zeeshan Ali Malik","Audit",IF($I$2:$I1275 = "Ali Raza ","Receiving",IF($I$2:$I1275 = "Ali Ahmad","Full-In"))))))</f>
        <v>0</v>
      </c>
      <c r="K278" s="39" t="e">
        <f aca="false">IFERROR(VLOOKUP(D278,'Brand manager data '!A:B,2,0))</f>
        <v>#VALUE!</v>
      </c>
      <c r="L278" s="13" t="n">
        <v>0</v>
      </c>
      <c r="M278" s="13" t="str">
        <v>Yes</v>
      </c>
      <c r="N278" s="22"/>
      <c r="Q278" s="40"/>
      <c r="R278" s="13" t="b">
        <f aca="false">FALSE()</f>
        <v>0</v>
      </c>
      <c r="S278" s="13" t="n">
        <v>0</v>
      </c>
      <c r="T278" s="13" t="n">
        <f aca="false">S278*F278</f>
        <v>0</v>
      </c>
      <c r="U278" s="13" t="n">
        <v>0</v>
      </c>
      <c r="V278" s="13" t="n">
        <v>0</v>
      </c>
    </row>
    <row r="279" customFormat="false" ht="15.75" hidden="false" customHeight="false" outlineLevel="0" collapsed="false">
      <c r="A279" s="13" t="n">
        <v>0</v>
      </c>
      <c r="B279" s="13" t="str">
        <v/>
      </c>
      <c r="C279" s="13" t="n">
        <v>0</v>
      </c>
      <c r="D279" s="13" t="n">
        <v>0</v>
      </c>
      <c r="E279" s="13" t="str">
        <v/>
      </c>
      <c r="F279" s="13" t="n">
        <v>0</v>
      </c>
      <c r="G279" s="13" t="n">
        <v>0</v>
      </c>
      <c r="H279" s="13" t="n">
        <v>0</v>
      </c>
      <c r="I279" s="13" t="n">
        <v>0</v>
      </c>
      <c r="J279" s="13" t="b">
        <f aca="false">IF(ISBLANK(I279),"", IF($I$2:$I1276 = "Gohar Rehan","Overnight",IF($I$2:$I1276 = "Taufeeq Akhtar ","Overnight",IF($I$2:$I1276 = "Zeeshan Ali Malik","Audit",IF($I$2:$I1276 = "Ali Raza ","Receiving",IF($I$2:$I1276 = "Ali Ahmad","Full-In"))))))</f>
        <v>0</v>
      </c>
      <c r="K279" s="39" t="e">
        <f aca="false">IFERROR(VLOOKUP(D279,'Brand manager data '!A:B,2,0))</f>
        <v>#VALUE!</v>
      </c>
      <c r="L279" s="13" t="n">
        <v>0</v>
      </c>
      <c r="M279" s="13" t="str">
        <v>Yes</v>
      </c>
      <c r="N279" s="22"/>
      <c r="Q279" s="40"/>
      <c r="R279" s="13" t="b">
        <f aca="false">FALSE()</f>
        <v>0</v>
      </c>
      <c r="S279" s="13" t="n">
        <v>0</v>
      </c>
      <c r="T279" s="13" t="n">
        <f aca="false">S279*F279</f>
        <v>0</v>
      </c>
      <c r="U279" s="13" t="n">
        <v>0</v>
      </c>
      <c r="V279" s="13" t="n">
        <v>0</v>
      </c>
    </row>
    <row r="280" customFormat="false" ht="15.75" hidden="false" customHeight="false" outlineLevel="0" collapsed="false">
      <c r="A280" s="13" t="n">
        <v>0</v>
      </c>
      <c r="B280" s="13" t="str">
        <v/>
      </c>
      <c r="C280" s="13" t="n">
        <v>0</v>
      </c>
      <c r="D280" s="13" t="n">
        <v>0</v>
      </c>
      <c r="E280" s="13" t="str">
        <v/>
      </c>
      <c r="F280" s="13" t="n">
        <v>0</v>
      </c>
      <c r="G280" s="13" t="n">
        <v>0</v>
      </c>
      <c r="H280" s="13" t="n">
        <v>0</v>
      </c>
      <c r="I280" s="13" t="n">
        <v>0</v>
      </c>
      <c r="J280" s="13" t="b">
        <f aca="false">IF(ISBLANK(I280),"", IF($I$2:$I1277 = "Gohar Rehan","Overnight",IF($I$2:$I1277 = "Taufeeq Akhtar ","Overnight",IF($I$2:$I1277 = "Zeeshan Ali Malik","Audit",IF($I$2:$I1277 = "Ali Raza ","Receiving",IF($I$2:$I1277 = "Ali Ahmad","Full-In"))))))</f>
        <v>0</v>
      </c>
      <c r="K280" s="39" t="e">
        <f aca="false">IFERROR(VLOOKUP(D280,'Brand manager data '!A:B,2,0))</f>
        <v>#VALUE!</v>
      </c>
      <c r="L280" s="13" t="n">
        <v>0</v>
      </c>
      <c r="M280" s="13" t="str">
        <v>Yes</v>
      </c>
      <c r="N280" s="22"/>
      <c r="Q280" s="40"/>
      <c r="R280" s="13" t="b">
        <f aca="false">FALSE()</f>
        <v>0</v>
      </c>
      <c r="S280" s="13" t="n">
        <v>0</v>
      </c>
      <c r="T280" s="13" t="n">
        <f aca="false">S280*F280</f>
        <v>0</v>
      </c>
      <c r="U280" s="13" t="n">
        <v>0</v>
      </c>
      <c r="V280" s="13" t="n">
        <v>0</v>
      </c>
    </row>
    <row r="281" customFormat="false" ht="15.75" hidden="false" customHeight="false" outlineLevel="0" collapsed="false">
      <c r="A281" s="13" t="n">
        <v>0</v>
      </c>
      <c r="B281" s="13" t="str">
        <v/>
      </c>
      <c r="C281" s="13" t="n">
        <v>0</v>
      </c>
      <c r="D281" s="13" t="n">
        <v>0</v>
      </c>
      <c r="E281" s="13" t="str">
        <v/>
      </c>
      <c r="F281" s="13" t="n">
        <v>0</v>
      </c>
      <c r="G281" s="13" t="n">
        <v>0</v>
      </c>
      <c r="H281" s="13" t="n">
        <v>0</v>
      </c>
      <c r="I281" s="13" t="n">
        <v>0</v>
      </c>
      <c r="J281" s="13" t="b">
        <f aca="false">IF(ISBLANK(I281),"", IF($I$2:$I1278 = "Gohar Rehan","Overnight",IF($I$2:$I1278 = "Taufeeq Akhtar ","Overnight",IF($I$2:$I1278 = "Zeeshan Ali Malik","Audit",IF($I$2:$I1278 = "Ali Raza ","Receiving",IF($I$2:$I1278 = "Ali Ahmad","Full-In"))))))</f>
        <v>0</v>
      </c>
      <c r="K281" s="39" t="e">
        <f aca="false">IFERROR(VLOOKUP(D281,'Brand manager data '!A:B,2,0))</f>
        <v>#VALUE!</v>
      </c>
      <c r="L281" s="13" t="n">
        <v>0</v>
      </c>
      <c r="M281" s="13" t="str">
        <v>Yes</v>
      </c>
      <c r="N281" s="22"/>
      <c r="Q281" s="40"/>
      <c r="R281" s="13" t="b">
        <f aca="false">FALSE()</f>
        <v>0</v>
      </c>
      <c r="S281" s="13" t="n">
        <v>0</v>
      </c>
      <c r="T281" s="13" t="n">
        <f aca="false">S281*F281</f>
        <v>0</v>
      </c>
      <c r="U281" s="13" t="n">
        <v>0</v>
      </c>
      <c r="V281" s="13" t="n">
        <v>0</v>
      </c>
    </row>
    <row r="282" customFormat="false" ht="15.75" hidden="false" customHeight="false" outlineLevel="0" collapsed="false">
      <c r="A282" s="13" t="n">
        <v>0</v>
      </c>
      <c r="B282" s="13" t="str">
        <v/>
      </c>
      <c r="C282" s="13" t="n">
        <v>0</v>
      </c>
      <c r="D282" s="13" t="n">
        <v>0</v>
      </c>
      <c r="E282" s="13" t="str">
        <v/>
      </c>
      <c r="F282" s="13" t="n">
        <v>0</v>
      </c>
      <c r="G282" s="13" t="n">
        <v>0</v>
      </c>
      <c r="H282" s="13" t="n">
        <v>0</v>
      </c>
      <c r="I282" s="13" t="n">
        <v>0</v>
      </c>
      <c r="J282" s="13" t="b">
        <f aca="false">IF(ISBLANK(I282),"", IF($I$2:$I1279 = "Gohar Rehan","Overnight",IF($I$2:$I1279 = "Taufeeq Akhtar ","Overnight",IF($I$2:$I1279 = "Zeeshan Ali Malik","Audit",IF($I$2:$I1279 = "Ali Raza ","Receiving",IF($I$2:$I1279 = "Ali Ahmad","Full-In"))))))</f>
        <v>0</v>
      </c>
      <c r="K282" s="39" t="e">
        <f aca="false">IFERROR(VLOOKUP(D282,'Brand manager data '!A:B,2,0))</f>
        <v>#VALUE!</v>
      </c>
      <c r="L282" s="13" t="n">
        <v>0</v>
      </c>
      <c r="M282" s="13" t="str">
        <v>Yes</v>
      </c>
      <c r="N282" s="22"/>
      <c r="Q282" s="40"/>
      <c r="R282" s="13" t="b">
        <f aca="false">FALSE()</f>
        <v>0</v>
      </c>
      <c r="S282" s="13" t="n">
        <v>0</v>
      </c>
      <c r="T282" s="13" t="n">
        <f aca="false">S282*F282</f>
        <v>0</v>
      </c>
      <c r="U282" s="13" t="n">
        <v>0</v>
      </c>
      <c r="V282" s="13" t="n">
        <v>0</v>
      </c>
    </row>
    <row r="283" customFormat="false" ht="15.75" hidden="false" customHeight="false" outlineLevel="0" collapsed="false">
      <c r="A283" s="13" t="n">
        <v>0</v>
      </c>
      <c r="B283" s="13" t="str">
        <v/>
      </c>
      <c r="C283" s="13" t="n">
        <v>0</v>
      </c>
      <c r="D283" s="13" t="n">
        <v>0</v>
      </c>
      <c r="E283" s="13" t="str">
        <v/>
      </c>
      <c r="F283" s="13" t="n">
        <v>0</v>
      </c>
      <c r="G283" s="13" t="n">
        <v>0</v>
      </c>
      <c r="H283" s="13" t="n">
        <v>0</v>
      </c>
      <c r="I283" s="13" t="n">
        <v>0</v>
      </c>
      <c r="J283" s="13" t="b">
        <f aca="false">IF(ISBLANK(I283),"", IF($I$2:$I1280 = "Gohar Rehan","Overnight",IF($I$2:$I1280 = "Taufeeq Akhtar ","Overnight",IF($I$2:$I1280 = "Zeeshan Ali Malik","Audit",IF($I$2:$I1280 = "Ali Raza ","Receiving",IF($I$2:$I1280 = "Ali Ahmad","Full-In"))))))</f>
        <v>0</v>
      </c>
      <c r="K283" s="39" t="e">
        <f aca="false">IFERROR(VLOOKUP(D283,'Brand manager data '!A:B,2,0))</f>
        <v>#VALUE!</v>
      </c>
      <c r="L283" s="13" t="n">
        <v>0</v>
      </c>
      <c r="M283" s="13" t="str">
        <v>Yes</v>
      </c>
      <c r="N283" s="22"/>
      <c r="Q283" s="40"/>
      <c r="R283" s="13" t="b">
        <f aca="false">FALSE()</f>
        <v>0</v>
      </c>
      <c r="S283" s="13" t="n">
        <v>0</v>
      </c>
      <c r="T283" s="13" t="n">
        <f aca="false">S283*F283</f>
        <v>0</v>
      </c>
      <c r="U283" s="13" t="n">
        <v>0</v>
      </c>
      <c r="V283" s="13" t="n">
        <v>0</v>
      </c>
    </row>
    <row r="284" customFormat="false" ht="15.75" hidden="false" customHeight="false" outlineLevel="0" collapsed="false">
      <c r="A284" s="13" t="n">
        <v>0</v>
      </c>
      <c r="B284" s="13" t="str">
        <v/>
      </c>
      <c r="C284" s="13" t="n">
        <v>0</v>
      </c>
      <c r="D284" s="13" t="n">
        <v>0</v>
      </c>
      <c r="E284" s="13" t="str">
        <v/>
      </c>
      <c r="F284" s="13" t="n">
        <v>0</v>
      </c>
      <c r="G284" s="13" t="n">
        <v>0</v>
      </c>
      <c r="H284" s="13" t="n">
        <v>0</v>
      </c>
      <c r="I284" s="13" t="n">
        <v>0</v>
      </c>
      <c r="J284" s="13" t="b">
        <f aca="false">IF(ISBLANK(I284),"", IF($I$2:$I1281 = "Gohar Rehan","Overnight",IF($I$2:$I1281 = "Taufeeq Akhtar ","Overnight",IF($I$2:$I1281 = "Zeeshan Ali Malik","Audit",IF($I$2:$I1281 = "Ali Raza ","Receiving",IF($I$2:$I1281 = "Ali Ahmad","Full-In"))))))</f>
        <v>0</v>
      </c>
      <c r="K284" s="39" t="e">
        <f aca="false">IFERROR(VLOOKUP(D284,'Brand manager data '!A:B,2,0))</f>
        <v>#VALUE!</v>
      </c>
      <c r="L284" s="13" t="n">
        <v>0</v>
      </c>
      <c r="M284" s="13" t="str">
        <v>Yes</v>
      </c>
      <c r="N284" s="22"/>
      <c r="Q284" s="40"/>
      <c r="R284" s="13" t="b">
        <f aca="false">FALSE()</f>
        <v>0</v>
      </c>
      <c r="S284" s="13" t="n">
        <v>0</v>
      </c>
      <c r="T284" s="13" t="n">
        <f aca="false">S284*F284</f>
        <v>0</v>
      </c>
      <c r="U284" s="13" t="n">
        <v>0</v>
      </c>
      <c r="V284" s="13" t="n">
        <v>0</v>
      </c>
    </row>
    <row r="285" customFormat="false" ht="15.75" hidden="false" customHeight="false" outlineLevel="0" collapsed="false">
      <c r="A285" s="13" t="n">
        <v>0</v>
      </c>
      <c r="B285" s="13" t="str">
        <v/>
      </c>
      <c r="C285" s="13" t="n">
        <v>0</v>
      </c>
      <c r="D285" s="13" t="n">
        <v>0</v>
      </c>
      <c r="E285" s="13" t="str">
        <v/>
      </c>
      <c r="F285" s="13" t="n">
        <v>0</v>
      </c>
      <c r="G285" s="13" t="n">
        <v>0</v>
      </c>
      <c r="H285" s="13" t="n">
        <v>0</v>
      </c>
      <c r="I285" s="13" t="n">
        <v>0</v>
      </c>
      <c r="J285" s="13" t="b">
        <f aca="false">IF(ISBLANK(I285),"", IF($I$2:$I1282 = "Gohar Rehan","Overnight",IF($I$2:$I1282 = "Taufeeq Akhtar ","Overnight",IF($I$2:$I1282 = "Zeeshan Ali Malik","Audit",IF($I$2:$I1282 = "Ali Raza ","Receiving",IF($I$2:$I1282 = "Ali Ahmad","Full-In"))))))</f>
        <v>0</v>
      </c>
      <c r="K285" s="39" t="e">
        <f aca="false">IFERROR(VLOOKUP(D285,'Brand manager data '!A:B,2,0))</f>
        <v>#VALUE!</v>
      </c>
      <c r="L285" s="13" t="n">
        <v>0</v>
      </c>
      <c r="M285" s="13" t="str">
        <v>Yes</v>
      </c>
      <c r="N285" s="22"/>
      <c r="Q285" s="40"/>
      <c r="R285" s="13" t="b">
        <f aca="false">FALSE()</f>
        <v>0</v>
      </c>
      <c r="S285" s="13" t="n">
        <v>0</v>
      </c>
      <c r="T285" s="13" t="n">
        <f aca="false">S285*F285</f>
        <v>0</v>
      </c>
      <c r="U285" s="13" t="n">
        <v>0</v>
      </c>
      <c r="V285" s="13" t="n">
        <v>0</v>
      </c>
    </row>
    <row r="286" customFormat="false" ht="15.75" hidden="false" customHeight="false" outlineLevel="0" collapsed="false">
      <c r="A286" s="13" t="n">
        <v>0</v>
      </c>
      <c r="B286" s="13" t="str">
        <v/>
      </c>
      <c r="C286" s="13" t="n">
        <v>0</v>
      </c>
      <c r="D286" s="13" t="n">
        <v>0</v>
      </c>
      <c r="E286" s="13" t="str">
        <v/>
      </c>
      <c r="F286" s="13" t="n">
        <v>0</v>
      </c>
      <c r="G286" s="13" t="n">
        <v>0</v>
      </c>
      <c r="H286" s="13" t="n">
        <v>0</v>
      </c>
      <c r="I286" s="13" t="n">
        <v>0</v>
      </c>
      <c r="J286" s="13" t="b">
        <f aca="false">IF(ISBLANK(I286),"", IF($I$2:$I1283 = "Gohar Rehan","Overnight",IF($I$2:$I1283 = "Taufeeq Akhtar ","Overnight",IF($I$2:$I1283 = "Zeeshan Ali Malik","Audit",IF($I$2:$I1283 = "Ali Raza ","Receiving",IF($I$2:$I1283 = "Ali Ahmad","Full-In"))))))</f>
        <v>0</v>
      </c>
      <c r="K286" s="39" t="e">
        <f aca="false">IFERROR(VLOOKUP(D286,'Brand manager data '!A:B,2,0))</f>
        <v>#VALUE!</v>
      </c>
      <c r="L286" s="13" t="n">
        <v>0</v>
      </c>
      <c r="M286" s="13" t="str">
        <v>Yes</v>
      </c>
      <c r="N286" s="22"/>
      <c r="Q286" s="40"/>
      <c r="R286" s="13" t="b">
        <f aca="false">FALSE()</f>
        <v>0</v>
      </c>
      <c r="S286" s="13" t="n">
        <v>0</v>
      </c>
      <c r="T286" s="13" t="n">
        <f aca="false">S286*F286</f>
        <v>0</v>
      </c>
      <c r="U286" s="13" t="n">
        <v>0</v>
      </c>
      <c r="V286" s="13" t="n">
        <v>0</v>
      </c>
    </row>
    <row r="287" customFormat="false" ht="15.75" hidden="false" customHeight="false" outlineLevel="0" collapsed="false">
      <c r="A287" s="13" t="n">
        <v>0</v>
      </c>
      <c r="B287" s="13" t="str">
        <v/>
      </c>
      <c r="C287" s="13" t="n">
        <v>0</v>
      </c>
      <c r="D287" s="13" t="n">
        <v>0</v>
      </c>
      <c r="E287" s="13" t="str">
        <v/>
      </c>
      <c r="F287" s="13" t="n">
        <v>0</v>
      </c>
      <c r="G287" s="13" t="n">
        <v>0</v>
      </c>
      <c r="H287" s="13" t="n">
        <v>0</v>
      </c>
      <c r="I287" s="13" t="n">
        <v>0</v>
      </c>
      <c r="J287" s="13" t="b">
        <f aca="false">IF(ISBLANK(I287),"", IF($I$2:$I1284 = "Gohar Rehan","Overnight",IF($I$2:$I1284 = "Taufeeq Akhtar ","Overnight",IF($I$2:$I1284 = "Zeeshan Ali Malik","Audit",IF($I$2:$I1284 = "Ali Raza ","Receiving",IF($I$2:$I1284 = "Ali Ahmad","Full-In"))))))</f>
        <v>0</v>
      </c>
      <c r="K287" s="39" t="e">
        <f aca="false">IFERROR(VLOOKUP(D287,'Brand manager data '!A:B,2,0))</f>
        <v>#VALUE!</v>
      </c>
      <c r="L287" s="13" t="n">
        <v>0</v>
      </c>
      <c r="M287" s="13" t="str">
        <v>Yes</v>
      </c>
      <c r="N287" s="22"/>
      <c r="Q287" s="40"/>
      <c r="R287" s="13" t="b">
        <f aca="false">FALSE()</f>
        <v>0</v>
      </c>
      <c r="S287" s="13" t="n">
        <v>0</v>
      </c>
      <c r="T287" s="13" t="n">
        <f aca="false">S287*F287</f>
        <v>0</v>
      </c>
      <c r="U287" s="13" t="n">
        <v>0</v>
      </c>
      <c r="V287" s="13" t="n">
        <v>0</v>
      </c>
    </row>
    <row r="288" customFormat="false" ht="15.75" hidden="false" customHeight="false" outlineLevel="0" collapsed="false">
      <c r="A288" s="13" t="n">
        <v>0</v>
      </c>
      <c r="B288" s="13" t="str">
        <v/>
      </c>
      <c r="C288" s="13" t="n">
        <v>0</v>
      </c>
      <c r="D288" s="13" t="n">
        <v>0</v>
      </c>
      <c r="E288" s="13" t="str">
        <v/>
      </c>
      <c r="F288" s="13" t="n">
        <v>0</v>
      </c>
      <c r="G288" s="13" t="n">
        <v>0</v>
      </c>
      <c r="H288" s="13" t="n">
        <v>0</v>
      </c>
      <c r="I288" s="13" t="n">
        <v>0</v>
      </c>
      <c r="J288" s="13" t="b">
        <f aca="false">IF(ISBLANK(I288),"", IF($I$2:$I1285 = "Gohar Rehan","Overnight",IF($I$2:$I1285 = "Taufeeq Akhtar ","Overnight",IF($I$2:$I1285 = "Zeeshan Ali Malik","Audit",IF($I$2:$I1285 = "Ali Raza ","Receiving",IF($I$2:$I1285 = "Ali Ahmad","Full-In"))))))</f>
        <v>0</v>
      </c>
      <c r="K288" s="39" t="e">
        <f aca="false">IFERROR(VLOOKUP(D288,'Brand manager data '!A:B,2,0))</f>
        <v>#VALUE!</v>
      </c>
      <c r="L288" s="13" t="n">
        <v>0</v>
      </c>
      <c r="M288" s="13" t="str">
        <v>Yes</v>
      </c>
      <c r="N288" s="22"/>
      <c r="Q288" s="40"/>
      <c r="R288" s="13" t="b">
        <f aca="false">FALSE()</f>
        <v>0</v>
      </c>
      <c r="S288" s="13" t="n">
        <v>0</v>
      </c>
      <c r="T288" s="13" t="n">
        <f aca="false">S288*F288</f>
        <v>0</v>
      </c>
      <c r="U288" s="13" t="n">
        <v>0</v>
      </c>
      <c r="V288" s="13" t="n">
        <v>0</v>
      </c>
    </row>
    <row r="289" customFormat="false" ht="15.75" hidden="false" customHeight="false" outlineLevel="0" collapsed="false">
      <c r="A289" s="13" t="n">
        <v>0</v>
      </c>
      <c r="B289" s="13" t="str">
        <v/>
      </c>
      <c r="C289" s="13" t="n">
        <v>0</v>
      </c>
      <c r="D289" s="13" t="n">
        <v>0</v>
      </c>
      <c r="E289" s="13" t="str">
        <v/>
      </c>
      <c r="F289" s="13" t="n">
        <v>0</v>
      </c>
      <c r="G289" s="13" t="n">
        <v>0</v>
      </c>
      <c r="H289" s="13" t="n">
        <v>0</v>
      </c>
      <c r="I289" s="13" t="n">
        <v>0</v>
      </c>
      <c r="J289" s="13" t="b">
        <f aca="false">IF(ISBLANK(I289),"", IF($I$2:$I1286 = "Gohar Rehan","Overnight",IF($I$2:$I1286 = "Taufeeq Akhtar ","Overnight",IF($I$2:$I1286 = "Zeeshan Ali Malik","Audit",IF($I$2:$I1286 = "Ali Raza ","Receiving",IF($I$2:$I1286 = "Ali Ahmad","Full-In"))))))</f>
        <v>0</v>
      </c>
      <c r="K289" s="39" t="e">
        <f aca="false">IFERROR(VLOOKUP(D289,'Brand manager data '!A:B,2,0))</f>
        <v>#VALUE!</v>
      </c>
      <c r="L289" s="13" t="n">
        <v>0</v>
      </c>
      <c r="M289" s="13" t="str">
        <v>Yes</v>
      </c>
      <c r="N289" s="22"/>
      <c r="Q289" s="40"/>
      <c r="R289" s="13" t="b">
        <f aca="false">FALSE()</f>
        <v>0</v>
      </c>
      <c r="S289" s="13" t="n">
        <v>0</v>
      </c>
      <c r="T289" s="13" t="n">
        <f aca="false">S289*F289</f>
        <v>0</v>
      </c>
      <c r="U289" s="13" t="n">
        <v>0</v>
      </c>
      <c r="V289" s="13" t="n">
        <v>0</v>
      </c>
    </row>
    <row r="290" customFormat="false" ht="15.75" hidden="false" customHeight="false" outlineLevel="0" collapsed="false">
      <c r="A290" s="13" t="n">
        <v>0</v>
      </c>
      <c r="B290" s="13" t="str">
        <v/>
      </c>
      <c r="C290" s="13" t="n">
        <v>0</v>
      </c>
      <c r="D290" s="13" t="n">
        <v>0</v>
      </c>
      <c r="E290" s="13" t="str">
        <v/>
      </c>
      <c r="F290" s="13" t="n">
        <v>0</v>
      </c>
      <c r="G290" s="13" t="n">
        <v>0</v>
      </c>
      <c r="H290" s="13" t="n">
        <v>0</v>
      </c>
      <c r="I290" s="13" t="n">
        <v>0</v>
      </c>
      <c r="J290" s="13" t="b">
        <f aca="false">IF(ISBLANK(I290),"", IF($I$2:$I1287 = "Gohar Rehan","Overnight",IF($I$2:$I1287 = "Taufeeq Akhtar ","Overnight",IF($I$2:$I1287 = "Zeeshan Ali Malik","Audit",IF($I$2:$I1287 = "Ali Raza ","Receiving",IF($I$2:$I1287 = "Ali Ahmad","Full-In"))))))</f>
        <v>0</v>
      </c>
      <c r="K290" s="39" t="e">
        <f aca="false">IFERROR(VLOOKUP(D290,'Brand manager data '!A:B,2,0))</f>
        <v>#VALUE!</v>
      </c>
      <c r="L290" s="13" t="n">
        <v>0</v>
      </c>
      <c r="M290" s="13" t="str">
        <v>Yes</v>
      </c>
      <c r="N290" s="22"/>
      <c r="Q290" s="40"/>
      <c r="R290" s="13" t="b">
        <f aca="false">FALSE()</f>
        <v>0</v>
      </c>
      <c r="S290" s="13" t="n">
        <v>0</v>
      </c>
      <c r="T290" s="13" t="n">
        <f aca="false">S290*F290</f>
        <v>0</v>
      </c>
      <c r="U290" s="13" t="n">
        <v>0</v>
      </c>
      <c r="V290" s="13" t="n">
        <v>0</v>
      </c>
    </row>
    <row r="291" customFormat="false" ht="15.75" hidden="false" customHeight="false" outlineLevel="0" collapsed="false">
      <c r="A291" s="13" t="n">
        <v>0</v>
      </c>
      <c r="B291" s="13" t="str">
        <v/>
      </c>
      <c r="C291" s="13" t="n">
        <v>0</v>
      </c>
      <c r="D291" s="13" t="n">
        <v>0</v>
      </c>
      <c r="E291" s="13" t="str">
        <v/>
      </c>
      <c r="F291" s="13" t="n">
        <v>0</v>
      </c>
      <c r="G291" s="13" t="n">
        <v>0</v>
      </c>
      <c r="H291" s="13" t="n">
        <v>0</v>
      </c>
      <c r="I291" s="13" t="n">
        <v>0</v>
      </c>
      <c r="J291" s="13" t="b">
        <f aca="false">IF(ISBLANK(I291),"", IF($I$2:$I1288 = "Gohar Rehan","Overnight",IF($I$2:$I1288 = "Taufeeq Akhtar ","Overnight",IF($I$2:$I1288 = "Zeeshan Ali Malik","Audit",IF($I$2:$I1288 = "Ali Raza ","Receiving",IF($I$2:$I1288 = "Ali Ahmad","Full-In"))))))</f>
        <v>0</v>
      </c>
      <c r="K291" s="39" t="e">
        <f aca="false">IFERROR(VLOOKUP(D291,'Brand manager data '!A:B,2,0))</f>
        <v>#VALUE!</v>
      </c>
      <c r="L291" s="13" t="n">
        <v>0</v>
      </c>
      <c r="M291" s="13" t="str">
        <v>Yes</v>
      </c>
      <c r="N291" s="22"/>
      <c r="Q291" s="40"/>
      <c r="R291" s="13" t="b">
        <f aca="false">FALSE()</f>
        <v>0</v>
      </c>
      <c r="S291" s="13" t="n">
        <v>0</v>
      </c>
      <c r="T291" s="13" t="n">
        <f aca="false">S291*F291</f>
        <v>0</v>
      </c>
      <c r="U291" s="13" t="n">
        <v>0</v>
      </c>
      <c r="V291" s="13" t="n">
        <v>0</v>
      </c>
    </row>
    <row r="292" customFormat="false" ht="15.75" hidden="false" customHeight="false" outlineLevel="0" collapsed="false">
      <c r="A292" s="13" t="n">
        <v>0</v>
      </c>
      <c r="B292" s="13" t="str">
        <v/>
      </c>
      <c r="C292" s="13" t="n">
        <v>0</v>
      </c>
      <c r="D292" s="13" t="n">
        <v>0</v>
      </c>
      <c r="E292" s="13" t="str">
        <v/>
      </c>
      <c r="F292" s="13" t="n">
        <v>0</v>
      </c>
      <c r="G292" s="13" t="n">
        <v>0</v>
      </c>
      <c r="H292" s="13" t="n">
        <v>0</v>
      </c>
      <c r="I292" s="13" t="n">
        <v>0</v>
      </c>
      <c r="J292" s="13" t="b">
        <f aca="false">IF(ISBLANK(I292),"", IF($I$2:$I1289 = "Gohar Rehan","Overnight",IF($I$2:$I1289 = "Taufeeq Akhtar ","Overnight",IF($I$2:$I1289 = "Zeeshan Ali Malik","Audit",IF($I$2:$I1289 = "Ali Raza ","Receiving",IF($I$2:$I1289 = "Ali Ahmad","Full-In"))))))</f>
        <v>0</v>
      </c>
      <c r="K292" s="39" t="e">
        <f aca="false">IFERROR(VLOOKUP(D292,'Brand manager data '!A:B,2,0))</f>
        <v>#VALUE!</v>
      </c>
      <c r="L292" s="13" t="n">
        <v>0</v>
      </c>
      <c r="M292" s="13" t="str">
        <v>Yes</v>
      </c>
      <c r="N292" s="22"/>
      <c r="Q292" s="40"/>
      <c r="R292" s="13" t="b">
        <f aca="false">FALSE()</f>
        <v>0</v>
      </c>
      <c r="S292" s="13" t="n">
        <v>0</v>
      </c>
      <c r="T292" s="13" t="n">
        <f aca="false">S292*F292</f>
        <v>0</v>
      </c>
      <c r="U292" s="13" t="n">
        <v>0</v>
      </c>
      <c r="V292" s="13" t="n">
        <v>0</v>
      </c>
    </row>
    <row r="293" customFormat="false" ht="15.75" hidden="false" customHeight="false" outlineLevel="0" collapsed="false">
      <c r="A293" s="13" t="n">
        <v>0</v>
      </c>
      <c r="B293" s="13" t="str">
        <v/>
      </c>
      <c r="C293" s="13" t="n">
        <v>0</v>
      </c>
      <c r="D293" s="13" t="n">
        <v>0</v>
      </c>
      <c r="E293" s="13" t="str">
        <v/>
      </c>
      <c r="F293" s="13" t="n">
        <v>0</v>
      </c>
      <c r="G293" s="13" t="n">
        <v>0</v>
      </c>
      <c r="H293" s="13" t="n">
        <v>0</v>
      </c>
      <c r="I293" s="13" t="n">
        <v>0</v>
      </c>
      <c r="J293" s="13" t="b">
        <f aca="false">IF(ISBLANK(I293),"", IF($I$2:$I1290 = "Gohar Rehan","Overnight",IF($I$2:$I1290 = "Taufeeq Akhtar ","Overnight",IF($I$2:$I1290 = "Zeeshan Ali Malik","Audit",IF($I$2:$I1290 = "Ali Raza ","Receiving",IF($I$2:$I1290 = "Ali Ahmad","Full-In"))))))</f>
        <v>0</v>
      </c>
      <c r="K293" s="39" t="e">
        <f aca="false">IFERROR(VLOOKUP(D293,'Brand manager data '!A:B,2,0))</f>
        <v>#VALUE!</v>
      </c>
      <c r="L293" s="13" t="n">
        <v>0</v>
      </c>
      <c r="M293" s="13" t="str">
        <v>Yes</v>
      </c>
      <c r="N293" s="22"/>
      <c r="Q293" s="40"/>
      <c r="R293" s="13" t="b">
        <f aca="false">FALSE()</f>
        <v>0</v>
      </c>
      <c r="S293" s="13" t="n">
        <v>0</v>
      </c>
      <c r="T293" s="13" t="n">
        <f aca="false">S293*F293</f>
        <v>0</v>
      </c>
      <c r="U293" s="13" t="n">
        <v>0</v>
      </c>
      <c r="V293" s="13" t="n">
        <v>0</v>
      </c>
    </row>
    <row r="294" customFormat="false" ht="15.75" hidden="false" customHeight="false" outlineLevel="0" collapsed="false">
      <c r="A294" s="13" t="n">
        <v>0</v>
      </c>
      <c r="B294" s="13" t="str">
        <v/>
      </c>
      <c r="C294" s="13" t="n">
        <v>0</v>
      </c>
      <c r="D294" s="13" t="n">
        <v>0</v>
      </c>
      <c r="E294" s="13" t="str">
        <v/>
      </c>
      <c r="F294" s="13" t="n">
        <v>0</v>
      </c>
      <c r="G294" s="13" t="n">
        <v>0</v>
      </c>
      <c r="H294" s="13" t="n">
        <v>0</v>
      </c>
      <c r="I294" s="13" t="n">
        <v>0</v>
      </c>
      <c r="J294" s="13" t="b">
        <f aca="false">IF(ISBLANK(I294),"", IF($I$2:$I1291 = "Gohar Rehan","Overnight",IF($I$2:$I1291 = "Taufeeq Akhtar ","Overnight",IF($I$2:$I1291 = "Zeeshan Ali Malik","Audit",IF($I$2:$I1291 = "Ali Raza ","Receiving",IF($I$2:$I1291 = "Ali Ahmad","Full-In"))))))</f>
        <v>0</v>
      </c>
      <c r="K294" s="39" t="e">
        <f aca="false">IFERROR(VLOOKUP(D294,'Brand manager data '!A:B,2,0))</f>
        <v>#VALUE!</v>
      </c>
      <c r="L294" s="13" t="n">
        <v>0</v>
      </c>
      <c r="M294" s="13" t="str">
        <v>Yes</v>
      </c>
      <c r="N294" s="22"/>
      <c r="Q294" s="40"/>
      <c r="R294" s="13" t="b">
        <f aca="false">FALSE()</f>
        <v>0</v>
      </c>
      <c r="S294" s="13" t="n">
        <v>0</v>
      </c>
      <c r="T294" s="13" t="n">
        <f aca="false">S294*F294</f>
        <v>0</v>
      </c>
      <c r="U294" s="13" t="n">
        <v>0</v>
      </c>
      <c r="V294" s="13" t="n">
        <v>0</v>
      </c>
    </row>
    <row r="295" customFormat="false" ht="15.75" hidden="false" customHeight="false" outlineLevel="0" collapsed="false">
      <c r="A295" s="13" t="n">
        <v>0</v>
      </c>
      <c r="B295" s="13" t="str">
        <v/>
      </c>
      <c r="C295" s="13" t="n">
        <v>0</v>
      </c>
      <c r="D295" s="13" t="n">
        <v>0</v>
      </c>
      <c r="E295" s="13" t="str">
        <v/>
      </c>
      <c r="F295" s="13" t="n">
        <v>0</v>
      </c>
      <c r="G295" s="13" t="n">
        <v>0</v>
      </c>
      <c r="H295" s="13" t="n">
        <v>0</v>
      </c>
      <c r="I295" s="13" t="n">
        <v>0</v>
      </c>
      <c r="J295" s="13" t="b">
        <f aca="false">IF(ISBLANK(I295),"", IF($I$2:$I1292 = "Gohar Rehan","Overnight",IF($I$2:$I1292 = "Taufeeq Akhtar ","Overnight",IF($I$2:$I1292 = "Zeeshan Ali Malik","Audit",IF($I$2:$I1292 = "Ali Raza ","Receiving",IF($I$2:$I1292 = "Ali Ahmad","Full-In"))))))</f>
        <v>0</v>
      </c>
      <c r="K295" s="39" t="e">
        <f aca="false">IFERROR(VLOOKUP(D295,'Brand manager data '!A:B,2,0))</f>
        <v>#VALUE!</v>
      </c>
      <c r="L295" s="13" t="n">
        <v>0</v>
      </c>
      <c r="M295" s="13" t="str">
        <v>Yes</v>
      </c>
      <c r="N295" s="22"/>
      <c r="Q295" s="40"/>
      <c r="R295" s="13" t="b">
        <f aca="false">FALSE()</f>
        <v>0</v>
      </c>
      <c r="S295" s="13" t="n">
        <v>0</v>
      </c>
      <c r="T295" s="13" t="n">
        <f aca="false">S295*F295</f>
        <v>0</v>
      </c>
      <c r="U295" s="13" t="n">
        <v>0</v>
      </c>
      <c r="V295" s="13" t="n">
        <v>0</v>
      </c>
    </row>
    <row r="296" customFormat="false" ht="15.75" hidden="false" customHeight="false" outlineLevel="0" collapsed="false">
      <c r="A296" s="13" t="n">
        <v>0</v>
      </c>
      <c r="B296" s="13" t="str">
        <v/>
      </c>
      <c r="C296" s="13" t="n">
        <v>0</v>
      </c>
      <c r="D296" s="13" t="n">
        <v>0</v>
      </c>
      <c r="E296" s="13" t="str">
        <v/>
      </c>
      <c r="F296" s="13" t="n">
        <v>0</v>
      </c>
      <c r="G296" s="13" t="n">
        <v>0</v>
      </c>
      <c r="H296" s="13" t="n">
        <v>0</v>
      </c>
      <c r="I296" s="13" t="n">
        <v>0</v>
      </c>
      <c r="J296" s="13" t="b">
        <f aca="false">IF(ISBLANK(I296),"", IF($I$2:$I1293 = "Gohar Rehan","Overnight",IF($I$2:$I1293 = "Taufeeq Akhtar ","Overnight",IF($I$2:$I1293 = "Zeeshan Ali Malik","Audit",IF($I$2:$I1293 = "Ali Raza ","Receiving",IF($I$2:$I1293 = "Ali Ahmad","Full-In"))))))</f>
        <v>0</v>
      </c>
      <c r="K296" s="39" t="e">
        <f aca="false">IFERROR(VLOOKUP(D296,'Brand manager data '!A:B,2,0))</f>
        <v>#VALUE!</v>
      </c>
      <c r="L296" s="13" t="n">
        <v>0</v>
      </c>
      <c r="M296" s="13" t="str">
        <v>Yes</v>
      </c>
      <c r="N296" s="22"/>
      <c r="Q296" s="40"/>
      <c r="R296" s="13" t="b">
        <f aca="false">FALSE()</f>
        <v>0</v>
      </c>
      <c r="S296" s="13" t="n">
        <v>0</v>
      </c>
      <c r="T296" s="13" t="n">
        <f aca="false">S296*F296</f>
        <v>0</v>
      </c>
      <c r="U296" s="13" t="n">
        <v>0</v>
      </c>
      <c r="V296" s="13" t="n">
        <v>0</v>
      </c>
    </row>
    <row r="297" customFormat="false" ht="15.75" hidden="false" customHeight="false" outlineLevel="0" collapsed="false">
      <c r="A297" s="13" t="n">
        <v>0</v>
      </c>
      <c r="B297" s="13" t="str">
        <v/>
      </c>
      <c r="C297" s="13" t="n">
        <v>0</v>
      </c>
      <c r="D297" s="13" t="n">
        <v>0</v>
      </c>
      <c r="E297" s="13" t="str">
        <v/>
      </c>
      <c r="F297" s="13" t="n">
        <v>0</v>
      </c>
      <c r="G297" s="13" t="n">
        <v>0</v>
      </c>
      <c r="H297" s="13" t="n">
        <v>0</v>
      </c>
      <c r="I297" s="13" t="n">
        <v>0</v>
      </c>
      <c r="J297" s="13" t="b">
        <f aca="false">IF(ISBLANK(I297),"", IF($I$2:$I1294 = "Gohar Rehan","Overnight",IF($I$2:$I1294 = "Taufeeq Akhtar ","Overnight",IF($I$2:$I1294 = "Zeeshan Ali Malik","Audit",IF($I$2:$I1294 = "Ali Raza ","Receiving",IF($I$2:$I1294 = "Ali Ahmad","Full-In"))))))</f>
        <v>0</v>
      </c>
      <c r="K297" s="39" t="e">
        <f aca="false">IFERROR(VLOOKUP(D297,'Brand manager data '!A:B,2,0))</f>
        <v>#VALUE!</v>
      </c>
      <c r="L297" s="13" t="n">
        <v>0</v>
      </c>
      <c r="M297" s="13" t="str">
        <v>Yes</v>
      </c>
      <c r="N297" s="22"/>
      <c r="Q297" s="40"/>
      <c r="R297" s="13" t="b">
        <f aca="false">FALSE()</f>
        <v>0</v>
      </c>
      <c r="S297" s="13" t="n">
        <v>0</v>
      </c>
      <c r="T297" s="13" t="n">
        <f aca="false">S297*F297</f>
        <v>0</v>
      </c>
      <c r="U297" s="13" t="n">
        <v>0</v>
      </c>
      <c r="V297" s="13" t="n">
        <v>0</v>
      </c>
    </row>
    <row r="298" customFormat="false" ht="15.75" hidden="false" customHeight="false" outlineLevel="0" collapsed="false">
      <c r="A298" s="13" t="n">
        <v>0</v>
      </c>
      <c r="B298" s="13" t="str">
        <v/>
      </c>
      <c r="C298" s="13" t="n">
        <v>0</v>
      </c>
      <c r="D298" s="13" t="n">
        <v>0</v>
      </c>
      <c r="E298" s="13" t="str">
        <v/>
      </c>
      <c r="F298" s="13" t="n">
        <v>0</v>
      </c>
      <c r="G298" s="13" t="n">
        <v>0</v>
      </c>
      <c r="H298" s="13" t="n">
        <v>0</v>
      </c>
      <c r="I298" s="13" t="n">
        <v>0</v>
      </c>
      <c r="J298" s="13" t="b">
        <f aca="false">IF(ISBLANK(I298),"", IF($I$2:$I1295 = "Gohar Rehan","Overnight",IF($I$2:$I1295 = "Taufeeq Akhtar ","Overnight",IF($I$2:$I1295 = "Zeeshan Ali Malik","Audit",IF($I$2:$I1295 = "Ali Raza ","Receiving",IF($I$2:$I1295 = "Ali Ahmad","Full-In"))))))</f>
        <v>0</v>
      </c>
      <c r="K298" s="39" t="e">
        <f aca="false">IFERROR(VLOOKUP(D298,'Brand manager data '!A:B,2,0))</f>
        <v>#VALUE!</v>
      </c>
      <c r="L298" s="13" t="n">
        <v>0</v>
      </c>
      <c r="M298" s="13" t="str">
        <v>Yes</v>
      </c>
      <c r="N298" s="22"/>
      <c r="Q298" s="40"/>
      <c r="R298" s="13" t="b">
        <f aca="false">FALSE()</f>
        <v>0</v>
      </c>
      <c r="S298" s="13" t="n">
        <v>0</v>
      </c>
      <c r="T298" s="13" t="n">
        <f aca="false">S298*F298</f>
        <v>0</v>
      </c>
      <c r="U298" s="13" t="n">
        <v>0</v>
      </c>
      <c r="V298" s="13" t="n">
        <v>0</v>
      </c>
    </row>
    <row r="299" customFormat="false" ht="15.75" hidden="false" customHeight="false" outlineLevel="0" collapsed="false">
      <c r="A299" s="13" t="n">
        <v>0</v>
      </c>
      <c r="B299" s="13" t="str">
        <v/>
      </c>
      <c r="C299" s="13" t="n">
        <v>0</v>
      </c>
      <c r="D299" s="13" t="n">
        <v>0</v>
      </c>
      <c r="E299" s="13" t="str">
        <v/>
      </c>
      <c r="F299" s="13" t="n">
        <v>0</v>
      </c>
      <c r="G299" s="13" t="n">
        <v>0</v>
      </c>
      <c r="H299" s="13" t="n">
        <v>0</v>
      </c>
      <c r="I299" s="13" t="n">
        <v>0</v>
      </c>
      <c r="J299" s="13" t="b">
        <f aca="false">IF(ISBLANK(I299),"", IF($I$2:$I1296 = "Gohar Rehan","Overnight",IF($I$2:$I1296 = "Taufeeq Akhtar ","Overnight",IF($I$2:$I1296 = "Zeeshan Ali Malik","Audit",IF($I$2:$I1296 = "Ali Raza ","Receiving",IF($I$2:$I1296 = "Ali Ahmad","Full-In"))))))</f>
        <v>0</v>
      </c>
      <c r="K299" s="39" t="e">
        <f aca="false">IFERROR(VLOOKUP(D299,'Brand manager data '!A:B,2,0))</f>
        <v>#VALUE!</v>
      </c>
      <c r="L299" s="13" t="n">
        <v>0</v>
      </c>
      <c r="M299" s="13" t="str">
        <v>Yes</v>
      </c>
      <c r="N299" s="22"/>
      <c r="Q299" s="40"/>
      <c r="R299" s="13" t="b">
        <f aca="false">FALSE()</f>
        <v>0</v>
      </c>
      <c r="S299" s="13" t="n">
        <v>0</v>
      </c>
      <c r="T299" s="13" t="n">
        <f aca="false">S299*F299</f>
        <v>0</v>
      </c>
      <c r="U299" s="13" t="n">
        <v>0</v>
      </c>
      <c r="V299" s="13" t="n">
        <v>0</v>
      </c>
    </row>
    <row r="300" customFormat="false" ht="15.75" hidden="false" customHeight="false" outlineLevel="0" collapsed="false">
      <c r="A300" s="13" t="n">
        <v>0</v>
      </c>
      <c r="B300" s="13" t="str">
        <v/>
      </c>
      <c r="C300" s="13" t="n">
        <v>0</v>
      </c>
      <c r="D300" s="13" t="n">
        <v>0</v>
      </c>
      <c r="E300" s="13" t="str">
        <v/>
      </c>
      <c r="F300" s="13" t="n">
        <v>0</v>
      </c>
      <c r="G300" s="13" t="n">
        <v>0</v>
      </c>
      <c r="H300" s="13" t="n">
        <v>0</v>
      </c>
      <c r="I300" s="13" t="n">
        <v>0</v>
      </c>
      <c r="J300" s="13" t="b">
        <f aca="false">IF(ISBLANK(I300),"", IF($I$2:$I1297 = "Gohar Rehan","Overnight",IF($I$2:$I1297 = "Taufeeq Akhtar ","Overnight",IF($I$2:$I1297 = "Zeeshan Ali Malik","Audit",IF($I$2:$I1297 = "Ali Raza ","Receiving",IF($I$2:$I1297 = "Ali Ahmad","Full-In"))))))</f>
        <v>0</v>
      </c>
      <c r="K300" s="39" t="e">
        <f aca="false">IFERROR(VLOOKUP(D300,'Brand manager data '!A:B,2,0))</f>
        <v>#VALUE!</v>
      </c>
      <c r="L300" s="13" t="n">
        <v>0</v>
      </c>
      <c r="M300" s="13" t="str">
        <v>Yes</v>
      </c>
      <c r="N300" s="22"/>
      <c r="Q300" s="40"/>
      <c r="R300" s="13" t="b">
        <f aca="false">FALSE()</f>
        <v>0</v>
      </c>
      <c r="S300" s="13" t="n">
        <v>0</v>
      </c>
      <c r="T300" s="13" t="n">
        <f aca="false">S300*F300</f>
        <v>0</v>
      </c>
      <c r="U300" s="13" t="n">
        <v>0</v>
      </c>
      <c r="V300" s="13" t="n">
        <v>0</v>
      </c>
    </row>
    <row r="301" customFormat="false" ht="15.75" hidden="false" customHeight="false" outlineLevel="0" collapsed="false">
      <c r="A301" s="13" t="n">
        <v>0</v>
      </c>
      <c r="B301" s="13" t="str">
        <v/>
      </c>
      <c r="C301" s="13" t="n">
        <v>0</v>
      </c>
      <c r="D301" s="13" t="n">
        <v>0</v>
      </c>
      <c r="E301" s="13" t="str">
        <v/>
      </c>
      <c r="F301" s="13" t="n">
        <v>0</v>
      </c>
      <c r="G301" s="13" t="n">
        <v>0</v>
      </c>
      <c r="H301" s="13" t="n">
        <v>0</v>
      </c>
      <c r="I301" s="13" t="n">
        <v>0</v>
      </c>
      <c r="J301" s="13" t="b">
        <f aca="false">IF(ISBLANK(I301),"", IF($I$2:$I1298 = "Gohar Rehan","Overnight",IF($I$2:$I1298 = "Taufeeq Akhtar ","Overnight",IF($I$2:$I1298 = "Zeeshan Ali Malik","Audit",IF($I$2:$I1298 = "Ali Raza ","Receiving",IF($I$2:$I1298 = "Ali Ahmad","Full-In"))))))</f>
        <v>0</v>
      </c>
      <c r="K301" s="39" t="e">
        <f aca="false">IFERROR(VLOOKUP(D301,'Brand manager data '!A:B,2,0))</f>
        <v>#VALUE!</v>
      </c>
      <c r="L301" s="13" t="n">
        <v>0</v>
      </c>
      <c r="M301" s="13" t="str">
        <v>Yes</v>
      </c>
      <c r="N301" s="22"/>
      <c r="Q301" s="40"/>
      <c r="R301" s="13" t="b">
        <f aca="false">FALSE()</f>
        <v>0</v>
      </c>
      <c r="S301" s="13" t="n">
        <v>0</v>
      </c>
      <c r="T301" s="13" t="n">
        <f aca="false">S301*F301</f>
        <v>0</v>
      </c>
      <c r="U301" s="13" t="n">
        <v>0</v>
      </c>
      <c r="V301" s="13" t="n">
        <v>0</v>
      </c>
    </row>
    <row r="302" customFormat="false" ht="15.75" hidden="false" customHeight="false" outlineLevel="0" collapsed="false">
      <c r="A302" s="13" t="n">
        <v>0</v>
      </c>
      <c r="B302" s="13" t="str">
        <v/>
      </c>
      <c r="C302" s="13" t="n">
        <v>0</v>
      </c>
      <c r="D302" s="13" t="n">
        <v>0</v>
      </c>
      <c r="E302" s="13" t="str">
        <v/>
      </c>
      <c r="F302" s="13" t="n">
        <v>0</v>
      </c>
      <c r="G302" s="13" t="n">
        <v>0</v>
      </c>
      <c r="H302" s="13" t="n">
        <v>0</v>
      </c>
      <c r="I302" s="13" t="n">
        <v>0</v>
      </c>
      <c r="J302" s="13" t="b">
        <f aca="false">IF(ISBLANK(I302),"", IF($I$2:$I1299 = "Gohar Rehan","Overnight",IF($I$2:$I1299 = "Taufeeq Akhtar ","Overnight",IF($I$2:$I1299 = "Zeeshan Ali Malik","Audit",IF($I$2:$I1299 = "Ali Raza ","Receiving",IF($I$2:$I1299 = "Ali Ahmad","Full-In"))))))</f>
        <v>0</v>
      </c>
      <c r="K302" s="39" t="e">
        <f aca="false">IFERROR(VLOOKUP(D302,'Brand manager data '!A:B,2,0))</f>
        <v>#VALUE!</v>
      </c>
      <c r="L302" s="13" t="n">
        <v>0</v>
      </c>
      <c r="M302" s="13" t="str">
        <v>Yes</v>
      </c>
      <c r="N302" s="22"/>
      <c r="Q302" s="40"/>
      <c r="R302" s="13" t="b">
        <f aca="false">FALSE()</f>
        <v>0</v>
      </c>
      <c r="S302" s="13" t="n">
        <v>0</v>
      </c>
      <c r="T302" s="13" t="n">
        <f aca="false">S302*F302</f>
        <v>0</v>
      </c>
      <c r="U302" s="13" t="n">
        <v>0</v>
      </c>
      <c r="V302" s="13" t="n">
        <v>0</v>
      </c>
    </row>
    <row r="303" customFormat="false" ht="15.75" hidden="false" customHeight="false" outlineLevel="0" collapsed="false">
      <c r="A303" s="13" t="n">
        <v>0</v>
      </c>
      <c r="B303" s="13" t="str">
        <v/>
      </c>
      <c r="C303" s="13" t="n">
        <v>0</v>
      </c>
      <c r="D303" s="13" t="n">
        <v>0</v>
      </c>
      <c r="E303" s="13" t="str">
        <v/>
      </c>
      <c r="F303" s="13" t="n">
        <v>0</v>
      </c>
      <c r="G303" s="13" t="n">
        <v>0</v>
      </c>
      <c r="H303" s="13" t="n">
        <v>0</v>
      </c>
      <c r="I303" s="13" t="n">
        <v>0</v>
      </c>
      <c r="J303" s="13" t="b">
        <f aca="false">IF(ISBLANK(I303),"", IF($I$2:$I1300 = "Gohar Rehan","Overnight",IF($I$2:$I1300 = "Taufeeq Akhtar ","Overnight",IF($I$2:$I1300 = "Zeeshan Ali Malik","Audit",IF($I$2:$I1300 = "Ali Raza ","Receiving",IF($I$2:$I1300 = "Ali Ahmad","Full-In"))))))</f>
        <v>0</v>
      </c>
      <c r="K303" s="39" t="e">
        <f aca="false">IFERROR(VLOOKUP(D303,'Brand manager data '!A:B,2,0))</f>
        <v>#VALUE!</v>
      </c>
      <c r="L303" s="13" t="n">
        <v>0</v>
      </c>
      <c r="M303" s="13" t="str">
        <v>Yes</v>
      </c>
      <c r="N303" s="22"/>
      <c r="Q303" s="40"/>
      <c r="R303" s="13" t="b">
        <f aca="false">FALSE()</f>
        <v>0</v>
      </c>
      <c r="S303" s="13" t="n">
        <v>0</v>
      </c>
      <c r="T303" s="13" t="n">
        <f aca="false">S303*F303</f>
        <v>0</v>
      </c>
      <c r="U303" s="13" t="n">
        <v>0</v>
      </c>
      <c r="V303" s="13" t="n">
        <v>0</v>
      </c>
    </row>
    <row r="304" customFormat="false" ht="15.75" hidden="false" customHeight="false" outlineLevel="0" collapsed="false">
      <c r="A304" s="13" t="n">
        <v>0</v>
      </c>
      <c r="B304" s="13" t="str">
        <v/>
      </c>
      <c r="C304" s="13" t="n">
        <v>0</v>
      </c>
      <c r="D304" s="13" t="n">
        <v>0</v>
      </c>
      <c r="E304" s="13" t="str">
        <v/>
      </c>
      <c r="F304" s="13" t="n">
        <v>0</v>
      </c>
      <c r="G304" s="13" t="n">
        <v>0</v>
      </c>
      <c r="H304" s="13" t="n">
        <v>0</v>
      </c>
      <c r="I304" s="13" t="n">
        <v>0</v>
      </c>
      <c r="J304" s="13" t="b">
        <f aca="false">IF(ISBLANK(I304),"", IF($I$2:$I1301 = "Gohar Rehan","Overnight",IF($I$2:$I1301 = "Taufeeq Akhtar ","Overnight",IF($I$2:$I1301 = "Zeeshan Ali Malik","Audit",IF($I$2:$I1301 = "Ali Raza ","Receiving",IF($I$2:$I1301 = "Ali Ahmad","Full-In"))))))</f>
        <v>0</v>
      </c>
      <c r="K304" s="39" t="e">
        <f aca="false">IFERROR(VLOOKUP(D304,'Brand manager data '!A:B,2,0))</f>
        <v>#VALUE!</v>
      </c>
      <c r="L304" s="13" t="n">
        <v>0</v>
      </c>
      <c r="M304" s="13" t="str">
        <v>Yes</v>
      </c>
      <c r="N304" s="22"/>
      <c r="Q304" s="40"/>
      <c r="R304" s="13" t="b">
        <f aca="false">FALSE()</f>
        <v>0</v>
      </c>
      <c r="S304" s="13" t="n">
        <v>0</v>
      </c>
      <c r="T304" s="13" t="n">
        <f aca="false">S304*F304</f>
        <v>0</v>
      </c>
      <c r="U304" s="13" t="n">
        <v>0</v>
      </c>
      <c r="V304" s="13" t="n">
        <v>0</v>
      </c>
    </row>
    <row r="305" customFormat="false" ht="15.75" hidden="false" customHeight="false" outlineLevel="0" collapsed="false">
      <c r="A305" s="13" t="n">
        <v>0</v>
      </c>
      <c r="B305" s="13" t="str">
        <v/>
      </c>
      <c r="C305" s="13" t="n">
        <v>0</v>
      </c>
      <c r="D305" s="13" t="n">
        <v>0</v>
      </c>
      <c r="E305" s="13" t="str">
        <v/>
      </c>
      <c r="F305" s="13" t="n">
        <v>0</v>
      </c>
      <c r="G305" s="13" t="n">
        <v>0</v>
      </c>
      <c r="H305" s="13" t="n">
        <v>0</v>
      </c>
      <c r="I305" s="13" t="n">
        <v>0</v>
      </c>
      <c r="J305" s="13" t="b">
        <f aca="false">IF(ISBLANK(I305),"", IF($I$2:$I1302 = "Gohar Rehan","Overnight",IF($I$2:$I1302 = "Taufeeq Akhtar ","Overnight",IF($I$2:$I1302 = "Zeeshan Ali Malik","Audit",IF($I$2:$I1302 = "Ali Raza ","Receiving",IF($I$2:$I1302 = "Ali Ahmad","Full-In"))))))</f>
        <v>0</v>
      </c>
      <c r="K305" s="39" t="e">
        <f aca="false">IFERROR(VLOOKUP(D305,'Brand manager data '!A:B,2,0))</f>
        <v>#VALUE!</v>
      </c>
      <c r="L305" s="13" t="n">
        <v>0</v>
      </c>
      <c r="M305" s="13" t="str">
        <v>Yes</v>
      </c>
      <c r="N305" s="22"/>
      <c r="Q305" s="40"/>
      <c r="R305" s="13" t="b">
        <f aca="false">FALSE()</f>
        <v>0</v>
      </c>
      <c r="S305" s="13" t="n">
        <v>0</v>
      </c>
      <c r="T305" s="13" t="n">
        <f aca="false">S305*F305</f>
        <v>0</v>
      </c>
      <c r="U305" s="13" t="n">
        <v>0</v>
      </c>
      <c r="V305" s="13" t="n">
        <v>0</v>
      </c>
    </row>
    <row r="306" customFormat="false" ht="15.75" hidden="false" customHeight="false" outlineLevel="0" collapsed="false">
      <c r="A306" s="13" t="n">
        <v>0</v>
      </c>
      <c r="B306" s="13" t="str">
        <v/>
      </c>
      <c r="C306" s="13" t="n">
        <v>0</v>
      </c>
      <c r="D306" s="13" t="n">
        <v>0</v>
      </c>
      <c r="E306" s="13" t="str">
        <v/>
      </c>
      <c r="F306" s="13" t="n">
        <v>0</v>
      </c>
      <c r="G306" s="13" t="n">
        <v>0</v>
      </c>
      <c r="H306" s="13" t="n">
        <v>0</v>
      </c>
      <c r="I306" s="13" t="n">
        <v>0</v>
      </c>
      <c r="J306" s="13" t="b">
        <f aca="false">IF(ISBLANK(I306),"", IF($I$2:$I1303 = "Gohar Rehan","Overnight",IF($I$2:$I1303 = "Taufeeq Akhtar ","Overnight",IF($I$2:$I1303 = "Zeeshan Ali Malik","Audit",IF($I$2:$I1303 = "Ali Raza ","Receiving",IF($I$2:$I1303 = "Ali Ahmad","Full-In"))))))</f>
        <v>0</v>
      </c>
      <c r="K306" s="39" t="e">
        <f aca="false">IFERROR(VLOOKUP(D306,'Brand manager data '!A:B,2,0))</f>
        <v>#VALUE!</v>
      </c>
      <c r="L306" s="13" t="n">
        <v>0</v>
      </c>
      <c r="M306" s="13" t="str">
        <v>Yes</v>
      </c>
      <c r="N306" s="22"/>
      <c r="Q306" s="40"/>
      <c r="R306" s="13" t="b">
        <f aca="false">FALSE()</f>
        <v>0</v>
      </c>
      <c r="S306" s="13" t="n">
        <v>0</v>
      </c>
      <c r="T306" s="13" t="n">
        <f aca="false">S306*F306</f>
        <v>0</v>
      </c>
      <c r="U306" s="13" t="n">
        <v>0</v>
      </c>
      <c r="V306" s="13" t="n">
        <v>0</v>
      </c>
    </row>
    <row r="307" customFormat="false" ht="15.75" hidden="false" customHeight="false" outlineLevel="0" collapsed="false">
      <c r="A307" s="13" t="n">
        <v>0</v>
      </c>
      <c r="B307" s="13" t="str">
        <v/>
      </c>
      <c r="C307" s="13" t="n">
        <v>0</v>
      </c>
      <c r="D307" s="13" t="n">
        <v>0</v>
      </c>
      <c r="E307" s="13" t="str">
        <v/>
      </c>
      <c r="F307" s="13" t="n">
        <v>0</v>
      </c>
      <c r="G307" s="13" t="n">
        <v>0</v>
      </c>
      <c r="H307" s="13" t="n">
        <v>0</v>
      </c>
      <c r="I307" s="13" t="n">
        <v>0</v>
      </c>
      <c r="J307" s="13" t="b">
        <f aca="false">IF(ISBLANK(I307),"", IF($I$2:$I1304 = "Gohar Rehan","Overnight",IF($I$2:$I1304 = "Taufeeq Akhtar ","Overnight",IF($I$2:$I1304 = "Zeeshan Ali Malik","Audit",IF($I$2:$I1304 = "Ali Raza ","Receiving",IF($I$2:$I1304 = "Ali Ahmad","Full-In"))))))</f>
        <v>0</v>
      </c>
      <c r="K307" s="39" t="e">
        <f aca="false">IFERROR(VLOOKUP(D307,'Brand manager data '!A:B,2,0))</f>
        <v>#VALUE!</v>
      </c>
      <c r="L307" s="13" t="n">
        <v>0</v>
      </c>
      <c r="M307" s="13" t="str">
        <v>Yes</v>
      </c>
      <c r="N307" s="22"/>
      <c r="Q307" s="40"/>
      <c r="R307" s="13" t="b">
        <f aca="false">FALSE()</f>
        <v>0</v>
      </c>
      <c r="S307" s="13" t="n">
        <v>0</v>
      </c>
      <c r="T307" s="13" t="n">
        <f aca="false">S307*F307</f>
        <v>0</v>
      </c>
      <c r="U307" s="13" t="n">
        <v>0</v>
      </c>
      <c r="V307" s="13" t="n">
        <v>0</v>
      </c>
    </row>
    <row r="308" customFormat="false" ht="15.75" hidden="false" customHeight="false" outlineLevel="0" collapsed="false">
      <c r="A308" s="13" t="n">
        <v>0</v>
      </c>
      <c r="B308" s="13" t="str">
        <v/>
      </c>
      <c r="C308" s="13" t="n">
        <v>0</v>
      </c>
      <c r="D308" s="13" t="n">
        <v>0</v>
      </c>
      <c r="E308" s="13" t="str">
        <v/>
      </c>
      <c r="F308" s="13" t="n">
        <v>0</v>
      </c>
      <c r="G308" s="13" t="n">
        <v>0</v>
      </c>
      <c r="H308" s="13" t="n">
        <v>0</v>
      </c>
      <c r="I308" s="13" t="n">
        <v>0</v>
      </c>
      <c r="J308" s="13" t="b">
        <f aca="false">IF(ISBLANK(I308),"", IF($I$2:$I1305 = "Gohar Rehan","Overnight",IF($I$2:$I1305 = "Taufeeq Akhtar ","Overnight",IF($I$2:$I1305 = "Zeeshan Ali Malik","Audit",IF($I$2:$I1305 = "Ali Raza ","Receiving",IF($I$2:$I1305 = "Ali Ahmad","Full-In"))))))</f>
        <v>0</v>
      </c>
      <c r="K308" s="39" t="e">
        <f aca="false">IFERROR(VLOOKUP(D308,'Brand manager data '!A:B,2,0))</f>
        <v>#VALUE!</v>
      </c>
      <c r="L308" s="13" t="n">
        <v>0</v>
      </c>
      <c r="M308" s="13" t="str">
        <v>Yes</v>
      </c>
      <c r="N308" s="22"/>
      <c r="Q308" s="40"/>
      <c r="R308" s="13" t="b">
        <f aca="false">FALSE()</f>
        <v>0</v>
      </c>
      <c r="S308" s="13" t="n">
        <v>0</v>
      </c>
      <c r="T308" s="13" t="n">
        <f aca="false">S308*F308</f>
        <v>0</v>
      </c>
      <c r="U308" s="13" t="n">
        <v>0</v>
      </c>
      <c r="V308" s="13" t="n">
        <v>0</v>
      </c>
    </row>
    <row r="309" customFormat="false" ht="15.75" hidden="false" customHeight="false" outlineLevel="0" collapsed="false">
      <c r="A309" s="13" t="n">
        <v>0</v>
      </c>
      <c r="B309" s="13" t="str">
        <v/>
      </c>
      <c r="C309" s="13" t="n">
        <v>0</v>
      </c>
      <c r="D309" s="13" t="n">
        <v>0</v>
      </c>
      <c r="E309" s="13" t="str">
        <v/>
      </c>
      <c r="F309" s="13" t="n">
        <v>0</v>
      </c>
      <c r="G309" s="13" t="n">
        <v>0</v>
      </c>
      <c r="H309" s="13" t="n">
        <v>0</v>
      </c>
      <c r="I309" s="13" t="n">
        <v>0</v>
      </c>
      <c r="J309" s="13" t="b">
        <f aca="false">IF(ISBLANK(I309),"", IF($I$2:$I1306 = "Gohar Rehan","Overnight",IF($I$2:$I1306 = "Taufeeq Akhtar ","Overnight",IF($I$2:$I1306 = "Zeeshan Ali Malik","Audit",IF($I$2:$I1306 = "Ali Raza ","Receiving",IF($I$2:$I1306 = "Ali Ahmad","Full-In"))))))</f>
        <v>0</v>
      </c>
      <c r="K309" s="39" t="e">
        <f aca="false">IFERROR(VLOOKUP(D309,'Brand manager data '!A:B,2,0))</f>
        <v>#VALUE!</v>
      </c>
      <c r="L309" s="13" t="n">
        <v>0</v>
      </c>
      <c r="M309" s="13" t="str">
        <v>Yes</v>
      </c>
      <c r="N309" s="22"/>
      <c r="Q309" s="40"/>
      <c r="R309" s="13" t="b">
        <f aca="false">FALSE()</f>
        <v>0</v>
      </c>
      <c r="S309" s="13" t="n">
        <v>0</v>
      </c>
      <c r="T309" s="13" t="n">
        <f aca="false">S309*F309</f>
        <v>0</v>
      </c>
      <c r="U309" s="13" t="n">
        <v>0</v>
      </c>
      <c r="V309" s="13" t="n">
        <v>0</v>
      </c>
    </row>
    <row r="310" customFormat="false" ht="15.75" hidden="false" customHeight="false" outlineLevel="0" collapsed="false">
      <c r="A310" s="13" t="n">
        <v>0</v>
      </c>
      <c r="B310" s="13" t="str">
        <v/>
      </c>
      <c r="C310" s="13" t="n">
        <v>0</v>
      </c>
      <c r="D310" s="13" t="n">
        <v>0</v>
      </c>
      <c r="E310" s="13" t="str">
        <v/>
      </c>
      <c r="F310" s="13" t="n">
        <v>0</v>
      </c>
      <c r="G310" s="13" t="n">
        <v>0</v>
      </c>
      <c r="H310" s="13" t="n">
        <v>0</v>
      </c>
      <c r="I310" s="13" t="n">
        <v>0</v>
      </c>
      <c r="J310" s="13" t="b">
        <f aca="false">IF(ISBLANK(I310),"", IF($I$2:$I1307 = "Gohar Rehan","Overnight",IF($I$2:$I1307 = "Taufeeq Akhtar ","Overnight",IF($I$2:$I1307 = "Zeeshan Ali Malik","Audit",IF($I$2:$I1307 = "Ali Raza ","Receiving",IF($I$2:$I1307 = "Ali Ahmad","Full-In"))))))</f>
        <v>0</v>
      </c>
      <c r="K310" s="39" t="e">
        <f aca="false">IFERROR(VLOOKUP(D310,'Brand manager data '!A:B,2,0))</f>
        <v>#VALUE!</v>
      </c>
      <c r="L310" s="13" t="n">
        <v>0</v>
      </c>
      <c r="M310" s="13" t="str">
        <v>Yes</v>
      </c>
      <c r="N310" s="22"/>
      <c r="Q310" s="40"/>
      <c r="R310" s="13" t="b">
        <f aca="false">FALSE()</f>
        <v>0</v>
      </c>
      <c r="S310" s="13" t="n">
        <v>0</v>
      </c>
      <c r="T310" s="13" t="n">
        <f aca="false">S310*F310</f>
        <v>0</v>
      </c>
      <c r="U310" s="13" t="n">
        <v>0</v>
      </c>
      <c r="V310" s="13" t="n">
        <v>0</v>
      </c>
    </row>
    <row r="311" customFormat="false" ht="15.75" hidden="false" customHeight="false" outlineLevel="0" collapsed="false">
      <c r="A311" s="13" t="n">
        <v>0</v>
      </c>
      <c r="B311" s="13" t="str">
        <v/>
      </c>
      <c r="C311" s="13" t="n">
        <v>0</v>
      </c>
      <c r="D311" s="13" t="n">
        <v>0</v>
      </c>
      <c r="E311" s="13" t="str">
        <v/>
      </c>
      <c r="F311" s="13" t="n">
        <v>0</v>
      </c>
      <c r="G311" s="13" t="n">
        <v>0</v>
      </c>
      <c r="H311" s="13" t="n">
        <v>0</v>
      </c>
      <c r="I311" s="13" t="n">
        <v>0</v>
      </c>
      <c r="J311" s="13" t="b">
        <f aca="false">IF(ISBLANK(I311),"", IF($I$2:$I1308 = "Gohar Rehan","Overnight",IF($I$2:$I1308 = "Taufeeq Akhtar ","Overnight",IF($I$2:$I1308 = "Zeeshan Ali Malik","Audit",IF($I$2:$I1308 = "Ali Raza ","Receiving",IF($I$2:$I1308 = "Ali Ahmad","Full-In"))))))</f>
        <v>0</v>
      </c>
      <c r="K311" s="39" t="e">
        <f aca="false">IFERROR(VLOOKUP(D311,'Brand manager data '!A:B,2,0))</f>
        <v>#VALUE!</v>
      </c>
      <c r="L311" s="13" t="n">
        <v>0</v>
      </c>
      <c r="M311" s="13" t="str">
        <v>Yes</v>
      </c>
      <c r="N311" s="22"/>
      <c r="Q311" s="40"/>
      <c r="R311" s="13" t="b">
        <f aca="false">FALSE()</f>
        <v>0</v>
      </c>
      <c r="S311" s="13" t="n">
        <v>0</v>
      </c>
      <c r="T311" s="13" t="n">
        <f aca="false">S311*F311</f>
        <v>0</v>
      </c>
      <c r="U311" s="13" t="n">
        <v>0</v>
      </c>
      <c r="V311" s="13" t="n">
        <v>0</v>
      </c>
    </row>
    <row r="312" customFormat="false" ht="15.75" hidden="false" customHeight="false" outlineLevel="0" collapsed="false">
      <c r="A312" s="13" t="n">
        <v>0</v>
      </c>
      <c r="B312" s="13" t="str">
        <v/>
      </c>
      <c r="C312" s="13" t="n">
        <v>0</v>
      </c>
      <c r="D312" s="13" t="n">
        <v>0</v>
      </c>
      <c r="E312" s="13" t="str">
        <v/>
      </c>
      <c r="F312" s="13" t="n">
        <v>0</v>
      </c>
      <c r="G312" s="13" t="n">
        <v>0</v>
      </c>
      <c r="H312" s="13" t="n">
        <v>0</v>
      </c>
      <c r="I312" s="13" t="n">
        <v>0</v>
      </c>
      <c r="J312" s="13" t="b">
        <f aca="false">IF(ISBLANK(I312),"", IF($I$2:$I1309 = "Gohar Rehan","Overnight",IF($I$2:$I1309 = "Taufeeq Akhtar ","Overnight",IF($I$2:$I1309 = "Zeeshan Ali Malik","Audit",IF($I$2:$I1309 = "Ali Raza ","Receiving",IF($I$2:$I1309 = "Ali Ahmad","Full-In"))))))</f>
        <v>0</v>
      </c>
      <c r="K312" s="39" t="e">
        <f aca="false">IFERROR(VLOOKUP(D312,'Brand manager data '!A:B,2,0))</f>
        <v>#VALUE!</v>
      </c>
      <c r="L312" s="13" t="n">
        <v>0</v>
      </c>
      <c r="M312" s="13" t="str">
        <v>Yes</v>
      </c>
      <c r="N312" s="22"/>
      <c r="Q312" s="40"/>
      <c r="R312" s="13" t="b">
        <f aca="false">FALSE()</f>
        <v>0</v>
      </c>
      <c r="S312" s="13" t="n">
        <v>0</v>
      </c>
      <c r="T312" s="13" t="n">
        <f aca="false">S312*F312</f>
        <v>0</v>
      </c>
      <c r="U312" s="13" t="n">
        <v>0</v>
      </c>
      <c r="V312" s="13" t="n">
        <v>0</v>
      </c>
    </row>
    <row r="313" customFormat="false" ht="15.75" hidden="false" customHeight="false" outlineLevel="0" collapsed="false">
      <c r="A313" s="13" t="n">
        <v>0</v>
      </c>
      <c r="B313" s="13" t="str">
        <v/>
      </c>
      <c r="C313" s="13" t="n">
        <v>0</v>
      </c>
      <c r="D313" s="13" t="n">
        <v>0</v>
      </c>
      <c r="E313" s="13" t="str">
        <v/>
      </c>
      <c r="F313" s="13" t="n">
        <v>0</v>
      </c>
      <c r="G313" s="13" t="n">
        <v>0</v>
      </c>
      <c r="H313" s="13" t="n">
        <v>0</v>
      </c>
      <c r="I313" s="13" t="n">
        <v>0</v>
      </c>
      <c r="J313" s="13" t="b">
        <f aca="false">IF(ISBLANK(I313),"", IF($I$2:$I1310 = "Gohar Rehan","Overnight",IF($I$2:$I1310 = "Taufeeq Akhtar ","Overnight",IF($I$2:$I1310 = "Zeeshan Ali Malik","Audit",IF($I$2:$I1310 = "Ali Raza ","Receiving",IF($I$2:$I1310 = "Ali Ahmad","Full-In"))))))</f>
        <v>0</v>
      </c>
      <c r="K313" s="39" t="e">
        <f aca="false">IFERROR(VLOOKUP(D313,'Brand manager data '!A:B,2,0))</f>
        <v>#VALUE!</v>
      </c>
      <c r="L313" s="13" t="n">
        <v>0</v>
      </c>
      <c r="M313" s="13" t="str">
        <v>Yes</v>
      </c>
      <c r="N313" s="22"/>
      <c r="Q313" s="40"/>
      <c r="R313" s="13" t="b">
        <f aca="false">FALSE()</f>
        <v>0</v>
      </c>
      <c r="S313" s="13" t="n">
        <v>0</v>
      </c>
      <c r="T313" s="13" t="n">
        <f aca="false">S313*F313</f>
        <v>0</v>
      </c>
      <c r="U313" s="13" t="n">
        <v>0</v>
      </c>
      <c r="V313" s="13" t="n">
        <v>0</v>
      </c>
    </row>
    <row r="314" customFormat="false" ht="15.75" hidden="false" customHeight="false" outlineLevel="0" collapsed="false">
      <c r="A314" s="13" t="n">
        <v>0</v>
      </c>
      <c r="B314" s="13" t="str">
        <v/>
      </c>
      <c r="C314" s="13" t="n">
        <v>0</v>
      </c>
      <c r="D314" s="13" t="n">
        <v>0</v>
      </c>
      <c r="E314" s="13" t="str">
        <v/>
      </c>
      <c r="F314" s="13" t="n">
        <v>0</v>
      </c>
      <c r="G314" s="13" t="n">
        <v>0</v>
      </c>
      <c r="H314" s="13" t="n">
        <v>0</v>
      </c>
      <c r="I314" s="13" t="n">
        <v>0</v>
      </c>
      <c r="J314" s="13" t="b">
        <f aca="false">IF(ISBLANK(I314),"", IF($I$2:$I1311 = "Gohar Rehan","Overnight",IF($I$2:$I1311 = "Taufeeq Akhtar ","Overnight",IF($I$2:$I1311 = "Zeeshan Ali Malik","Audit",IF($I$2:$I1311 = "Ali Raza ","Receiving",IF($I$2:$I1311 = "Ali Ahmad","Full-In"))))))</f>
        <v>0</v>
      </c>
      <c r="K314" s="39" t="e">
        <f aca="false">IFERROR(VLOOKUP(D314,'Brand manager data '!A:B,2,0))</f>
        <v>#VALUE!</v>
      </c>
      <c r="L314" s="13" t="n">
        <v>0</v>
      </c>
      <c r="M314" s="13" t="str">
        <v>Yes</v>
      </c>
      <c r="N314" s="22"/>
      <c r="Q314" s="40"/>
      <c r="R314" s="13" t="b">
        <f aca="false">FALSE()</f>
        <v>0</v>
      </c>
      <c r="S314" s="13" t="n">
        <v>0</v>
      </c>
      <c r="T314" s="13" t="n">
        <f aca="false">S314*F314</f>
        <v>0</v>
      </c>
      <c r="U314" s="13" t="n">
        <v>0</v>
      </c>
      <c r="V314" s="13" t="n">
        <v>0</v>
      </c>
    </row>
    <row r="315" customFormat="false" ht="15.75" hidden="false" customHeight="false" outlineLevel="0" collapsed="false">
      <c r="A315" s="13" t="n">
        <v>0</v>
      </c>
      <c r="B315" s="13" t="str">
        <v/>
      </c>
      <c r="C315" s="13" t="n">
        <v>0</v>
      </c>
      <c r="D315" s="13" t="n">
        <v>0</v>
      </c>
      <c r="E315" s="13" t="str">
        <v/>
      </c>
      <c r="F315" s="13" t="n">
        <v>0</v>
      </c>
      <c r="G315" s="13" t="n">
        <v>0</v>
      </c>
      <c r="H315" s="13" t="n">
        <v>0</v>
      </c>
      <c r="I315" s="13" t="n">
        <v>0</v>
      </c>
      <c r="J315" s="13" t="b">
        <f aca="false">IF(ISBLANK(I315),"", IF($I$2:$I1312 = "Gohar Rehan","Overnight",IF($I$2:$I1312 = "Taufeeq Akhtar ","Overnight",IF($I$2:$I1312 = "Zeeshan Ali Malik","Audit",IF($I$2:$I1312 = "Ali Raza ","Receiving",IF($I$2:$I1312 = "Ali Ahmad","Full-In"))))))</f>
        <v>0</v>
      </c>
      <c r="K315" s="39" t="e">
        <f aca="false">IFERROR(VLOOKUP(D315,'Brand manager data '!A:B,2,0))</f>
        <v>#VALUE!</v>
      </c>
      <c r="L315" s="13" t="n">
        <v>0</v>
      </c>
      <c r="M315" s="13" t="str">
        <v>Yes</v>
      </c>
      <c r="N315" s="22"/>
      <c r="Q315" s="40"/>
      <c r="R315" s="13" t="b">
        <f aca="false">FALSE()</f>
        <v>0</v>
      </c>
      <c r="S315" s="13" t="n">
        <v>0</v>
      </c>
      <c r="T315" s="13" t="n">
        <f aca="false">S315*F315</f>
        <v>0</v>
      </c>
      <c r="U315" s="13" t="n">
        <v>0</v>
      </c>
      <c r="V315" s="13" t="n">
        <v>0</v>
      </c>
    </row>
    <row r="316" customFormat="false" ht="15.75" hidden="false" customHeight="false" outlineLevel="0" collapsed="false">
      <c r="A316" s="13" t="n">
        <v>0</v>
      </c>
      <c r="B316" s="13" t="str">
        <v/>
      </c>
      <c r="C316" s="13" t="n">
        <v>0</v>
      </c>
      <c r="D316" s="13" t="n">
        <v>0</v>
      </c>
      <c r="E316" s="13" t="str">
        <v/>
      </c>
      <c r="F316" s="13" t="n">
        <v>0</v>
      </c>
      <c r="G316" s="13" t="n">
        <v>0</v>
      </c>
      <c r="H316" s="13" t="n">
        <v>0</v>
      </c>
      <c r="I316" s="13" t="n">
        <v>0</v>
      </c>
      <c r="J316" s="13" t="b">
        <f aca="false">IF(ISBLANK(I316),"", IF($I$2:$I1313 = "Gohar Rehan","Overnight",IF($I$2:$I1313 = "Taufeeq Akhtar ","Overnight",IF($I$2:$I1313 = "Zeeshan Ali Malik","Audit",IF($I$2:$I1313 = "Ali Raza ","Receiving",IF($I$2:$I1313 = "Ali Ahmad","Full-In"))))))</f>
        <v>0</v>
      </c>
      <c r="K316" s="39" t="e">
        <f aca="false">IFERROR(VLOOKUP(D316,'Brand manager data '!A:B,2,0))</f>
        <v>#VALUE!</v>
      </c>
      <c r="L316" s="13" t="n">
        <v>0</v>
      </c>
      <c r="M316" s="13" t="str">
        <v>Yes</v>
      </c>
      <c r="N316" s="22"/>
      <c r="Q316" s="40"/>
      <c r="R316" s="13" t="b">
        <f aca="false">FALSE()</f>
        <v>0</v>
      </c>
      <c r="S316" s="13" t="n">
        <v>0</v>
      </c>
      <c r="T316" s="13" t="n">
        <f aca="false">S316*F316</f>
        <v>0</v>
      </c>
      <c r="U316" s="13" t="n">
        <v>0</v>
      </c>
      <c r="V316" s="13" t="n">
        <v>0</v>
      </c>
    </row>
    <row r="317" customFormat="false" ht="15.75" hidden="false" customHeight="false" outlineLevel="0" collapsed="false">
      <c r="A317" s="13" t="n">
        <v>0</v>
      </c>
      <c r="B317" s="13" t="str">
        <v/>
      </c>
      <c r="C317" s="13" t="n">
        <v>0</v>
      </c>
      <c r="D317" s="13" t="n">
        <v>0</v>
      </c>
      <c r="E317" s="13" t="str">
        <v/>
      </c>
      <c r="F317" s="13" t="n">
        <v>0</v>
      </c>
      <c r="G317" s="13" t="n">
        <v>0</v>
      </c>
      <c r="H317" s="13" t="n">
        <v>0</v>
      </c>
      <c r="I317" s="13" t="n">
        <v>0</v>
      </c>
      <c r="J317" s="13" t="b">
        <f aca="false">IF(ISBLANK(I317),"", IF($I$2:$I1314 = "Gohar Rehan","Overnight",IF($I$2:$I1314 = "Taufeeq Akhtar ","Overnight",IF($I$2:$I1314 = "Zeeshan Ali Malik","Audit",IF($I$2:$I1314 = "Ali Raza ","Receiving",IF($I$2:$I1314 = "Ali Ahmad","Full-In"))))))</f>
        <v>0</v>
      </c>
      <c r="K317" s="39" t="e">
        <f aca="false">IFERROR(VLOOKUP(D317,'Brand manager data '!A:B,2,0))</f>
        <v>#VALUE!</v>
      </c>
      <c r="L317" s="13" t="n">
        <v>0</v>
      </c>
      <c r="M317" s="13" t="str">
        <v>Yes</v>
      </c>
      <c r="N317" s="22"/>
      <c r="Q317" s="40"/>
      <c r="R317" s="13" t="b">
        <f aca="false">FALSE()</f>
        <v>0</v>
      </c>
      <c r="S317" s="13" t="n">
        <v>0</v>
      </c>
      <c r="T317" s="13" t="n">
        <f aca="false">S317*F317</f>
        <v>0</v>
      </c>
      <c r="U317" s="13" t="n">
        <v>0</v>
      </c>
      <c r="V317" s="13" t="n">
        <v>0</v>
      </c>
    </row>
    <row r="318" customFormat="false" ht="15.75" hidden="false" customHeight="false" outlineLevel="0" collapsed="false">
      <c r="A318" s="13" t="n">
        <v>0</v>
      </c>
      <c r="B318" s="13" t="str">
        <v/>
      </c>
      <c r="C318" s="13" t="n">
        <v>0</v>
      </c>
      <c r="D318" s="13" t="n">
        <v>0</v>
      </c>
      <c r="E318" s="13" t="str">
        <v/>
      </c>
      <c r="F318" s="13" t="n">
        <v>0</v>
      </c>
      <c r="G318" s="13" t="n">
        <v>0</v>
      </c>
      <c r="H318" s="13" t="n">
        <v>0</v>
      </c>
      <c r="I318" s="13" t="n">
        <v>0</v>
      </c>
      <c r="J318" s="13" t="b">
        <f aca="false">IF(ISBLANK(I318),"", IF($I$2:$I1315 = "Gohar Rehan","Overnight",IF($I$2:$I1315 = "Taufeeq Akhtar ","Overnight",IF($I$2:$I1315 = "Zeeshan Ali Malik","Audit",IF($I$2:$I1315 = "Ali Raza ","Receiving",IF($I$2:$I1315 = "Ali Ahmad","Full-In"))))))</f>
        <v>0</v>
      </c>
      <c r="K318" s="39" t="e">
        <f aca="false">IFERROR(VLOOKUP(D318,'Brand manager data '!A:B,2,0))</f>
        <v>#VALUE!</v>
      </c>
      <c r="L318" s="13" t="n">
        <v>0</v>
      </c>
      <c r="M318" s="13" t="str">
        <v>Yes</v>
      </c>
      <c r="N318" s="22"/>
      <c r="Q318" s="40"/>
      <c r="R318" s="13" t="b">
        <f aca="false">FALSE()</f>
        <v>0</v>
      </c>
      <c r="S318" s="13" t="n">
        <v>0</v>
      </c>
      <c r="T318" s="13" t="n">
        <f aca="false">S318*F318</f>
        <v>0</v>
      </c>
      <c r="U318" s="13" t="n">
        <v>0</v>
      </c>
      <c r="V318" s="13" t="n">
        <v>0</v>
      </c>
    </row>
    <row r="319" customFormat="false" ht="15.75" hidden="false" customHeight="false" outlineLevel="0" collapsed="false">
      <c r="A319" s="13" t="n">
        <v>0</v>
      </c>
      <c r="B319" s="13" t="str">
        <v/>
      </c>
      <c r="C319" s="13" t="n">
        <v>0</v>
      </c>
      <c r="D319" s="13" t="n">
        <v>0</v>
      </c>
      <c r="E319" s="13" t="str">
        <v/>
      </c>
      <c r="F319" s="13" t="n">
        <v>0</v>
      </c>
      <c r="G319" s="13" t="n">
        <v>0</v>
      </c>
      <c r="H319" s="13" t="n">
        <v>0</v>
      </c>
      <c r="I319" s="13" t="n">
        <v>0</v>
      </c>
      <c r="J319" s="13" t="b">
        <f aca="false">IF(ISBLANK(I319),"", IF($I$2:$I1316 = "Gohar Rehan","Overnight",IF($I$2:$I1316 = "Taufeeq Akhtar ","Overnight",IF($I$2:$I1316 = "Zeeshan Ali Malik","Audit",IF($I$2:$I1316 = "Ali Raza ","Receiving",IF($I$2:$I1316 = "Ali Ahmad","Full-In"))))))</f>
        <v>0</v>
      </c>
      <c r="K319" s="39" t="e">
        <f aca="false">IFERROR(VLOOKUP(D319,'Brand manager data '!A:B,2,0))</f>
        <v>#VALUE!</v>
      </c>
      <c r="L319" s="13" t="n">
        <v>0</v>
      </c>
      <c r="M319" s="13" t="str">
        <v>Yes</v>
      </c>
      <c r="N319" s="22"/>
      <c r="Q319" s="40"/>
      <c r="R319" s="13" t="b">
        <f aca="false">FALSE()</f>
        <v>0</v>
      </c>
      <c r="S319" s="13" t="n">
        <v>0</v>
      </c>
      <c r="T319" s="13" t="n">
        <f aca="false">S319*F319</f>
        <v>0</v>
      </c>
      <c r="U319" s="13" t="n">
        <v>0</v>
      </c>
      <c r="V319" s="13" t="n">
        <v>0</v>
      </c>
    </row>
    <row r="320" customFormat="false" ht="15.75" hidden="false" customHeight="false" outlineLevel="0" collapsed="false">
      <c r="A320" s="13" t="n">
        <v>0</v>
      </c>
      <c r="B320" s="13" t="str">
        <v/>
      </c>
      <c r="C320" s="13" t="n">
        <v>0</v>
      </c>
      <c r="D320" s="13" t="n">
        <v>0</v>
      </c>
      <c r="E320" s="13" t="str">
        <v/>
      </c>
      <c r="F320" s="13" t="n">
        <v>0</v>
      </c>
      <c r="G320" s="13" t="n">
        <v>0</v>
      </c>
      <c r="H320" s="13" t="n">
        <v>0</v>
      </c>
      <c r="I320" s="13" t="n">
        <v>0</v>
      </c>
      <c r="J320" s="13" t="b">
        <f aca="false">IF(ISBLANK(I320),"", IF($I$2:$I1317 = "Gohar Rehan","Overnight",IF($I$2:$I1317 = "Taufeeq Akhtar ","Overnight",IF($I$2:$I1317 = "Zeeshan Ali Malik","Audit",IF($I$2:$I1317 = "Ali Raza ","Receiving",IF($I$2:$I1317 = "Ali Ahmad","Full-In"))))))</f>
        <v>0</v>
      </c>
      <c r="K320" s="39" t="e">
        <f aca="false">IFERROR(VLOOKUP(D320,'Brand manager data '!A:B,2,0))</f>
        <v>#VALUE!</v>
      </c>
      <c r="L320" s="13" t="n">
        <v>0</v>
      </c>
      <c r="M320" s="13" t="str">
        <v>Yes</v>
      </c>
      <c r="N320" s="22"/>
      <c r="Q320" s="40"/>
      <c r="R320" s="13" t="b">
        <f aca="false">FALSE()</f>
        <v>0</v>
      </c>
      <c r="S320" s="13" t="n">
        <v>0</v>
      </c>
      <c r="T320" s="13" t="n">
        <f aca="false">S320*F320</f>
        <v>0</v>
      </c>
      <c r="U320" s="13" t="n">
        <v>0</v>
      </c>
      <c r="V320" s="13" t="n">
        <v>0</v>
      </c>
    </row>
    <row r="321" customFormat="false" ht="15.75" hidden="false" customHeight="false" outlineLevel="0" collapsed="false">
      <c r="A321" s="13" t="n">
        <v>0</v>
      </c>
      <c r="B321" s="13" t="str">
        <v/>
      </c>
      <c r="C321" s="13" t="n">
        <v>0</v>
      </c>
      <c r="D321" s="13" t="n">
        <v>0</v>
      </c>
      <c r="E321" s="13" t="str">
        <v/>
      </c>
      <c r="F321" s="13" t="n">
        <v>0</v>
      </c>
      <c r="G321" s="13" t="n">
        <v>0</v>
      </c>
      <c r="H321" s="13" t="n">
        <v>0</v>
      </c>
      <c r="I321" s="13" t="n">
        <v>0</v>
      </c>
      <c r="J321" s="13" t="b">
        <f aca="false">IF(ISBLANK(I321),"", IF($I$2:$I1318 = "Gohar Rehan","Overnight",IF($I$2:$I1318 = "Taufeeq Akhtar ","Overnight",IF($I$2:$I1318 = "Zeeshan Ali Malik","Audit",IF($I$2:$I1318 = "Ali Raza ","Receiving",IF($I$2:$I1318 = "Ali Ahmad","Full-In"))))))</f>
        <v>0</v>
      </c>
      <c r="K321" s="39" t="e">
        <f aca="false">IFERROR(VLOOKUP(D321,'Brand manager data '!A:B,2,0))</f>
        <v>#VALUE!</v>
      </c>
      <c r="L321" s="13" t="n">
        <v>0</v>
      </c>
      <c r="M321" s="13" t="str">
        <v>Yes</v>
      </c>
      <c r="N321" s="22"/>
      <c r="Q321" s="40"/>
      <c r="R321" s="13" t="b">
        <f aca="false">FALSE()</f>
        <v>0</v>
      </c>
      <c r="S321" s="13" t="n">
        <v>0</v>
      </c>
      <c r="T321" s="13" t="n">
        <f aca="false">S321*F321</f>
        <v>0</v>
      </c>
      <c r="U321" s="13" t="n">
        <v>0</v>
      </c>
      <c r="V321" s="13" t="n">
        <v>0</v>
      </c>
    </row>
    <row r="322" customFormat="false" ht="15.75" hidden="false" customHeight="false" outlineLevel="0" collapsed="false">
      <c r="A322" s="13" t="n">
        <v>0</v>
      </c>
      <c r="B322" s="13" t="str">
        <v/>
      </c>
      <c r="C322" s="13" t="n">
        <v>0</v>
      </c>
      <c r="D322" s="13" t="n">
        <v>0</v>
      </c>
      <c r="E322" s="13" t="str">
        <v/>
      </c>
      <c r="F322" s="13" t="n">
        <v>0</v>
      </c>
      <c r="G322" s="13" t="n">
        <v>0</v>
      </c>
      <c r="H322" s="13" t="n">
        <v>0</v>
      </c>
      <c r="I322" s="13" t="n">
        <v>0</v>
      </c>
      <c r="J322" s="13" t="b">
        <f aca="false">IF(ISBLANK(I322),"", IF($I$2:$I1319 = "Gohar Rehan","Overnight",IF($I$2:$I1319 = "Taufeeq Akhtar ","Overnight",IF($I$2:$I1319 = "Zeeshan Ali Malik","Audit",IF($I$2:$I1319 = "Ali Raza ","Receiving",IF($I$2:$I1319 = "Ali Ahmad","Full-In"))))))</f>
        <v>0</v>
      </c>
      <c r="K322" s="39" t="e">
        <f aca="false">IFERROR(VLOOKUP(D322,'Brand manager data '!A:B,2,0))</f>
        <v>#VALUE!</v>
      </c>
      <c r="L322" s="13" t="n">
        <v>0</v>
      </c>
      <c r="M322" s="13" t="str">
        <v>Yes</v>
      </c>
      <c r="N322" s="22"/>
      <c r="Q322" s="40"/>
      <c r="R322" s="13" t="b">
        <f aca="false">FALSE()</f>
        <v>0</v>
      </c>
      <c r="S322" s="13" t="n">
        <v>0</v>
      </c>
      <c r="T322" s="13" t="n">
        <f aca="false">S322*F322</f>
        <v>0</v>
      </c>
      <c r="U322" s="13" t="n">
        <v>0</v>
      </c>
      <c r="V322" s="13" t="n">
        <v>0</v>
      </c>
    </row>
    <row r="323" customFormat="false" ht="15.75" hidden="false" customHeight="false" outlineLevel="0" collapsed="false">
      <c r="A323" s="13" t="n">
        <v>0</v>
      </c>
      <c r="B323" s="13" t="str">
        <v/>
      </c>
      <c r="C323" s="13" t="n">
        <v>0</v>
      </c>
      <c r="D323" s="13" t="n">
        <v>0</v>
      </c>
      <c r="E323" s="13" t="str">
        <v/>
      </c>
      <c r="F323" s="13" t="n">
        <v>0</v>
      </c>
      <c r="G323" s="13" t="n">
        <v>0</v>
      </c>
      <c r="H323" s="13" t="n">
        <v>0</v>
      </c>
      <c r="I323" s="13" t="n">
        <v>0</v>
      </c>
      <c r="J323" s="13" t="b">
        <f aca="false">IF(ISBLANK(I323),"", IF($I$2:$I1320 = "Gohar Rehan","Overnight",IF($I$2:$I1320 = "Taufeeq Akhtar ","Overnight",IF($I$2:$I1320 = "Zeeshan Ali Malik","Audit",IF($I$2:$I1320 = "Ali Raza ","Receiving",IF($I$2:$I1320 = "Ali Ahmad","Full-In"))))))</f>
        <v>0</v>
      </c>
      <c r="K323" s="39" t="e">
        <f aca="false">IFERROR(VLOOKUP(D323,'Brand manager data '!A:B,2,0))</f>
        <v>#VALUE!</v>
      </c>
      <c r="L323" s="13" t="n">
        <v>0</v>
      </c>
      <c r="M323" s="13" t="str">
        <v>Yes</v>
      </c>
      <c r="N323" s="22"/>
      <c r="Q323" s="40"/>
      <c r="R323" s="13" t="b">
        <f aca="false">FALSE()</f>
        <v>0</v>
      </c>
      <c r="S323" s="13" t="n">
        <v>0</v>
      </c>
      <c r="T323" s="13" t="n">
        <f aca="false">S323*F323</f>
        <v>0</v>
      </c>
      <c r="U323" s="13" t="n">
        <v>0</v>
      </c>
      <c r="V323" s="13" t="n">
        <v>0</v>
      </c>
    </row>
    <row r="324" customFormat="false" ht="15.75" hidden="false" customHeight="false" outlineLevel="0" collapsed="false">
      <c r="A324" s="13" t="n">
        <v>0</v>
      </c>
      <c r="B324" s="13" t="str">
        <v/>
      </c>
      <c r="C324" s="13" t="n">
        <v>0</v>
      </c>
      <c r="D324" s="13" t="n">
        <v>0</v>
      </c>
      <c r="E324" s="13" t="str">
        <v/>
      </c>
      <c r="F324" s="13" t="n">
        <v>0</v>
      </c>
      <c r="G324" s="13" t="n">
        <v>0</v>
      </c>
      <c r="H324" s="13" t="n">
        <v>0</v>
      </c>
      <c r="I324" s="13" t="n">
        <v>0</v>
      </c>
      <c r="J324" s="13" t="b">
        <f aca="false">IF(ISBLANK(I324),"", IF($I$2:$I1321 = "Gohar Rehan","Overnight",IF($I$2:$I1321 = "Taufeeq Akhtar ","Overnight",IF($I$2:$I1321 = "Zeeshan Ali Malik","Audit",IF($I$2:$I1321 = "Ali Raza ","Receiving",IF($I$2:$I1321 = "Ali Ahmad","Full-In"))))))</f>
        <v>0</v>
      </c>
      <c r="K324" s="39" t="e">
        <f aca="false">IFERROR(VLOOKUP(D324,'Brand manager data '!A:B,2,0))</f>
        <v>#VALUE!</v>
      </c>
      <c r="L324" s="13" t="n">
        <v>0</v>
      </c>
      <c r="M324" s="13" t="str">
        <v>Yes</v>
      </c>
      <c r="N324" s="22"/>
      <c r="Q324" s="40"/>
      <c r="R324" s="13" t="b">
        <f aca="false">FALSE()</f>
        <v>0</v>
      </c>
      <c r="S324" s="13" t="n">
        <v>0</v>
      </c>
      <c r="T324" s="13" t="n">
        <f aca="false">S324*F324</f>
        <v>0</v>
      </c>
      <c r="U324" s="13" t="n">
        <v>0</v>
      </c>
      <c r="V324" s="13" t="n">
        <v>0</v>
      </c>
    </row>
    <row r="325" customFormat="false" ht="15.75" hidden="false" customHeight="false" outlineLevel="0" collapsed="false">
      <c r="A325" s="13" t="n">
        <v>0</v>
      </c>
      <c r="B325" s="13" t="str">
        <v/>
      </c>
      <c r="C325" s="13" t="n">
        <v>0</v>
      </c>
      <c r="D325" s="13" t="n">
        <v>0</v>
      </c>
      <c r="E325" s="13" t="str">
        <v/>
      </c>
      <c r="F325" s="13" t="n">
        <v>0</v>
      </c>
      <c r="G325" s="13" t="n">
        <v>0</v>
      </c>
      <c r="H325" s="13" t="n">
        <v>0</v>
      </c>
      <c r="I325" s="13" t="n">
        <v>0</v>
      </c>
      <c r="J325" s="13" t="b">
        <f aca="false">IF(ISBLANK(I325),"", IF($I$2:$I1322 = "Gohar Rehan","Overnight",IF($I$2:$I1322 = "Taufeeq Akhtar ","Overnight",IF($I$2:$I1322 = "Zeeshan Ali Malik","Audit",IF($I$2:$I1322 = "Ali Raza ","Receiving",IF($I$2:$I1322 = "Ali Ahmad","Full-In"))))))</f>
        <v>0</v>
      </c>
      <c r="K325" s="39" t="e">
        <f aca="false">IFERROR(VLOOKUP(D325,'Brand manager data '!A:B,2,0))</f>
        <v>#VALUE!</v>
      </c>
      <c r="L325" s="13" t="n">
        <v>0</v>
      </c>
      <c r="M325" s="13" t="str">
        <v>Yes</v>
      </c>
      <c r="N325" s="22"/>
      <c r="Q325" s="40"/>
      <c r="R325" s="13" t="b">
        <f aca="false">FALSE()</f>
        <v>0</v>
      </c>
      <c r="S325" s="13" t="n">
        <v>0</v>
      </c>
      <c r="T325" s="13" t="n">
        <f aca="false">S325*F325</f>
        <v>0</v>
      </c>
      <c r="U325" s="13" t="n">
        <v>0</v>
      </c>
      <c r="V325" s="13" t="n">
        <v>0</v>
      </c>
    </row>
    <row r="326" customFormat="false" ht="15.75" hidden="false" customHeight="false" outlineLevel="0" collapsed="false">
      <c r="A326" s="13" t="n">
        <v>0</v>
      </c>
      <c r="B326" s="13" t="str">
        <v/>
      </c>
      <c r="C326" s="13" t="n">
        <v>0</v>
      </c>
      <c r="D326" s="13" t="n">
        <v>0</v>
      </c>
      <c r="E326" s="13" t="str">
        <v/>
      </c>
      <c r="F326" s="13" t="n">
        <v>0</v>
      </c>
      <c r="G326" s="13" t="n">
        <v>0</v>
      </c>
      <c r="H326" s="13" t="n">
        <v>0</v>
      </c>
      <c r="I326" s="13" t="n">
        <v>0</v>
      </c>
      <c r="J326" s="13" t="b">
        <f aca="false">IF(ISBLANK(I326),"", IF($I$2:$I1323 = "Gohar Rehan","Overnight",IF($I$2:$I1323 = "Taufeeq Akhtar ","Overnight",IF($I$2:$I1323 = "Zeeshan Ali Malik","Audit",IF($I$2:$I1323 = "Ali Raza ","Receiving",IF($I$2:$I1323 = "Ali Ahmad","Full-In"))))))</f>
        <v>0</v>
      </c>
      <c r="K326" s="39" t="e">
        <f aca="false">IFERROR(VLOOKUP(D326,'Brand manager data '!A:B,2,0))</f>
        <v>#VALUE!</v>
      </c>
      <c r="L326" s="13" t="n">
        <v>0</v>
      </c>
      <c r="M326" s="13" t="str">
        <v>Yes</v>
      </c>
      <c r="N326" s="22"/>
      <c r="Q326" s="40"/>
      <c r="R326" s="13" t="b">
        <f aca="false">FALSE()</f>
        <v>0</v>
      </c>
      <c r="S326" s="13" t="n">
        <v>0</v>
      </c>
      <c r="T326" s="13" t="n">
        <f aca="false">S326*F326</f>
        <v>0</v>
      </c>
      <c r="U326" s="13" t="n">
        <v>0</v>
      </c>
      <c r="V326" s="13" t="n">
        <v>0</v>
      </c>
    </row>
    <row r="327" customFormat="false" ht="15.75" hidden="false" customHeight="false" outlineLevel="0" collapsed="false">
      <c r="A327" s="13" t="n">
        <v>0</v>
      </c>
      <c r="B327" s="13" t="str">
        <v/>
      </c>
      <c r="C327" s="13" t="n">
        <v>0</v>
      </c>
      <c r="D327" s="13" t="n">
        <v>0</v>
      </c>
      <c r="E327" s="13" t="str">
        <v/>
      </c>
      <c r="F327" s="13" t="n">
        <v>0</v>
      </c>
      <c r="G327" s="13" t="n">
        <v>0</v>
      </c>
      <c r="H327" s="13" t="n">
        <v>0</v>
      </c>
      <c r="I327" s="13" t="n">
        <v>0</v>
      </c>
      <c r="J327" s="13" t="b">
        <f aca="false">IF(ISBLANK(I327),"", IF($I$2:$I1324 = "Gohar Rehan","Overnight",IF($I$2:$I1324 = "Taufeeq Akhtar ","Overnight",IF($I$2:$I1324 = "Zeeshan Ali Malik","Audit",IF($I$2:$I1324 = "Ali Raza ","Receiving",IF($I$2:$I1324 = "Ali Ahmad","Full-In"))))))</f>
        <v>0</v>
      </c>
      <c r="K327" s="39" t="e">
        <f aca="false">IFERROR(VLOOKUP(D327,'Brand manager data '!A:B,2,0))</f>
        <v>#VALUE!</v>
      </c>
      <c r="L327" s="13" t="n">
        <v>0</v>
      </c>
      <c r="M327" s="13" t="str">
        <v>Yes</v>
      </c>
      <c r="N327" s="22"/>
      <c r="Q327" s="40"/>
      <c r="R327" s="13" t="b">
        <f aca="false">FALSE()</f>
        <v>0</v>
      </c>
      <c r="S327" s="13" t="n">
        <v>0</v>
      </c>
      <c r="T327" s="13" t="n">
        <f aca="false">S327*F327</f>
        <v>0</v>
      </c>
      <c r="U327" s="13" t="n">
        <v>0</v>
      </c>
      <c r="V327" s="13" t="n">
        <v>0</v>
      </c>
    </row>
    <row r="328" customFormat="false" ht="15.75" hidden="false" customHeight="false" outlineLevel="0" collapsed="false">
      <c r="A328" s="13" t="n">
        <v>0</v>
      </c>
      <c r="B328" s="13" t="str">
        <v/>
      </c>
      <c r="C328" s="13" t="n">
        <v>0</v>
      </c>
      <c r="D328" s="13" t="n">
        <v>0</v>
      </c>
      <c r="E328" s="13" t="str">
        <v/>
      </c>
      <c r="F328" s="13" t="n">
        <v>0</v>
      </c>
      <c r="G328" s="13" t="n">
        <v>0</v>
      </c>
      <c r="H328" s="13" t="n">
        <v>0</v>
      </c>
      <c r="I328" s="13" t="n">
        <v>0</v>
      </c>
      <c r="J328" s="13" t="b">
        <f aca="false">IF(ISBLANK(I328),"", IF($I$2:$I1325 = "Gohar Rehan","Overnight",IF($I$2:$I1325 = "Taufeeq Akhtar ","Overnight",IF($I$2:$I1325 = "Zeeshan Ali Malik","Audit",IF($I$2:$I1325 = "Ali Raza ","Receiving",IF($I$2:$I1325 = "Ali Ahmad","Full-In"))))))</f>
        <v>0</v>
      </c>
      <c r="K328" s="39" t="e">
        <f aca="false">IFERROR(VLOOKUP(D328,'Brand manager data '!A:B,2,0))</f>
        <v>#VALUE!</v>
      </c>
      <c r="L328" s="13" t="n">
        <v>0</v>
      </c>
      <c r="M328" s="13" t="str">
        <v>Yes</v>
      </c>
      <c r="N328" s="22"/>
      <c r="Q328" s="40"/>
      <c r="R328" s="13" t="b">
        <f aca="false">FALSE()</f>
        <v>0</v>
      </c>
      <c r="S328" s="13" t="n">
        <v>0</v>
      </c>
      <c r="T328" s="13" t="n">
        <f aca="false">S328*F328</f>
        <v>0</v>
      </c>
      <c r="U328" s="13" t="n">
        <v>0</v>
      </c>
      <c r="V328" s="13" t="n">
        <v>0</v>
      </c>
    </row>
    <row r="329" customFormat="false" ht="15.75" hidden="false" customHeight="false" outlineLevel="0" collapsed="false">
      <c r="A329" s="13" t="n">
        <v>0</v>
      </c>
      <c r="B329" s="13" t="str">
        <v/>
      </c>
      <c r="C329" s="13" t="n">
        <v>0</v>
      </c>
      <c r="D329" s="13" t="n">
        <v>0</v>
      </c>
      <c r="E329" s="13" t="str">
        <v/>
      </c>
      <c r="F329" s="13" t="n">
        <v>0</v>
      </c>
      <c r="G329" s="13" t="n">
        <v>0</v>
      </c>
      <c r="H329" s="13" t="n">
        <v>0</v>
      </c>
      <c r="I329" s="13" t="n">
        <v>0</v>
      </c>
      <c r="J329" s="13" t="b">
        <f aca="false">IF(ISBLANK(I329),"", IF($I$2:$I1326 = "Gohar Rehan","Overnight",IF($I$2:$I1326 = "Taufeeq Akhtar ","Overnight",IF($I$2:$I1326 = "Zeeshan Ali Malik","Audit",IF($I$2:$I1326 = "Ali Raza ","Receiving",IF($I$2:$I1326 = "Ali Ahmad","Full-In"))))))</f>
        <v>0</v>
      </c>
      <c r="K329" s="39" t="e">
        <f aca="false">IFERROR(VLOOKUP(D329,'Brand manager data '!A:B,2,0))</f>
        <v>#VALUE!</v>
      </c>
      <c r="L329" s="13" t="n">
        <v>0</v>
      </c>
      <c r="M329" s="13" t="str">
        <v>Yes</v>
      </c>
      <c r="N329" s="22"/>
      <c r="Q329" s="40"/>
      <c r="R329" s="13" t="b">
        <f aca="false">FALSE()</f>
        <v>0</v>
      </c>
      <c r="S329" s="13" t="n">
        <v>0</v>
      </c>
      <c r="T329" s="13" t="n">
        <f aca="false">S329*F329</f>
        <v>0</v>
      </c>
      <c r="U329" s="13" t="n">
        <v>0</v>
      </c>
      <c r="V329" s="13" t="n">
        <v>0</v>
      </c>
    </row>
    <row r="330" customFormat="false" ht="15.75" hidden="false" customHeight="false" outlineLevel="0" collapsed="false">
      <c r="A330" s="13" t="n">
        <v>0</v>
      </c>
      <c r="B330" s="13" t="str">
        <v/>
      </c>
      <c r="C330" s="13" t="n">
        <v>0</v>
      </c>
      <c r="D330" s="13" t="n">
        <v>0</v>
      </c>
      <c r="E330" s="13" t="str">
        <v/>
      </c>
      <c r="F330" s="13" t="n">
        <v>0</v>
      </c>
      <c r="G330" s="13" t="n">
        <v>0</v>
      </c>
      <c r="H330" s="13" t="n">
        <v>0</v>
      </c>
      <c r="I330" s="13" t="n">
        <v>0</v>
      </c>
      <c r="J330" s="13" t="b">
        <f aca="false">IF(ISBLANK(I330),"", IF($I$2:$I1327 = "Gohar Rehan","Overnight",IF($I$2:$I1327 = "Taufeeq Akhtar ","Overnight",IF($I$2:$I1327 = "Zeeshan Ali Malik","Audit",IF($I$2:$I1327 = "Ali Raza ","Receiving",IF($I$2:$I1327 = "Ali Ahmad","Full-In"))))))</f>
        <v>0</v>
      </c>
      <c r="K330" s="39" t="e">
        <f aca="false">IFERROR(VLOOKUP(D330,'Brand manager data '!A:B,2,0))</f>
        <v>#VALUE!</v>
      </c>
      <c r="L330" s="13" t="n">
        <v>0</v>
      </c>
      <c r="M330" s="13" t="str">
        <v>Yes</v>
      </c>
      <c r="N330" s="22"/>
      <c r="Q330" s="40"/>
      <c r="R330" s="13" t="b">
        <f aca="false">FALSE()</f>
        <v>0</v>
      </c>
      <c r="S330" s="13" t="n">
        <v>0</v>
      </c>
      <c r="T330" s="13" t="n">
        <f aca="false">S330*F330</f>
        <v>0</v>
      </c>
      <c r="U330" s="13" t="n">
        <v>0</v>
      </c>
      <c r="V330" s="13" t="n">
        <v>0</v>
      </c>
    </row>
    <row r="331" customFormat="false" ht="15.75" hidden="false" customHeight="false" outlineLevel="0" collapsed="false">
      <c r="A331" s="13" t="n">
        <v>0</v>
      </c>
      <c r="B331" s="13" t="str">
        <v/>
      </c>
      <c r="C331" s="13" t="n">
        <v>0</v>
      </c>
      <c r="D331" s="13" t="n">
        <v>0</v>
      </c>
      <c r="E331" s="13" t="str">
        <v/>
      </c>
      <c r="F331" s="13" t="n">
        <v>0</v>
      </c>
      <c r="G331" s="13" t="n">
        <v>0</v>
      </c>
      <c r="H331" s="13" t="n">
        <v>0</v>
      </c>
      <c r="I331" s="13" t="n">
        <v>0</v>
      </c>
      <c r="J331" s="13" t="b">
        <f aca="false">IF(ISBLANK(I331),"", IF($I$2:$I1328 = "Gohar Rehan","Overnight",IF($I$2:$I1328 = "Taufeeq Akhtar ","Overnight",IF($I$2:$I1328 = "Zeeshan Ali Malik","Audit",IF($I$2:$I1328 = "Ali Raza ","Receiving",IF($I$2:$I1328 = "Ali Ahmad","Full-In"))))))</f>
        <v>0</v>
      </c>
      <c r="K331" s="39" t="e">
        <f aca="false">IFERROR(VLOOKUP(D331,'Brand manager data '!A:B,2,0))</f>
        <v>#VALUE!</v>
      </c>
      <c r="L331" s="13" t="n">
        <v>0</v>
      </c>
      <c r="M331" s="13" t="str">
        <v>Yes</v>
      </c>
      <c r="N331" s="22"/>
      <c r="Q331" s="40"/>
      <c r="R331" s="13" t="b">
        <f aca="false">FALSE()</f>
        <v>0</v>
      </c>
      <c r="S331" s="13" t="n">
        <v>0</v>
      </c>
      <c r="T331" s="13" t="n">
        <f aca="false">S331*F331</f>
        <v>0</v>
      </c>
      <c r="U331" s="13" t="n">
        <v>0</v>
      </c>
      <c r="V331" s="13" t="n">
        <v>0</v>
      </c>
    </row>
    <row r="332" customFormat="false" ht="15.75" hidden="false" customHeight="false" outlineLevel="0" collapsed="false">
      <c r="A332" s="13" t="n">
        <v>0</v>
      </c>
      <c r="B332" s="13" t="str">
        <v/>
      </c>
      <c r="C332" s="13" t="n">
        <v>0</v>
      </c>
      <c r="D332" s="13" t="n">
        <v>0</v>
      </c>
      <c r="E332" s="13" t="str">
        <v/>
      </c>
      <c r="F332" s="13" t="n">
        <v>0</v>
      </c>
      <c r="G332" s="13" t="n">
        <v>0</v>
      </c>
      <c r="H332" s="13" t="n">
        <v>0</v>
      </c>
      <c r="I332" s="13" t="n">
        <v>0</v>
      </c>
      <c r="J332" s="13" t="b">
        <f aca="false">IF(ISBLANK(I332),"", IF($I$2:$I1329 = "Gohar Rehan","Overnight",IF($I$2:$I1329 = "Taufeeq Akhtar ","Overnight",IF($I$2:$I1329 = "Zeeshan Ali Malik","Audit",IF($I$2:$I1329 = "Ali Raza ","Receiving",IF($I$2:$I1329 = "Ali Ahmad","Full-In"))))))</f>
        <v>0</v>
      </c>
      <c r="K332" s="39" t="e">
        <f aca="false">IFERROR(VLOOKUP(D332,'Brand manager data '!A:B,2,0))</f>
        <v>#VALUE!</v>
      </c>
      <c r="L332" s="13" t="n">
        <v>0</v>
      </c>
      <c r="M332" s="13" t="str">
        <v>Yes</v>
      </c>
      <c r="N332" s="22"/>
      <c r="Q332" s="40"/>
      <c r="R332" s="13" t="b">
        <f aca="false">FALSE()</f>
        <v>0</v>
      </c>
      <c r="S332" s="13" t="n">
        <v>0</v>
      </c>
      <c r="T332" s="13" t="n">
        <f aca="false">S332*F332</f>
        <v>0</v>
      </c>
      <c r="U332" s="13" t="n">
        <v>0</v>
      </c>
      <c r="V332" s="13" t="n">
        <v>0</v>
      </c>
    </row>
    <row r="333" customFormat="false" ht="15.75" hidden="false" customHeight="false" outlineLevel="0" collapsed="false">
      <c r="A333" s="13" t="n">
        <v>0</v>
      </c>
      <c r="B333" s="13" t="str">
        <v/>
      </c>
      <c r="C333" s="13" t="n">
        <v>0</v>
      </c>
      <c r="D333" s="13" t="n">
        <v>0</v>
      </c>
      <c r="E333" s="13" t="str">
        <v/>
      </c>
      <c r="F333" s="13" t="n">
        <v>0</v>
      </c>
      <c r="G333" s="13" t="n">
        <v>0</v>
      </c>
      <c r="H333" s="13" t="n">
        <v>0</v>
      </c>
      <c r="I333" s="13" t="n">
        <v>0</v>
      </c>
      <c r="J333" s="13" t="b">
        <f aca="false">IF(ISBLANK(I333),"", IF($I$2:$I1330 = "Gohar Rehan","Overnight",IF($I$2:$I1330 = "Taufeeq Akhtar ","Overnight",IF($I$2:$I1330 = "Zeeshan Ali Malik","Audit",IF($I$2:$I1330 = "Ali Raza ","Receiving",IF($I$2:$I1330 = "Ali Ahmad","Full-In"))))))</f>
        <v>0</v>
      </c>
      <c r="K333" s="39" t="e">
        <f aca="false">IFERROR(VLOOKUP(D333,'Brand manager data '!A:B,2,0))</f>
        <v>#VALUE!</v>
      </c>
      <c r="L333" s="13" t="n">
        <v>0</v>
      </c>
      <c r="M333" s="13" t="str">
        <v>Yes</v>
      </c>
      <c r="N333" s="22"/>
      <c r="Q333" s="40"/>
      <c r="R333" s="13" t="b">
        <f aca="false">FALSE()</f>
        <v>0</v>
      </c>
      <c r="S333" s="13" t="n">
        <v>0</v>
      </c>
      <c r="T333" s="13" t="n">
        <f aca="false">S333*F333</f>
        <v>0</v>
      </c>
      <c r="U333" s="13" t="n">
        <v>0</v>
      </c>
      <c r="V333" s="13" t="n">
        <v>0</v>
      </c>
    </row>
    <row r="334" customFormat="false" ht="15.75" hidden="false" customHeight="false" outlineLevel="0" collapsed="false">
      <c r="A334" s="13" t="n">
        <v>0</v>
      </c>
      <c r="B334" s="13" t="str">
        <v/>
      </c>
      <c r="C334" s="13" t="n">
        <v>0</v>
      </c>
      <c r="D334" s="13" t="n">
        <v>0</v>
      </c>
      <c r="E334" s="13" t="str">
        <v/>
      </c>
      <c r="F334" s="13" t="n">
        <v>0</v>
      </c>
      <c r="G334" s="13" t="n">
        <v>0</v>
      </c>
      <c r="H334" s="13" t="n">
        <v>0</v>
      </c>
      <c r="I334" s="13" t="n">
        <v>0</v>
      </c>
      <c r="J334" s="13" t="b">
        <f aca="false">IF(ISBLANK(I334),"", IF($I$2:$I1331 = "Gohar Rehan","Overnight",IF($I$2:$I1331 = "Taufeeq Akhtar ","Overnight",IF($I$2:$I1331 = "Zeeshan Ali Malik","Audit",IF($I$2:$I1331 = "Ali Raza ","Receiving",IF($I$2:$I1331 = "Ali Ahmad","Full-In"))))))</f>
        <v>0</v>
      </c>
      <c r="K334" s="39" t="e">
        <f aca="false">IFERROR(VLOOKUP(D334,'Brand manager data '!A:B,2,0))</f>
        <v>#VALUE!</v>
      </c>
      <c r="L334" s="13" t="n">
        <v>0</v>
      </c>
      <c r="M334" s="13" t="str">
        <v>Yes</v>
      </c>
      <c r="N334" s="22"/>
      <c r="Q334" s="40"/>
      <c r="R334" s="13" t="b">
        <f aca="false">FALSE()</f>
        <v>0</v>
      </c>
      <c r="S334" s="13" t="n">
        <v>0</v>
      </c>
      <c r="T334" s="13" t="n">
        <f aca="false">S334*F334</f>
        <v>0</v>
      </c>
      <c r="U334" s="13" t="n">
        <v>0</v>
      </c>
      <c r="V334" s="13" t="n">
        <v>0</v>
      </c>
    </row>
    <row r="335" customFormat="false" ht="15.75" hidden="false" customHeight="false" outlineLevel="0" collapsed="false">
      <c r="A335" s="13" t="n">
        <v>0</v>
      </c>
      <c r="B335" s="13" t="str">
        <v/>
      </c>
      <c r="C335" s="13" t="n">
        <v>0</v>
      </c>
      <c r="D335" s="13" t="n">
        <v>0</v>
      </c>
      <c r="E335" s="13" t="str">
        <v/>
      </c>
      <c r="F335" s="13" t="n">
        <v>0</v>
      </c>
      <c r="G335" s="13" t="n">
        <v>0</v>
      </c>
      <c r="H335" s="13" t="n">
        <v>0</v>
      </c>
      <c r="I335" s="13" t="n">
        <v>0</v>
      </c>
      <c r="J335" s="13" t="b">
        <f aca="false">IF(ISBLANK(I335),"", IF($I$2:$I1332 = "Gohar Rehan","Overnight",IF($I$2:$I1332 = "Taufeeq Akhtar ","Overnight",IF($I$2:$I1332 = "Zeeshan Ali Malik","Audit",IF($I$2:$I1332 = "Ali Raza ","Receiving",IF($I$2:$I1332 = "Ali Ahmad","Full-In"))))))</f>
        <v>0</v>
      </c>
      <c r="K335" s="39" t="e">
        <f aca="false">IFERROR(VLOOKUP(D335,'Brand manager data '!A:B,2,0))</f>
        <v>#VALUE!</v>
      </c>
      <c r="L335" s="13" t="n">
        <v>0</v>
      </c>
      <c r="M335" s="13" t="str">
        <v>Yes</v>
      </c>
      <c r="N335" s="22"/>
      <c r="Q335" s="40"/>
      <c r="R335" s="13" t="b">
        <f aca="false">FALSE()</f>
        <v>0</v>
      </c>
      <c r="S335" s="13" t="n">
        <v>0</v>
      </c>
      <c r="T335" s="13" t="n">
        <f aca="false">S335*F335</f>
        <v>0</v>
      </c>
      <c r="U335" s="13" t="n">
        <v>0</v>
      </c>
      <c r="V335" s="13" t="n">
        <v>0</v>
      </c>
    </row>
    <row r="336" customFormat="false" ht="15.75" hidden="false" customHeight="false" outlineLevel="0" collapsed="false">
      <c r="A336" s="13" t="n">
        <v>0</v>
      </c>
      <c r="B336" s="13" t="str">
        <v/>
      </c>
      <c r="C336" s="13" t="n">
        <v>0</v>
      </c>
      <c r="D336" s="13" t="n">
        <v>0</v>
      </c>
      <c r="E336" s="13" t="str">
        <v/>
      </c>
      <c r="F336" s="13" t="n">
        <v>0</v>
      </c>
      <c r="G336" s="13" t="n">
        <v>0</v>
      </c>
      <c r="H336" s="13" t="n">
        <v>0</v>
      </c>
      <c r="I336" s="13" t="n">
        <v>0</v>
      </c>
      <c r="J336" s="13" t="b">
        <f aca="false">IF(ISBLANK(I336),"", IF($I$2:$I1333 = "Gohar Rehan","Overnight",IF($I$2:$I1333 = "Taufeeq Akhtar ","Overnight",IF($I$2:$I1333 = "Zeeshan Ali Malik","Audit",IF($I$2:$I1333 = "Ali Raza ","Receiving",IF($I$2:$I1333 = "Ali Ahmad","Full-In"))))))</f>
        <v>0</v>
      </c>
      <c r="K336" s="39" t="e">
        <f aca="false">IFERROR(VLOOKUP(D336,'Brand manager data '!A:B,2,0))</f>
        <v>#VALUE!</v>
      </c>
      <c r="L336" s="13" t="n">
        <v>0</v>
      </c>
      <c r="M336" s="13" t="str">
        <v>Yes</v>
      </c>
      <c r="N336" s="22"/>
      <c r="Q336" s="40"/>
      <c r="R336" s="13" t="b">
        <f aca="false">FALSE()</f>
        <v>0</v>
      </c>
      <c r="S336" s="13" t="n">
        <v>0</v>
      </c>
      <c r="T336" s="13" t="n">
        <f aca="false">S336*F336</f>
        <v>0</v>
      </c>
      <c r="U336" s="13" t="n">
        <v>0</v>
      </c>
      <c r="V336" s="13" t="n">
        <v>0</v>
      </c>
    </row>
    <row r="337" customFormat="false" ht="15.75" hidden="false" customHeight="false" outlineLevel="0" collapsed="false">
      <c r="A337" s="13" t="n">
        <v>0</v>
      </c>
      <c r="B337" s="13" t="str">
        <v/>
      </c>
      <c r="C337" s="13" t="n">
        <v>0</v>
      </c>
      <c r="D337" s="13" t="n">
        <v>0</v>
      </c>
      <c r="E337" s="13" t="str">
        <v/>
      </c>
      <c r="F337" s="13" t="n">
        <v>0</v>
      </c>
      <c r="G337" s="13" t="n">
        <v>0</v>
      </c>
      <c r="H337" s="13" t="n">
        <v>0</v>
      </c>
      <c r="I337" s="13" t="n">
        <v>0</v>
      </c>
      <c r="J337" s="13" t="b">
        <f aca="false">IF(ISBLANK(I337),"", IF($I$2:$I1334 = "Gohar Rehan","Overnight",IF($I$2:$I1334 = "Taufeeq Akhtar ","Overnight",IF($I$2:$I1334 = "Zeeshan Ali Malik","Audit",IF($I$2:$I1334 = "Ali Raza ","Receiving",IF($I$2:$I1334 = "Ali Ahmad","Full-In"))))))</f>
        <v>0</v>
      </c>
      <c r="K337" s="39" t="e">
        <f aca="false">IFERROR(VLOOKUP(D337,'Brand manager data '!A:B,2,0))</f>
        <v>#VALUE!</v>
      </c>
      <c r="L337" s="13" t="n">
        <v>0</v>
      </c>
      <c r="M337" s="13" t="str">
        <v>Yes</v>
      </c>
      <c r="N337" s="22"/>
      <c r="Q337" s="40"/>
      <c r="R337" s="13" t="b">
        <f aca="false">FALSE()</f>
        <v>0</v>
      </c>
      <c r="S337" s="13" t="n">
        <v>0</v>
      </c>
      <c r="T337" s="13" t="n">
        <f aca="false">S337*F337</f>
        <v>0</v>
      </c>
      <c r="U337" s="13" t="n">
        <v>0</v>
      </c>
      <c r="V337" s="13" t="n">
        <v>0</v>
      </c>
    </row>
    <row r="338" customFormat="false" ht="15.75" hidden="false" customHeight="false" outlineLevel="0" collapsed="false">
      <c r="A338" s="13" t="n">
        <v>0</v>
      </c>
      <c r="B338" s="13" t="str">
        <v/>
      </c>
      <c r="C338" s="13" t="n">
        <v>0</v>
      </c>
      <c r="D338" s="13" t="n">
        <v>0</v>
      </c>
      <c r="E338" s="13" t="str">
        <v/>
      </c>
      <c r="F338" s="13" t="n">
        <v>0</v>
      </c>
      <c r="G338" s="13" t="n">
        <v>0</v>
      </c>
      <c r="H338" s="13" t="n">
        <v>0</v>
      </c>
      <c r="I338" s="13" t="n">
        <v>0</v>
      </c>
      <c r="J338" s="13" t="b">
        <f aca="false">IF(ISBLANK(I338),"", IF($I$2:$I1335 = "Gohar Rehan","Overnight",IF($I$2:$I1335 = "Taufeeq Akhtar ","Overnight",IF($I$2:$I1335 = "Zeeshan Ali Malik","Audit",IF($I$2:$I1335 = "Ali Raza ","Receiving",IF($I$2:$I1335 = "Ali Ahmad","Full-In"))))))</f>
        <v>0</v>
      </c>
      <c r="K338" s="39" t="e">
        <f aca="false">IFERROR(VLOOKUP(D338,'Brand manager data '!A:B,2,0))</f>
        <v>#VALUE!</v>
      </c>
      <c r="L338" s="13" t="n">
        <v>0</v>
      </c>
      <c r="M338" s="13" t="str">
        <v>Yes</v>
      </c>
      <c r="N338" s="22"/>
      <c r="Q338" s="40"/>
      <c r="R338" s="13" t="b">
        <f aca="false">FALSE()</f>
        <v>0</v>
      </c>
      <c r="S338" s="13" t="n">
        <v>0</v>
      </c>
      <c r="T338" s="13" t="n">
        <f aca="false">S338*F338</f>
        <v>0</v>
      </c>
      <c r="U338" s="13" t="n">
        <v>0</v>
      </c>
      <c r="V338" s="13" t="n">
        <v>0</v>
      </c>
    </row>
    <row r="339" customFormat="false" ht="15.75" hidden="false" customHeight="false" outlineLevel="0" collapsed="false">
      <c r="A339" s="13" t="n">
        <v>0</v>
      </c>
      <c r="B339" s="13" t="str">
        <v/>
      </c>
      <c r="C339" s="13" t="n">
        <v>0</v>
      </c>
      <c r="D339" s="13" t="n">
        <v>0</v>
      </c>
      <c r="E339" s="13" t="str">
        <v/>
      </c>
      <c r="F339" s="13" t="n">
        <v>0</v>
      </c>
      <c r="G339" s="13" t="n">
        <v>0</v>
      </c>
      <c r="H339" s="13" t="n">
        <v>0</v>
      </c>
      <c r="I339" s="13" t="n">
        <v>0</v>
      </c>
      <c r="J339" s="13" t="b">
        <f aca="false">IF(ISBLANK(I339),"", IF($I$2:$I1336 = "Gohar Rehan","Overnight",IF($I$2:$I1336 = "Taufeeq Akhtar ","Overnight",IF($I$2:$I1336 = "Zeeshan Ali Malik","Audit",IF($I$2:$I1336 = "Ali Raza ","Receiving",IF($I$2:$I1336 = "Ali Ahmad","Full-In"))))))</f>
        <v>0</v>
      </c>
      <c r="K339" s="39" t="e">
        <f aca="false">IFERROR(VLOOKUP(D339,'Brand manager data '!A:B,2,0))</f>
        <v>#VALUE!</v>
      </c>
      <c r="L339" s="13" t="n">
        <v>0</v>
      </c>
      <c r="M339" s="13" t="str">
        <v>Yes</v>
      </c>
      <c r="N339" s="22"/>
      <c r="Q339" s="40"/>
      <c r="R339" s="13" t="b">
        <f aca="false">FALSE()</f>
        <v>0</v>
      </c>
      <c r="S339" s="13" t="n">
        <v>0</v>
      </c>
      <c r="T339" s="13" t="n">
        <f aca="false">S339*F339</f>
        <v>0</v>
      </c>
      <c r="U339" s="13" t="n">
        <v>0</v>
      </c>
      <c r="V339" s="13" t="n">
        <v>0</v>
      </c>
    </row>
    <row r="340" customFormat="false" ht="15.75" hidden="false" customHeight="false" outlineLevel="0" collapsed="false">
      <c r="A340" s="13" t="n">
        <v>0</v>
      </c>
      <c r="B340" s="13" t="str">
        <v/>
      </c>
      <c r="C340" s="13" t="n">
        <v>0</v>
      </c>
      <c r="D340" s="13" t="n">
        <v>0</v>
      </c>
      <c r="E340" s="13" t="str">
        <v/>
      </c>
      <c r="F340" s="13" t="n">
        <v>0</v>
      </c>
      <c r="G340" s="13" t="n">
        <v>0</v>
      </c>
      <c r="H340" s="13" t="n">
        <v>0</v>
      </c>
      <c r="I340" s="13" t="n">
        <v>0</v>
      </c>
      <c r="J340" s="13" t="b">
        <f aca="false">IF(ISBLANK(I340),"", IF($I$2:$I1337 = "Gohar Rehan","Overnight",IF($I$2:$I1337 = "Taufeeq Akhtar ","Overnight",IF($I$2:$I1337 = "Zeeshan Ali Malik","Audit",IF($I$2:$I1337 = "Ali Raza ","Receiving",IF($I$2:$I1337 = "Ali Ahmad","Full-In"))))))</f>
        <v>0</v>
      </c>
      <c r="K340" s="39" t="e">
        <f aca="false">IFERROR(VLOOKUP(D340,'Brand manager data '!A:B,2,0))</f>
        <v>#VALUE!</v>
      </c>
      <c r="L340" s="13" t="n">
        <v>0</v>
      </c>
      <c r="M340" s="13" t="str">
        <v>Yes</v>
      </c>
      <c r="N340" s="22"/>
      <c r="Q340" s="40"/>
      <c r="R340" s="13" t="b">
        <f aca="false">FALSE()</f>
        <v>0</v>
      </c>
      <c r="S340" s="13" t="n">
        <v>0</v>
      </c>
      <c r="T340" s="13" t="n">
        <f aca="false">S340*F340</f>
        <v>0</v>
      </c>
      <c r="U340" s="13" t="n">
        <v>0</v>
      </c>
      <c r="V340" s="13" t="n">
        <v>0</v>
      </c>
    </row>
    <row r="341" customFormat="false" ht="15.75" hidden="false" customHeight="false" outlineLevel="0" collapsed="false">
      <c r="A341" s="13" t="n">
        <v>0</v>
      </c>
      <c r="B341" s="13" t="str">
        <v/>
      </c>
      <c r="C341" s="13" t="n">
        <v>0</v>
      </c>
      <c r="D341" s="13" t="n">
        <v>0</v>
      </c>
      <c r="E341" s="13" t="str">
        <v/>
      </c>
      <c r="F341" s="13" t="n">
        <v>0</v>
      </c>
      <c r="G341" s="13" t="n">
        <v>0</v>
      </c>
      <c r="H341" s="13" t="n">
        <v>0</v>
      </c>
      <c r="I341" s="13" t="n">
        <v>0</v>
      </c>
      <c r="J341" s="13" t="b">
        <f aca="false">IF(ISBLANK(I341),"", IF($I$2:$I1338 = "Gohar Rehan","Overnight",IF($I$2:$I1338 = "Taufeeq Akhtar ","Overnight",IF($I$2:$I1338 = "Zeeshan Ali Malik","Audit",IF($I$2:$I1338 = "Ali Raza ","Receiving",IF($I$2:$I1338 = "Ali Ahmad","Full-In"))))))</f>
        <v>0</v>
      </c>
      <c r="K341" s="39" t="e">
        <f aca="false">IFERROR(VLOOKUP(D341,'Brand manager data '!A:B,2,0))</f>
        <v>#VALUE!</v>
      </c>
      <c r="L341" s="13" t="n">
        <v>0</v>
      </c>
      <c r="M341" s="13" t="str">
        <v>Yes</v>
      </c>
      <c r="N341" s="22"/>
      <c r="Q341" s="40"/>
      <c r="R341" s="13" t="b">
        <f aca="false">FALSE()</f>
        <v>0</v>
      </c>
      <c r="S341" s="13" t="n">
        <v>0</v>
      </c>
      <c r="T341" s="13" t="n">
        <f aca="false">S341*F341</f>
        <v>0</v>
      </c>
      <c r="U341" s="13" t="n">
        <v>0</v>
      </c>
      <c r="V341" s="13" t="n">
        <v>0</v>
      </c>
    </row>
    <row r="342" customFormat="false" ht="15.75" hidden="false" customHeight="false" outlineLevel="0" collapsed="false">
      <c r="A342" s="13" t="n">
        <v>0</v>
      </c>
      <c r="B342" s="13" t="str">
        <v/>
      </c>
      <c r="C342" s="13" t="n">
        <v>0</v>
      </c>
      <c r="D342" s="13" t="n">
        <v>0</v>
      </c>
      <c r="E342" s="13" t="str">
        <v/>
      </c>
      <c r="F342" s="13" t="n">
        <v>0</v>
      </c>
      <c r="G342" s="13" t="n">
        <v>0</v>
      </c>
      <c r="H342" s="13" t="n">
        <v>0</v>
      </c>
      <c r="I342" s="13" t="n">
        <v>0</v>
      </c>
      <c r="J342" s="13" t="b">
        <f aca="false">IF(ISBLANK(I342),"", IF($I$2:$I1339 = "Gohar Rehan","Overnight",IF($I$2:$I1339 = "Taufeeq Akhtar ","Overnight",IF($I$2:$I1339 = "Zeeshan Ali Malik","Audit",IF($I$2:$I1339 = "Ali Raza ","Receiving",IF($I$2:$I1339 = "Ali Ahmad","Full-In"))))))</f>
        <v>0</v>
      </c>
      <c r="K342" s="39" t="e">
        <f aca="false">IFERROR(VLOOKUP(D342,'Brand manager data '!A:B,2,0))</f>
        <v>#VALUE!</v>
      </c>
      <c r="L342" s="13" t="n">
        <v>0</v>
      </c>
      <c r="M342" s="13" t="str">
        <v>Yes</v>
      </c>
      <c r="N342" s="22"/>
      <c r="Q342" s="40"/>
      <c r="R342" s="13" t="b">
        <f aca="false">FALSE()</f>
        <v>0</v>
      </c>
      <c r="S342" s="13" t="n">
        <v>0</v>
      </c>
      <c r="T342" s="13" t="n">
        <f aca="false">S342*F342</f>
        <v>0</v>
      </c>
      <c r="U342" s="13" t="n">
        <v>0</v>
      </c>
      <c r="V342" s="13" t="n">
        <v>0</v>
      </c>
    </row>
    <row r="343" customFormat="false" ht="15.75" hidden="false" customHeight="false" outlineLevel="0" collapsed="false">
      <c r="A343" s="13" t="n">
        <v>0</v>
      </c>
      <c r="B343" s="13" t="str">
        <v/>
      </c>
      <c r="C343" s="13" t="n">
        <v>0</v>
      </c>
      <c r="D343" s="13" t="n">
        <v>0</v>
      </c>
      <c r="E343" s="13" t="str">
        <v/>
      </c>
      <c r="F343" s="13" t="n">
        <v>0</v>
      </c>
      <c r="G343" s="13" t="n">
        <v>0</v>
      </c>
      <c r="H343" s="13" t="n">
        <v>0</v>
      </c>
      <c r="I343" s="13" t="n">
        <v>0</v>
      </c>
      <c r="J343" s="13" t="b">
        <f aca="false">IF(ISBLANK(I343),"", IF($I$2:$I1340 = "Gohar Rehan","Overnight",IF($I$2:$I1340 = "Taufeeq Akhtar ","Overnight",IF($I$2:$I1340 = "Zeeshan Ali Malik","Audit",IF($I$2:$I1340 = "Ali Raza ","Receiving",IF($I$2:$I1340 = "Ali Ahmad","Full-In"))))))</f>
        <v>0</v>
      </c>
      <c r="K343" s="39" t="e">
        <f aca="false">IFERROR(VLOOKUP(D343,'Brand manager data '!A:B,2,0))</f>
        <v>#VALUE!</v>
      </c>
      <c r="L343" s="13" t="n">
        <v>0</v>
      </c>
      <c r="M343" s="13" t="str">
        <v>Yes</v>
      </c>
      <c r="N343" s="22"/>
      <c r="Q343" s="40"/>
      <c r="R343" s="13" t="b">
        <f aca="false">FALSE()</f>
        <v>0</v>
      </c>
      <c r="S343" s="13" t="n">
        <v>0</v>
      </c>
      <c r="T343" s="13" t="n">
        <f aca="false">S343*F343</f>
        <v>0</v>
      </c>
      <c r="U343" s="13" t="n">
        <v>0</v>
      </c>
      <c r="V343" s="13" t="n">
        <v>0</v>
      </c>
    </row>
    <row r="344" customFormat="false" ht="15.75" hidden="false" customHeight="false" outlineLevel="0" collapsed="false">
      <c r="A344" s="13" t="n">
        <v>0</v>
      </c>
      <c r="B344" s="13" t="str">
        <v/>
      </c>
      <c r="C344" s="13" t="n">
        <v>0</v>
      </c>
      <c r="D344" s="13" t="n">
        <v>0</v>
      </c>
      <c r="E344" s="13" t="str">
        <v/>
      </c>
      <c r="F344" s="13" t="n">
        <v>0</v>
      </c>
      <c r="G344" s="13" t="n">
        <v>0</v>
      </c>
      <c r="H344" s="13" t="n">
        <v>0</v>
      </c>
      <c r="I344" s="13" t="n">
        <v>0</v>
      </c>
      <c r="J344" s="13" t="b">
        <f aca="false">IF(ISBLANK(I344),"", IF($I$2:$I1341 = "Gohar Rehan","Overnight",IF($I$2:$I1341 = "Taufeeq Akhtar ","Overnight",IF($I$2:$I1341 = "Zeeshan Ali Malik","Audit",IF($I$2:$I1341 = "Ali Raza ","Receiving",IF($I$2:$I1341 = "Ali Ahmad","Full-In"))))))</f>
        <v>0</v>
      </c>
      <c r="K344" s="39" t="e">
        <f aca="false">IFERROR(VLOOKUP(D344,'Brand manager data '!A:B,2,0))</f>
        <v>#VALUE!</v>
      </c>
      <c r="L344" s="13" t="n">
        <v>0</v>
      </c>
      <c r="M344" s="13" t="str">
        <v>Yes</v>
      </c>
      <c r="N344" s="22"/>
      <c r="Q344" s="40"/>
      <c r="R344" s="13" t="b">
        <f aca="false">FALSE()</f>
        <v>0</v>
      </c>
      <c r="S344" s="13" t="n">
        <v>0</v>
      </c>
      <c r="T344" s="13" t="n">
        <f aca="false">S344*F344</f>
        <v>0</v>
      </c>
      <c r="U344" s="13" t="n">
        <v>0</v>
      </c>
      <c r="V344" s="13" t="n">
        <v>0</v>
      </c>
    </row>
    <row r="345" customFormat="false" ht="15.75" hidden="false" customHeight="false" outlineLevel="0" collapsed="false">
      <c r="A345" s="13" t="n">
        <v>0</v>
      </c>
      <c r="B345" s="13" t="str">
        <v/>
      </c>
      <c r="C345" s="13" t="n">
        <v>0</v>
      </c>
      <c r="D345" s="13" t="n">
        <v>0</v>
      </c>
      <c r="E345" s="13" t="str">
        <v/>
      </c>
      <c r="F345" s="13" t="n">
        <v>0</v>
      </c>
      <c r="G345" s="13" t="n">
        <v>0</v>
      </c>
      <c r="H345" s="13" t="n">
        <v>0</v>
      </c>
      <c r="I345" s="13" t="n">
        <v>0</v>
      </c>
      <c r="J345" s="13" t="b">
        <f aca="false">IF(ISBLANK(I345),"", IF($I$2:$I1342 = "Gohar Rehan","Overnight",IF($I$2:$I1342 = "Taufeeq Akhtar ","Overnight",IF($I$2:$I1342 = "Zeeshan Ali Malik","Audit",IF($I$2:$I1342 = "Ali Raza ","Receiving",IF($I$2:$I1342 = "Ali Ahmad","Full-In"))))))</f>
        <v>0</v>
      </c>
      <c r="K345" s="39" t="e">
        <f aca="false">IFERROR(VLOOKUP(D345,'Brand manager data '!A:B,2,0))</f>
        <v>#VALUE!</v>
      </c>
      <c r="L345" s="13" t="n">
        <v>0</v>
      </c>
      <c r="M345" s="13" t="str">
        <v>Yes</v>
      </c>
      <c r="N345" s="22"/>
      <c r="Q345" s="40"/>
      <c r="R345" s="13" t="b">
        <f aca="false">FALSE()</f>
        <v>0</v>
      </c>
      <c r="S345" s="13" t="n">
        <v>0</v>
      </c>
      <c r="T345" s="13" t="n">
        <f aca="false">S345*F345</f>
        <v>0</v>
      </c>
      <c r="U345" s="13" t="n">
        <v>0</v>
      </c>
      <c r="V345" s="13" t="n">
        <v>0</v>
      </c>
    </row>
    <row r="346" customFormat="false" ht="15.75" hidden="false" customHeight="false" outlineLevel="0" collapsed="false">
      <c r="A346" s="13" t="n">
        <v>0</v>
      </c>
      <c r="B346" s="13" t="str">
        <v/>
      </c>
      <c r="C346" s="13" t="n">
        <v>0</v>
      </c>
      <c r="D346" s="13" t="n">
        <v>0</v>
      </c>
      <c r="E346" s="13" t="str">
        <v/>
      </c>
      <c r="F346" s="13" t="n">
        <v>0</v>
      </c>
      <c r="G346" s="13" t="n">
        <v>0</v>
      </c>
      <c r="H346" s="13" t="n">
        <v>0</v>
      </c>
      <c r="I346" s="13" t="n">
        <v>0</v>
      </c>
      <c r="J346" s="13" t="b">
        <f aca="false">IF(ISBLANK(I346),"", IF($I$2:$I1343 = "Gohar Rehan","Overnight",IF($I$2:$I1343 = "Taufeeq Akhtar ","Overnight",IF($I$2:$I1343 = "Zeeshan Ali Malik","Audit",IF($I$2:$I1343 = "Ali Raza ","Receiving",IF($I$2:$I1343 = "Ali Ahmad","Full-In"))))))</f>
        <v>0</v>
      </c>
      <c r="K346" s="39" t="e">
        <f aca="false">IFERROR(VLOOKUP(D346,'Brand manager data '!A:B,2,0))</f>
        <v>#VALUE!</v>
      </c>
      <c r="L346" s="13" t="n">
        <v>0</v>
      </c>
      <c r="M346" s="13" t="str">
        <v>Yes</v>
      </c>
      <c r="N346" s="22"/>
      <c r="Q346" s="40"/>
      <c r="R346" s="13" t="b">
        <f aca="false">FALSE()</f>
        <v>0</v>
      </c>
      <c r="S346" s="13" t="n">
        <v>0</v>
      </c>
      <c r="T346" s="13" t="n">
        <f aca="false">S346*F346</f>
        <v>0</v>
      </c>
      <c r="U346" s="13" t="n">
        <v>0</v>
      </c>
      <c r="V346" s="13" t="n">
        <v>0</v>
      </c>
    </row>
    <row r="347" customFormat="false" ht="15.75" hidden="false" customHeight="false" outlineLevel="0" collapsed="false">
      <c r="A347" s="13" t="n">
        <v>0</v>
      </c>
      <c r="B347" s="13" t="str">
        <v/>
      </c>
      <c r="C347" s="13" t="n">
        <v>0</v>
      </c>
      <c r="D347" s="13" t="n">
        <v>0</v>
      </c>
      <c r="E347" s="13" t="str">
        <v/>
      </c>
      <c r="F347" s="13" t="n">
        <v>0</v>
      </c>
      <c r="G347" s="13" t="n">
        <v>0</v>
      </c>
      <c r="H347" s="13" t="n">
        <v>0</v>
      </c>
      <c r="I347" s="13" t="n">
        <v>0</v>
      </c>
      <c r="J347" s="13" t="b">
        <f aca="false">IF(ISBLANK(I347),"", IF($I$2:$I1344 = "Gohar Rehan","Overnight",IF($I$2:$I1344 = "Taufeeq Akhtar ","Overnight",IF($I$2:$I1344 = "Zeeshan Ali Malik","Audit",IF($I$2:$I1344 = "Ali Raza ","Receiving",IF($I$2:$I1344 = "Ali Ahmad","Full-In"))))))</f>
        <v>0</v>
      </c>
      <c r="K347" s="39" t="e">
        <f aca="false">IFERROR(VLOOKUP(D347,'Brand manager data '!A:B,2,0))</f>
        <v>#VALUE!</v>
      </c>
      <c r="L347" s="13" t="n">
        <v>0</v>
      </c>
      <c r="M347" s="13" t="str">
        <v>Yes</v>
      </c>
      <c r="N347" s="22"/>
      <c r="Q347" s="40"/>
      <c r="R347" s="13" t="b">
        <f aca="false">FALSE()</f>
        <v>0</v>
      </c>
      <c r="S347" s="13" t="n">
        <v>0</v>
      </c>
      <c r="T347" s="13" t="n">
        <f aca="false">S347*F347</f>
        <v>0</v>
      </c>
      <c r="U347" s="13" t="n">
        <v>0</v>
      </c>
      <c r="V347" s="13" t="n">
        <v>0</v>
      </c>
    </row>
    <row r="348" customFormat="false" ht="15.75" hidden="false" customHeight="false" outlineLevel="0" collapsed="false">
      <c r="A348" s="13" t="n">
        <v>0</v>
      </c>
      <c r="B348" s="13" t="str">
        <v/>
      </c>
      <c r="C348" s="13" t="n">
        <v>0</v>
      </c>
      <c r="D348" s="13" t="n">
        <v>0</v>
      </c>
      <c r="E348" s="13" t="str">
        <v/>
      </c>
      <c r="F348" s="13" t="n">
        <v>0</v>
      </c>
      <c r="G348" s="13" t="n">
        <v>0</v>
      </c>
      <c r="H348" s="13" t="n">
        <v>0</v>
      </c>
      <c r="I348" s="13" t="n">
        <v>0</v>
      </c>
      <c r="J348" s="13" t="b">
        <f aca="false">IF(ISBLANK(I348),"", IF($I$2:$I1345 = "Gohar Rehan","Overnight",IF($I$2:$I1345 = "Taufeeq Akhtar ","Overnight",IF($I$2:$I1345 = "Zeeshan Ali Malik","Audit",IF($I$2:$I1345 = "Ali Raza ","Receiving",IF($I$2:$I1345 = "Ali Ahmad","Full-In"))))))</f>
        <v>0</v>
      </c>
      <c r="K348" s="39" t="e">
        <f aca="false">IFERROR(VLOOKUP(D348,'Brand manager data '!A:B,2,0))</f>
        <v>#VALUE!</v>
      </c>
      <c r="L348" s="13" t="n">
        <v>0</v>
      </c>
      <c r="M348" s="13" t="str">
        <v>Yes</v>
      </c>
      <c r="N348" s="22"/>
      <c r="Q348" s="40"/>
      <c r="R348" s="13" t="b">
        <f aca="false">FALSE()</f>
        <v>0</v>
      </c>
      <c r="S348" s="13" t="n">
        <v>0</v>
      </c>
      <c r="T348" s="13" t="n">
        <f aca="false">S348*F348</f>
        <v>0</v>
      </c>
      <c r="U348" s="13" t="n">
        <v>0</v>
      </c>
      <c r="V348" s="13" t="n">
        <v>0</v>
      </c>
    </row>
    <row r="349" customFormat="false" ht="15.75" hidden="false" customHeight="false" outlineLevel="0" collapsed="false">
      <c r="A349" s="13" t="n">
        <v>0</v>
      </c>
      <c r="B349" s="13" t="str">
        <v/>
      </c>
      <c r="C349" s="13" t="n">
        <v>0</v>
      </c>
      <c r="D349" s="13" t="n">
        <v>0</v>
      </c>
      <c r="E349" s="13" t="str">
        <v/>
      </c>
      <c r="F349" s="13" t="n">
        <v>0</v>
      </c>
      <c r="G349" s="13" t="n">
        <v>0</v>
      </c>
      <c r="H349" s="13" t="n">
        <v>0</v>
      </c>
      <c r="I349" s="13" t="n">
        <v>0</v>
      </c>
      <c r="J349" s="13" t="b">
        <f aca="false">IF(ISBLANK(I349),"", IF($I$2:$I1346 = "Gohar Rehan","Overnight",IF($I$2:$I1346 = "Taufeeq Akhtar ","Overnight",IF($I$2:$I1346 = "Zeeshan Ali Malik","Audit",IF($I$2:$I1346 = "Ali Raza ","Receiving",IF($I$2:$I1346 = "Ali Ahmad","Full-In"))))))</f>
        <v>0</v>
      </c>
      <c r="K349" s="39" t="e">
        <f aca="false">IFERROR(VLOOKUP(D349,'Brand manager data '!A:B,2,0))</f>
        <v>#VALUE!</v>
      </c>
      <c r="L349" s="13" t="n">
        <v>0</v>
      </c>
      <c r="M349" s="13" t="str">
        <v>Yes</v>
      </c>
      <c r="N349" s="22"/>
      <c r="Q349" s="40"/>
      <c r="R349" s="13" t="b">
        <f aca="false">FALSE()</f>
        <v>0</v>
      </c>
      <c r="S349" s="13" t="n">
        <v>0</v>
      </c>
      <c r="T349" s="13" t="n">
        <f aca="false">S349*F349</f>
        <v>0</v>
      </c>
      <c r="U349" s="13" t="n">
        <v>0</v>
      </c>
      <c r="V349" s="13" t="n">
        <v>0</v>
      </c>
    </row>
    <row r="350" customFormat="false" ht="15.75" hidden="false" customHeight="false" outlineLevel="0" collapsed="false">
      <c r="A350" s="13" t="n">
        <v>0</v>
      </c>
      <c r="B350" s="13" t="str">
        <v/>
      </c>
      <c r="C350" s="13" t="n">
        <v>0</v>
      </c>
      <c r="D350" s="13" t="n">
        <v>0</v>
      </c>
      <c r="E350" s="13" t="str">
        <v/>
      </c>
      <c r="F350" s="13" t="n">
        <v>0</v>
      </c>
      <c r="G350" s="13" t="n">
        <v>0</v>
      </c>
      <c r="H350" s="13" t="n">
        <v>0</v>
      </c>
      <c r="I350" s="13" t="n">
        <v>0</v>
      </c>
      <c r="J350" s="13" t="b">
        <f aca="false">IF(ISBLANK(I350),"", IF($I$2:$I1347 = "Gohar Rehan","Overnight",IF($I$2:$I1347 = "Taufeeq Akhtar ","Overnight",IF($I$2:$I1347 = "Zeeshan Ali Malik","Audit",IF($I$2:$I1347 = "Ali Raza ","Receiving",IF($I$2:$I1347 = "Ali Ahmad","Full-In"))))))</f>
        <v>0</v>
      </c>
      <c r="K350" s="39" t="e">
        <f aca="false">IFERROR(VLOOKUP(D350,'Brand manager data '!A:B,2,0))</f>
        <v>#VALUE!</v>
      </c>
      <c r="L350" s="13" t="n">
        <v>0</v>
      </c>
      <c r="M350" s="13" t="str">
        <v>Yes</v>
      </c>
      <c r="N350" s="22"/>
      <c r="Q350" s="40"/>
      <c r="R350" s="13" t="b">
        <f aca="false">FALSE()</f>
        <v>0</v>
      </c>
      <c r="S350" s="13" t="n">
        <v>0</v>
      </c>
      <c r="T350" s="13" t="n">
        <f aca="false">S350*F350</f>
        <v>0</v>
      </c>
      <c r="U350" s="13" t="n">
        <v>0</v>
      </c>
      <c r="V350" s="13" t="n">
        <v>0</v>
      </c>
    </row>
    <row r="351" customFormat="false" ht="15.75" hidden="false" customHeight="false" outlineLevel="0" collapsed="false">
      <c r="A351" s="13" t="n">
        <v>0</v>
      </c>
      <c r="B351" s="13" t="str">
        <v/>
      </c>
      <c r="C351" s="13" t="n">
        <v>0</v>
      </c>
      <c r="D351" s="13" t="n">
        <v>0</v>
      </c>
      <c r="E351" s="13" t="str">
        <v/>
      </c>
      <c r="F351" s="13" t="n">
        <v>0</v>
      </c>
      <c r="G351" s="13" t="n">
        <v>0</v>
      </c>
      <c r="H351" s="13" t="n">
        <v>0</v>
      </c>
      <c r="I351" s="13" t="n">
        <v>0</v>
      </c>
      <c r="J351" s="13" t="b">
        <f aca="false">IF(ISBLANK(I351),"", IF($I$2:$I1348 = "Gohar Rehan","Overnight",IF($I$2:$I1348 = "Taufeeq Akhtar ","Overnight",IF($I$2:$I1348 = "Zeeshan Ali Malik","Audit",IF($I$2:$I1348 = "Ali Raza ","Receiving",IF($I$2:$I1348 = "Ali Ahmad","Full-In"))))))</f>
        <v>0</v>
      </c>
      <c r="K351" s="39" t="e">
        <f aca="false">IFERROR(VLOOKUP(D351,'Brand manager data '!A:B,2,0))</f>
        <v>#VALUE!</v>
      </c>
      <c r="L351" s="13" t="n">
        <v>0</v>
      </c>
      <c r="M351" s="13" t="str">
        <v>Yes</v>
      </c>
      <c r="N351" s="22"/>
      <c r="Q351" s="40"/>
      <c r="R351" s="13" t="b">
        <f aca="false">FALSE()</f>
        <v>0</v>
      </c>
      <c r="S351" s="13" t="n">
        <v>0</v>
      </c>
      <c r="T351" s="13" t="n">
        <f aca="false">S351*F351</f>
        <v>0</v>
      </c>
      <c r="U351" s="13" t="n">
        <v>0</v>
      </c>
      <c r="V351" s="13" t="n">
        <v>0</v>
      </c>
    </row>
    <row r="352" customFormat="false" ht="15.75" hidden="false" customHeight="false" outlineLevel="0" collapsed="false">
      <c r="A352" s="13" t="n">
        <v>0</v>
      </c>
      <c r="B352" s="13" t="str">
        <v/>
      </c>
      <c r="C352" s="13" t="n">
        <v>0</v>
      </c>
      <c r="D352" s="13" t="n">
        <v>0</v>
      </c>
      <c r="E352" s="13" t="str">
        <v/>
      </c>
      <c r="F352" s="13" t="n">
        <v>0</v>
      </c>
      <c r="G352" s="13" t="n">
        <v>0</v>
      </c>
      <c r="H352" s="13" t="n">
        <v>0</v>
      </c>
      <c r="I352" s="13" t="n">
        <v>0</v>
      </c>
      <c r="J352" s="13" t="b">
        <f aca="false">IF(ISBLANK(I352),"", IF($I$2:$I1349 = "Gohar Rehan","Overnight",IF($I$2:$I1349 = "Taufeeq Akhtar ","Overnight",IF($I$2:$I1349 = "Zeeshan Ali Malik","Audit",IF($I$2:$I1349 = "Ali Raza ","Receiving",IF($I$2:$I1349 = "Ali Ahmad","Full-In"))))))</f>
        <v>0</v>
      </c>
      <c r="K352" s="39" t="e">
        <f aca="false">IFERROR(VLOOKUP(D352,'Brand manager data '!A:B,2,0))</f>
        <v>#VALUE!</v>
      </c>
      <c r="L352" s="13" t="n">
        <v>0</v>
      </c>
      <c r="M352" s="13" t="str">
        <v>Yes</v>
      </c>
      <c r="N352" s="22"/>
      <c r="Q352" s="40"/>
      <c r="R352" s="13" t="b">
        <f aca="false">FALSE()</f>
        <v>0</v>
      </c>
      <c r="S352" s="13" t="n">
        <v>0</v>
      </c>
      <c r="T352" s="13" t="n">
        <f aca="false">S352*F352</f>
        <v>0</v>
      </c>
      <c r="U352" s="13" t="n">
        <v>0</v>
      </c>
      <c r="V352" s="13" t="n">
        <v>0</v>
      </c>
    </row>
    <row r="353" customFormat="false" ht="15.75" hidden="false" customHeight="false" outlineLevel="0" collapsed="false">
      <c r="A353" s="13" t="n">
        <v>0</v>
      </c>
      <c r="B353" s="13" t="str">
        <v/>
      </c>
      <c r="C353" s="13" t="n">
        <v>0</v>
      </c>
      <c r="D353" s="13" t="n">
        <v>0</v>
      </c>
      <c r="E353" s="13" t="str">
        <v/>
      </c>
      <c r="F353" s="13" t="n">
        <v>0</v>
      </c>
      <c r="G353" s="13" t="n">
        <v>0</v>
      </c>
      <c r="H353" s="13" t="n">
        <v>0</v>
      </c>
      <c r="I353" s="13" t="n">
        <v>0</v>
      </c>
      <c r="J353" s="13" t="b">
        <f aca="false">IF(ISBLANK(I353),"", IF($I$2:$I1350 = "Gohar Rehan","Overnight",IF($I$2:$I1350 = "Taufeeq Akhtar ","Overnight",IF($I$2:$I1350 = "Zeeshan Ali Malik","Audit",IF($I$2:$I1350 = "Ali Raza ","Receiving",IF($I$2:$I1350 = "Ali Ahmad","Full-In"))))))</f>
        <v>0</v>
      </c>
      <c r="K353" s="39" t="e">
        <f aca="false">IFERROR(VLOOKUP(D353,'Brand manager data '!A:B,2,0))</f>
        <v>#VALUE!</v>
      </c>
      <c r="L353" s="13" t="n">
        <v>0</v>
      </c>
      <c r="M353" s="13" t="str">
        <v>Yes</v>
      </c>
      <c r="N353" s="22"/>
      <c r="Q353" s="40"/>
      <c r="R353" s="13" t="b">
        <f aca="false">FALSE()</f>
        <v>0</v>
      </c>
      <c r="S353" s="13" t="n">
        <v>0</v>
      </c>
      <c r="T353" s="13" t="n">
        <f aca="false">S353*F353</f>
        <v>0</v>
      </c>
      <c r="U353" s="13" t="n">
        <v>0</v>
      </c>
      <c r="V353" s="13" t="n">
        <v>0</v>
      </c>
    </row>
    <row r="354" customFormat="false" ht="15.75" hidden="false" customHeight="false" outlineLevel="0" collapsed="false">
      <c r="A354" s="13" t="n">
        <v>0</v>
      </c>
      <c r="B354" s="13" t="str">
        <v/>
      </c>
      <c r="C354" s="13" t="n">
        <v>0</v>
      </c>
      <c r="D354" s="13" t="n">
        <v>0</v>
      </c>
      <c r="E354" s="13" t="str">
        <v/>
      </c>
      <c r="F354" s="13" t="n">
        <v>0</v>
      </c>
      <c r="G354" s="13" t="n">
        <v>0</v>
      </c>
      <c r="H354" s="13" t="n">
        <v>0</v>
      </c>
      <c r="I354" s="13" t="n">
        <v>0</v>
      </c>
      <c r="J354" s="13" t="b">
        <f aca="false">IF(ISBLANK(I354),"", IF($I$2:$I1351 = "Gohar Rehan","Overnight",IF($I$2:$I1351 = "Taufeeq Akhtar ","Overnight",IF($I$2:$I1351 = "Zeeshan Ali Malik","Audit",IF($I$2:$I1351 = "Ali Raza ","Receiving",IF($I$2:$I1351 = "Ali Ahmad","Full-In"))))))</f>
        <v>0</v>
      </c>
      <c r="K354" s="39" t="e">
        <f aca="false">IFERROR(VLOOKUP(D354,'Brand manager data '!A:B,2,0))</f>
        <v>#VALUE!</v>
      </c>
      <c r="L354" s="13" t="n">
        <v>0</v>
      </c>
      <c r="M354" s="13" t="str">
        <v>Yes</v>
      </c>
      <c r="N354" s="22"/>
      <c r="Q354" s="40"/>
      <c r="R354" s="13" t="b">
        <f aca="false">FALSE()</f>
        <v>0</v>
      </c>
      <c r="S354" s="13" t="n">
        <v>0</v>
      </c>
      <c r="T354" s="13" t="n">
        <f aca="false">S354*F354</f>
        <v>0</v>
      </c>
      <c r="U354" s="13" t="n">
        <v>0</v>
      </c>
      <c r="V354" s="13" t="n">
        <v>0</v>
      </c>
    </row>
    <row r="355" customFormat="false" ht="15.75" hidden="false" customHeight="false" outlineLevel="0" collapsed="false">
      <c r="A355" s="13" t="n">
        <v>0</v>
      </c>
      <c r="B355" s="13" t="str">
        <v/>
      </c>
      <c r="C355" s="13" t="n">
        <v>0</v>
      </c>
      <c r="D355" s="13" t="n">
        <v>0</v>
      </c>
      <c r="E355" s="13" t="str">
        <v/>
      </c>
      <c r="F355" s="13" t="n">
        <v>0</v>
      </c>
      <c r="G355" s="13" t="n">
        <v>0</v>
      </c>
      <c r="H355" s="13" t="n">
        <v>0</v>
      </c>
      <c r="I355" s="13" t="n">
        <v>0</v>
      </c>
      <c r="J355" s="13" t="b">
        <f aca="false">IF(ISBLANK(I355),"", IF($I$2:$I1352 = "Gohar Rehan","Overnight",IF($I$2:$I1352 = "Taufeeq Akhtar ","Overnight",IF($I$2:$I1352 = "Zeeshan Ali Malik","Audit",IF($I$2:$I1352 = "Ali Raza ","Receiving",IF($I$2:$I1352 = "Ali Ahmad","Full-In"))))))</f>
        <v>0</v>
      </c>
      <c r="K355" s="39" t="e">
        <f aca="false">IFERROR(VLOOKUP(D355,'Brand manager data '!A:B,2,0))</f>
        <v>#VALUE!</v>
      </c>
      <c r="L355" s="13" t="n">
        <v>0</v>
      </c>
      <c r="M355" s="13" t="str">
        <v>Yes</v>
      </c>
      <c r="N355" s="22"/>
      <c r="Q355" s="40"/>
      <c r="R355" s="13" t="b">
        <f aca="false">FALSE()</f>
        <v>0</v>
      </c>
      <c r="S355" s="13" t="n">
        <v>0</v>
      </c>
      <c r="T355" s="13" t="n">
        <f aca="false">S355*F355</f>
        <v>0</v>
      </c>
      <c r="U355" s="13" t="n">
        <v>0</v>
      </c>
      <c r="V355" s="13" t="n">
        <v>0</v>
      </c>
    </row>
    <row r="356" customFormat="false" ht="15.75" hidden="false" customHeight="false" outlineLevel="0" collapsed="false">
      <c r="A356" s="13" t="n">
        <v>0</v>
      </c>
      <c r="B356" s="13" t="str">
        <v/>
      </c>
      <c r="C356" s="13" t="n">
        <v>0</v>
      </c>
      <c r="D356" s="13" t="n">
        <v>0</v>
      </c>
      <c r="E356" s="13" t="str">
        <v/>
      </c>
      <c r="F356" s="13" t="n">
        <v>0</v>
      </c>
      <c r="G356" s="13" t="n">
        <v>0</v>
      </c>
      <c r="H356" s="13" t="n">
        <v>0</v>
      </c>
      <c r="I356" s="13" t="n">
        <v>0</v>
      </c>
      <c r="J356" s="13" t="b">
        <f aca="false">IF(ISBLANK(I356),"", IF($I$2:$I1353 = "Gohar Rehan","Overnight",IF($I$2:$I1353 = "Taufeeq Akhtar ","Overnight",IF($I$2:$I1353 = "Zeeshan Ali Malik","Audit",IF($I$2:$I1353 = "Ali Raza ","Receiving",IF($I$2:$I1353 = "Ali Ahmad","Full-In"))))))</f>
        <v>0</v>
      </c>
      <c r="K356" s="39" t="e">
        <f aca="false">IFERROR(VLOOKUP(D356,'Brand manager data '!A:B,2,0))</f>
        <v>#VALUE!</v>
      </c>
      <c r="L356" s="13" t="n">
        <v>0</v>
      </c>
      <c r="M356" s="13" t="str">
        <v>Yes</v>
      </c>
      <c r="N356" s="22"/>
      <c r="Q356" s="40"/>
      <c r="R356" s="13" t="b">
        <f aca="false">FALSE()</f>
        <v>0</v>
      </c>
      <c r="S356" s="13" t="n">
        <v>0</v>
      </c>
      <c r="T356" s="13" t="n">
        <f aca="false">S356*F356</f>
        <v>0</v>
      </c>
      <c r="U356" s="13" t="n">
        <v>0</v>
      </c>
      <c r="V356" s="13" t="n">
        <v>0</v>
      </c>
    </row>
    <row r="357" customFormat="false" ht="15.75" hidden="false" customHeight="false" outlineLevel="0" collapsed="false">
      <c r="A357" s="13" t="n">
        <v>0</v>
      </c>
      <c r="B357" s="13" t="str">
        <v/>
      </c>
      <c r="C357" s="13" t="n">
        <v>0</v>
      </c>
      <c r="D357" s="13" t="n">
        <v>0</v>
      </c>
      <c r="E357" s="13" t="str">
        <v/>
      </c>
      <c r="F357" s="13" t="n">
        <v>0</v>
      </c>
      <c r="G357" s="13" t="n">
        <v>0</v>
      </c>
      <c r="H357" s="13" t="n">
        <v>0</v>
      </c>
      <c r="I357" s="13" t="n">
        <v>0</v>
      </c>
      <c r="J357" s="13" t="b">
        <f aca="false">IF(ISBLANK(I357),"", IF($I$2:$I1354 = "Gohar Rehan","Overnight",IF($I$2:$I1354 = "Taufeeq Akhtar ","Overnight",IF($I$2:$I1354 = "Zeeshan Ali Malik","Audit",IF($I$2:$I1354 = "Ali Raza ","Receiving",IF($I$2:$I1354 = "Ali Ahmad","Full-In"))))))</f>
        <v>0</v>
      </c>
      <c r="K357" s="39" t="e">
        <f aca="false">IFERROR(VLOOKUP(D357,'Brand manager data '!A:B,2,0))</f>
        <v>#VALUE!</v>
      </c>
      <c r="L357" s="13" t="n">
        <v>0</v>
      </c>
      <c r="M357" s="13" t="str">
        <v>Yes</v>
      </c>
      <c r="N357" s="22"/>
      <c r="Q357" s="40"/>
      <c r="R357" s="13" t="b">
        <f aca="false">FALSE()</f>
        <v>0</v>
      </c>
      <c r="S357" s="13" t="n">
        <v>0</v>
      </c>
      <c r="T357" s="13" t="n">
        <f aca="false">S357*F357</f>
        <v>0</v>
      </c>
      <c r="U357" s="13" t="n">
        <v>0</v>
      </c>
      <c r="V357" s="13" t="n">
        <v>0</v>
      </c>
    </row>
    <row r="358" customFormat="false" ht="15.75" hidden="false" customHeight="false" outlineLevel="0" collapsed="false">
      <c r="A358" s="13" t="n">
        <v>0</v>
      </c>
      <c r="B358" s="13" t="str">
        <v/>
      </c>
      <c r="C358" s="13" t="n">
        <v>0</v>
      </c>
      <c r="D358" s="13" t="n">
        <v>0</v>
      </c>
      <c r="E358" s="13" t="str">
        <v/>
      </c>
      <c r="F358" s="13" t="n">
        <v>0</v>
      </c>
      <c r="G358" s="13" t="n">
        <v>0</v>
      </c>
      <c r="H358" s="13" t="n">
        <v>0</v>
      </c>
      <c r="I358" s="13" t="n">
        <v>0</v>
      </c>
      <c r="J358" s="13" t="b">
        <f aca="false">IF(ISBLANK(I358),"", IF($I$2:$I1355 = "Gohar Rehan","Overnight",IF($I$2:$I1355 = "Taufeeq Akhtar ","Overnight",IF($I$2:$I1355 = "Zeeshan Ali Malik","Audit",IF($I$2:$I1355 = "Ali Raza ","Receiving",IF($I$2:$I1355 = "Ali Ahmad","Full-In"))))))</f>
        <v>0</v>
      </c>
      <c r="K358" s="39" t="e">
        <f aca="false">IFERROR(VLOOKUP(D358,'Brand manager data '!A:B,2,0))</f>
        <v>#VALUE!</v>
      </c>
      <c r="L358" s="13" t="n">
        <v>0</v>
      </c>
      <c r="M358" s="13" t="str">
        <v>Yes</v>
      </c>
      <c r="N358" s="22"/>
      <c r="Q358" s="40"/>
      <c r="R358" s="13" t="b">
        <f aca="false">FALSE()</f>
        <v>0</v>
      </c>
      <c r="S358" s="13" t="n">
        <v>0</v>
      </c>
      <c r="T358" s="13" t="n">
        <f aca="false">S358*F358</f>
        <v>0</v>
      </c>
      <c r="U358" s="13" t="n">
        <v>0</v>
      </c>
      <c r="V358" s="13" t="n">
        <v>0</v>
      </c>
    </row>
    <row r="359" customFormat="false" ht="15.75" hidden="false" customHeight="false" outlineLevel="0" collapsed="false">
      <c r="A359" s="13" t="n">
        <v>0</v>
      </c>
      <c r="B359" s="13" t="str">
        <v/>
      </c>
      <c r="C359" s="13" t="n">
        <v>0</v>
      </c>
      <c r="D359" s="13" t="n">
        <v>0</v>
      </c>
      <c r="E359" s="13" t="str">
        <v/>
      </c>
      <c r="F359" s="13" t="n">
        <v>0</v>
      </c>
      <c r="G359" s="13" t="n">
        <v>0</v>
      </c>
      <c r="H359" s="13" t="n">
        <v>0</v>
      </c>
      <c r="I359" s="13" t="n">
        <v>0</v>
      </c>
      <c r="J359" s="13" t="b">
        <f aca="false">IF(ISBLANK(I359),"", IF($I$2:$I1356 = "Gohar Rehan","Overnight",IF($I$2:$I1356 = "Taufeeq Akhtar ","Overnight",IF($I$2:$I1356 = "Zeeshan Ali Malik","Audit",IF($I$2:$I1356 = "Ali Raza ","Receiving",IF($I$2:$I1356 = "Ali Ahmad","Full-In"))))))</f>
        <v>0</v>
      </c>
      <c r="K359" s="39" t="e">
        <f aca="false">IFERROR(VLOOKUP(D359,'Brand manager data '!A:B,2,0))</f>
        <v>#VALUE!</v>
      </c>
      <c r="L359" s="13" t="n">
        <v>0</v>
      </c>
      <c r="M359" s="13" t="str">
        <v>Yes</v>
      </c>
      <c r="N359" s="22"/>
      <c r="Q359" s="40"/>
      <c r="R359" s="13" t="b">
        <f aca="false">FALSE()</f>
        <v>0</v>
      </c>
      <c r="S359" s="13" t="n">
        <v>0</v>
      </c>
      <c r="T359" s="13" t="n">
        <f aca="false">S359*F359</f>
        <v>0</v>
      </c>
      <c r="U359" s="13" t="n">
        <v>0</v>
      </c>
      <c r="V359" s="13" t="n">
        <v>0</v>
      </c>
    </row>
    <row r="360" customFormat="false" ht="15.75" hidden="false" customHeight="false" outlineLevel="0" collapsed="false">
      <c r="A360" s="13" t="n">
        <v>0</v>
      </c>
      <c r="B360" s="13" t="str">
        <v/>
      </c>
      <c r="C360" s="13" t="n">
        <v>0</v>
      </c>
      <c r="D360" s="13" t="n">
        <v>0</v>
      </c>
      <c r="E360" s="13" t="str">
        <v/>
      </c>
      <c r="F360" s="13" t="n">
        <v>0</v>
      </c>
      <c r="G360" s="13" t="n">
        <v>0</v>
      </c>
      <c r="H360" s="13" t="n">
        <v>0</v>
      </c>
      <c r="I360" s="13" t="n">
        <v>0</v>
      </c>
      <c r="J360" s="13" t="b">
        <f aca="false">IF(ISBLANK(I360),"", IF($I$2:$I1357 = "Gohar Rehan","Overnight",IF($I$2:$I1357 = "Taufeeq Akhtar ","Overnight",IF($I$2:$I1357 = "Zeeshan Ali Malik","Audit",IF($I$2:$I1357 = "Ali Raza ","Receiving",IF($I$2:$I1357 = "Ali Ahmad","Full-In"))))))</f>
        <v>0</v>
      </c>
      <c r="K360" s="39" t="e">
        <f aca="false">IFERROR(VLOOKUP(D360,'Brand manager data '!A:B,2,0))</f>
        <v>#VALUE!</v>
      </c>
      <c r="L360" s="13" t="n">
        <v>0</v>
      </c>
      <c r="M360" s="13" t="str">
        <v>Yes</v>
      </c>
      <c r="N360" s="22"/>
      <c r="Q360" s="40"/>
      <c r="R360" s="13" t="b">
        <f aca="false">FALSE()</f>
        <v>0</v>
      </c>
      <c r="S360" s="13" t="n">
        <v>0</v>
      </c>
      <c r="T360" s="13" t="n">
        <f aca="false">S360*F360</f>
        <v>0</v>
      </c>
      <c r="U360" s="13" t="n">
        <v>0</v>
      </c>
      <c r="V360" s="13" t="n">
        <v>0</v>
      </c>
    </row>
    <row r="361" customFormat="false" ht="15.75" hidden="false" customHeight="false" outlineLevel="0" collapsed="false">
      <c r="A361" s="13" t="n">
        <v>0</v>
      </c>
      <c r="B361" s="13" t="str">
        <v/>
      </c>
      <c r="C361" s="13" t="n">
        <v>0</v>
      </c>
      <c r="D361" s="13" t="n">
        <v>0</v>
      </c>
      <c r="E361" s="13" t="str">
        <v/>
      </c>
      <c r="F361" s="13" t="n">
        <v>0</v>
      </c>
      <c r="G361" s="13" t="n">
        <v>0</v>
      </c>
      <c r="H361" s="13" t="n">
        <v>0</v>
      </c>
      <c r="I361" s="13" t="n">
        <v>0</v>
      </c>
      <c r="J361" s="13" t="b">
        <f aca="false">IF(ISBLANK(I361),"", IF($I$2:$I1358 = "Gohar Rehan","Overnight",IF($I$2:$I1358 = "Taufeeq Akhtar ","Overnight",IF($I$2:$I1358 = "Zeeshan Ali Malik","Audit",IF($I$2:$I1358 = "Ali Raza ","Receiving",IF($I$2:$I1358 = "Ali Ahmad","Full-In"))))))</f>
        <v>0</v>
      </c>
      <c r="K361" s="39" t="e">
        <f aca="false">IFERROR(VLOOKUP(D361,'Brand manager data '!A:B,2,0))</f>
        <v>#VALUE!</v>
      </c>
      <c r="L361" s="13" t="n">
        <v>0</v>
      </c>
      <c r="M361" s="13" t="str">
        <v>Yes</v>
      </c>
      <c r="N361" s="22"/>
      <c r="Q361" s="40"/>
      <c r="R361" s="13" t="b">
        <f aca="false">FALSE()</f>
        <v>0</v>
      </c>
      <c r="S361" s="13" t="n">
        <v>0</v>
      </c>
      <c r="T361" s="13" t="n">
        <f aca="false">S361*F361</f>
        <v>0</v>
      </c>
      <c r="U361" s="13" t="n">
        <v>0</v>
      </c>
      <c r="V361" s="13" t="n">
        <v>0</v>
      </c>
    </row>
    <row r="362" customFormat="false" ht="15.75" hidden="false" customHeight="false" outlineLevel="0" collapsed="false">
      <c r="A362" s="13" t="n">
        <v>0</v>
      </c>
      <c r="B362" s="13" t="str">
        <v/>
      </c>
      <c r="C362" s="13" t="n">
        <v>0</v>
      </c>
      <c r="D362" s="13" t="n">
        <v>0</v>
      </c>
      <c r="E362" s="13" t="str">
        <v/>
      </c>
      <c r="F362" s="13" t="n">
        <v>0</v>
      </c>
      <c r="G362" s="13" t="n">
        <v>0</v>
      </c>
      <c r="H362" s="13" t="n">
        <v>0</v>
      </c>
      <c r="I362" s="13" t="n">
        <v>0</v>
      </c>
      <c r="J362" s="13" t="b">
        <f aca="false">IF(ISBLANK(I362),"", IF($I$2:$I1359 = "Gohar Rehan","Overnight",IF($I$2:$I1359 = "Taufeeq Akhtar ","Overnight",IF($I$2:$I1359 = "Zeeshan Ali Malik","Audit",IF($I$2:$I1359 = "Ali Raza ","Receiving",IF($I$2:$I1359 = "Ali Ahmad","Full-In"))))))</f>
        <v>0</v>
      </c>
      <c r="K362" s="39" t="e">
        <f aca="false">IFERROR(VLOOKUP(D362,'Brand manager data '!A:B,2,0))</f>
        <v>#VALUE!</v>
      </c>
      <c r="L362" s="13" t="n">
        <v>0</v>
      </c>
      <c r="M362" s="13" t="str">
        <v>Yes</v>
      </c>
      <c r="N362" s="22"/>
      <c r="Q362" s="40"/>
      <c r="R362" s="13" t="b">
        <f aca="false">FALSE()</f>
        <v>0</v>
      </c>
      <c r="S362" s="13" t="n">
        <v>0</v>
      </c>
      <c r="T362" s="13" t="n">
        <f aca="false">S362*F362</f>
        <v>0</v>
      </c>
      <c r="U362" s="13" t="n">
        <v>0</v>
      </c>
      <c r="V362" s="13" t="n">
        <v>0</v>
      </c>
    </row>
    <row r="363" customFormat="false" ht="15.75" hidden="false" customHeight="false" outlineLevel="0" collapsed="false">
      <c r="A363" s="13" t="n">
        <v>0</v>
      </c>
      <c r="B363" s="13" t="str">
        <v/>
      </c>
      <c r="C363" s="13" t="n">
        <v>0</v>
      </c>
      <c r="D363" s="13" t="n">
        <v>0</v>
      </c>
      <c r="E363" s="13" t="str">
        <v/>
      </c>
      <c r="F363" s="13" t="n">
        <v>0</v>
      </c>
      <c r="G363" s="13" t="n">
        <v>0</v>
      </c>
      <c r="H363" s="13" t="n">
        <v>0</v>
      </c>
      <c r="I363" s="13" t="n">
        <v>0</v>
      </c>
      <c r="J363" s="13" t="b">
        <f aca="false">IF(ISBLANK(I363),"", IF($I$2:$I1360 = "Gohar Rehan","Overnight",IF($I$2:$I1360 = "Taufeeq Akhtar ","Overnight",IF($I$2:$I1360 = "Zeeshan Ali Malik","Audit",IF($I$2:$I1360 = "Ali Raza ","Receiving",IF($I$2:$I1360 = "Ali Ahmad","Full-In"))))))</f>
        <v>0</v>
      </c>
      <c r="K363" s="39" t="e">
        <f aca="false">IFERROR(VLOOKUP(D363,'Brand manager data '!A:B,2,0))</f>
        <v>#VALUE!</v>
      </c>
      <c r="L363" s="13" t="n">
        <v>0</v>
      </c>
      <c r="M363" s="13" t="str">
        <v>Yes</v>
      </c>
      <c r="N363" s="22"/>
      <c r="Q363" s="40"/>
      <c r="R363" s="13" t="b">
        <f aca="false">FALSE()</f>
        <v>0</v>
      </c>
      <c r="S363" s="13" t="n">
        <v>0</v>
      </c>
      <c r="T363" s="13" t="n">
        <f aca="false">S363*F363</f>
        <v>0</v>
      </c>
      <c r="U363" s="13" t="n">
        <v>0</v>
      </c>
      <c r="V363" s="13" t="n">
        <v>0</v>
      </c>
    </row>
    <row r="364" customFormat="false" ht="15.75" hidden="false" customHeight="false" outlineLevel="0" collapsed="false">
      <c r="A364" s="13" t="n">
        <v>0</v>
      </c>
      <c r="B364" s="13" t="str">
        <v/>
      </c>
      <c r="C364" s="13" t="n">
        <v>0</v>
      </c>
      <c r="D364" s="13" t="n">
        <v>0</v>
      </c>
      <c r="E364" s="13" t="str">
        <v/>
      </c>
      <c r="F364" s="13" t="n">
        <v>0</v>
      </c>
      <c r="G364" s="13" t="n">
        <v>0</v>
      </c>
      <c r="H364" s="13" t="n">
        <v>0</v>
      </c>
      <c r="I364" s="13" t="n">
        <v>0</v>
      </c>
      <c r="J364" s="13" t="b">
        <f aca="false">IF(ISBLANK(I364),"", IF($I$2:$I1361 = "Gohar Rehan","Overnight",IF($I$2:$I1361 = "Taufeeq Akhtar ","Overnight",IF($I$2:$I1361 = "Zeeshan Ali Malik","Audit",IF($I$2:$I1361 = "Ali Raza ","Receiving",IF($I$2:$I1361 = "Ali Ahmad","Full-In"))))))</f>
        <v>0</v>
      </c>
      <c r="K364" s="39" t="e">
        <f aca="false">IFERROR(VLOOKUP(D364,'Brand manager data '!A:B,2,0))</f>
        <v>#VALUE!</v>
      </c>
      <c r="L364" s="13" t="n">
        <v>0</v>
      </c>
      <c r="M364" s="13" t="str">
        <v>Yes</v>
      </c>
      <c r="N364" s="22"/>
      <c r="Q364" s="40"/>
      <c r="R364" s="13" t="b">
        <f aca="false">FALSE()</f>
        <v>0</v>
      </c>
      <c r="S364" s="13" t="n">
        <v>0</v>
      </c>
      <c r="T364" s="13" t="n">
        <f aca="false">S364*F364</f>
        <v>0</v>
      </c>
      <c r="U364" s="13" t="n">
        <v>0</v>
      </c>
      <c r="V364" s="13" t="n">
        <v>0</v>
      </c>
    </row>
    <row r="365" customFormat="false" ht="15.75" hidden="false" customHeight="false" outlineLevel="0" collapsed="false">
      <c r="A365" s="13" t="n">
        <v>0</v>
      </c>
      <c r="B365" s="13" t="str">
        <v/>
      </c>
      <c r="C365" s="13" t="n">
        <v>0</v>
      </c>
      <c r="D365" s="13" t="n">
        <v>0</v>
      </c>
      <c r="E365" s="13" t="str">
        <v/>
      </c>
      <c r="F365" s="13" t="n">
        <v>0</v>
      </c>
      <c r="G365" s="13" t="n">
        <v>0</v>
      </c>
      <c r="H365" s="13" t="n">
        <v>0</v>
      </c>
      <c r="I365" s="13" t="n">
        <v>0</v>
      </c>
      <c r="J365" s="13" t="b">
        <f aca="false">IF(ISBLANK(I365),"", IF($I$2:$I1362 = "Gohar Rehan","Overnight",IF($I$2:$I1362 = "Taufeeq Akhtar ","Overnight",IF($I$2:$I1362 = "Zeeshan Ali Malik","Audit",IF($I$2:$I1362 = "Ali Raza ","Receiving",IF($I$2:$I1362 = "Ali Ahmad","Full-In"))))))</f>
        <v>0</v>
      </c>
      <c r="K365" s="39" t="e">
        <f aca="false">IFERROR(VLOOKUP(D365,'Brand manager data '!A:B,2,0))</f>
        <v>#VALUE!</v>
      </c>
      <c r="L365" s="13" t="n">
        <v>0</v>
      </c>
      <c r="M365" s="13" t="str">
        <v>Yes</v>
      </c>
      <c r="N365" s="22"/>
      <c r="Q365" s="40"/>
      <c r="R365" s="13" t="b">
        <f aca="false">FALSE()</f>
        <v>0</v>
      </c>
      <c r="S365" s="13" t="n">
        <v>0</v>
      </c>
      <c r="T365" s="13" t="n">
        <f aca="false">S365*F365</f>
        <v>0</v>
      </c>
      <c r="U365" s="13" t="n">
        <v>0</v>
      </c>
      <c r="V365" s="13" t="n">
        <v>0</v>
      </c>
    </row>
    <row r="366" customFormat="false" ht="15.75" hidden="false" customHeight="false" outlineLevel="0" collapsed="false">
      <c r="A366" s="13" t="n">
        <v>0</v>
      </c>
      <c r="B366" s="13" t="str">
        <v/>
      </c>
      <c r="C366" s="13" t="n">
        <v>0</v>
      </c>
      <c r="D366" s="13" t="n">
        <v>0</v>
      </c>
      <c r="E366" s="13" t="str">
        <v/>
      </c>
      <c r="F366" s="13" t="n">
        <v>0</v>
      </c>
      <c r="G366" s="13" t="n">
        <v>0</v>
      </c>
      <c r="H366" s="13" t="n">
        <v>0</v>
      </c>
      <c r="I366" s="13" t="n">
        <v>0</v>
      </c>
      <c r="J366" s="13" t="b">
        <f aca="false">IF(ISBLANK(I366),"", IF($I$2:$I1363 = "Gohar Rehan","Overnight",IF($I$2:$I1363 = "Taufeeq Akhtar ","Overnight",IF($I$2:$I1363 = "Zeeshan Ali Malik","Audit",IF($I$2:$I1363 = "Ali Raza ","Receiving",IF($I$2:$I1363 = "Ali Ahmad","Full-In"))))))</f>
        <v>0</v>
      </c>
      <c r="K366" s="39" t="e">
        <f aca="false">IFERROR(VLOOKUP(D366,'Brand manager data '!A:B,2,0))</f>
        <v>#VALUE!</v>
      </c>
      <c r="L366" s="13" t="n">
        <v>0</v>
      </c>
      <c r="M366" s="13" t="str">
        <v>Yes</v>
      </c>
      <c r="N366" s="22"/>
      <c r="Q366" s="40"/>
      <c r="R366" s="13" t="b">
        <f aca="false">FALSE()</f>
        <v>0</v>
      </c>
      <c r="S366" s="13" t="n">
        <v>0</v>
      </c>
      <c r="T366" s="13" t="n">
        <f aca="false">S366*F366</f>
        <v>0</v>
      </c>
      <c r="U366" s="13" t="n">
        <v>0</v>
      </c>
      <c r="V366" s="13" t="n">
        <v>0</v>
      </c>
    </row>
    <row r="367" customFormat="false" ht="15.75" hidden="false" customHeight="false" outlineLevel="0" collapsed="false">
      <c r="A367" s="13" t="n">
        <v>0</v>
      </c>
      <c r="B367" s="13" t="str">
        <v/>
      </c>
      <c r="C367" s="13" t="n">
        <v>0</v>
      </c>
      <c r="D367" s="13" t="n">
        <v>0</v>
      </c>
      <c r="E367" s="13" t="str">
        <v/>
      </c>
      <c r="F367" s="13" t="n">
        <v>0</v>
      </c>
      <c r="G367" s="13" t="n">
        <v>0</v>
      </c>
      <c r="H367" s="13" t="n">
        <v>0</v>
      </c>
      <c r="I367" s="13" t="n">
        <v>0</v>
      </c>
      <c r="J367" s="13" t="b">
        <f aca="false">IF(ISBLANK(I367),"", IF($I$2:$I1364 = "Gohar Rehan","Overnight",IF($I$2:$I1364 = "Taufeeq Akhtar ","Overnight",IF($I$2:$I1364 = "Zeeshan Ali Malik","Audit",IF($I$2:$I1364 = "Ali Raza ","Receiving",IF($I$2:$I1364 = "Ali Ahmad","Full-In"))))))</f>
        <v>0</v>
      </c>
      <c r="K367" s="39" t="e">
        <f aca="false">IFERROR(VLOOKUP(D367,'Brand manager data '!A:B,2,0))</f>
        <v>#VALUE!</v>
      </c>
      <c r="L367" s="13" t="n">
        <v>0</v>
      </c>
      <c r="M367" s="13" t="str">
        <v>Yes</v>
      </c>
      <c r="N367" s="22"/>
      <c r="Q367" s="40"/>
      <c r="R367" s="13" t="b">
        <f aca="false">FALSE()</f>
        <v>0</v>
      </c>
      <c r="S367" s="13" t="n">
        <v>0</v>
      </c>
      <c r="T367" s="13" t="n">
        <f aca="false">S367*F367</f>
        <v>0</v>
      </c>
      <c r="U367" s="13" t="n">
        <v>0</v>
      </c>
      <c r="V367" s="13" t="n">
        <v>0</v>
      </c>
    </row>
    <row r="368" customFormat="false" ht="15.75" hidden="false" customHeight="false" outlineLevel="0" collapsed="false">
      <c r="A368" s="13" t="n">
        <v>0</v>
      </c>
      <c r="B368" s="13" t="str">
        <v/>
      </c>
      <c r="C368" s="13" t="n">
        <v>0</v>
      </c>
      <c r="D368" s="13" t="n">
        <v>0</v>
      </c>
      <c r="E368" s="13" t="str">
        <v/>
      </c>
      <c r="F368" s="13" t="n">
        <v>0</v>
      </c>
      <c r="G368" s="13" t="n">
        <v>0</v>
      </c>
      <c r="H368" s="13" t="n">
        <v>0</v>
      </c>
      <c r="I368" s="13" t="n">
        <v>0</v>
      </c>
      <c r="J368" s="13" t="b">
        <f aca="false">IF(ISBLANK(I368),"", IF($I$2:$I1365 = "Gohar Rehan","Overnight",IF($I$2:$I1365 = "Taufeeq Akhtar ","Overnight",IF($I$2:$I1365 = "Zeeshan Ali Malik","Audit",IF($I$2:$I1365 = "Ali Raza ","Receiving",IF($I$2:$I1365 = "Ali Ahmad","Full-In"))))))</f>
        <v>0</v>
      </c>
      <c r="K368" s="39" t="e">
        <f aca="false">IFERROR(VLOOKUP(D368,'Brand manager data '!A:B,2,0))</f>
        <v>#VALUE!</v>
      </c>
      <c r="L368" s="13" t="n">
        <v>0</v>
      </c>
      <c r="M368" s="13" t="str">
        <v>Yes</v>
      </c>
      <c r="N368" s="22"/>
      <c r="Q368" s="40"/>
      <c r="R368" s="13" t="b">
        <f aca="false">FALSE()</f>
        <v>0</v>
      </c>
      <c r="S368" s="13" t="n">
        <v>0</v>
      </c>
      <c r="T368" s="13" t="n">
        <f aca="false">S368*F368</f>
        <v>0</v>
      </c>
      <c r="U368" s="13" t="n">
        <v>0</v>
      </c>
      <c r="V368" s="13" t="n">
        <v>0</v>
      </c>
    </row>
    <row r="369" customFormat="false" ht="15.75" hidden="false" customHeight="false" outlineLevel="0" collapsed="false">
      <c r="A369" s="13" t="n">
        <v>0</v>
      </c>
      <c r="B369" s="13" t="str">
        <v/>
      </c>
      <c r="C369" s="13" t="n">
        <v>0</v>
      </c>
      <c r="D369" s="13" t="n">
        <v>0</v>
      </c>
      <c r="E369" s="13" t="str">
        <v/>
      </c>
      <c r="F369" s="13" t="n">
        <v>0</v>
      </c>
      <c r="G369" s="13" t="n">
        <v>0</v>
      </c>
      <c r="H369" s="13" t="n">
        <v>0</v>
      </c>
      <c r="I369" s="13" t="n">
        <v>0</v>
      </c>
      <c r="J369" s="13" t="b">
        <f aca="false">IF(ISBLANK(I369),"", IF($I$2:$I1366 = "Gohar Rehan","Overnight",IF($I$2:$I1366 = "Taufeeq Akhtar ","Overnight",IF($I$2:$I1366 = "Zeeshan Ali Malik","Audit",IF($I$2:$I1366 = "Ali Raza ","Receiving",IF($I$2:$I1366 = "Ali Ahmad","Full-In"))))))</f>
        <v>0</v>
      </c>
      <c r="K369" s="39" t="e">
        <f aca="false">IFERROR(VLOOKUP(D369,'Brand manager data '!A:B,2,0))</f>
        <v>#VALUE!</v>
      </c>
      <c r="L369" s="13" t="n">
        <v>0</v>
      </c>
      <c r="M369" s="13" t="str">
        <v>Yes</v>
      </c>
      <c r="N369" s="22"/>
      <c r="Q369" s="40"/>
      <c r="R369" s="13" t="b">
        <f aca="false">FALSE()</f>
        <v>0</v>
      </c>
      <c r="S369" s="13" t="n">
        <v>0</v>
      </c>
      <c r="T369" s="13" t="n">
        <f aca="false">S369*F369</f>
        <v>0</v>
      </c>
      <c r="U369" s="13" t="n">
        <v>0</v>
      </c>
      <c r="V369" s="13" t="n">
        <v>0</v>
      </c>
    </row>
    <row r="370" customFormat="false" ht="15.75" hidden="false" customHeight="false" outlineLevel="0" collapsed="false">
      <c r="A370" s="13" t="n">
        <v>0</v>
      </c>
      <c r="B370" s="13" t="str">
        <v/>
      </c>
      <c r="C370" s="13" t="n">
        <v>0</v>
      </c>
      <c r="D370" s="13" t="n">
        <v>0</v>
      </c>
      <c r="E370" s="13" t="str">
        <v/>
      </c>
      <c r="F370" s="13" t="n">
        <v>0</v>
      </c>
      <c r="G370" s="13" t="n">
        <v>0</v>
      </c>
      <c r="H370" s="13" t="n">
        <v>0</v>
      </c>
      <c r="I370" s="13" t="n">
        <v>0</v>
      </c>
      <c r="J370" s="13" t="b">
        <f aca="false">IF(ISBLANK(I370),"", IF($I$2:$I1367 = "Gohar Rehan","Overnight",IF($I$2:$I1367 = "Taufeeq Akhtar ","Overnight",IF($I$2:$I1367 = "Zeeshan Ali Malik","Audit",IF($I$2:$I1367 = "Ali Raza ","Receiving",IF($I$2:$I1367 = "Ali Ahmad","Full-In"))))))</f>
        <v>0</v>
      </c>
      <c r="K370" s="39" t="e">
        <f aca="false">IFERROR(VLOOKUP(D370,'Brand manager data '!A:B,2,0))</f>
        <v>#VALUE!</v>
      </c>
      <c r="L370" s="13" t="n">
        <v>0</v>
      </c>
      <c r="M370" s="13" t="str">
        <v>Yes</v>
      </c>
      <c r="N370" s="22"/>
      <c r="Q370" s="40"/>
      <c r="R370" s="13" t="b">
        <f aca="false">FALSE()</f>
        <v>0</v>
      </c>
      <c r="S370" s="13" t="n">
        <v>0</v>
      </c>
      <c r="T370" s="13" t="n">
        <f aca="false">S370*F370</f>
        <v>0</v>
      </c>
      <c r="U370" s="13" t="n">
        <v>0</v>
      </c>
      <c r="V370" s="13" t="n">
        <v>0</v>
      </c>
    </row>
    <row r="371" customFormat="false" ht="15.75" hidden="false" customHeight="false" outlineLevel="0" collapsed="false">
      <c r="A371" s="13" t="n">
        <v>0</v>
      </c>
      <c r="B371" s="13" t="str">
        <v/>
      </c>
      <c r="C371" s="13" t="n">
        <v>0</v>
      </c>
      <c r="D371" s="13" t="n">
        <v>0</v>
      </c>
      <c r="E371" s="13" t="str">
        <v/>
      </c>
      <c r="F371" s="13" t="n">
        <v>0</v>
      </c>
      <c r="G371" s="13" t="n">
        <v>0</v>
      </c>
      <c r="H371" s="13" t="n">
        <v>0</v>
      </c>
      <c r="I371" s="13" t="n">
        <v>0</v>
      </c>
      <c r="J371" s="13" t="b">
        <f aca="false">IF(ISBLANK(I371),"", IF($I$2:$I1368 = "Gohar Rehan","Overnight",IF($I$2:$I1368 = "Taufeeq Akhtar ","Overnight",IF($I$2:$I1368 = "Zeeshan Ali Malik","Audit",IF($I$2:$I1368 = "Ali Raza ","Receiving",IF($I$2:$I1368 = "Ali Ahmad","Full-In"))))))</f>
        <v>0</v>
      </c>
      <c r="K371" s="39" t="e">
        <f aca="false">IFERROR(VLOOKUP(D371,'Brand manager data '!A:B,2,0))</f>
        <v>#VALUE!</v>
      </c>
      <c r="L371" s="13" t="n">
        <v>0</v>
      </c>
      <c r="M371" s="13" t="str">
        <v>Yes</v>
      </c>
      <c r="N371" s="22"/>
      <c r="Q371" s="40"/>
      <c r="R371" s="13" t="b">
        <f aca="false">FALSE()</f>
        <v>0</v>
      </c>
      <c r="S371" s="13" t="n">
        <v>0</v>
      </c>
      <c r="T371" s="13" t="n">
        <f aca="false">S371*F371</f>
        <v>0</v>
      </c>
      <c r="U371" s="13" t="n">
        <v>0</v>
      </c>
      <c r="V371" s="13" t="n">
        <v>0</v>
      </c>
    </row>
    <row r="372" customFormat="false" ht="15.75" hidden="false" customHeight="false" outlineLevel="0" collapsed="false">
      <c r="A372" s="13" t="n">
        <v>0</v>
      </c>
      <c r="B372" s="13" t="str">
        <v/>
      </c>
      <c r="C372" s="13" t="n">
        <v>0</v>
      </c>
      <c r="D372" s="13" t="n">
        <v>0</v>
      </c>
      <c r="E372" s="13" t="str">
        <v/>
      </c>
      <c r="F372" s="13" t="n">
        <v>0</v>
      </c>
      <c r="G372" s="13" t="n">
        <v>0</v>
      </c>
      <c r="H372" s="13" t="n">
        <v>0</v>
      </c>
      <c r="I372" s="13" t="n">
        <v>0</v>
      </c>
      <c r="J372" s="13" t="b">
        <f aca="false">IF(ISBLANK(I372),"", IF($I$2:$I1369 = "Gohar Rehan","Overnight",IF($I$2:$I1369 = "Taufeeq Akhtar ","Overnight",IF($I$2:$I1369 = "Zeeshan Ali Malik","Audit",IF($I$2:$I1369 = "Ali Raza ","Receiving",IF($I$2:$I1369 = "Ali Ahmad","Full-In"))))))</f>
        <v>0</v>
      </c>
      <c r="K372" s="39" t="e">
        <f aca="false">IFERROR(VLOOKUP(D372,'Brand manager data '!A:B,2,0))</f>
        <v>#VALUE!</v>
      </c>
      <c r="L372" s="13" t="n">
        <v>0</v>
      </c>
      <c r="M372" s="13" t="str">
        <v>Yes</v>
      </c>
      <c r="N372" s="22"/>
      <c r="Q372" s="40"/>
      <c r="R372" s="13" t="b">
        <f aca="false">FALSE()</f>
        <v>0</v>
      </c>
      <c r="S372" s="13" t="n">
        <v>0</v>
      </c>
      <c r="T372" s="13" t="n">
        <f aca="false">S372*F372</f>
        <v>0</v>
      </c>
      <c r="U372" s="13" t="n">
        <v>0</v>
      </c>
      <c r="V372" s="13" t="n">
        <v>0</v>
      </c>
    </row>
    <row r="373" customFormat="false" ht="15.75" hidden="false" customHeight="false" outlineLevel="0" collapsed="false">
      <c r="A373" s="13" t="n">
        <v>0</v>
      </c>
      <c r="B373" s="13" t="str">
        <v/>
      </c>
      <c r="C373" s="13" t="n">
        <v>0</v>
      </c>
      <c r="D373" s="13" t="n">
        <v>0</v>
      </c>
      <c r="E373" s="13" t="str">
        <v/>
      </c>
      <c r="F373" s="13" t="n">
        <v>0</v>
      </c>
      <c r="G373" s="13" t="n">
        <v>0</v>
      </c>
      <c r="H373" s="13" t="n">
        <v>0</v>
      </c>
      <c r="I373" s="13" t="n">
        <v>0</v>
      </c>
      <c r="J373" s="13" t="b">
        <f aca="false">IF(ISBLANK(I373),"", IF($I$2:$I1370 = "Gohar Rehan","Overnight",IF($I$2:$I1370 = "Taufeeq Akhtar ","Overnight",IF($I$2:$I1370 = "Zeeshan Ali Malik","Audit",IF($I$2:$I1370 = "Ali Raza ","Receiving",IF($I$2:$I1370 = "Ali Ahmad","Full-In"))))))</f>
        <v>0</v>
      </c>
      <c r="K373" s="39" t="e">
        <f aca="false">IFERROR(VLOOKUP(D373,'Brand manager data '!A:B,2,0))</f>
        <v>#VALUE!</v>
      </c>
      <c r="L373" s="13" t="n">
        <v>0</v>
      </c>
      <c r="M373" s="13" t="str">
        <v>Yes</v>
      </c>
      <c r="N373" s="22"/>
      <c r="Q373" s="40"/>
      <c r="R373" s="13" t="b">
        <f aca="false">FALSE()</f>
        <v>0</v>
      </c>
      <c r="S373" s="13" t="n">
        <v>0</v>
      </c>
      <c r="T373" s="13" t="n">
        <f aca="false">S373*F373</f>
        <v>0</v>
      </c>
      <c r="U373" s="13" t="n">
        <v>0</v>
      </c>
      <c r="V373" s="13" t="n">
        <v>0</v>
      </c>
    </row>
    <row r="374" customFormat="false" ht="15.75" hidden="false" customHeight="false" outlineLevel="0" collapsed="false">
      <c r="A374" s="13" t="n">
        <v>0</v>
      </c>
      <c r="B374" s="13" t="str">
        <v/>
      </c>
      <c r="C374" s="13" t="n">
        <v>0</v>
      </c>
      <c r="D374" s="13" t="n">
        <v>0</v>
      </c>
      <c r="E374" s="13" t="str">
        <v/>
      </c>
      <c r="F374" s="13" t="n">
        <v>0</v>
      </c>
      <c r="G374" s="13" t="n">
        <v>0</v>
      </c>
      <c r="H374" s="13" t="n">
        <v>0</v>
      </c>
      <c r="I374" s="13" t="n">
        <v>0</v>
      </c>
      <c r="J374" s="13" t="b">
        <f aca="false">IF(ISBLANK(I374),"", IF($I$2:$I1371 = "Gohar Rehan","Overnight",IF($I$2:$I1371 = "Taufeeq Akhtar ","Overnight",IF($I$2:$I1371 = "Zeeshan Ali Malik","Audit",IF($I$2:$I1371 = "Ali Raza ","Receiving",IF($I$2:$I1371 = "Ali Ahmad","Full-In"))))))</f>
        <v>0</v>
      </c>
      <c r="K374" s="39" t="e">
        <f aca="false">IFERROR(VLOOKUP(D374,'Brand manager data '!A:B,2,0))</f>
        <v>#VALUE!</v>
      </c>
      <c r="L374" s="13" t="n">
        <v>0</v>
      </c>
      <c r="M374" s="13" t="str">
        <v>Yes</v>
      </c>
      <c r="N374" s="22"/>
      <c r="Q374" s="40"/>
      <c r="R374" s="13" t="b">
        <f aca="false">FALSE()</f>
        <v>0</v>
      </c>
      <c r="S374" s="13" t="n">
        <v>0</v>
      </c>
      <c r="T374" s="13" t="n">
        <f aca="false">S374*F374</f>
        <v>0</v>
      </c>
      <c r="U374" s="13" t="n">
        <v>0</v>
      </c>
      <c r="V374" s="13" t="n">
        <v>0</v>
      </c>
    </row>
    <row r="375" customFormat="false" ht="15.75" hidden="false" customHeight="false" outlineLevel="0" collapsed="false">
      <c r="A375" s="13" t="n">
        <v>0</v>
      </c>
      <c r="B375" s="13" t="str">
        <v/>
      </c>
      <c r="C375" s="13" t="n">
        <v>0</v>
      </c>
      <c r="D375" s="13" t="n">
        <v>0</v>
      </c>
      <c r="E375" s="13" t="str">
        <v/>
      </c>
      <c r="F375" s="13" t="n">
        <v>0</v>
      </c>
      <c r="G375" s="13" t="n">
        <v>0</v>
      </c>
      <c r="H375" s="13" t="n">
        <v>0</v>
      </c>
      <c r="I375" s="13" t="n">
        <v>0</v>
      </c>
      <c r="J375" s="13" t="b">
        <f aca="false">IF(ISBLANK(I375),"", IF($I$2:$I1372 = "Gohar Rehan","Overnight",IF($I$2:$I1372 = "Taufeeq Akhtar ","Overnight",IF($I$2:$I1372 = "Zeeshan Ali Malik","Audit",IF($I$2:$I1372 = "Ali Raza ","Receiving",IF($I$2:$I1372 = "Ali Ahmad","Full-In"))))))</f>
        <v>0</v>
      </c>
      <c r="K375" s="39" t="e">
        <f aca="false">IFERROR(VLOOKUP(D375,'Brand manager data '!A:B,2,0))</f>
        <v>#VALUE!</v>
      </c>
      <c r="L375" s="13" t="n">
        <v>0</v>
      </c>
      <c r="M375" s="13" t="str">
        <v>Yes</v>
      </c>
      <c r="N375" s="22"/>
      <c r="Q375" s="40"/>
      <c r="R375" s="13" t="b">
        <f aca="false">FALSE()</f>
        <v>0</v>
      </c>
      <c r="S375" s="13" t="n">
        <v>0</v>
      </c>
      <c r="T375" s="13" t="n">
        <f aca="false">S375*F375</f>
        <v>0</v>
      </c>
      <c r="U375" s="13" t="n">
        <v>0</v>
      </c>
      <c r="V375" s="13" t="n">
        <v>0</v>
      </c>
    </row>
    <row r="376" customFormat="false" ht="15.75" hidden="false" customHeight="false" outlineLevel="0" collapsed="false">
      <c r="A376" s="13" t="n">
        <v>0</v>
      </c>
      <c r="B376" s="13" t="str">
        <v/>
      </c>
      <c r="C376" s="13" t="n">
        <v>0</v>
      </c>
      <c r="D376" s="13" t="n">
        <v>0</v>
      </c>
      <c r="E376" s="13" t="str">
        <v/>
      </c>
      <c r="F376" s="13" t="n">
        <v>0</v>
      </c>
      <c r="G376" s="13" t="n">
        <v>0</v>
      </c>
      <c r="H376" s="13" t="n">
        <v>0</v>
      </c>
      <c r="I376" s="13" t="n">
        <v>0</v>
      </c>
      <c r="J376" s="13" t="b">
        <f aca="false">IF(ISBLANK(I376),"", IF($I$2:$I1373 = "Gohar Rehan","Overnight",IF($I$2:$I1373 = "Taufeeq Akhtar ","Overnight",IF($I$2:$I1373 = "Zeeshan Ali Malik","Audit",IF($I$2:$I1373 = "Ali Raza ","Receiving",IF($I$2:$I1373 = "Ali Ahmad","Full-In"))))))</f>
        <v>0</v>
      </c>
      <c r="K376" s="39" t="e">
        <f aca="false">IFERROR(VLOOKUP(D376,'Brand manager data '!A:B,2,0))</f>
        <v>#VALUE!</v>
      </c>
      <c r="L376" s="13" t="n">
        <v>0</v>
      </c>
      <c r="M376" s="13" t="str">
        <v>Yes</v>
      </c>
      <c r="N376" s="22"/>
      <c r="Q376" s="40"/>
      <c r="R376" s="13" t="b">
        <f aca="false">FALSE()</f>
        <v>0</v>
      </c>
      <c r="S376" s="13" t="n">
        <v>0</v>
      </c>
      <c r="T376" s="13" t="n">
        <f aca="false">S376*F376</f>
        <v>0</v>
      </c>
      <c r="U376" s="13" t="n">
        <v>0</v>
      </c>
      <c r="V376" s="13" t="n">
        <v>0</v>
      </c>
    </row>
    <row r="377" customFormat="false" ht="15.75" hidden="false" customHeight="false" outlineLevel="0" collapsed="false">
      <c r="A377" s="13" t="n">
        <v>0</v>
      </c>
      <c r="B377" s="13" t="str">
        <v/>
      </c>
      <c r="C377" s="13" t="n">
        <v>0</v>
      </c>
      <c r="D377" s="13" t="n">
        <v>0</v>
      </c>
      <c r="E377" s="13" t="str">
        <v/>
      </c>
      <c r="F377" s="13" t="n">
        <v>0</v>
      </c>
      <c r="G377" s="13" t="n">
        <v>0</v>
      </c>
      <c r="H377" s="13" t="n">
        <v>0</v>
      </c>
      <c r="I377" s="13" t="n">
        <v>0</v>
      </c>
      <c r="J377" s="13" t="b">
        <f aca="false">IF(ISBLANK(I377),"", IF($I$2:$I1374 = "Gohar Rehan","Overnight",IF($I$2:$I1374 = "Taufeeq Akhtar ","Overnight",IF($I$2:$I1374 = "Zeeshan Ali Malik","Audit",IF($I$2:$I1374 = "Ali Raza ","Receiving",IF($I$2:$I1374 = "Ali Ahmad","Full-In"))))))</f>
        <v>0</v>
      </c>
      <c r="K377" s="39" t="e">
        <f aca="false">IFERROR(VLOOKUP(D377,'Brand manager data '!A:B,2,0))</f>
        <v>#VALUE!</v>
      </c>
      <c r="L377" s="13" t="n">
        <v>0</v>
      </c>
      <c r="M377" s="13" t="str">
        <v>Yes</v>
      </c>
      <c r="N377" s="22"/>
      <c r="Q377" s="40"/>
      <c r="R377" s="13" t="b">
        <f aca="false">FALSE()</f>
        <v>0</v>
      </c>
      <c r="S377" s="13" t="n">
        <v>0</v>
      </c>
      <c r="T377" s="13" t="n">
        <f aca="false">S377*F377</f>
        <v>0</v>
      </c>
      <c r="U377" s="13" t="n">
        <v>0</v>
      </c>
      <c r="V377" s="13" t="n">
        <v>0</v>
      </c>
    </row>
    <row r="378" customFormat="false" ht="15.75" hidden="false" customHeight="false" outlineLevel="0" collapsed="false">
      <c r="A378" s="13" t="n">
        <v>0</v>
      </c>
      <c r="B378" s="13" t="str">
        <v/>
      </c>
      <c r="C378" s="13" t="n">
        <v>0</v>
      </c>
      <c r="D378" s="13" t="n">
        <v>0</v>
      </c>
      <c r="E378" s="13" t="str">
        <v/>
      </c>
      <c r="F378" s="13" t="n">
        <v>0</v>
      </c>
      <c r="G378" s="13" t="n">
        <v>0</v>
      </c>
      <c r="H378" s="13" t="n">
        <v>0</v>
      </c>
      <c r="I378" s="13" t="n">
        <v>0</v>
      </c>
      <c r="J378" s="13" t="b">
        <f aca="false">IF(ISBLANK(I378),"", IF($I$2:$I1375 = "Gohar Rehan","Overnight",IF($I$2:$I1375 = "Taufeeq Akhtar ","Overnight",IF($I$2:$I1375 = "Zeeshan Ali Malik","Audit",IF($I$2:$I1375 = "Ali Raza ","Receiving",IF($I$2:$I1375 = "Ali Ahmad","Full-In"))))))</f>
        <v>0</v>
      </c>
      <c r="K378" s="39" t="e">
        <f aca="false">IFERROR(VLOOKUP(D378,'Brand manager data '!A:B,2,0))</f>
        <v>#VALUE!</v>
      </c>
      <c r="L378" s="13" t="n">
        <v>0</v>
      </c>
      <c r="M378" s="13" t="str">
        <v>Yes</v>
      </c>
      <c r="N378" s="22"/>
      <c r="Q378" s="40"/>
      <c r="R378" s="13" t="b">
        <f aca="false">FALSE()</f>
        <v>0</v>
      </c>
      <c r="S378" s="13" t="n">
        <v>0</v>
      </c>
      <c r="T378" s="13" t="n">
        <f aca="false">S378*F378</f>
        <v>0</v>
      </c>
      <c r="U378" s="13" t="n">
        <v>0</v>
      </c>
      <c r="V378" s="13" t="n">
        <v>0</v>
      </c>
    </row>
    <row r="379" customFormat="false" ht="15.75" hidden="false" customHeight="false" outlineLevel="0" collapsed="false">
      <c r="A379" s="13" t="n">
        <v>0</v>
      </c>
      <c r="B379" s="13" t="str">
        <v/>
      </c>
      <c r="C379" s="13" t="n">
        <v>0</v>
      </c>
      <c r="D379" s="13" t="n">
        <v>0</v>
      </c>
      <c r="E379" s="13" t="str">
        <v/>
      </c>
      <c r="F379" s="13" t="n">
        <v>0</v>
      </c>
      <c r="G379" s="13" t="n">
        <v>0</v>
      </c>
      <c r="H379" s="13" t="n">
        <v>0</v>
      </c>
      <c r="I379" s="13" t="n">
        <v>0</v>
      </c>
      <c r="J379" s="13" t="b">
        <f aca="false">IF(ISBLANK(I379),"", IF($I$2:$I1376 = "Gohar Rehan","Overnight",IF($I$2:$I1376 = "Taufeeq Akhtar ","Overnight",IF($I$2:$I1376 = "Zeeshan Ali Malik","Audit",IF($I$2:$I1376 = "Ali Raza ","Receiving",IF($I$2:$I1376 = "Ali Ahmad","Full-In"))))))</f>
        <v>0</v>
      </c>
      <c r="K379" s="39" t="e">
        <f aca="false">IFERROR(VLOOKUP(D379,'Brand manager data '!A:B,2,0))</f>
        <v>#VALUE!</v>
      </c>
      <c r="L379" s="13" t="n">
        <v>0</v>
      </c>
      <c r="M379" s="13" t="str">
        <v>Yes</v>
      </c>
      <c r="N379" s="22"/>
      <c r="Q379" s="40"/>
      <c r="R379" s="13" t="b">
        <f aca="false">FALSE()</f>
        <v>0</v>
      </c>
      <c r="S379" s="13" t="n">
        <v>0</v>
      </c>
      <c r="T379" s="13" t="n">
        <f aca="false">S379*F379</f>
        <v>0</v>
      </c>
      <c r="U379" s="13" t="n">
        <v>0</v>
      </c>
      <c r="V379" s="13" t="n">
        <v>0</v>
      </c>
    </row>
    <row r="380" customFormat="false" ht="15.75" hidden="false" customHeight="false" outlineLevel="0" collapsed="false">
      <c r="A380" s="13" t="n">
        <v>0</v>
      </c>
      <c r="B380" s="13" t="str">
        <v/>
      </c>
      <c r="C380" s="13" t="n">
        <v>0</v>
      </c>
      <c r="D380" s="13" t="n">
        <v>0</v>
      </c>
      <c r="E380" s="13" t="str">
        <v/>
      </c>
      <c r="F380" s="13" t="n">
        <v>0</v>
      </c>
      <c r="G380" s="13" t="n">
        <v>0</v>
      </c>
      <c r="H380" s="13" t="n">
        <v>0</v>
      </c>
      <c r="I380" s="13" t="n">
        <v>0</v>
      </c>
      <c r="J380" s="13" t="b">
        <f aca="false">IF(ISBLANK(I380),"", IF($I$2:$I1377 = "Gohar Rehan","Overnight",IF($I$2:$I1377 = "Taufeeq Akhtar ","Overnight",IF($I$2:$I1377 = "Zeeshan Ali Malik","Audit",IF($I$2:$I1377 = "Ali Raza ","Receiving",IF($I$2:$I1377 = "Ali Ahmad","Full-In"))))))</f>
        <v>0</v>
      </c>
      <c r="K380" s="39" t="e">
        <f aca="false">IFERROR(VLOOKUP(D380,'Brand manager data '!A:B,2,0))</f>
        <v>#VALUE!</v>
      </c>
      <c r="L380" s="13" t="n">
        <v>0</v>
      </c>
      <c r="M380" s="13" t="str">
        <v>Yes</v>
      </c>
      <c r="N380" s="22"/>
      <c r="Q380" s="40"/>
      <c r="R380" s="13" t="b">
        <f aca="false">FALSE()</f>
        <v>0</v>
      </c>
      <c r="S380" s="13" t="n">
        <v>0</v>
      </c>
      <c r="T380" s="13" t="n">
        <f aca="false">S380*F380</f>
        <v>0</v>
      </c>
      <c r="U380" s="13" t="n">
        <v>0</v>
      </c>
      <c r="V380" s="13" t="n">
        <v>0</v>
      </c>
    </row>
    <row r="381" customFormat="false" ht="15.75" hidden="false" customHeight="false" outlineLevel="0" collapsed="false">
      <c r="A381" s="13" t="n">
        <v>0</v>
      </c>
      <c r="B381" s="13" t="str">
        <v/>
      </c>
      <c r="C381" s="13" t="n">
        <v>0</v>
      </c>
      <c r="D381" s="13" t="n">
        <v>0</v>
      </c>
      <c r="E381" s="13" t="str">
        <v/>
      </c>
      <c r="F381" s="13" t="n">
        <v>0</v>
      </c>
      <c r="G381" s="13" t="n">
        <v>0</v>
      </c>
      <c r="H381" s="13" t="n">
        <v>0</v>
      </c>
      <c r="I381" s="13" t="n">
        <v>0</v>
      </c>
      <c r="J381" s="13" t="b">
        <f aca="false">IF(ISBLANK(I381),"", IF($I$2:$I1378 = "Gohar Rehan","Overnight",IF($I$2:$I1378 = "Taufeeq Akhtar ","Overnight",IF($I$2:$I1378 = "Zeeshan Ali Malik","Audit",IF($I$2:$I1378 = "Ali Raza ","Receiving",IF($I$2:$I1378 = "Ali Ahmad","Full-In"))))))</f>
        <v>0</v>
      </c>
      <c r="K381" s="39" t="e">
        <f aca="false">IFERROR(VLOOKUP(D381,'Brand manager data '!A:B,2,0))</f>
        <v>#VALUE!</v>
      </c>
      <c r="L381" s="13" t="n">
        <v>0</v>
      </c>
      <c r="M381" s="13" t="str">
        <v>Yes</v>
      </c>
      <c r="N381" s="22"/>
      <c r="Q381" s="40"/>
      <c r="R381" s="13" t="b">
        <f aca="false">FALSE()</f>
        <v>0</v>
      </c>
      <c r="S381" s="13" t="n">
        <v>0</v>
      </c>
      <c r="T381" s="13" t="n">
        <f aca="false">S381*F381</f>
        <v>0</v>
      </c>
      <c r="U381" s="13" t="n">
        <v>0</v>
      </c>
      <c r="V381" s="13" t="n">
        <v>0</v>
      </c>
    </row>
    <row r="382" customFormat="false" ht="15.75" hidden="false" customHeight="false" outlineLevel="0" collapsed="false">
      <c r="A382" s="13" t="n">
        <v>0</v>
      </c>
      <c r="B382" s="13" t="str">
        <v/>
      </c>
      <c r="C382" s="13" t="n">
        <v>0</v>
      </c>
      <c r="D382" s="13" t="n">
        <v>0</v>
      </c>
      <c r="E382" s="13" t="str">
        <v/>
      </c>
      <c r="F382" s="13" t="n">
        <v>0</v>
      </c>
      <c r="G382" s="13" t="n">
        <v>0</v>
      </c>
      <c r="H382" s="13" t="n">
        <v>0</v>
      </c>
      <c r="I382" s="13" t="n">
        <v>0</v>
      </c>
      <c r="J382" s="13" t="b">
        <f aca="false">IF(ISBLANK(I382),"", IF($I$2:$I1379 = "Gohar Rehan","Overnight",IF($I$2:$I1379 = "Taufeeq Akhtar ","Overnight",IF($I$2:$I1379 = "Zeeshan Ali Malik","Audit",IF($I$2:$I1379 = "Ali Raza ","Receiving",IF($I$2:$I1379 = "Ali Ahmad","Full-In"))))))</f>
        <v>0</v>
      </c>
      <c r="K382" s="39" t="e">
        <f aca="false">IFERROR(VLOOKUP(D382,'Brand manager data '!A:B,2,0))</f>
        <v>#VALUE!</v>
      </c>
      <c r="L382" s="13" t="n">
        <v>0</v>
      </c>
      <c r="M382" s="13" t="str">
        <v>Yes</v>
      </c>
      <c r="N382" s="22"/>
      <c r="Q382" s="40"/>
      <c r="R382" s="13" t="b">
        <f aca="false">FALSE()</f>
        <v>0</v>
      </c>
      <c r="S382" s="13" t="n">
        <v>0</v>
      </c>
      <c r="T382" s="13" t="n">
        <f aca="false">S382*F382</f>
        <v>0</v>
      </c>
      <c r="U382" s="13" t="n">
        <v>0</v>
      </c>
      <c r="V382" s="13" t="n">
        <v>0</v>
      </c>
    </row>
    <row r="383" customFormat="false" ht="15.75" hidden="false" customHeight="false" outlineLevel="0" collapsed="false">
      <c r="A383" s="13" t="n">
        <v>0</v>
      </c>
      <c r="B383" s="13" t="str">
        <v/>
      </c>
      <c r="C383" s="13" t="n">
        <v>0</v>
      </c>
      <c r="D383" s="13" t="n">
        <v>0</v>
      </c>
      <c r="E383" s="13" t="str">
        <v/>
      </c>
      <c r="F383" s="13" t="n">
        <v>0</v>
      </c>
      <c r="G383" s="13" t="n">
        <v>0</v>
      </c>
      <c r="H383" s="13" t="n">
        <v>0</v>
      </c>
      <c r="I383" s="13" t="n">
        <v>0</v>
      </c>
      <c r="J383" s="13" t="b">
        <f aca="false">IF(ISBLANK(I383),"", IF($I$2:$I1380 = "Gohar Rehan","Overnight",IF($I$2:$I1380 = "Taufeeq Akhtar ","Overnight",IF($I$2:$I1380 = "Zeeshan Ali Malik","Audit",IF($I$2:$I1380 = "Ali Raza ","Receiving",IF($I$2:$I1380 = "Ali Ahmad","Full-In"))))))</f>
        <v>0</v>
      </c>
      <c r="K383" s="39" t="e">
        <f aca="false">IFERROR(VLOOKUP(D383,'Brand manager data '!A:B,2,0))</f>
        <v>#VALUE!</v>
      </c>
      <c r="L383" s="13" t="n">
        <v>0</v>
      </c>
      <c r="M383" s="13" t="str">
        <v>Yes</v>
      </c>
      <c r="N383" s="22"/>
      <c r="Q383" s="40"/>
      <c r="R383" s="13" t="b">
        <f aca="false">FALSE()</f>
        <v>0</v>
      </c>
      <c r="S383" s="13" t="n">
        <v>0</v>
      </c>
      <c r="T383" s="13" t="n">
        <f aca="false">S383*F383</f>
        <v>0</v>
      </c>
      <c r="U383" s="13" t="n">
        <v>0</v>
      </c>
      <c r="V383" s="13" t="n">
        <v>0</v>
      </c>
    </row>
    <row r="384" customFormat="false" ht="15.75" hidden="false" customHeight="false" outlineLevel="0" collapsed="false">
      <c r="A384" s="13" t="n">
        <v>0</v>
      </c>
      <c r="B384" s="13" t="str">
        <v/>
      </c>
      <c r="C384" s="13" t="n">
        <v>0</v>
      </c>
      <c r="D384" s="13" t="n">
        <v>0</v>
      </c>
      <c r="E384" s="13" t="str">
        <v/>
      </c>
      <c r="F384" s="13" t="n">
        <v>0</v>
      </c>
      <c r="G384" s="13" t="n">
        <v>0</v>
      </c>
      <c r="H384" s="13" t="n">
        <v>0</v>
      </c>
      <c r="I384" s="13" t="n">
        <v>0</v>
      </c>
      <c r="J384" s="13" t="b">
        <f aca="false">IF(ISBLANK(I384),"", IF($I$2:$I1381 = "Gohar Rehan","Overnight",IF($I$2:$I1381 = "Taufeeq Akhtar ","Overnight",IF($I$2:$I1381 = "Zeeshan Ali Malik","Audit",IF($I$2:$I1381 = "Ali Raza ","Receiving",IF($I$2:$I1381 = "Ali Ahmad","Full-In"))))))</f>
        <v>0</v>
      </c>
      <c r="K384" s="39" t="e">
        <f aca="false">IFERROR(VLOOKUP(D384,'Brand manager data '!A:B,2,0))</f>
        <v>#VALUE!</v>
      </c>
      <c r="L384" s="13" t="n">
        <v>0</v>
      </c>
      <c r="M384" s="13" t="str">
        <v>Yes</v>
      </c>
      <c r="N384" s="22"/>
      <c r="Q384" s="40"/>
      <c r="R384" s="13" t="b">
        <f aca="false">FALSE()</f>
        <v>0</v>
      </c>
      <c r="S384" s="13" t="n">
        <v>0</v>
      </c>
      <c r="T384" s="13" t="n">
        <f aca="false">S384*F384</f>
        <v>0</v>
      </c>
      <c r="U384" s="13" t="n">
        <v>0</v>
      </c>
      <c r="V384" s="13" t="n">
        <v>0</v>
      </c>
    </row>
    <row r="385" customFormat="false" ht="15.75" hidden="false" customHeight="false" outlineLevel="0" collapsed="false">
      <c r="A385" s="13" t="n">
        <v>0</v>
      </c>
      <c r="B385" s="13" t="str">
        <v/>
      </c>
      <c r="C385" s="13" t="n">
        <v>0</v>
      </c>
      <c r="D385" s="13" t="n">
        <v>0</v>
      </c>
      <c r="E385" s="13" t="str">
        <v/>
      </c>
      <c r="F385" s="13" t="n">
        <v>0</v>
      </c>
      <c r="G385" s="13" t="n">
        <v>0</v>
      </c>
      <c r="H385" s="13" t="n">
        <v>0</v>
      </c>
      <c r="I385" s="13" t="n">
        <v>0</v>
      </c>
      <c r="J385" s="13" t="b">
        <f aca="false">IF(ISBLANK(I385),"", IF($I$2:$I1382 = "Gohar Rehan","Overnight",IF($I$2:$I1382 = "Taufeeq Akhtar ","Overnight",IF($I$2:$I1382 = "Zeeshan Ali Malik","Audit",IF($I$2:$I1382 = "Ali Raza ","Receiving",IF($I$2:$I1382 = "Ali Ahmad","Full-In"))))))</f>
        <v>0</v>
      </c>
      <c r="K385" s="39" t="e">
        <f aca="false">IFERROR(VLOOKUP(D385,'Brand manager data '!A:B,2,0))</f>
        <v>#VALUE!</v>
      </c>
      <c r="L385" s="13" t="n">
        <v>0</v>
      </c>
      <c r="M385" s="13" t="str">
        <v>Yes</v>
      </c>
      <c r="N385" s="22"/>
      <c r="Q385" s="40"/>
      <c r="R385" s="13" t="b">
        <f aca="false">FALSE()</f>
        <v>0</v>
      </c>
      <c r="S385" s="13" t="n">
        <v>0</v>
      </c>
      <c r="T385" s="13" t="n">
        <f aca="false">S385*F385</f>
        <v>0</v>
      </c>
      <c r="U385" s="13" t="n">
        <v>0</v>
      </c>
      <c r="V385" s="13" t="n">
        <v>0</v>
      </c>
    </row>
    <row r="386" customFormat="false" ht="15.75" hidden="false" customHeight="false" outlineLevel="0" collapsed="false">
      <c r="A386" s="13" t="n">
        <v>0</v>
      </c>
      <c r="B386" s="13" t="str">
        <v/>
      </c>
      <c r="C386" s="13" t="n">
        <v>0</v>
      </c>
      <c r="D386" s="13" t="n">
        <v>0</v>
      </c>
      <c r="E386" s="13" t="str">
        <v/>
      </c>
      <c r="F386" s="13" t="n">
        <v>0</v>
      </c>
      <c r="G386" s="13" t="n">
        <v>0</v>
      </c>
      <c r="H386" s="13" t="n">
        <v>0</v>
      </c>
      <c r="I386" s="13" t="n">
        <v>0</v>
      </c>
      <c r="J386" s="13" t="b">
        <f aca="false">IF(ISBLANK(I386),"", IF($I$2:$I1383 = "Gohar Rehan","Overnight",IF($I$2:$I1383 = "Taufeeq Akhtar ","Overnight",IF($I$2:$I1383 = "Zeeshan Ali Malik","Audit",IF($I$2:$I1383 = "Ali Raza ","Receiving",IF($I$2:$I1383 = "Ali Ahmad","Full-In"))))))</f>
        <v>0</v>
      </c>
      <c r="K386" s="39" t="e">
        <f aca="false">IFERROR(VLOOKUP(D386,'Brand manager data '!A:B,2,0))</f>
        <v>#VALUE!</v>
      </c>
      <c r="L386" s="13" t="n">
        <v>0</v>
      </c>
      <c r="M386" s="13" t="str">
        <v>Yes</v>
      </c>
      <c r="N386" s="22"/>
      <c r="Q386" s="40"/>
      <c r="R386" s="13" t="b">
        <f aca="false">FALSE()</f>
        <v>0</v>
      </c>
      <c r="S386" s="13" t="n">
        <v>0</v>
      </c>
      <c r="T386" s="13" t="n">
        <f aca="false">S386*F386</f>
        <v>0</v>
      </c>
      <c r="U386" s="13" t="n">
        <v>0</v>
      </c>
      <c r="V386" s="13" t="n">
        <v>0</v>
      </c>
    </row>
    <row r="387" customFormat="false" ht="15.75" hidden="false" customHeight="false" outlineLevel="0" collapsed="false">
      <c r="A387" s="13" t="n">
        <v>0</v>
      </c>
      <c r="B387" s="13" t="str">
        <v/>
      </c>
      <c r="C387" s="13" t="n">
        <v>0</v>
      </c>
      <c r="D387" s="13" t="n">
        <v>0</v>
      </c>
      <c r="E387" s="13" t="str">
        <v/>
      </c>
      <c r="F387" s="13" t="n">
        <v>0</v>
      </c>
      <c r="G387" s="13" t="n">
        <v>0</v>
      </c>
      <c r="H387" s="13" t="n">
        <v>0</v>
      </c>
      <c r="I387" s="13" t="n">
        <v>0</v>
      </c>
      <c r="J387" s="13" t="b">
        <f aca="false">IF(ISBLANK(I387),"", IF($I$2:$I1384 = "Gohar Rehan","Overnight",IF($I$2:$I1384 = "Taufeeq Akhtar ","Overnight",IF($I$2:$I1384 = "Zeeshan Ali Malik","Audit",IF($I$2:$I1384 = "Ali Raza ","Receiving",IF($I$2:$I1384 = "Ali Ahmad","Full-In"))))))</f>
        <v>0</v>
      </c>
      <c r="K387" s="39" t="e">
        <f aca="false">IFERROR(VLOOKUP(D387,'Brand manager data '!A:B,2,0))</f>
        <v>#VALUE!</v>
      </c>
      <c r="L387" s="13" t="n">
        <v>0</v>
      </c>
      <c r="M387" s="13" t="str">
        <v>Yes</v>
      </c>
      <c r="N387" s="22"/>
      <c r="Q387" s="40"/>
      <c r="R387" s="13" t="b">
        <f aca="false">FALSE()</f>
        <v>0</v>
      </c>
      <c r="S387" s="13" t="n">
        <v>0</v>
      </c>
      <c r="T387" s="13" t="n">
        <f aca="false">S387*F387</f>
        <v>0</v>
      </c>
      <c r="U387" s="13" t="n">
        <v>0</v>
      </c>
      <c r="V387" s="13" t="n">
        <v>0</v>
      </c>
    </row>
    <row r="388" customFormat="false" ht="15.75" hidden="false" customHeight="false" outlineLevel="0" collapsed="false">
      <c r="A388" s="13" t="n">
        <v>0</v>
      </c>
      <c r="B388" s="13" t="str">
        <v/>
      </c>
      <c r="C388" s="13" t="n">
        <v>0</v>
      </c>
      <c r="D388" s="13" t="n">
        <v>0</v>
      </c>
      <c r="E388" s="13" t="str">
        <v/>
      </c>
      <c r="F388" s="13" t="n">
        <v>0</v>
      </c>
      <c r="G388" s="13" t="n">
        <v>0</v>
      </c>
      <c r="H388" s="13" t="n">
        <v>0</v>
      </c>
      <c r="I388" s="13" t="n">
        <v>0</v>
      </c>
      <c r="J388" s="13" t="b">
        <f aca="false">IF(ISBLANK(I388),"", IF($I$2:$I1385 = "Gohar Rehan","Overnight",IF($I$2:$I1385 = "Taufeeq Akhtar ","Overnight",IF($I$2:$I1385 = "Zeeshan Ali Malik","Audit",IF($I$2:$I1385 = "Ali Raza ","Receiving",IF($I$2:$I1385 = "Ali Ahmad","Full-In"))))))</f>
        <v>0</v>
      </c>
      <c r="K388" s="39" t="e">
        <f aca="false">IFERROR(VLOOKUP(D388,'Brand manager data '!A:B,2,0))</f>
        <v>#VALUE!</v>
      </c>
      <c r="L388" s="13" t="n">
        <v>0</v>
      </c>
      <c r="M388" s="13" t="str">
        <v>Yes</v>
      </c>
      <c r="N388" s="22"/>
      <c r="Q388" s="40"/>
      <c r="R388" s="13" t="b">
        <f aca="false">FALSE()</f>
        <v>0</v>
      </c>
      <c r="S388" s="13" t="n">
        <v>0</v>
      </c>
      <c r="T388" s="13" t="n">
        <f aca="false">S388*F388</f>
        <v>0</v>
      </c>
      <c r="U388" s="13" t="n">
        <v>0</v>
      </c>
      <c r="V388" s="13" t="n">
        <v>0</v>
      </c>
    </row>
    <row r="389" customFormat="false" ht="15.75" hidden="false" customHeight="false" outlineLevel="0" collapsed="false">
      <c r="A389" s="13" t="n">
        <v>0</v>
      </c>
      <c r="B389" s="13" t="str">
        <v/>
      </c>
      <c r="C389" s="13" t="n">
        <v>0</v>
      </c>
      <c r="D389" s="13" t="n">
        <v>0</v>
      </c>
      <c r="E389" s="13" t="str">
        <v/>
      </c>
      <c r="F389" s="13" t="n">
        <v>0</v>
      </c>
      <c r="G389" s="13" t="n">
        <v>0</v>
      </c>
      <c r="H389" s="13" t="n">
        <v>0</v>
      </c>
      <c r="I389" s="13" t="n">
        <v>0</v>
      </c>
      <c r="J389" s="13" t="b">
        <f aca="false">IF(ISBLANK(I389),"", IF($I$2:$I1386 = "Gohar Rehan","Overnight",IF($I$2:$I1386 = "Taufeeq Akhtar ","Overnight",IF($I$2:$I1386 = "Zeeshan Ali Malik","Audit",IF($I$2:$I1386 = "Ali Raza ","Receiving",IF($I$2:$I1386 = "Ali Ahmad","Full-In"))))))</f>
        <v>0</v>
      </c>
      <c r="K389" s="39" t="e">
        <f aca="false">IFERROR(VLOOKUP(D389,'Brand manager data '!A:B,2,0))</f>
        <v>#VALUE!</v>
      </c>
      <c r="L389" s="13" t="n">
        <v>0</v>
      </c>
      <c r="M389" s="13" t="str">
        <v>Yes</v>
      </c>
      <c r="N389" s="22"/>
      <c r="Q389" s="40"/>
      <c r="R389" s="13" t="b">
        <f aca="false">FALSE()</f>
        <v>0</v>
      </c>
      <c r="S389" s="13" t="n">
        <v>0</v>
      </c>
      <c r="T389" s="13" t="n">
        <f aca="false">S389*F389</f>
        <v>0</v>
      </c>
      <c r="U389" s="13" t="n">
        <v>0</v>
      </c>
      <c r="V389" s="13" t="n">
        <v>0</v>
      </c>
    </row>
    <row r="390" customFormat="false" ht="15.75" hidden="false" customHeight="false" outlineLevel="0" collapsed="false">
      <c r="A390" s="13" t="n">
        <v>0</v>
      </c>
      <c r="B390" s="13" t="str">
        <v/>
      </c>
      <c r="C390" s="13" t="n">
        <v>0</v>
      </c>
      <c r="D390" s="13" t="n">
        <v>0</v>
      </c>
      <c r="E390" s="13" t="str">
        <v/>
      </c>
      <c r="F390" s="13" t="n">
        <v>0</v>
      </c>
      <c r="G390" s="13" t="n">
        <v>0</v>
      </c>
      <c r="H390" s="13" t="n">
        <v>0</v>
      </c>
      <c r="I390" s="13" t="n">
        <v>0</v>
      </c>
      <c r="J390" s="13" t="b">
        <f aca="false">IF(ISBLANK(I390),"", IF($I$2:$I1387 = "Gohar Rehan","Overnight",IF($I$2:$I1387 = "Taufeeq Akhtar ","Overnight",IF($I$2:$I1387 = "Zeeshan Ali Malik","Audit",IF($I$2:$I1387 = "Ali Raza ","Receiving",IF($I$2:$I1387 = "Ali Ahmad","Full-In"))))))</f>
        <v>0</v>
      </c>
      <c r="K390" s="39" t="e">
        <f aca="false">IFERROR(VLOOKUP(D390,'Brand manager data '!A:B,2,0))</f>
        <v>#VALUE!</v>
      </c>
      <c r="L390" s="13" t="n">
        <v>0</v>
      </c>
      <c r="M390" s="13" t="str">
        <v>Yes</v>
      </c>
      <c r="N390" s="22"/>
      <c r="Q390" s="40"/>
      <c r="R390" s="13" t="b">
        <f aca="false">FALSE()</f>
        <v>0</v>
      </c>
      <c r="S390" s="13" t="n">
        <v>0</v>
      </c>
      <c r="T390" s="13" t="n">
        <f aca="false">S390*F390</f>
        <v>0</v>
      </c>
      <c r="U390" s="13" t="n">
        <v>0</v>
      </c>
      <c r="V390" s="13" t="n">
        <v>0</v>
      </c>
    </row>
    <row r="391" customFormat="false" ht="15.75" hidden="false" customHeight="false" outlineLevel="0" collapsed="false">
      <c r="A391" s="13" t="n">
        <v>0</v>
      </c>
      <c r="B391" s="13" t="str">
        <v/>
      </c>
      <c r="C391" s="13" t="n">
        <v>0</v>
      </c>
      <c r="D391" s="13" t="n">
        <v>0</v>
      </c>
      <c r="E391" s="13" t="str">
        <v/>
      </c>
      <c r="F391" s="13" t="n">
        <v>0</v>
      </c>
      <c r="G391" s="13" t="n">
        <v>0</v>
      </c>
      <c r="H391" s="13" t="n">
        <v>0</v>
      </c>
      <c r="I391" s="13" t="n">
        <v>0</v>
      </c>
      <c r="J391" s="13" t="b">
        <f aca="false">IF(ISBLANK(I391),"", IF($I$2:$I1388 = "Gohar Rehan","Overnight",IF($I$2:$I1388 = "Taufeeq Akhtar ","Overnight",IF($I$2:$I1388 = "Zeeshan Ali Malik","Audit",IF($I$2:$I1388 = "Ali Raza ","Receiving",IF($I$2:$I1388 = "Ali Ahmad","Full-In"))))))</f>
        <v>0</v>
      </c>
      <c r="K391" s="39" t="e">
        <f aca="false">IFERROR(VLOOKUP(D391,'Brand manager data '!A:B,2,0))</f>
        <v>#VALUE!</v>
      </c>
      <c r="L391" s="13" t="n">
        <v>0</v>
      </c>
      <c r="M391" s="13" t="str">
        <v>Yes</v>
      </c>
      <c r="N391" s="22"/>
      <c r="Q391" s="40"/>
      <c r="R391" s="13" t="b">
        <f aca="false">FALSE()</f>
        <v>0</v>
      </c>
      <c r="S391" s="13" t="n">
        <v>0</v>
      </c>
      <c r="T391" s="13" t="n">
        <f aca="false">S391*F391</f>
        <v>0</v>
      </c>
      <c r="U391" s="13" t="n">
        <v>0</v>
      </c>
      <c r="V391" s="13" t="n">
        <v>0</v>
      </c>
    </row>
    <row r="392" customFormat="false" ht="15.75" hidden="false" customHeight="false" outlineLevel="0" collapsed="false">
      <c r="A392" s="13" t="n">
        <v>0</v>
      </c>
      <c r="B392" s="13" t="str">
        <v/>
      </c>
      <c r="C392" s="13" t="n">
        <v>0</v>
      </c>
      <c r="D392" s="13" t="n">
        <v>0</v>
      </c>
      <c r="E392" s="13" t="str">
        <v/>
      </c>
      <c r="F392" s="13" t="n">
        <v>0</v>
      </c>
      <c r="G392" s="13" t="n">
        <v>0</v>
      </c>
      <c r="H392" s="13" t="n">
        <v>0</v>
      </c>
      <c r="I392" s="13" t="n">
        <v>0</v>
      </c>
      <c r="J392" s="13" t="b">
        <f aca="false">IF(ISBLANK(I392),"", IF($I$2:$I1389 = "Gohar Rehan","Overnight",IF($I$2:$I1389 = "Taufeeq Akhtar ","Overnight",IF($I$2:$I1389 = "Zeeshan Ali Malik","Audit",IF($I$2:$I1389 = "Ali Raza ","Receiving",IF($I$2:$I1389 = "Ali Ahmad","Full-In"))))))</f>
        <v>0</v>
      </c>
      <c r="K392" s="39" t="e">
        <f aca="false">IFERROR(VLOOKUP(D392,'Brand manager data '!A:B,2,0))</f>
        <v>#VALUE!</v>
      </c>
      <c r="L392" s="13" t="n">
        <v>0</v>
      </c>
      <c r="M392" s="13" t="str">
        <v>Yes</v>
      </c>
      <c r="N392" s="22"/>
      <c r="Q392" s="40"/>
      <c r="R392" s="13" t="b">
        <f aca="false">FALSE()</f>
        <v>0</v>
      </c>
      <c r="S392" s="13" t="n">
        <v>0</v>
      </c>
      <c r="T392" s="13" t="n">
        <f aca="false">S392*F392</f>
        <v>0</v>
      </c>
      <c r="U392" s="13" t="n">
        <v>0</v>
      </c>
      <c r="V392" s="13" t="n">
        <v>0</v>
      </c>
    </row>
    <row r="393" customFormat="false" ht="15.75" hidden="false" customHeight="false" outlineLevel="0" collapsed="false">
      <c r="A393" s="13" t="n">
        <v>0</v>
      </c>
      <c r="B393" s="13" t="str">
        <v/>
      </c>
      <c r="C393" s="13" t="n">
        <v>0</v>
      </c>
      <c r="D393" s="13" t="n">
        <v>0</v>
      </c>
      <c r="E393" s="13" t="str">
        <v/>
      </c>
      <c r="F393" s="13" t="n">
        <v>0</v>
      </c>
      <c r="G393" s="13" t="n">
        <v>0</v>
      </c>
      <c r="H393" s="13" t="n">
        <v>0</v>
      </c>
      <c r="I393" s="13" t="n">
        <v>0</v>
      </c>
      <c r="J393" s="13" t="b">
        <f aca="false">IF(ISBLANK(I393),"", IF($I$2:$I1390 = "Gohar Rehan","Overnight",IF($I$2:$I1390 = "Taufeeq Akhtar ","Overnight",IF($I$2:$I1390 = "Zeeshan Ali Malik","Audit",IF($I$2:$I1390 = "Ali Raza ","Receiving",IF($I$2:$I1390 = "Ali Ahmad","Full-In"))))))</f>
        <v>0</v>
      </c>
      <c r="K393" s="39" t="e">
        <f aca="false">IFERROR(VLOOKUP(D393,'Brand manager data '!A:B,2,0))</f>
        <v>#VALUE!</v>
      </c>
      <c r="L393" s="13" t="n">
        <v>0</v>
      </c>
      <c r="M393" s="13" t="str">
        <v>Yes</v>
      </c>
      <c r="N393" s="22"/>
      <c r="Q393" s="40"/>
      <c r="R393" s="13" t="b">
        <f aca="false">FALSE()</f>
        <v>0</v>
      </c>
      <c r="S393" s="13" t="n">
        <v>0</v>
      </c>
      <c r="T393" s="13" t="n">
        <f aca="false">S393*F393</f>
        <v>0</v>
      </c>
      <c r="U393" s="13" t="n">
        <v>0</v>
      </c>
      <c r="V393" s="13" t="n">
        <v>0</v>
      </c>
    </row>
    <row r="394" customFormat="false" ht="15.75" hidden="false" customHeight="false" outlineLevel="0" collapsed="false">
      <c r="A394" s="13" t="n">
        <v>0</v>
      </c>
      <c r="B394" s="13" t="str">
        <v/>
      </c>
      <c r="C394" s="13" t="n">
        <v>0</v>
      </c>
      <c r="D394" s="13" t="n">
        <v>0</v>
      </c>
      <c r="E394" s="13" t="str">
        <v/>
      </c>
      <c r="F394" s="13" t="n">
        <v>0</v>
      </c>
      <c r="G394" s="13" t="n">
        <v>0</v>
      </c>
      <c r="H394" s="13" t="n">
        <v>0</v>
      </c>
      <c r="I394" s="13" t="n">
        <v>0</v>
      </c>
      <c r="J394" s="13" t="b">
        <f aca="false">IF(ISBLANK(I394),"", IF($I$2:$I1391 = "Gohar Rehan","Overnight",IF($I$2:$I1391 = "Taufeeq Akhtar ","Overnight",IF($I$2:$I1391 = "Zeeshan Ali Malik","Audit",IF($I$2:$I1391 = "Ali Raza ","Receiving",IF($I$2:$I1391 = "Ali Ahmad","Full-In"))))))</f>
        <v>0</v>
      </c>
      <c r="K394" s="39" t="e">
        <f aca="false">IFERROR(VLOOKUP(D394,'Brand manager data '!A:B,2,0))</f>
        <v>#VALUE!</v>
      </c>
      <c r="L394" s="13" t="n">
        <v>0</v>
      </c>
      <c r="M394" s="13" t="str">
        <v>Yes</v>
      </c>
      <c r="N394" s="22"/>
      <c r="Q394" s="40"/>
      <c r="R394" s="13" t="b">
        <f aca="false">FALSE()</f>
        <v>0</v>
      </c>
      <c r="S394" s="13" t="n">
        <v>0</v>
      </c>
      <c r="T394" s="13" t="n">
        <f aca="false">S394*F394</f>
        <v>0</v>
      </c>
      <c r="U394" s="13" t="n">
        <v>0</v>
      </c>
      <c r="V394" s="13" t="n">
        <v>0</v>
      </c>
    </row>
    <row r="395" customFormat="false" ht="15.75" hidden="false" customHeight="false" outlineLevel="0" collapsed="false">
      <c r="A395" s="13" t="n">
        <v>0</v>
      </c>
      <c r="B395" s="13" t="str">
        <v/>
      </c>
      <c r="C395" s="13" t="n">
        <v>0</v>
      </c>
      <c r="D395" s="13" t="n">
        <v>0</v>
      </c>
      <c r="E395" s="13" t="str">
        <v/>
      </c>
      <c r="F395" s="13" t="n">
        <v>0</v>
      </c>
      <c r="G395" s="13" t="n">
        <v>0</v>
      </c>
      <c r="H395" s="13" t="n">
        <v>0</v>
      </c>
      <c r="I395" s="13" t="n">
        <v>0</v>
      </c>
      <c r="J395" s="13" t="b">
        <f aca="false">IF(ISBLANK(I395),"", IF($I$2:$I1392 = "Gohar Rehan","Overnight",IF($I$2:$I1392 = "Taufeeq Akhtar ","Overnight",IF($I$2:$I1392 = "Zeeshan Ali Malik","Audit",IF($I$2:$I1392 = "Ali Raza ","Receiving",IF($I$2:$I1392 = "Ali Ahmad","Full-In"))))))</f>
        <v>0</v>
      </c>
      <c r="K395" s="39" t="e">
        <f aca="false">IFERROR(VLOOKUP(D395,'Brand manager data '!A:B,2,0))</f>
        <v>#VALUE!</v>
      </c>
      <c r="L395" s="13" t="n">
        <v>0</v>
      </c>
      <c r="M395" s="13" t="str">
        <v>Yes</v>
      </c>
      <c r="N395" s="22"/>
      <c r="Q395" s="40"/>
      <c r="R395" s="13" t="b">
        <f aca="false">FALSE()</f>
        <v>0</v>
      </c>
      <c r="S395" s="13" t="n">
        <v>0</v>
      </c>
      <c r="T395" s="13" t="n">
        <f aca="false">S395*F395</f>
        <v>0</v>
      </c>
      <c r="U395" s="13" t="n">
        <v>0</v>
      </c>
      <c r="V395" s="13" t="n">
        <v>0</v>
      </c>
    </row>
    <row r="396" customFormat="false" ht="15.75" hidden="false" customHeight="false" outlineLevel="0" collapsed="false">
      <c r="A396" s="13" t="n">
        <v>0</v>
      </c>
      <c r="B396" s="13" t="str">
        <v/>
      </c>
      <c r="C396" s="13" t="n">
        <v>0</v>
      </c>
      <c r="D396" s="13" t="n">
        <v>0</v>
      </c>
      <c r="E396" s="13" t="str">
        <v/>
      </c>
      <c r="F396" s="13" t="n">
        <v>0</v>
      </c>
      <c r="G396" s="13" t="n">
        <v>0</v>
      </c>
      <c r="H396" s="13" t="n">
        <v>0</v>
      </c>
      <c r="I396" s="13" t="n">
        <v>0</v>
      </c>
      <c r="J396" s="13" t="b">
        <f aca="false">IF(ISBLANK(I396),"", IF($I$2:$I1393 = "Gohar Rehan","Overnight",IF($I$2:$I1393 = "Taufeeq Akhtar ","Overnight",IF($I$2:$I1393 = "Zeeshan Ali Malik","Audit",IF($I$2:$I1393 = "Ali Raza ","Receiving",IF($I$2:$I1393 = "Ali Ahmad","Full-In"))))))</f>
        <v>0</v>
      </c>
      <c r="K396" s="39" t="e">
        <f aca="false">IFERROR(VLOOKUP(D396,'Brand manager data '!A:B,2,0))</f>
        <v>#VALUE!</v>
      </c>
      <c r="L396" s="13" t="n">
        <v>0</v>
      </c>
      <c r="M396" s="13" t="str">
        <v>Yes</v>
      </c>
      <c r="N396" s="22"/>
      <c r="Q396" s="40"/>
      <c r="R396" s="13" t="b">
        <f aca="false">FALSE()</f>
        <v>0</v>
      </c>
      <c r="S396" s="13" t="n">
        <v>0</v>
      </c>
      <c r="T396" s="13" t="n">
        <f aca="false">S396*F396</f>
        <v>0</v>
      </c>
      <c r="U396" s="13" t="n">
        <v>0</v>
      </c>
      <c r="V396" s="13" t="n">
        <v>0</v>
      </c>
    </row>
    <row r="397" customFormat="false" ht="15.75" hidden="false" customHeight="false" outlineLevel="0" collapsed="false">
      <c r="A397" s="13" t="n">
        <v>0</v>
      </c>
      <c r="B397" s="13" t="str">
        <v/>
      </c>
      <c r="C397" s="13" t="n">
        <v>0</v>
      </c>
      <c r="D397" s="13" t="n">
        <v>0</v>
      </c>
      <c r="E397" s="13" t="str">
        <v/>
      </c>
      <c r="F397" s="13" t="n">
        <v>0</v>
      </c>
      <c r="G397" s="13" t="n">
        <v>0</v>
      </c>
      <c r="H397" s="13" t="n">
        <v>0</v>
      </c>
      <c r="I397" s="13" t="n">
        <v>0</v>
      </c>
      <c r="J397" s="13" t="b">
        <f aca="false">IF(ISBLANK(I397),"", IF($I$2:$I1394 = "Gohar Rehan","Overnight",IF($I$2:$I1394 = "Taufeeq Akhtar ","Overnight",IF($I$2:$I1394 = "Zeeshan Ali Malik","Audit",IF($I$2:$I1394 = "Ali Raza ","Receiving",IF($I$2:$I1394 = "Ali Ahmad","Full-In"))))))</f>
        <v>0</v>
      </c>
      <c r="K397" s="39" t="e">
        <f aca="false">IFERROR(VLOOKUP(D397,'Brand manager data '!A:B,2,0))</f>
        <v>#VALUE!</v>
      </c>
      <c r="L397" s="13" t="n">
        <v>0</v>
      </c>
      <c r="M397" s="13" t="str">
        <v>Yes</v>
      </c>
      <c r="N397" s="22"/>
      <c r="Q397" s="40"/>
      <c r="R397" s="13" t="b">
        <f aca="false">FALSE()</f>
        <v>0</v>
      </c>
      <c r="S397" s="13" t="n">
        <v>0</v>
      </c>
      <c r="T397" s="13" t="n">
        <f aca="false">S397*F397</f>
        <v>0</v>
      </c>
      <c r="U397" s="13" t="n">
        <v>0</v>
      </c>
      <c r="V397" s="13" t="n">
        <v>0</v>
      </c>
    </row>
    <row r="398" customFormat="false" ht="15.75" hidden="false" customHeight="false" outlineLevel="0" collapsed="false">
      <c r="A398" s="13" t="n">
        <v>0</v>
      </c>
      <c r="B398" s="13" t="str">
        <v/>
      </c>
      <c r="C398" s="13" t="n">
        <v>0</v>
      </c>
      <c r="D398" s="13" t="n">
        <v>0</v>
      </c>
      <c r="E398" s="13" t="str">
        <v/>
      </c>
      <c r="F398" s="13" t="n">
        <v>0</v>
      </c>
      <c r="G398" s="13" t="n">
        <v>0</v>
      </c>
      <c r="H398" s="13" t="n">
        <v>0</v>
      </c>
      <c r="I398" s="13" t="n">
        <v>0</v>
      </c>
      <c r="J398" s="13" t="b">
        <f aca="false">IF(ISBLANK(I398),"", IF($I$2:$I1395 = "Gohar Rehan","Overnight",IF($I$2:$I1395 = "Taufeeq Akhtar ","Overnight",IF($I$2:$I1395 = "Zeeshan Ali Malik","Audit",IF($I$2:$I1395 = "Ali Raza ","Receiving",IF($I$2:$I1395 = "Ali Ahmad","Full-In"))))))</f>
        <v>0</v>
      </c>
      <c r="K398" s="39" t="e">
        <f aca="false">IFERROR(VLOOKUP(D398,'Brand manager data '!A:B,2,0))</f>
        <v>#VALUE!</v>
      </c>
      <c r="L398" s="13" t="n">
        <v>0</v>
      </c>
      <c r="M398" s="13" t="str">
        <v>Yes</v>
      </c>
      <c r="N398" s="22"/>
      <c r="Q398" s="40"/>
      <c r="R398" s="13" t="b">
        <f aca="false">FALSE()</f>
        <v>0</v>
      </c>
      <c r="S398" s="13" t="n">
        <v>0</v>
      </c>
      <c r="T398" s="13" t="n">
        <f aca="false">S398*F398</f>
        <v>0</v>
      </c>
      <c r="U398" s="13" t="n">
        <v>0</v>
      </c>
      <c r="V398" s="13" t="n">
        <v>0</v>
      </c>
    </row>
    <row r="399" customFormat="false" ht="15.75" hidden="false" customHeight="false" outlineLevel="0" collapsed="false">
      <c r="A399" s="13" t="n">
        <v>0</v>
      </c>
      <c r="B399" s="13" t="str">
        <v/>
      </c>
      <c r="C399" s="13" t="n">
        <v>0</v>
      </c>
      <c r="D399" s="13" t="n">
        <v>0</v>
      </c>
      <c r="E399" s="13" t="str">
        <v/>
      </c>
      <c r="F399" s="13" t="n">
        <v>0</v>
      </c>
      <c r="G399" s="13" t="n">
        <v>0</v>
      </c>
      <c r="H399" s="13" t="n">
        <v>0</v>
      </c>
      <c r="I399" s="13" t="n">
        <v>0</v>
      </c>
      <c r="J399" s="13" t="b">
        <f aca="false">IF(ISBLANK(I399),"", IF($I$2:$I1396 = "Gohar Rehan","Overnight",IF($I$2:$I1396 = "Taufeeq Akhtar ","Overnight",IF($I$2:$I1396 = "Zeeshan Ali Malik","Audit",IF($I$2:$I1396 = "Ali Raza ","Receiving",IF($I$2:$I1396 = "Ali Ahmad","Full-In"))))))</f>
        <v>0</v>
      </c>
      <c r="K399" s="39" t="e">
        <f aca="false">IFERROR(VLOOKUP(D399,'Brand manager data '!A:B,2,0))</f>
        <v>#VALUE!</v>
      </c>
      <c r="L399" s="13" t="n">
        <v>0</v>
      </c>
      <c r="M399" s="13" t="str">
        <v>Yes</v>
      </c>
      <c r="N399" s="22"/>
      <c r="Q399" s="40"/>
      <c r="R399" s="13" t="b">
        <f aca="false">FALSE()</f>
        <v>0</v>
      </c>
      <c r="S399" s="13" t="n">
        <v>0</v>
      </c>
      <c r="T399" s="13" t="n">
        <f aca="false">S399*F399</f>
        <v>0</v>
      </c>
      <c r="U399" s="13" t="n">
        <v>0</v>
      </c>
      <c r="V399" s="13" t="n">
        <v>0</v>
      </c>
    </row>
    <row r="400" customFormat="false" ht="15.75" hidden="false" customHeight="false" outlineLevel="0" collapsed="false">
      <c r="A400" s="13" t="n">
        <v>0</v>
      </c>
      <c r="B400" s="13" t="str">
        <v/>
      </c>
      <c r="C400" s="13" t="n">
        <v>0</v>
      </c>
      <c r="D400" s="13" t="n">
        <v>0</v>
      </c>
      <c r="E400" s="13" t="str">
        <v/>
      </c>
      <c r="F400" s="13" t="n">
        <v>0</v>
      </c>
      <c r="G400" s="13" t="n">
        <v>0</v>
      </c>
      <c r="H400" s="13" t="n">
        <v>0</v>
      </c>
      <c r="I400" s="13" t="n">
        <v>0</v>
      </c>
      <c r="J400" s="13" t="b">
        <f aca="false">IF(ISBLANK(I400),"", IF($I$2:$I1397 = "Gohar Rehan","Overnight",IF($I$2:$I1397 = "Taufeeq Akhtar ","Overnight",IF($I$2:$I1397 = "Zeeshan Ali Malik","Audit",IF($I$2:$I1397 = "Ali Raza ","Receiving",IF($I$2:$I1397 = "Ali Ahmad","Full-In"))))))</f>
        <v>0</v>
      </c>
      <c r="K400" s="39" t="e">
        <f aca="false">IFERROR(VLOOKUP(D400,'Brand manager data '!A:B,2,0))</f>
        <v>#VALUE!</v>
      </c>
      <c r="L400" s="13" t="n">
        <v>0</v>
      </c>
      <c r="M400" s="13" t="str">
        <v>Yes</v>
      </c>
      <c r="N400" s="22"/>
      <c r="Q400" s="40"/>
      <c r="R400" s="13" t="b">
        <f aca="false">FALSE()</f>
        <v>0</v>
      </c>
      <c r="S400" s="13" t="n">
        <v>0</v>
      </c>
      <c r="T400" s="13" t="n">
        <f aca="false">S400*F400</f>
        <v>0</v>
      </c>
      <c r="U400" s="13" t="n">
        <v>0</v>
      </c>
      <c r="V400" s="13" t="n">
        <v>0</v>
      </c>
    </row>
    <row r="401" customFormat="false" ht="15.75" hidden="false" customHeight="false" outlineLevel="0" collapsed="false">
      <c r="A401" s="13" t="n">
        <v>0</v>
      </c>
      <c r="B401" s="13" t="str">
        <v/>
      </c>
      <c r="C401" s="13" t="n">
        <v>0</v>
      </c>
      <c r="D401" s="13" t="n">
        <v>0</v>
      </c>
      <c r="E401" s="13" t="str">
        <v/>
      </c>
      <c r="F401" s="13" t="n">
        <v>0</v>
      </c>
      <c r="G401" s="13" t="n">
        <v>0</v>
      </c>
      <c r="H401" s="13" t="n">
        <v>0</v>
      </c>
      <c r="I401" s="13" t="n">
        <v>0</v>
      </c>
      <c r="J401" s="13" t="b">
        <f aca="false">IF(ISBLANK(I401),"", IF($I$2:$I1398 = "Gohar Rehan","Overnight",IF($I$2:$I1398 = "Taufeeq Akhtar ","Overnight",IF($I$2:$I1398 = "Zeeshan Ali Malik","Audit",IF($I$2:$I1398 = "Ali Raza ","Receiving",IF($I$2:$I1398 = "Ali Ahmad","Full-In"))))))</f>
        <v>0</v>
      </c>
      <c r="K401" s="39" t="e">
        <f aca="false">IFERROR(VLOOKUP(D401,'Brand manager data '!A:B,2,0))</f>
        <v>#VALUE!</v>
      </c>
      <c r="L401" s="13" t="n">
        <v>0</v>
      </c>
      <c r="M401" s="13" t="str">
        <v>Yes</v>
      </c>
      <c r="N401" s="22"/>
      <c r="Q401" s="40"/>
      <c r="R401" s="13" t="b">
        <f aca="false">FALSE()</f>
        <v>0</v>
      </c>
      <c r="S401" s="13" t="n">
        <v>0</v>
      </c>
      <c r="T401" s="13" t="n">
        <f aca="false">S401*F401</f>
        <v>0</v>
      </c>
      <c r="U401" s="13" t="n">
        <v>0</v>
      </c>
      <c r="V401" s="13" t="n">
        <v>0</v>
      </c>
    </row>
    <row r="402" customFormat="false" ht="15.75" hidden="false" customHeight="false" outlineLevel="0" collapsed="false">
      <c r="A402" s="13" t="n">
        <v>0</v>
      </c>
      <c r="B402" s="13" t="str">
        <v/>
      </c>
      <c r="C402" s="13" t="n">
        <v>0</v>
      </c>
      <c r="D402" s="13" t="n">
        <v>0</v>
      </c>
      <c r="E402" s="13" t="str">
        <v/>
      </c>
      <c r="F402" s="13" t="n">
        <v>0</v>
      </c>
      <c r="G402" s="13" t="n">
        <v>0</v>
      </c>
      <c r="H402" s="13" t="n">
        <v>0</v>
      </c>
      <c r="I402" s="13" t="n">
        <v>0</v>
      </c>
      <c r="J402" s="13" t="b">
        <f aca="false">IF(ISBLANK(I402),"", IF($I$2:$I1399 = "Gohar Rehan","Overnight",IF($I$2:$I1399 = "Taufeeq Akhtar ","Overnight",IF($I$2:$I1399 = "Zeeshan Ali Malik","Audit",IF($I$2:$I1399 = "Ali Raza ","Receiving",IF($I$2:$I1399 = "Ali Ahmad","Full-In"))))))</f>
        <v>0</v>
      </c>
      <c r="K402" s="39" t="e">
        <f aca="false">IFERROR(VLOOKUP(D402,'Brand manager data '!A:B,2,0))</f>
        <v>#VALUE!</v>
      </c>
      <c r="L402" s="13" t="n">
        <v>0</v>
      </c>
      <c r="M402" s="13" t="str">
        <v>Yes</v>
      </c>
      <c r="N402" s="22"/>
      <c r="Q402" s="40"/>
      <c r="R402" s="13" t="b">
        <f aca="false">FALSE()</f>
        <v>0</v>
      </c>
      <c r="S402" s="13" t="n">
        <v>0</v>
      </c>
      <c r="T402" s="13" t="n">
        <f aca="false">S402*F402</f>
        <v>0</v>
      </c>
      <c r="U402" s="13" t="n">
        <v>0</v>
      </c>
      <c r="V402" s="13" t="n">
        <v>0</v>
      </c>
    </row>
    <row r="403" customFormat="false" ht="15.75" hidden="false" customHeight="false" outlineLevel="0" collapsed="false">
      <c r="A403" s="13" t="n">
        <v>0</v>
      </c>
      <c r="B403" s="13" t="str">
        <v/>
      </c>
      <c r="C403" s="13" t="n">
        <v>0</v>
      </c>
      <c r="D403" s="13" t="n">
        <v>0</v>
      </c>
      <c r="E403" s="13" t="str">
        <v/>
      </c>
      <c r="F403" s="13" t="n">
        <v>0</v>
      </c>
      <c r="G403" s="13" t="n">
        <v>0</v>
      </c>
      <c r="H403" s="13" t="n">
        <v>0</v>
      </c>
      <c r="I403" s="13" t="n">
        <v>0</v>
      </c>
      <c r="J403" s="13" t="b">
        <f aca="false">IF(ISBLANK(I403),"", IF($I$2:$I1400 = "Gohar Rehan","Overnight",IF($I$2:$I1400 = "Taufeeq Akhtar ","Overnight",IF($I$2:$I1400 = "Zeeshan Ali Malik","Audit",IF($I$2:$I1400 = "Ali Raza ","Receiving",IF($I$2:$I1400 = "Ali Ahmad","Full-In"))))))</f>
        <v>0</v>
      </c>
      <c r="K403" s="39" t="e">
        <f aca="false">IFERROR(VLOOKUP(D403,'Brand manager data '!A:B,2,0))</f>
        <v>#VALUE!</v>
      </c>
      <c r="L403" s="13" t="n">
        <v>0</v>
      </c>
      <c r="M403" s="13" t="str">
        <v>Yes</v>
      </c>
      <c r="N403" s="22"/>
      <c r="Q403" s="40"/>
      <c r="R403" s="13" t="b">
        <f aca="false">FALSE()</f>
        <v>0</v>
      </c>
      <c r="S403" s="13" t="n">
        <v>0</v>
      </c>
      <c r="T403" s="13" t="n">
        <f aca="false">S403*F403</f>
        <v>0</v>
      </c>
      <c r="U403" s="13" t="n">
        <v>0</v>
      </c>
      <c r="V403" s="13" t="n">
        <v>0</v>
      </c>
    </row>
    <row r="404" customFormat="false" ht="15.75" hidden="false" customHeight="false" outlineLevel="0" collapsed="false">
      <c r="A404" s="13" t="n">
        <v>0</v>
      </c>
      <c r="B404" s="13" t="str">
        <v/>
      </c>
      <c r="C404" s="13" t="n">
        <v>0</v>
      </c>
      <c r="D404" s="13" t="n">
        <v>0</v>
      </c>
      <c r="E404" s="13" t="str">
        <v/>
      </c>
      <c r="F404" s="13" t="n">
        <v>0</v>
      </c>
      <c r="G404" s="13" t="n">
        <v>0</v>
      </c>
      <c r="H404" s="13" t="n">
        <v>0</v>
      </c>
      <c r="I404" s="13" t="n">
        <v>0</v>
      </c>
      <c r="J404" s="13" t="b">
        <f aca="false">IF(ISBLANK(I404),"", IF($I$2:$I1401 = "Gohar Rehan","Overnight",IF($I$2:$I1401 = "Taufeeq Akhtar ","Overnight",IF($I$2:$I1401 = "Zeeshan Ali Malik","Audit",IF($I$2:$I1401 = "Ali Raza ","Receiving",IF($I$2:$I1401 = "Ali Ahmad","Full-In"))))))</f>
        <v>0</v>
      </c>
      <c r="K404" s="39" t="e">
        <f aca="false">IFERROR(VLOOKUP(D404,'Brand manager data '!A:B,2,0))</f>
        <v>#VALUE!</v>
      </c>
      <c r="L404" s="13" t="n">
        <v>0</v>
      </c>
      <c r="M404" s="13" t="str">
        <v>Yes</v>
      </c>
      <c r="N404" s="22"/>
      <c r="Q404" s="40"/>
      <c r="R404" s="13" t="b">
        <f aca="false">FALSE()</f>
        <v>0</v>
      </c>
      <c r="S404" s="13" t="n">
        <v>0</v>
      </c>
      <c r="T404" s="13" t="n">
        <f aca="false">S404*F404</f>
        <v>0</v>
      </c>
      <c r="U404" s="13" t="n">
        <v>0</v>
      </c>
      <c r="V404" s="13" t="n">
        <v>0</v>
      </c>
    </row>
    <row r="405" customFormat="false" ht="15.75" hidden="false" customHeight="false" outlineLevel="0" collapsed="false">
      <c r="A405" s="13" t="n">
        <v>0</v>
      </c>
      <c r="B405" s="13" t="str">
        <v/>
      </c>
      <c r="C405" s="13" t="n">
        <v>0</v>
      </c>
      <c r="D405" s="13" t="n">
        <v>0</v>
      </c>
      <c r="E405" s="13" t="str">
        <v/>
      </c>
      <c r="F405" s="13" t="n">
        <v>0</v>
      </c>
      <c r="G405" s="13" t="n">
        <v>0</v>
      </c>
      <c r="H405" s="13" t="n">
        <v>0</v>
      </c>
      <c r="I405" s="13" t="n">
        <v>0</v>
      </c>
      <c r="J405" s="13" t="b">
        <f aca="false">IF(ISBLANK(I405),"", IF($I$2:$I1402 = "Gohar Rehan","Overnight",IF($I$2:$I1402 = "Taufeeq Akhtar ","Overnight",IF($I$2:$I1402 = "Zeeshan Ali Malik","Audit",IF($I$2:$I1402 = "Ali Raza ","Receiving",IF($I$2:$I1402 = "Ali Ahmad","Full-In"))))))</f>
        <v>0</v>
      </c>
      <c r="K405" s="39" t="e">
        <f aca="false">IFERROR(VLOOKUP(D405,'Brand manager data '!A:B,2,0))</f>
        <v>#VALUE!</v>
      </c>
      <c r="L405" s="13" t="n">
        <v>0</v>
      </c>
      <c r="M405" s="13" t="str">
        <v>Yes</v>
      </c>
      <c r="N405" s="22"/>
      <c r="Q405" s="40"/>
      <c r="R405" s="13" t="b">
        <f aca="false">FALSE()</f>
        <v>0</v>
      </c>
      <c r="S405" s="13" t="n">
        <v>0</v>
      </c>
      <c r="T405" s="13" t="n">
        <f aca="false">S405*F405</f>
        <v>0</v>
      </c>
      <c r="U405" s="13" t="n">
        <v>0</v>
      </c>
      <c r="V405" s="13" t="n">
        <v>0</v>
      </c>
    </row>
    <row r="406" customFormat="false" ht="15.75" hidden="false" customHeight="false" outlineLevel="0" collapsed="false">
      <c r="A406" s="13" t="n">
        <v>0</v>
      </c>
      <c r="B406" s="13" t="str">
        <v/>
      </c>
      <c r="C406" s="13" t="n">
        <v>0</v>
      </c>
      <c r="D406" s="13" t="n">
        <v>0</v>
      </c>
      <c r="E406" s="13" t="str">
        <v/>
      </c>
      <c r="F406" s="13" t="n">
        <v>0</v>
      </c>
      <c r="G406" s="13" t="n">
        <v>0</v>
      </c>
      <c r="H406" s="13" t="n">
        <v>0</v>
      </c>
      <c r="I406" s="13" t="n">
        <v>0</v>
      </c>
      <c r="J406" s="13" t="b">
        <f aca="false">IF(ISBLANK(I406),"", IF($I$2:$I1403 = "Gohar Rehan","Overnight",IF($I$2:$I1403 = "Taufeeq Akhtar ","Overnight",IF($I$2:$I1403 = "Zeeshan Ali Malik","Audit",IF($I$2:$I1403 = "Ali Raza ","Receiving",IF($I$2:$I1403 = "Ali Ahmad","Full-In"))))))</f>
        <v>0</v>
      </c>
      <c r="K406" s="39" t="e">
        <f aca="false">IFERROR(VLOOKUP(D406,'Brand manager data '!A:B,2,0))</f>
        <v>#VALUE!</v>
      </c>
      <c r="L406" s="13" t="n">
        <v>0</v>
      </c>
      <c r="M406" s="13" t="str">
        <v>Yes</v>
      </c>
      <c r="N406" s="22"/>
      <c r="Q406" s="40"/>
      <c r="R406" s="13" t="b">
        <f aca="false">FALSE()</f>
        <v>0</v>
      </c>
      <c r="S406" s="13" t="n">
        <v>0</v>
      </c>
      <c r="T406" s="13" t="n">
        <f aca="false">S406*F406</f>
        <v>0</v>
      </c>
      <c r="U406" s="13" t="n">
        <v>0</v>
      </c>
      <c r="V406" s="13" t="n">
        <v>0</v>
      </c>
    </row>
    <row r="407" customFormat="false" ht="15.75" hidden="false" customHeight="false" outlineLevel="0" collapsed="false">
      <c r="A407" s="13" t="n">
        <v>0</v>
      </c>
      <c r="B407" s="13" t="str">
        <v/>
      </c>
      <c r="C407" s="13" t="n">
        <v>0</v>
      </c>
      <c r="D407" s="13" t="n">
        <v>0</v>
      </c>
      <c r="E407" s="13" t="str">
        <v/>
      </c>
      <c r="F407" s="13" t="n">
        <v>0</v>
      </c>
      <c r="G407" s="13" t="n">
        <v>0</v>
      </c>
      <c r="H407" s="13" t="n">
        <v>0</v>
      </c>
      <c r="I407" s="13" t="n">
        <v>0</v>
      </c>
      <c r="J407" s="13" t="b">
        <f aca="false">IF(ISBLANK(I407),"", IF($I$2:$I1404 = "Gohar Rehan","Overnight",IF($I$2:$I1404 = "Taufeeq Akhtar ","Overnight",IF($I$2:$I1404 = "Zeeshan Ali Malik","Audit",IF($I$2:$I1404 = "Ali Raza ","Receiving",IF($I$2:$I1404 = "Ali Ahmad","Full-In"))))))</f>
        <v>0</v>
      </c>
      <c r="K407" s="39" t="e">
        <f aca="false">IFERROR(VLOOKUP(D407,'Brand manager data '!A:B,2,0))</f>
        <v>#VALUE!</v>
      </c>
      <c r="L407" s="13" t="n">
        <v>0</v>
      </c>
      <c r="M407" s="13" t="str">
        <v>Yes</v>
      </c>
      <c r="N407" s="22"/>
      <c r="Q407" s="40"/>
      <c r="R407" s="13" t="b">
        <f aca="false">FALSE()</f>
        <v>0</v>
      </c>
      <c r="S407" s="13" t="n">
        <v>0</v>
      </c>
      <c r="T407" s="13" t="n">
        <f aca="false">S407*F407</f>
        <v>0</v>
      </c>
      <c r="U407" s="13" t="n">
        <v>0</v>
      </c>
      <c r="V407" s="13" t="n">
        <v>0</v>
      </c>
    </row>
    <row r="408" customFormat="false" ht="15.75" hidden="false" customHeight="false" outlineLevel="0" collapsed="false">
      <c r="A408" s="13" t="n">
        <v>0</v>
      </c>
      <c r="B408" s="13" t="str">
        <v/>
      </c>
      <c r="C408" s="13" t="n">
        <v>0</v>
      </c>
      <c r="D408" s="13" t="n">
        <v>0</v>
      </c>
      <c r="E408" s="13" t="str">
        <v/>
      </c>
      <c r="F408" s="13" t="n">
        <v>0</v>
      </c>
      <c r="G408" s="13" t="n">
        <v>0</v>
      </c>
      <c r="H408" s="13" t="n">
        <v>0</v>
      </c>
      <c r="I408" s="13" t="n">
        <v>0</v>
      </c>
      <c r="J408" s="13" t="b">
        <f aca="false">IF(ISBLANK(I408),"", IF($I$2:$I1405 = "Gohar Rehan","Overnight",IF($I$2:$I1405 = "Taufeeq Akhtar ","Overnight",IF($I$2:$I1405 = "Zeeshan Ali Malik","Audit",IF($I$2:$I1405 = "Ali Raza ","Receiving",IF($I$2:$I1405 = "Ali Ahmad","Full-In"))))))</f>
        <v>0</v>
      </c>
      <c r="K408" s="39" t="e">
        <f aca="false">IFERROR(VLOOKUP(D408,'Brand manager data '!A:B,2,0))</f>
        <v>#VALUE!</v>
      </c>
      <c r="L408" s="13" t="n">
        <v>0</v>
      </c>
      <c r="M408" s="13" t="str">
        <v>Yes</v>
      </c>
      <c r="N408" s="22"/>
      <c r="Q408" s="40"/>
      <c r="R408" s="13" t="b">
        <f aca="false">FALSE()</f>
        <v>0</v>
      </c>
      <c r="S408" s="13" t="n">
        <v>0</v>
      </c>
      <c r="T408" s="13" t="n">
        <f aca="false">S408*F408</f>
        <v>0</v>
      </c>
      <c r="U408" s="13" t="n">
        <v>0</v>
      </c>
      <c r="V408" s="13" t="n">
        <v>0</v>
      </c>
    </row>
    <row r="409" customFormat="false" ht="15.75" hidden="false" customHeight="false" outlineLevel="0" collapsed="false">
      <c r="A409" s="13" t="n">
        <v>0</v>
      </c>
      <c r="B409" s="13" t="str">
        <v/>
      </c>
      <c r="C409" s="13" t="n">
        <v>0</v>
      </c>
      <c r="D409" s="13" t="n">
        <v>0</v>
      </c>
      <c r="E409" s="13" t="str">
        <v/>
      </c>
      <c r="F409" s="13" t="n">
        <v>0</v>
      </c>
      <c r="G409" s="13" t="n">
        <v>0</v>
      </c>
      <c r="H409" s="13" t="n">
        <v>0</v>
      </c>
      <c r="I409" s="13" t="n">
        <v>0</v>
      </c>
      <c r="J409" s="13" t="b">
        <f aca="false">IF(ISBLANK(I409),"", IF($I$2:$I1406 = "Gohar Rehan","Overnight",IF($I$2:$I1406 = "Taufeeq Akhtar ","Overnight",IF($I$2:$I1406 = "Zeeshan Ali Malik","Audit",IF($I$2:$I1406 = "Ali Raza ","Receiving",IF($I$2:$I1406 = "Ali Ahmad","Full-In"))))))</f>
        <v>0</v>
      </c>
      <c r="K409" s="39" t="e">
        <f aca="false">IFERROR(VLOOKUP(D409,'Brand manager data '!A:B,2,0))</f>
        <v>#VALUE!</v>
      </c>
      <c r="L409" s="13" t="n">
        <v>0</v>
      </c>
      <c r="M409" s="13" t="str">
        <v>Yes</v>
      </c>
      <c r="N409" s="22"/>
      <c r="Q409" s="40"/>
      <c r="R409" s="13" t="b">
        <f aca="false">FALSE()</f>
        <v>0</v>
      </c>
      <c r="S409" s="13" t="n">
        <v>0</v>
      </c>
      <c r="T409" s="13" t="n">
        <f aca="false">S409*F409</f>
        <v>0</v>
      </c>
      <c r="U409" s="13" t="n">
        <v>0</v>
      </c>
      <c r="V409" s="13" t="n">
        <v>0</v>
      </c>
    </row>
    <row r="410" customFormat="false" ht="15.75" hidden="false" customHeight="false" outlineLevel="0" collapsed="false">
      <c r="A410" s="13" t="n">
        <v>0</v>
      </c>
      <c r="B410" s="13" t="str">
        <v/>
      </c>
      <c r="C410" s="13" t="n">
        <v>0</v>
      </c>
      <c r="D410" s="13" t="n">
        <v>0</v>
      </c>
      <c r="E410" s="13" t="str">
        <v/>
      </c>
      <c r="F410" s="13" t="n">
        <v>0</v>
      </c>
      <c r="G410" s="13" t="n">
        <v>0</v>
      </c>
      <c r="H410" s="13" t="n">
        <v>0</v>
      </c>
      <c r="I410" s="13" t="n">
        <v>0</v>
      </c>
      <c r="J410" s="13" t="b">
        <f aca="false">IF(ISBLANK(I410),"", IF($I$2:$I1407 = "Gohar Rehan","Overnight",IF($I$2:$I1407 = "Taufeeq Akhtar ","Overnight",IF($I$2:$I1407 = "Zeeshan Ali Malik","Audit",IF($I$2:$I1407 = "Ali Raza ","Receiving",IF($I$2:$I1407 = "Ali Ahmad","Full-In"))))))</f>
        <v>0</v>
      </c>
      <c r="K410" s="39" t="e">
        <f aca="false">IFERROR(VLOOKUP(D410,'Brand manager data '!A:B,2,0))</f>
        <v>#VALUE!</v>
      </c>
      <c r="L410" s="13" t="n">
        <v>0</v>
      </c>
      <c r="M410" s="13" t="str">
        <v>Yes</v>
      </c>
      <c r="N410" s="22"/>
      <c r="Q410" s="40"/>
      <c r="R410" s="13" t="b">
        <f aca="false">FALSE()</f>
        <v>0</v>
      </c>
      <c r="S410" s="13" t="n">
        <v>0</v>
      </c>
      <c r="T410" s="13" t="n">
        <f aca="false">S410*F410</f>
        <v>0</v>
      </c>
      <c r="U410" s="13" t="n">
        <v>0</v>
      </c>
      <c r="V410" s="13" t="n">
        <v>0</v>
      </c>
    </row>
    <row r="411" customFormat="false" ht="15.75" hidden="false" customHeight="false" outlineLevel="0" collapsed="false">
      <c r="A411" s="13" t="n">
        <v>0</v>
      </c>
      <c r="B411" s="13" t="str">
        <v/>
      </c>
      <c r="C411" s="13" t="n">
        <v>0</v>
      </c>
      <c r="D411" s="13" t="n">
        <v>0</v>
      </c>
      <c r="E411" s="13" t="str">
        <v/>
      </c>
      <c r="F411" s="13" t="n">
        <v>0</v>
      </c>
      <c r="G411" s="13" t="n">
        <v>0</v>
      </c>
      <c r="H411" s="13" t="n">
        <v>0</v>
      </c>
      <c r="I411" s="13" t="n">
        <v>0</v>
      </c>
      <c r="J411" s="13" t="b">
        <f aca="false">IF(ISBLANK(I411),"", IF($I$2:$I1408 = "Gohar Rehan","Overnight",IF($I$2:$I1408 = "Taufeeq Akhtar ","Overnight",IF($I$2:$I1408 = "Zeeshan Ali Malik","Audit",IF($I$2:$I1408 = "Ali Raza ","Receiving",IF($I$2:$I1408 = "Ali Ahmad","Full-In"))))))</f>
        <v>0</v>
      </c>
      <c r="K411" s="39" t="e">
        <f aca="false">IFERROR(VLOOKUP(D411,'Brand manager data '!A:B,2,0))</f>
        <v>#VALUE!</v>
      </c>
      <c r="L411" s="13" t="n">
        <v>0</v>
      </c>
      <c r="M411" s="13" t="str">
        <v>Yes</v>
      </c>
      <c r="N411" s="22"/>
      <c r="Q411" s="40"/>
      <c r="R411" s="13" t="b">
        <f aca="false">FALSE()</f>
        <v>0</v>
      </c>
      <c r="S411" s="13" t="n">
        <v>0</v>
      </c>
      <c r="T411" s="13" t="n">
        <f aca="false">S411*F411</f>
        <v>0</v>
      </c>
      <c r="U411" s="13" t="n">
        <v>0</v>
      </c>
      <c r="V411" s="13" t="n">
        <v>0</v>
      </c>
    </row>
    <row r="412" customFormat="false" ht="15.75" hidden="false" customHeight="false" outlineLevel="0" collapsed="false">
      <c r="A412" s="13" t="n">
        <v>0</v>
      </c>
      <c r="B412" s="13" t="str">
        <v/>
      </c>
      <c r="C412" s="13" t="n">
        <v>0</v>
      </c>
      <c r="D412" s="13" t="n">
        <v>0</v>
      </c>
      <c r="E412" s="13" t="str">
        <v/>
      </c>
      <c r="F412" s="13" t="n">
        <v>0</v>
      </c>
      <c r="G412" s="13" t="n">
        <v>0</v>
      </c>
      <c r="H412" s="13" t="n">
        <v>0</v>
      </c>
      <c r="I412" s="13" t="n">
        <v>0</v>
      </c>
      <c r="J412" s="13" t="b">
        <f aca="false">IF(ISBLANK(I412),"", IF($I$2:$I1409 = "Gohar Rehan","Overnight",IF($I$2:$I1409 = "Taufeeq Akhtar ","Overnight",IF($I$2:$I1409 = "Zeeshan Ali Malik","Audit",IF($I$2:$I1409 = "Ali Raza ","Receiving",IF($I$2:$I1409 = "Ali Ahmad","Full-In"))))))</f>
        <v>0</v>
      </c>
      <c r="K412" s="39" t="e">
        <f aca="false">IFERROR(VLOOKUP(D412,'Brand manager data '!A:B,2,0))</f>
        <v>#VALUE!</v>
      </c>
      <c r="L412" s="13" t="n">
        <v>0</v>
      </c>
      <c r="M412" s="13" t="str">
        <v>Yes</v>
      </c>
      <c r="N412" s="22"/>
      <c r="Q412" s="40"/>
      <c r="R412" s="13" t="b">
        <f aca="false">FALSE()</f>
        <v>0</v>
      </c>
      <c r="S412" s="13" t="n">
        <v>0</v>
      </c>
      <c r="T412" s="13" t="n">
        <f aca="false">S412*F412</f>
        <v>0</v>
      </c>
      <c r="U412" s="13" t="n">
        <v>0</v>
      </c>
      <c r="V412" s="13" t="n">
        <v>0</v>
      </c>
    </row>
    <row r="413" customFormat="false" ht="15.75" hidden="false" customHeight="false" outlineLevel="0" collapsed="false">
      <c r="A413" s="13" t="n">
        <v>0</v>
      </c>
      <c r="B413" s="13" t="str">
        <v/>
      </c>
      <c r="C413" s="13" t="n">
        <v>0</v>
      </c>
      <c r="D413" s="13" t="n">
        <v>0</v>
      </c>
      <c r="E413" s="13" t="str">
        <v/>
      </c>
      <c r="F413" s="13" t="n">
        <v>0</v>
      </c>
      <c r="G413" s="13" t="n">
        <v>0</v>
      </c>
      <c r="H413" s="13" t="n">
        <v>0</v>
      </c>
      <c r="I413" s="13" t="n">
        <v>0</v>
      </c>
      <c r="J413" s="13" t="b">
        <f aca="false">IF(ISBLANK(I413),"", IF($I$2:$I1410 = "Gohar Rehan","Overnight",IF($I$2:$I1410 = "Taufeeq Akhtar ","Overnight",IF($I$2:$I1410 = "Zeeshan Ali Malik","Audit",IF($I$2:$I1410 = "Ali Raza ","Receiving",IF($I$2:$I1410 = "Ali Ahmad","Full-In"))))))</f>
        <v>0</v>
      </c>
      <c r="K413" s="39" t="e">
        <f aca="false">IFERROR(VLOOKUP(D413,'Brand manager data '!A:B,2,0))</f>
        <v>#VALUE!</v>
      </c>
      <c r="L413" s="13" t="n">
        <v>0</v>
      </c>
      <c r="M413" s="13" t="str">
        <v>Yes</v>
      </c>
      <c r="N413" s="22"/>
      <c r="Q413" s="40"/>
      <c r="R413" s="13" t="b">
        <f aca="false">FALSE()</f>
        <v>0</v>
      </c>
      <c r="S413" s="13" t="n">
        <v>0</v>
      </c>
      <c r="T413" s="13" t="n">
        <f aca="false">S413*F413</f>
        <v>0</v>
      </c>
      <c r="U413" s="13" t="n">
        <v>0</v>
      </c>
      <c r="V413" s="13" t="n">
        <v>0</v>
      </c>
    </row>
    <row r="414" customFormat="false" ht="15.75" hidden="false" customHeight="false" outlineLevel="0" collapsed="false">
      <c r="A414" s="13" t="n">
        <v>0</v>
      </c>
      <c r="B414" s="13" t="str">
        <v/>
      </c>
      <c r="C414" s="13" t="n">
        <v>0</v>
      </c>
      <c r="D414" s="13" t="n">
        <v>0</v>
      </c>
      <c r="E414" s="13" t="str">
        <v/>
      </c>
      <c r="F414" s="13" t="n">
        <v>0</v>
      </c>
      <c r="G414" s="13" t="n">
        <v>0</v>
      </c>
      <c r="H414" s="13" t="n">
        <v>0</v>
      </c>
      <c r="I414" s="13" t="n">
        <v>0</v>
      </c>
      <c r="J414" s="13" t="b">
        <f aca="false">IF(ISBLANK(I414),"", IF($I$2:$I1411 = "Gohar Rehan","Overnight",IF($I$2:$I1411 = "Taufeeq Akhtar ","Overnight",IF($I$2:$I1411 = "Zeeshan Ali Malik","Audit",IF($I$2:$I1411 = "Ali Raza ","Receiving",IF($I$2:$I1411 = "Ali Ahmad","Full-In"))))))</f>
        <v>0</v>
      </c>
      <c r="K414" s="39" t="e">
        <f aca="false">IFERROR(VLOOKUP(D414,'Brand manager data '!A:B,2,0))</f>
        <v>#VALUE!</v>
      </c>
      <c r="L414" s="13" t="n">
        <v>0</v>
      </c>
      <c r="M414" s="13" t="str">
        <v>Yes</v>
      </c>
      <c r="N414" s="22"/>
      <c r="Q414" s="40"/>
      <c r="R414" s="13" t="b">
        <f aca="false">FALSE()</f>
        <v>0</v>
      </c>
      <c r="S414" s="13" t="n">
        <v>0</v>
      </c>
      <c r="T414" s="13" t="n">
        <f aca="false">S414*F414</f>
        <v>0</v>
      </c>
      <c r="U414" s="13" t="n">
        <v>0</v>
      </c>
      <c r="V414" s="13" t="n">
        <v>0</v>
      </c>
    </row>
    <row r="415" customFormat="false" ht="15.75" hidden="false" customHeight="false" outlineLevel="0" collapsed="false">
      <c r="A415" s="13" t="n">
        <v>0</v>
      </c>
      <c r="B415" s="13" t="str">
        <v/>
      </c>
      <c r="C415" s="13" t="n">
        <v>0</v>
      </c>
      <c r="D415" s="13" t="n">
        <v>0</v>
      </c>
      <c r="E415" s="13" t="str">
        <v/>
      </c>
      <c r="F415" s="13" t="n">
        <v>0</v>
      </c>
      <c r="G415" s="13" t="n">
        <v>0</v>
      </c>
      <c r="H415" s="13" t="n">
        <v>0</v>
      </c>
      <c r="I415" s="13" t="n">
        <v>0</v>
      </c>
      <c r="J415" s="13" t="b">
        <f aca="false">IF(ISBLANK(I415),"", IF($I$2:$I1412 = "Gohar Rehan","Overnight",IF($I$2:$I1412 = "Taufeeq Akhtar ","Overnight",IF($I$2:$I1412 = "Zeeshan Ali Malik","Audit",IF($I$2:$I1412 = "Ali Raza ","Receiving",IF($I$2:$I1412 = "Ali Ahmad","Full-In"))))))</f>
        <v>0</v>
      </c>
      <c r="K415" s="39" t="e">
        <f aca="false">IFERROR(VLOOKUP(D415,'Brand manager data '!A:B,2,0))</f>
        <v>#VALUE!</v>
      </c>
      <c r="L415" s="13" t="n">
        <v>0</v>
      </c>
      <c r="M415" s="13" t="str">
        <v>Yes</v>
      </c>
      <c r="N415" s="22"/>
      <c r="Q415" s="40"/>
      <c r="R415" s="13" t="b">
        <f aca="false">FALSE()</f>
        <v>0</v>
      </c>
      <c r="S415" s="13" t="n">
        <v>0</v>
      </c>
      <c r="T415" s="13" t="n">
        <f aca="false">S415*F415</f>
        <v>0</v>
      </c>
      <c r="U415" s="13" t="n">
        <v>0</v>
      </c>
      <c r="V415" s="13" t="n">
        <v>0</v>
      </c>
    </row>
    <row r="416" customFormat="false" ht="15.75" hidden="false" customHeight="false" outlineLevel="0" collapsed="false">
      <c r="A416" s="13" t="n">
        <v>0</v>
      </c>
      <c r="B416" s="13" t="str">
        <v/>
      </c>
      <c r="C416" s="13" t="n">
        <v>0</v>
      </c>
      <c r="D416" s="13" t="n">
        <v>0</v>
      </c>
      <c r="E416" s="13" t="str">
        <v/>
      </c>
      <c r="F416" s="13" t="n">
        <v>0</v>
      </c>
      <c r="G416" s="13" t="n">
        <v>0</v>
      </c>
      <c r="H416" s="13" t="n">
        <v>0</v>
      </c>
      <c r="I416" s="13" t="n">
        <v>0</v>
      </c>
      <c r="J416" s="13" t="b">
        <f aca="false">IF(ISBLANK(I416),"", IF($I$2:$I1413 = "Gohar Rehan","Overnight",IF($I$2:$I1413 = "Taufeeq Akhtar ","Overnight",IF($I$2:$I1413 = "Zeeshan Ali Malik","Audit",IF($I$2:$I1413 = "Ali Raza ","Receiving",IF($I$2:$I1413 = "Ali Ahmad","Full-In"))))))</f>
        <v>0</v>
      </c>
      <c r="K416" s="39" t="e">
        <f aca="false">IFERROR(VLOOKUP(D416,'Brand manager data '!A:B,2,0))</f>
        <v>#VALUE!</v>
      </c>
      <c r="L416" s="13" t="n">
        <v>0</v>
      </c>
      <c r="M416" s="13" t="str">
        <v>Yes</v>
      </c>
      <c r="N416" s="22"/>
      <c r="Q416" s="40"/>
      <c r="R416" s="13" t="b">
        <f aca="false">FALSE()</f>
        <v>0</v>
      </c>
      <c r="S416" s="13" t="n">
        <v>0</v>
      </c>
      <c r="T416" s="13" t="n">
        <f aca="false">S416*F416</f>
        <v>0</v>
      </c>
      <c r="U416" s="13" t="n">
        <v>0</v>
      </c>
      <c r="V416" s="13" t="n">
        <v>0</v>
      </c>
    </row>
    <row r="417" customFormat="false" ht="15.75" hidden="false" customHeight="false" outlineLevel="0" collapsed="false">
      <c r="A417" s="13" t="n">
        <v>0</v>
      </c>
      <c r="B417" s="13" t="str">
        <v/>
      </c>
      <c r="C417" s="13" t="n">
        <v>0</v>
      </c>
      <c r="D417" s="13" t="n">
        <v>0</v>
      </c>
      <c r="E417" s="13" t="str">
        <v/>
      </c>
      <c r="F417" s="13" t="n">
        <v>0</v>
      </c>
      <c r="G417" s="13" t="n">
        <v>0</v>
      </c>
      <c r="H417" s="13" t="n">
        <v>0</v>
      </c>
      <c r="I417" s="13" t="n">
        <v>0</v>
      </c>
      <c r="J417" s="13" t="b">
        <f aca="false">IF(ISBLANK(I417),"", IF($I$2:$I1414 = "Gohar Rehan","Overnight",IF($I$2:$I1414 = "Taufeeq Akhtar ","Overnight",IF($I$2:$I1414 = "Zeeshan Ali Malik","Audit",IF($I$2:$I1414 = "Ali Raza ","Receiving",IF($I$2:$I1414 = "Ali Ahmad","Full-In"))))))</f>
        <v>0</v>
      </c>
      <c r="K417" s="39" t="e">
        <f aca="false">IFERROR(VLOOKUP(D417,'Brand manager data '!A:B,2,0))</f>
        <v>#VALUE!</v>
      </c>
      <c r="L417" s="13" t="n">
        <v>0</v>
      </c>
      <c r="M417" s="13" t="str">
        <v>Yes</v>
      </c>
      <c r="N417" s="22"/>
      <c r="Q417" s="40"/>
      <c r="R417" s="13" t="b">
        <f aca="false">FALSE()</f>
        <v>0</v>
      </c>
      <c r="S417" s="13" t="n">
        <v>0</v>
      </c>
      <c r="T417" s="13" t="n">
        <f aca="false">S417*F417</f>
        <v>0</v>
      </c>
      <c r="U417" s="13" t="n">
        <v>0</v>
      </c>
      <c r="V417" s="13" t="n">
        <v>0</v>
      </c>
    </row>
    <row r="418" customFormat="false" ht="15.75" hidden="false" customHeight="false" outlineLevel="0" collapsed="false">
      <c r="A418" s="13" t="n">
        <v>0</v>
      </c>
      <c r="B418" s="13" t="str">
        <v/>
      </c>
      <c r="C418" s="13" t="n">
        <v>0</v>
      </c>
      <c r="D418" s="13" t="n">
        <v>0</v>
      </c>
      <c r="E418" s="13" t="str">
        <v/>
      </c>
      <c r="F418" s="13" t="n">
        <v>0</v>
      </c>
      <c r="G418" s="13" t="n">
        <v>0</v>
      </c>
      <c r="H418" s="13" t="n">
        <v>0</v>
      </c>
      <c r="I418" s="13" t="n">
        <v>0</v>
      </c>
      <c r="J418" s="13" t="b">
        <f aca="false">IF(ISBLANK(I418),"", IF($I$2:$I1415 = "Gohar Rehan","Overnight",IF($I$2:$I1415 = "Taufeeq Akhtar ","Overnight",IF($I$2:$I1415 = "Zeeshan Ali Malik","Audit",IF($I$2:$I1415 = "Ali Raza ","Receiving",IF($I$2:$I1415 = "Ali Ahmad","Full-In"))))))</f>
        <v>0</v>
      </c>
      <c r="K418" s="39" t="e">
        <f aca="false">IFERROR(VLOOKUP(D418,'Brand manager data '!A:B,2,0))</f>
        <v>#VALUE!</v>
      </c>
      <c r="L418" s="13" t="n">
        <v>0</v>
      </c>
      <c r="M418" s="13" t="str">
        <v>Yes</v>
      </c>
      <c r="N418" s="22"/>
      <c r="Q418" s="40"/>
      <c r="R418" s="13" t="b">
        <f aca="false">FALSE()</f>
        <v>0</v>
      </c>
      <c r="S418" s="13" t="n">
        <v>0</v>
      </c>
      <c r="T418" s="13" t="n">
        <f aca="false">S418*F418</f>
        <v>0</v>
      </c>
      <c r="U418" s="13" t="n">
        <v>0</v>
      </c>
      <c r="V418" s="13" t="n">
        <v>0</v>
      </c>
    </row>
    <row r="419" customFormat="false" ht="15.75" hidden="false" customHeight="false" outlineLevel="0" collapsed="false">
      <c r="A419" s="13" t="n">
        <v>0</v>
      </c>
      <c r="B419" s="13" t="str">
        <v/>
      </c>
      <c r="C419" s="13" t="n">
        <v>0</v>
      </c>
      <c r="D419" s="13" t="n">
        <v>0</v>
      </c>
      <c r="E419" s="13" t="str">
        <v/>
      </c>
      <c r="F419" s="13" t="n">
        <v>0</v>
      </c>
      <c r="G419" s="13" t="n">
        <v>0</v>
      </c>
      <c r="H419" s="13" t="n">
        <v>0</v>
      </c>
      <c r="I419" s="13" t="n">
        <v>0</v>
      </c>
      <c r="J419" s="13" t="b">
        <f aca="false">IF(ISBLANK(I419),"", IF($I$2:$I1416 = "Gohar Rehan","Overnight",IF($I$2:$I1416 = "Taufeeq Akhtar ","Overnight",IF($I$2:$I1416 = "Zeeshan Ali Malik","Audit",IF($I$2:$I1416 = "Ali Raza ","Receiving",IF($I$2:$I1416 = "Ali Ahmad","Full-In"))))))</f>
        <v>0</v>
      </c>
      <c r="K419" s="39" t="e">
        <f aca="false">IFERROR(VLOOKUP(D419,'Brand manager data '!A:B,2,0))</f>
        <v>#VALUE!</v>
      </c>
      <c r="L419" s="13" t="n">
        <v>0</v>
      </c>
      <c r="M419" s="13" t="str">
        <v>Yes</v>
      </c>
      <c r="N419" s="22"/>
      <c r="Q419" s="40"/>
      <c r="R419" s="13" t="b">
        <f aca="false">FALSE()</f>
        <v>0</v>
      </c>
      <c r="S419" s="13" t="n">
        <v>0</v>
      </c>
      <c r="T419" s="13" t="n">
        <f aca="false">S419*F419</f>
        <v>0</v>
      </c>
      <c r="U419" s="13" t="n">
        <v>0</v>
      </c>
      <c r="V419" s="13" t="n">
        <v>0</v>
      </c>
    </row>
    <row r="420" customFormat="false" ht="15.75" hidden="false" customHeight="false" outlineLevel="0" collapsed="false">
      <c r="A420" s="13" t="n">
        <v>0</v>
      </c>
      <c r="B420" s="13" t="str">
        <v/>
      </c>
      <c r="C420" s="13" t="n">
        <v>0</v>
      </c>
      <c r="D420" s="13" t="n">
        <v>0</v>
      </c>
      <c r="E420" s="13" t="str">
        <v/>
      </c>
      <c r="F420" s="13" t="n">
        <v>0</v>
      </c>
      <c r="G420" s="13" t="n">
        <v>0</v>
      </c>
      <c r="H420" s="13" t="n">
        <v>0</v>
      </c>
      <c r="I420" s="13" t="n">
        <v>0</v>
      </c>
      <c r="J420" s="13" t="b">
        <f aca="false">IF(ISBLANK(I420),"", IF($I$2:$I1417 = "Gohar Rehan","Overnight",IF($I$2:$I1417 = "Taufeeq Akhtar ","Overnight",IF($I$2:$I1417 = "Zeeshan Ali Malik","Audit",IF($I$2:$I1417 = "Ali Raza ","Receiving",IF($I$2:$I1417 = "Ali Ahmad","Full-In"))))))</f>
        <v>0</v>
      </c>
      <c r="K420" s="39" t="e">
        <f aca="false">IFERROR(VLOOKUP(D420,'Brand manager data '!A:B,2,0))</f>
        <v>#VALUE!</v>
      </c>
      <c r="L420" s="13" t="n">
        <v>0</v>
      </c>
      <c r="M420" s="13" t="str">
        <v>Yes</v>
      </c>
      <c r="N420" s="22"/>
      <c r="Q420" s="40"/>
      <c r="R420" s="13" t="b">
        <f aca="false">FALSE()</f>
        <v>0</v>
      </c>
      <c r="S420" s="13" t="n">
        <v>0</v>
      </c>
      <c r="T420" s="13" t="n">
        <f aca="false">S420*F420</f>
        <v>0</v>
      </c>
      <c r="U420" s="13" t="n">
        <v>0</v>
      </c>
      <c r="V420" s="13" t="n">
        <v>0</v>
      </c>
    </row>
    <row r="421" customFormat="false" ht="15.75" hidden="false" customHeight="false" outlineLevel="0" collapsed="false">
      <c r="A421" s="13" t="n">
        <v>0</v>
      </c>
      <c r="B421" s="13" t="str">
        <v/>
      </c>
      <c r="C421" s="13" t="n">
        <v>0</v>
      </c>
      <c r="D421" s="13" t="n">
        <v>0</v>
      </c>
      <c r="E421" s="13" t="str">
        <v/>
      </c>
      <c r="F421" s="13" t="n">
        <v>0</v>
      </c>
      <c r="G421" s="13" t="n">
        <v>0</v>
      </c>
      <c r="H421" s="13" t="n">
        <v>0</v>
      </c>
      <c r="I421" s="13" t="n">
        <v>0</v>
      </c>
      <c r="J421" s="13" t="b">
        <f aca="false">IF(ISBLANK(I421),"", IF($I$2:$I1418 = "Gohar Rehan","Overnight",IF($I$2:$I1418 = "Taufeeq Akhtar ","Overnight",IF($I$2:$I1418 = "Zeeshan Ali Malik","Audit",IF($I$2:$I1418 = "Ali Raza ","Receiving",IF($I$2:$I1418 = "Ali Ahmad","Full-In"))))))</f>
        <v>0</v>
      </c>
      <c r="K421" s="39" t="e">
        <f aca="false">IFERROR(VLOOKUP(D421,'Brand manager data '!A:B,2,0))</f>
        <v>#VALUE!</v>
      </c>
      <c r="L421" s="13" t="n">
        <v>0</v>
      </c>
      <c r="M421" s="13" t="str">
        <v>Yes</v>
      </c>
      <c r="N421" s="22"/>
      <c r="Q421" s="40"/>
      <c r="R421" s="13" t="b">
        <f aca="false">FALSE()</f>
        <v>0</v>
      </c>
      <c r="S421" s="13" t="n">
        <v>0</v>
      </c>
      <c r="T421" s="13" t="n">
        <f aca="false">S421*F421</f>
        <v>0</v>
      </c>
      <c r="U421" s="13" t="n">
        <v>0</v>
      </c>
      <c r="V421" s="13" t="n">
        <v>0</v>
      </c>
    </row>
    <row r="422" customFormat="false" ht="15.75" hidden="false" customHeight="false" outlineLevel="0" collapsed="false">
      <c r="A422" s="13" t="n">
        <v>0</v>
      </c>
      <c r="B422" s="13" t="str">
        <v/>
      </c>
      <c r="C422" s="13" t="n">
        <v>0</v>
      </c>
      <c r="D422" s="13" t="n">
        <v>0</v>
      </c>
      <c r="E422" s="13" t="str">
        <v/>
      </c>
      <c r="F422" s="13" t="n">
        <v>0</v>
      </c>
      <c r="G422" s="13" t="n">
        <v>0</v>
      </c>
      <c r="H422" s="13" t="n">
        <v>0</v>
      </c>
      <c r="I422" s="13" t="n">
        <v>0</v>
      </c>
      <c r="J422" s="13" t="b">
        <f aca="false">IF(ISBLANK(I422),"", IF($I$2:$I1419 = "Gohar Rehan","Overnight",IF($I$2:$I1419 = "Taufeeq Akhtar ","Overnight",IF($I$2:$I1419 = "Zeeshan Ali Malik","Audit",IF($I$2:$I1419 = "Ali Raza ","Receiving",IF($I$2:$I1419 = "Ali Ahmad","Full-In"))))))</f>
        <v>0</v>
      </c>
      <c r="K422" s="39" t="e">
        <f aca="false">IFERROR(VLOOKUP(D422,'Brand manager data '!A:B,2,0))</f>
        <v>#VALUE!</v>
      </c>
      <c r="L422" s="13" t="n">
        <v>0</v>
      </c>
      <c r="M422" s="13" t="str">
        <v>Yes</v>
      </c>
      <c r="N422" s="22"/>
      <c r="Q422" s="40"/>
      <c r="R422" s="13" t="b">
        <f aca="false">FALSE()</f>
        <v>0</v>
      </c>
      <c r="S422" s="13" t="n">
        <v>0</v>
      </c>
      <c r="T422" s="13" t="n">
        <f aca="false">S422*F422</f>
        <v>0</v>
      </c>
      <c r="U422" s="13" t="n">
        <v>0</v>
      </c>
      <c r="V422" s="13" t="n">
        <v>0</v>
      </c>
    </row>
    <row r="423" customFormat="false" ht="15.75" hidden="false" customHeight="false" outlineLevel="0" collapsed="false">
      <c r="A423" s="13" t="n">
        <v>0</v>
      </c>
      <c r="B423" s="13" t="str">
        <v/>
      </c>
      <c r="C423" s="13" t="n">
        <v>0</v>
      </c>
      <c r="D423" s="13" t="n">
        <v>0</v>
      </c>
      <c r="E423" s="13" t="str">
        <v/>
      </c>
      <c r="F423" s="13" t="n">
        <v>0</v>
      </c>
      <c r="G423" s="13" t="n">
        <v>0</v>
      </c>
      <c r="H423" s="13" t="n">
        <v>0</v>
      </c>
      <c r="I423" s="13" t="n">
        <v>0</v>
      </c>
      <c r="J423" s="13" t="b">
        <f aca="false">IF(ISBLANK(I423),"", IF($I$2:$I1420 = "Gohar Rehan","Overnight",IF($I$2:$I1420 = "Taufeeq Akhtar ","Overnight",IF($I$2:$I1420 = "Zeeshan Ali Malik","Audit",IF($I$2:$I1420 = "Ali Raza ","Receiving",IF($I$2:$I1420 = "Ali Ahmad","Full-In"))))))</f>
        <v>0</v>
      </c>
      <c r="K423" s="39" t="e">
        <f aca="false">IFERROR(VLOOKUP(D423,'Brand manager data '!A:B,2,0))</f>
        <v>#VALUE!</v>
      </c>
      <c r="L423" s="13" t="n">
        <v>0</v>
      </c>
      <c r="M423" s="13" t="str">
        <v>Yes</v>
      </c>
      <c r="N423" s="22"/>
      <c r="Q423" s="40"/>
      <c r="R423" s="13" t="b">
        <f aca="false">FALSE()</f>
        <v>0</v>
      </c>
      <c r="S423" s="13" t="n">
        <v>0</v>
      </c>
      <c r="T423" s="13" t="n">
        <f aca="false">S423*F423</f>
        <v>0</v>
      </c>
      <c r="U423" s="13" t="n">
        <v>0</v>
      </c>
      <c r="V423" s="13" t="n">
        <v>0</v>
      </c>
    </row>
    <row r="424" customFormat="false" ht="15.75" hidden="false" customHeight="false" outlineLevel="0" collapsed="false">
      <c r="A424" s="13" t="n">
        <v>0</v>
      </c>
      <c r="B424" s="13" t="str">
        <v/>
      </c>
      <c r="C424" s="13" t="n">
        <v>0</v>
      </c>
      <c r="D424" s="13" t="n">
        <v>0</v>
      </c>
      <c r="E424" s="13" t="str">
        <v/>
      </c>
      <c r="F424" s="13" t="n">
        <v>0</v>
      </c>
      <c r="G424" s="13" t="n">
        <v>0</v>
      </c>
      <c r="H424" s="13" t="n">
        <v>0</v>
      </c>
      <c r="I424" s="13" t="n">
        <v>0</v>
      </c>
      <c r="J424" s="13" t="b">
        <f aca="false">IF(ISBLANK(I424),"", IF($I$2:$I1421 = "Gohar Rehan","Overnight",IF($I$2:$I1421 = "Taufeeq Akhtar ","Overnight",IF($I$2:$I1421 = "Zeeshan Ali Malik","Audit",IF($I$2:$I1421 = "Ali Raza ","Receiving",IF($I$2:$I1421 = "Ali Ahmad","Full-In"))))))</f>
        <v>0</v>
      </c>
      <c r="K424" s="39" t="e">
        <f aca="false">IFERROR(VLOOKUP(D424,'Brand manager data '!A:B,2,0))</f>
        <v>#VALUE!</v>
      </c>
      <c r="L424" s="13" t="n">
        <v>0</v>
      </c>
      <c r="M424" s="13" t="str">
        <v>Yes</v>
      </c>
      <c r="N424" s="22"/>
      <c r="Q424" s="40"/>
      <c r="R424" s="13" t="b">
        <f aca="false">FALSE()</f>
        <v>0</v>
      </c>
      <c r="S424" s="13" t="n">
        <v>0</v>
      </c>
      <c r="T424" s="13" t="n">
        <f aca="false">S424*F424</f>
        <v>0</v>
      </c>
      <c r="U424" s="13" t="n">
        <v>0</v>
      </c>
      <c r="V424" s="13" t="n">
        <v>0</v>
      </c>
    </row>
    <row r="425" customFormat="false" ht="15.75" hidden="false" customHeight="false" outlineLevel="0" collapsed="false">
      <c r="A425" s="13" t="n">
        <v>0</v>
      </c>
      <c r="B425" s="13" t="str">
        <v/>
      </c>
      <c r="C425" s="13" t="n">
        <v>0</v>
      </c>
      <c r="D425" s="13" t="n">
        <v>0</v>
      </c>
      <c r="E425" s="13" t="str">
        <v/>
      </c>
      <c r="F425" s="13" t="n">
        <v>0</v>
      </c>
      <c r="G425" s="13" t="n">
        <v>0</v>
      </c>
      <c r="H425" s="13" t="n">
        <v>0</v>
      </c>
      <c r="I425" s="13" t="n">
        <v>0</v>
      </c>
      <c r="J425" s="13" t="b">
        <f aca="false">IF(ISBLANK(I425),"", IF($I$2:$I1422 = "Gohar Rehan","Overnight",IF($I$2:$I1422 = "Taufeeq Akhtar ","Overnight",IF($I$2:$I1422 = "Zeeshan Ali Malik","Audit",IF($I$2:$I1422 = "Ali Raza ","Receiving",IF($I$2:$I1422 = "Ali Ahmad","Full-In"))))))</f>
        <v>0</v>
      </c>
      <c r="K425" s="39" t="e">
        <f aca="false">IFERROR(VLOOKUP(D425,'Brand manager data '!A:B,2,0))</f>
        <v>#VALUE!</v>
      </c>
      <c r="L425" s="13" t="n">
        <v>0</v>
      </c>
      <c r="M425" s="13" t="str">
        <v>Yes</v>
      </c>
      <c r="N425" s="22"/>
      <c r="Q425" s="40"/>
      <c r="R425" s="13" t="b">
        <f aca="false">FALSE()</f>
        <v>0</v>
      </c>
      <c r="S425" s="13" t="n">
        <v>0</v>
      </c>
      <c r="T425" s="13" t="n">
        <f aca="false">S425*F425</f>
        <v>0</v>
      </c>
      <c r="U425" s="13" t="n">
        <v>0</v>
      </c>
      <c r="V425" s="13" t="n">
        <v>0</v>
      </c>
    </row>
    <row r="426" customFormat="false" ht="15.75" hidden="false" customHeight="false" outlineLevel="0" collapsed="false">
      <c r="A426" s="13" t="n">
        <v>0</v>
      </c>
      <c r="B426" s="13" t="str">
        <v/>
      </c>
      <c r="C426" s="13" t="n">
        <v>0</v>
      </c>
      <c r="D426" s="13" t="n">
        <v>0</v>
      </c>
      <c r="E426" s="13" t="str">
        <v/>
      </c>
      <c r="F426" s="13" t="n">
        <v>0</v>
      </c>
      <c r="G426" s="13" t="n">
        <v>0</v>
      </c>
      <c r="H426" s="13" t="n">
        <v>0</v>
      </c>
      <c r="I426" s="13" t="n">
        <v>0</v>
      </c>
      <c r="J426" s="13" t="b">
        <f aca="false">IF(ISBLANK(I426),"", IF($I$2:$I1423 = "Gohar Rehan","Overnight",IF($I$2:$I1423 = "Taufeeq Akhtar ","Overnight",IF($I$2:$I1423 = "Zeeshan Ali Malik","Audit",IF($I$2:$I1423 = "Ali Raza ","Receiving",IF($I$2:$I1423 = "Ali Ahmad","Full-In"))))))</f>
        <v>0</v>
      </c>
      <c r="K426" s="39" t="e">
        <f aca="false">IFERROR(VLOOKUP(D426,'Brand manager data '!A:B,2,0))</f>
        <v>#VALUE!</v>
      </c>
      <c r="L426" s="13" t="n">
        <v>0</v>
      </c>
      <c r="M426" s="13" t="str">
        <v>Yes</v>
      </c>
      <c r="N426" s="22"/>
      <c r="Q426" s="40"/>
      <c r="R426" s="13" t="b">
        <f aca="false">FALSE()</f>
        <v>0</v>
      </c>
      <c r="S426" s="13" t="n">
        <v>0</v>
      </c>
      <c r="T426" s="13" t="n">
        <f aca="false">S426*F426</f>
        <v>0</v>
      </c>
      <c r="U426" s="13" t="n">
        <v>0</v>
      </c>
      <c r="V426" s="13" t="n">
        <v>0</v>
      </c>
    </row>
    <row r="427" customFormat="false" ht="15.75" hidden="false" customHeight="false" outlineLevel="0" collapsed="false">
      <c r="A427" s="13" t="n">
        <v>0</v>
      </c>
      <c r="B427" s="13" t="str">
        <v/>
      </c>
      <c r="C427" s="13" t="n">
        <v>0</v>
      </c>
      <c r="D427" s="13" t="n">
        <v>0</v>
      </c>
      <c r="E427" s="13" t="str">
        <v/>
      </c>
      <c r="F427" s="13" t="n">
        <v>0</v>
      </c>
      <c r="G427" s="13" t="n">
        <v>0</v>
      </c>
      <c r="H427" s="13" t="n">
        <v>0</v>
      </c>
      <c r="I427" s="13" t="n">
        <v>0</v>
      </c>
      <c r="J427" s="13" t="b">
        <f aca="false">IF(ISBLANK(I427),"", IF($I$2:$I1424 = "Gohar Rehan","Overnight",IF($I$2:$I1424 = "Taufeeq Akhtar ","Overnight",IF($I$2:$I1424 = "Zeeshan Ali Malik","Audit",IF($I$2:$I1424 = "Ali Raza ","Receiving",IF($I$2:$I1424 = "Ali Ahmad","Full-In"))))))</f>
        <v>0</v>
      </c>
      <c r="K427" s="39" t="e">
        <f aca="false">IFERROR(VLOOKUP(D427,'Brand manager data '!A:B,2,0))</f>
        <v>#VALUE!</v>
      </c>
      <c r="L427" s="13" t="n">
        <v>0</v>
      </c>
      <c r="M427" s="13" t="str">
        <v>Yes</v>
      </c>
      <c r="N427" s="22"/>
      <c r="Q427" s="40"/>
      <c r="R427" s="13" t="b">
        <f aca="false">FALSE()</f>
        <v>0</v>
      </c>
      <c r="S427" s="13" t="n">
        <v>0</v>
      </c>
      <c r="T427" s="13" t="n">
        <f aca="false">S427*F427</f>
        <v>0</v>
      </c>
      <c r="U427" s="13" t="n">
        <v>0</v>
      </c>
      <c r="V427" s="13" t="n">
        <v>0</v>
      </c>
    </row>
    <row r="428" customFormat="false" ht="15.75" hidden="false" customHeight="false" outlineLevel="0" collapsed="false">
      <c r="A428" s="13" t="n">
        <v>0</v>
      </c>
      <c r="B428" s="13" t="str">
        <v/>
      </c>
      <c r="C428" s="13" t="n">
        <v>0</v>
      </c>
      <c r="D428" s="13" t="n">
        <v>0</v>
      </c>
      <c r="E428" s="13" t="str">
        <v/>
      </c>
      <c r="F428" s="13" t="n">
        <v>0</v>
      </c>
      <c r="G428" s="13" t="n">
        <v>0</v>
      </c>
      <c r="H428" s="13" t="n">
        <v>0</v>
      </c>
      <c r="I428" s="13" t="n">
        <v>0</v>
      </c>
      <c r="J428" s="13" t="b">
        <f aca="false">IF(ISBLANK(I428),"", IF($I$2:$I1425 = "Gohar Rehan","Overnight",IF($I$2:$I1425 = "Taufeeq Akhtar ","Overnight",IF($I$2:$I1425 = "Zeeshan Ali Malik","Audit",IF($I$2:$I1425 = "Ali Raza ","Receiving",IF($I$2:$I1425 = "Ali Ahmad","Full-In"))))))</f>
        <v>0</v>
      </c>
      <c r="K428" s="39" t="e">
        <f aca="false">IFERROR(VLOOKUP(D428,'Brand manager data '!A:B,2,0))</f>
        <v>#VALUE!</v>
      </c>
      <c r="L428" s="13" t="n">
        <v>0</v>
      </c>
      <c r="M428" s="13" t="str">
        <v>Yes</v>
      </c>
      <c r="N428" s="22"/>
      <c r="Q428" s="40"/>
      <c r="R428" s="13" t="b">
        <f aca="false">FALSE()</f>
        <v>0</v>
      </c>
      <c r="S428" s="13" t="n">
        <v>0</v>
      </c>
      <c r="T428" s="13" t="n">
        <f aca="false">S428*F428</f>
        <v>0</v>
      </c>
      <c r="U428" s="13" t="n">
        <v>0</v>
      </c>
      <c r="V428" s="13" t="n">
        <v>0</v>
      </c>
    </row>
    <row r="429" customFormat="false" ht="15.75" hidden="false" customHeight="false" outlineLevel="0" collapsed="false">
      <c r="A429" s="13" t="n">
        <v>0</v>
      </c>
      <c r="B429" s="13" t="str">
        <v/>
      </c>
      <c r="C429" s="13" t="n">
        <v>0</v>
      </c>
      <c r="D429" s="13" t="n">
        <v>0</v>
      </c>
      <c r="E429" s="13" t="str">
        <v/>
      </c>
      <c r="F429" s="13" t="n">
        <v>0</v>
      </c>
      <c r="G429" s="13" t="n">
        <v>0</v>
      </c>
      <c r="H429" s="13" t="n">
        <v>0</v>
      </c>
      <c r="I429" s="13" t="n">
        <v>0</v>
      </c>
      <c r="J429" s="13" t="b">
        <f aca="false">IF(ISBLANK(I429),"", IF($I$2:$I1426 = "Gohar Rehan","Overnight",IF($I$2:$I1426 = "Taufeeq Akhtar ","Overnight",IF($I$2:$I1426 = "Zeeshan Ali Malik","Audit",IF($I$2:$I1426 = "Ali Raza ","Receiving",IF($I$2:$I1426 = "Ali Ahmad","Full-In"))))))</f>
        <v>0</v>
      </c>
      <c r="K429" s="39" t="e">
        <f aca="false">IFERROR(VLOOKUP(D429,'Brand manager data '!A:B,2,0))</f>
        <v>#VALUE!</v>
      </c>
      <c r="L429" s="13" t="n">
        <v>0</v>
      </c>
      <c r="M429" s="13" t="str">
        <v>Yes</v>
      </c>
      <c r="N429" s="22"/>
      <c r="Q429" s="40"/>
      <c r="R429" s="13" t="b">
        <f aca="false">FALSE()</f>
        <v>0</v>
      </c>
      <c r="S429" s="13" t="n">
        <v>0</v>
      </c>
      <c r="T429" s="13" t="n">
        <f aca="false">S429*F429</f>
        <v>0</v>
      </c>
      <c r="U429" s="13" t="n">
        <v>0</v>
      </c>
      <c r="V429" s="13" t="n">
        <v>0</v>
      </c>
    </row>
    <row r="430" customFormat="false" ht="15.75" hidden="false" customHeight="false" outlineLevel="0" collapsed="false">
      <c r="A430" s="13" t="n">
        <v>0</v>
      </c>
      <c r="B430" s="13" t="str">
        <v/>
      </c>
      <c r="C430" s="13" t="n">
        <v>0</v>
      </c>
      <c r="D430" s="13" t="n">
        <v>0</v>
      </c>
      <c r="E430" s="13" t="str">
        <v/>
      </c>
      <c r="F430" s="13" t="n">
        <v>0</v>
      </c>
      <c r="G430" s="13" t="n">
        <v>0</v>
      </c>
      <c r="H430" s="13" t="n">
        <v>0</v>
      </c>
      <c r="I430" s="13" t="n">
        <v>0</v>
      </c>
      <c r="J430" s="13" t="b">
        <f aca="false">IF(ISBLANK(I430),"", IF($I$2:$I1427 = "Gohar Rehan","Overnight",IF($I$2:$I1427 = "Taufeeq Akhtar ","Overnight",IF($I$2:$I1427 = "Zeeshan Ali Malik","Audit",IF($I$2:$I1427 = "Ali Raza ","Receiving",IF($I$2:$I1427 = "Ali Ahmad","Full-In"))))))</f>
        <v>0</v>
      </c>
      <c r="K430" s="39" t="e">
        <f aca="false">IFERROR(VLOOKUP(D430,'Brand manager data '!A:B,2,0))</f>
        <v>#VALUE!</v>
      </c>
      <c r="L430" s="13" t="n">
        <v>0</v>
      </c>
      <c r="M430" s="13" t="str">
        <v>Yes</v>
      </c>
      <c r="N430" s="22"/>
      <c r="Q430" s="40"/>
      <c r="R430" s="13" t="b">
        <f aca="false">FALSE()</f>
        <v>0</v>
      </c>
      <c r="S430" s="13" t="n">
        <v>0</v>
      </c>
      <c r="T430" s="13" t="n">
        <f aca="false">S430*F430</f>
        <v>0</v>
      </c>
      <c r="U430" s="13" t="n">
        <v>0</v>
      </c>
      <c r="V430" s="13" t="n">
        <v>0</v>
      </c>
    </row>
    <row r="431" customFormat="false" ht="15.75" hidden="false" customHeight="false" outlineLevel="0" collapsed="false">
      <c r="A431" s="13" t="n">
        <v>0</v>
      </c>
      <c r="B431" s="13" t="str">
        <v/>
      </c>
      <c r="C431" s="13" t="n">
        <v>0</v>
      </c>
      <c r="D431" s="13" t="n">
        <v>0</v>
      </c>
      <c r="E431" s="13" t="str">
        <v/>
      </c>
      <c r="F431" s="13" t="n">
        <v>0</v>
      </c>
      <c r="G431" s="13" t="n">
        <v>0</v>
      </c>
      <c r="H431" s="13" t="n">
        <v>0</v>
      </c>
      <c r="I431" s="13" t="n">
        <v>0</v>
      </c>
      <c r="J431" s="13" t="b">
        <f aca="false">IF(ISBLANK(I431),"", IF($I$2:$I1428 = "Gohar Rehan","Overnight",IF($I$2:$I1428 = "Taufeeq Akhtar ","Overnight",IF($I$2:$I1428 = "Zeeshan Ali Malik","Audit",IF($I$2:$I1428 = "Ali Raza ","Receiving",IF($I$2:$I1428 = "Ali Ahmad","Full-In"))))))</f>
        <v>0</v>
      </c>
      <c r="K431" s="39" t="e">
        <f aca="false">IFERROR(VLOOKUP(D431,'Brand manager data '!A:B,2,0))</f>
        <v>#VALUE!</v>
      </c>
      <c r="L431" s="13" t="n">
        <v>0</v>
      </c>
      <c r="M431" s="13" t="str">
        <v>Yes</v>
      </c>
      <c r="N431" s="22"/>
      <c r="Q431" s="40"/>
      <c r="R431" s="13" t="b">
        <f aca="false">FALSE()</f>
        <v>0</v>
      </c>
      <c r="S431" s="13" t="n">
        <v>0</v>
      </c>
      <c r="T431" s="13" t="n">
        <f aca="false">S431*F431</f>
        <v>0</v>
      </c>
      <c r="U431" s="13" t="n">
        <v>0</v>
      </c>
      <c r="V431" s="13" t="n">
        <v>0</v>
      </c>
    </row>
    <row r="432" customFormat="false" ht="15.75" hidden="false" customHeight="false" outlineLevel="0" collapsed="false">
      <c r="A432" s="13" t="n">
        <v>0</v>
      </c>
      <c r="B432" s="13" t="str">
        <v/>
      </c>
      <c r="C432" s="13" t="n">
        <v>0</v>
      </c>
      <c r="D432" s="13" t="n">
        <v>0</v>
      </c>
      <c r="E432" s="13" t="str">
        <v/>
      </c>
      <c r="F432" s="13" t="n">
        <v>0</v>
      </c>
      <c r="G432" s="13" t="n">
        <v>0</v>
      </c>
      <c r="H432" s="13" t="n">
        <v>0</v>
      </c>
      <c r="I432" s="13" t="n">
        <v>0</v>
      </c>
      <c r="J432" s="13" t="b">
        <f aca="false">IF(ISBLANK(I432),"", IF($I$2:$I1429 = "Gohar Rehan","Overnight",IF($I$2:$I1429 = "Taufeeq Akhtar ","Overnight",IF($I$2:$I1429 = "Zeeshan Ali Malik","Audit",IF($I$2:$I1429 = "Ali Raza ","Receiving",IF($I$2:$I1429 = "Ali Ahmad","Full-In"))))))</f>
        <v>0</v>
      </c>
      <c r="K432" s="39" t="e">
        <f aca="false">IFERROR(VLOOKUP(D432,'Brand manager data '!A:B,2,0))</f>
        <v>#VALUE!</v>
      </c>
      <c r="L432" s="13" t="n">
        <v>0</v>
      </c>
      <c r="M432" s="13" t="str">
        <v>Yes</v>
      </c>
      <c r="N432" s="22"/>
      <c r="Q432" s="40"/>
      <c r="R432" s="13" t="b">
        <f aca="false">FALSE()</f>
        <v>0</v>
      </c>
      <c r="S432" s="13" t="n">
        <v>0</v>
      </c>
      <c r="T432" s="13" t="n">
        <f aca="false">S432*F432</f>
        <v>0</v>
      </c>
      <c r="U432" s="13" t="n">
        <v>0</v>
      </c>
      <c r="V432" s="13" t="n">
        <v>0</v>
      </c>
    </row>
    <row r="433" customFormat="false" ht="15.75" hidden="false" customHeight="false" outlineLevel="0" collapsed="false">
      <c r="A433" s="13" t="n">
        <v>0</v>
      </c>
      <c r="B433" s="13" t="str">
        <v/>
      </c>
      <c r="C433" s="13" t="n">
        <v>0</v>
      </c>
      <c r="D433" s="13" t="n">
        <v>0</v>
      </c>
      <c r="E433" s="13" t="str">
        <v/>
      </c>
      <c r="F433" s="13" t="n">
        <v>0</v>
      </c>
      <c r="G433" s="13" t="n">
        <v>0</v>
      </c>
      <c r="H433" s="13" t="n">
        <v>0</v>
      </c>
      <c r="I433" s="13" t="n">
        <v>0</v>
      </c>
      <c r="J433" s="13" t="b">
        <f aca="false">IF(ISBLANK(I433),"", IF($I$2:$I1430 = "Gohar Rehan","Overnight",IF($I$2:$I1430 = "Taufeeq Akhtar ","Overnight",IF($I$2:$I1430 = "Zeeshan Ali Malik","Audit",IF($I$2:$I1430 = "Ali Raza ","Receiving",IF($I$2:$I1430 = "Ali Ahmad","Full-In"))))))</f>
        <v>0</v>
      </c>
      <c r="K433" s="39" t="e">
        <f aca="false">IFERROR(VLOOKUP(D433,'Brand manager data '!A:B,2,0))</f>
        <v>#VALUE!</v>
      </c>
      <c r="L433" s="13" t="n">
        <v>0</v>
      </c>
      <c r="M433" s="13" t="str">
        <v>Yes</v>
      </c>
      <c r="N433" s="22"/>
      <c r="Q433" s="40"/>
      <c r="R433" s="13" t="b">
        <f aca="false">FALSE()</f>
        <v>0</v>
      </c>
      <c r="S433" s="13" t="n">
        <v>0</v>
      </c>
      <c r="T433" s="13" t="n">
        <f aca="false">S433*F433</f>
        <v>0</v>
      </c>
      <c r="U433" s="13" t="n">
        <v>0</v>
      </c>
      <c r="V433" s="13" t="n">
        <v>0</v>
      </c>
    </row>
    <row r="434" customFormat="false" ht="15.75" hidden="false" customHeight="false" outlineLevel="0" collapsed="false">
      <c r="A434" s="13" t="n">
        <v>0</v>
      </c>
      <c r="B434" s="13" t="str">
        <v/>
      </c>
      <c r="C434" s="13" t="n">
        <v>0</v>
      </c>
      <c r="D434" s="13" t="n">
        <v>0</v>
      </c>
      <c r="E434" s="13" t="str">
        <v/>
      </c>
      <c r="F434" s="13" t="n">
        <v>0</v>
      </c>
      <c r="G434" s="13" t="n">
        <v>0</v>
      </c>
      <c r="H434" s="13" t="n">
        <v>0</v>
      </c>
      <c r="I434" s="13" t="n">
        <v>0</v>
      </c>
      <c r="J434" s="13" t="b">
        <f aca="false">IF(ISBLANK(I434),"", IF($I$2:$I1431 = "Gohar Rehan","Overnight",IF($I$2:$I1431 = "Taufeeq Akhtar ","Overnight",IF($I$2:$I1431 = "Zeeshan Ali Malik","Audit",IF($I$2:$I1431 = "Ali Raza ","Receiving",IF($I$2:$I1431 = "Ali Ahmad","Full-In"))))))</f>
        <v>0</v>
      </c>
      <c r="K434" s="39" t="e">
        <f aca="false">IFERROR(VLOOKUP(D434,'Brand manager data '!A:B,2,0))</f>
        <v>#VALUE!</v>
      </c>
      <c r="L434" s="13" t="n">
        <v>0</v>
      </c>
      <c r="M434" s="13" t="str">
        <v>Yes</v>
      </c>
      <c r="N434" s="22"/>
      <c r="Q434" s="40"/>
      <c r="R434" s="13" t="b">
        <f aca="false">FALSE()</f>
        <v>0</v>
      </c>
      <c r="S434" s="13" t="n">
        <v>0</v>
      </c>
      <c r="T434" s="13" t="n">
        <f aca="false">S434*F434</f>
        <v>0</v>
      </c>
      <c r="U434" s="13" t="n">
        <v>0</v>
      </c>
      <c r="V434" s="13" t="n">
        <v>0</v>
      </c>
    </row>
    <row r="435" customFormat="false" ht="15.75" hidden="false" customHeight="false" outlineLevel="0" collapsed="false">
      <c r="A435" s="13" t="n">
        <v>0</v>
      </c>
      <c r="B435" s="13" t="str">
        <v/>
      </c>
      <c r="C435" s="13" t="n">
        <v>0</v>
      </c>
      <c r="D435" s="13" t="n">
        <v>0</v>
      </c>
      <c r="E435" s="13" t="str">
        <v/>
      </c>
      <c r="F435" s="13" t="n">
        <v>0</v>
      </c>
      <c r="G435" s="13" t="n">
        <v>0</v>
      </c>
      <c r="H435" s="13" t="n">
        <v>0</v>
      </c>
      <c r="I435" s="13" t="n">
        <v>0</v>
      </c>
      <c r="J435" s="13" t="b">
        <f aca="false">IF(ISBLANK(I435),"", IF($I$2:$I1432 = "Gohar Rehan","Overnight",IF($I$2:$I1432 = "Taufeeq Akhtar ","Overnight",IF($I$2:$I1432 = "Zeeshan Ali Malik","Audit",IF($I$2:$I1432 = "Ali Raza ","Receiving",IF($I$2:$I1432 = "Ali Ahmad","Full-In"))))))</f>
        <v>0</v>
      </c>
      <c r="K435" s="39" t="e">
        <f aca="false">IFERROR(VLOOKUP(D435,'Brand manager data '!A:B,2,0))</f>
        <v>#VALUE!</v>
      </c>
      <c r="L435" s="13" t="n">
        <v>0</v>
      </c>
      <c r="M435" s="13" t="str">
        <v>Yes</v>
      </c>
      <c r="N435" s="22"/>
      <c r="Q435" s="40"/>
      <c r="R435" s="13" t="b">
        <f aca="false">FALSE()</f>
        <v>0</v>
      </c>
      <c r="S435" s="13" t="n">
        <v>0</v>
      </c>
      <c r="T435" s="13" t="n">
        <f aca="false">S435*F435</f>
        <v>0</v>
      </c>
      <c r="U435" s="13" t="n">
        <v>0</v>
      </c>
      <c r="V435" s="13" t="n">
        <v>0</v>
      </c>
    </row>
    <row r="436" customFormat="false" ht="15.75" hidden="false" customHeight="false" outlineLevel="0" collapsed="false">
      <c r="A436" s="13" t="n">
        <v>0</v>
      </c>
      <c r="B436" s="13" t="str">
        <v/>
      </c>
      <c r="C436" s="13" t="n">
        <v>0</v>
      </c>
      <c r="D436" s="13" t="n">
        <v>0</v>
      </c>
      <c r="E436" s="13" t="str">
        <v/>
      </c>
      <c r="F436" s="13" t="n">
        <v>0</v>
      </c>
      <c r="G436" s="13" t="n">
        <v>0</v>
      </c>
      <c r="H436" s="13" t="n">
        <v>0</v>
      </c>
      <c r="I436" s="13" t="n">
        <v>0</v>
      </c>
      <c r="J436" s="13" t="b">
        <f aca="false">IF(ISBLANK(I436),"", IF($I$2:$I1433 = "Gohar Rehan","Overnight",IF($I$2:$I1433 = "Taufeeq Akhtar ","Overnight",IF($I$2:$I1433 = "Zeeshan Ali Malik","Audit",IF($I$2:$I1433 = "Ali Raza ","Receiving",IF($I$2:$I1433 = "Ali Ahmad","Full-In"))))))</f>
        <v>0</v>
      </c>
      <c r="K436" s="39" t="e">
        <f aca="false">IFERROR(VLOOKUP(D436,'Brand manager data '!A:B,2,0))</f>
        <v>#VALUE!</v>
      </c>
      <c r="L436" s="13" t="n">
        <v>0</v>
      </c>
      <c r="M436" s="13" t="str">
        <v>Yes</v>
      </c>
      <c r="N436" s="22"/>
      <c r="Q436" s="40"/>
      <c r="R436" s="13" t="b">
        <f aca="false">FALSE()</f>
        <v>0</v>
      </c>
      <c r="S436" s="13" t="n">
        <v>0</v>
      </c>
      <c r="T436" s="13" t="n">
        <f aca="false">S436*F436</f>
        <v>0</v>
      </c>
      <c r="U436" s="13" t="n">
        <v>0</v>
      </c>
      <c r="V436" s="13" t="n">
        <v>0</v>
      </c>
    </row>
    <row r="437" customFormat="false" ht="15.75" hidden="false" customHeight="false" outlineLevel="0" collapsed="false">
      <c r="A437" s="13" t="n">
        <v>0</v>
      </c>
      <c r="B437" s="13" t="str">
        <v/>
      </c>
      <c r="C437" s="13" t="n">
        <v>0</v>
      </c>
      <c r="D437" s="13" t="n">
        <v>0</v>
      </c>
      <c r="E437" s="13" t="str">
        <v/>
      </c>
      <c r="F437" s="13" t="n">
        <v>0</v>
      </c>
      <c r="G437" s="13" t="n">
        <v>0</v>
      </c>
      <c r="H437" s="13" t="n">
        <v>0</v>
      </c>
      <c r="I437" s="13" t="n">
        <v>0</v>
      </c>
      <c r="J437" s="13" t="b">
        <f aca="false">IF(ISBLANK(I437),"", IF($I$2:$I1434 = "Gohar Rehan","Overnight",IF($I$2:$I1434 = "Taufeeq Akhtar ","Overnight",IF($I$2:$I1434 = "Zeeshan Ali Malik","Audit",IF($I$2:$I1434 = "Ali Raza ","Receiving",IF($I$2:$I1434 = "Ali Ahmad","Full-In"))))))</f>
        <v>0</v>
      </c>
      <c r="K437" s="39" t="e">
        <f aca="false">IFERROR(VLOOKUP(D437,'Brand manager data '!A:B,2,0))</f>
        <v>#VALUE!</v>
      </c>
      <c r="L437" s="13" t="n">
        <v>0</v>
      </c>
      <c r="M437" s="13" t="str">
        <v>Yes</v>
      </c>
      <c r="N437" s="22"/>
      <c r="Q437" s="40"/>
      <c r="R437" s="13" t="b">
        <f aca="false">FALSE()</f>
        <v>0</v>
      </c>
      <c r="S437" s="13" t="n">
        <v>0</v>
      </c>
      <c r="T437" s="13" t="n">
        <f aca="false">S437*F437</f>
        <v>0</v>
      </c>
      <c r="U437" s="13" t="n">
        <v>0</v>
      </c>
      <c r="V437" s="13" t="n">
        <v>0</v>
      </c>
    </row>
    <row r="438" customFormat="false" ht="15.75" hidden="false" customHeight="false" outlineLevel="0" collapsed="false">
      <c r="A438" s="13" t="n">
        <v>0</v>
      </c>
      <c r="B438" s="13" t="str">
        <v/>
      </c>
      <c r="C438" s="13" t="n">
        <v>0</v>
      </c>
      <c r="D438" s="13" t="n">
        <v>0</v>
      </c>
      <c r="E438" s="13" t="str">
        <v/>
      </c>
      <c r="F438" s="13" t="n">
        <v>0</v>
      </c>
      <c r="G438" s="13" t="n">
        <v>0</v>
      </c>
      <c r="H438" s="13" t="n">
        <v>0</v>
      </c>
      <c r="I438" s="13" t="n">
        <v>0</v>
      </c>
      <c r="J438" s="13" t="b">
        <f aca="false">IF(ISBLANK(I438),"", IF($I$2:$I1435 = "Gohar Rehan","Overnight",IF($I$2:$I1435 = "Taufeeq Akhtar ","Overnight",IF($I$2:$I1435 = "Zeeshan Ali Malik","Audit",IF($I$2:$I1435 = "Ali Raza ","Receiving",IF($I$2:$I1435 = "Ali Ahmad","Full-In"))))))</f>
        <v>0</v>
      </c>
      <c r="K438" s="39" t="e">
        <f aca="false">IFERROR(VLOOKUP(D438,'Brand manager data '!A:B,2,0))</f>
        <v>#VALUE!</v>
      </c>
      <c r="L438" s="13" t="n">
        <v>0</v>
      </c>
      <c r="M438" s="13" t="str">
        <v>Yes</v>
      </c>
      <c r="N438" s="22"/>
      <c r="Q438" s="40"/>
      <c r="R438" s="13" t="b">
        <f aca="false">FALSE()</f>
        <v>0</v>
      </c>
      <c r="S438" s="13" t="n">
        <v>0</v>
      </c>
      <c r="T438" s="13" t="n">
        <f aca="false">S438*F438</f>
        <v>0</v>
      </c>
      <c r="U438" s="13" t="n">
        <v>0</v>
      </c>
      <c r="V438" s="13" t="n">
        <v>0</v>
      </c>
    </row>
    <row r="439" customFormat="false" ht="15.75" hidden="false" customHeight="false" outlineLevel="0" collapsed="false">
      <c r="A439" s="13" t="n">
        <v>0</v>
      </c>
      <c r="B439" s="13" t="str">
        <v/>
      </c>
      <c r="C439" s="13" t="n">
        <v>0</v>
      </c>
      <c r="D439" s="13" t="n">
        <v>0</v>
      </c>
      <c r="E439" s="13" t="str">
        <v/>
      </c>
      <c r="F439" s="13" t="n">
        <v>0</v>
      </c>
      <c r="G439" s="13" t="n">
        <v>0</v>
      </c>
      <c r="H439" s="13" t="n">
        <v>0</v>
      </c>
      <c r="I439" s="13" t="n">
        <v>0</v>
      </c>
      <c r="J439" s="13" t="b">
        <f aca="false">IF(ISBLANK(I439),"", IF($I$2:$I1436 = "Gohar Rehan","Overnight",IF($I$2:$I1436 = "Taufeeq Akhtar ","Overnight",IF($I$2:$I1436 = "Zeeshan Ali Malik","Audit",IF($I$2:$I1436 = "Ali Raza ","Receiving",IF($I$2:$I1436 = "Ali Ahmad","Full-In"))))))</f>
        <v>0</v>
      </c>
      <c r="K439" s="39" t="e">
        <f aca="false">IFERROR(VLOOKUP(D439,'Brand manager data '!A:B,2,0))</f>
        <v>#VALUE!</v>
      </c>
      <c r="L439" s="13" t="n">
        <v>0</v>
      </c>
      <c r="M439" s="13" t="str">
        <v>Yes</v>
      </c>
      <c r="N439" s="22"/>
      <c r="Q439" s="40"/>
      <c r="R439" s="13" t="b">
        <f aca="false">FALSE()</f>
        <v>0</v>
      </c>
      <c r="S439" s="13" t="n">
        <v>0</v>
      </c>
      <c r="T439" s="13" t="n">
        <f aca="false">S439*F439</f>
        <v>0</v>
      </c>
      <c r="U439" s="13" t="n">
        <v>0</v>
      </c>
      <c r="V439" s="13" t="n">
        <v>0</v>
      </c>
    </row>
    <row r="440" customFormat="false" ht="15.75" hidden="false" customHeight="false" outlineLevel="0" collapsed="false">
      <c r="A440" s="13" t="n">
        <v>0</v>
      </c>
      <c r="B440" s="13" t="str">
        <v/>
      </c>
      <c r="C440" s="13" t="n">
        <v>0</v>
      </c>
      <c r="D440" s="13" t="n">
        <v>0</v>
      </c>
      <c r="E440" s="13" t="str">
        <v/>
      </c>
      <c r="F440" s="13" t="n">
        <v>0</v>
      </c>
      <c r="G440" s="13" t="n">
        <v>0</v>
      </c>
      <c r="H440" s="13" t="n">
        <v>0</v>
      </c>
      <c r="I440" s="13" t="n">
        <v>0</v>
      </c>
      <c r="J440" s="13" t="b">
        <f aca="false">IF(ISBLANK(I440),"", IF($I$2:$I1437 = "Gohar Rehan","Overnight",IF($I$2:$I1437 = "Taufeeq Akhtar ","Overnight",IF($I$2:$I1437 = "Zeeshan Ali Malik","Audit",IF($I$2:$I1437 = "Ali Raza ","Receiving",IF($I$2:$I1437 = "Ali Ahmad","Full-In"))))))</f>
        <v>0</v>
      </c>
      <c r="K440" s="39" t="e">
        <f aca="false">IFERROR(VLOOKUP(D440,'Brand manager data '!A:B,2,0))</f>
        <v>#VALUE!</v>
      </c>
      <c r="L440" s="13" t="n">
        <v>0</v>
      </c>
      <c r="M440" s="13" t="str">
        <v>Yes</v>
      </c>
      <c r="N440" s="22"/>
      <c r="Q440" s="40"/>
      <c r="R440" s="13" t="b">
        <f aca="false">FALSE()</f>
        <v>0</v>
      </c>
      <c r="S440" s="13" t="n">
        <v>0</v>
      </c>
      <c r="T440" s="13" t="n">
        <f aca="false">S440*F440</f>
        <v>0</v>
      </c>
      <c r="U440" s="13" t="n">
        <v>0</v>
      </c>
      <c r="V440" s="13" t="n">
        <v>0</v>
      </c>
    </row>
    <row r="441" customFormat="false" ht="15.75" hidden="false" customHeight="false" outlineLevel="0" collapsed="false">
      <c r="A441" s="13" t="n">
        <v>0</v>
      </c>
      <c r="B441" s="13" t="str">
        <v/>
      </c>
      <c r="C441" s="13" t="n">
        <v>0</v>
      </c>
      <c r="D441" s="13" t="n">
        <v>0</v>
      </c>
      <c r="E441" s="13" t="str">
        <v/>
      </c>
      <c r="F441" s="13" t="n">
        <v>0</v>
      </c>
      <c r="G441" s="13" t="n">
        <v>0</v>
      </c>
      <c r="H441" s="13" t="n">
        <v>0</v>
      </c>
      <c r="I441" s="13" t="n">
        <v>0</v>
      </c>
      <c r="J441" s="13" t="b">
        <f aca="false">IF(ISBLANK(I441),"", IF($I$2:$I1438 = "Gohar Rehan","Overnight",IF($I$2:$I1438 = "Taufeeq Akhtar ","Overnight",IF($I$2:$I1438 = "Zeeshan Ali Malik","Audit",IF($I$2:$I1438 = "Ali Raza ","Receiving",IF($I$2:$I1438 = "Ali Ahmad","Full-In"))))))</f>
        <v>0</v>
      </c>
      <c r="K441" s="39" t="e">
        <f aca="false">IFERROR(VLOOKUP(D441,'Brand manager data '!A:B,2,0))</f>
        <v>#VALUE!</v>
      </c>
      <c r="L441" s="13" t="n">
        <v>0</v>
      </c>
      <c r="M441" s="13" t="str">
        <v>Yes</v>
      </c>
      <c r="N441" s="22"/>
      <c r="Q441" s="40"/>
      <c r="R441" s="13" t="b">
        <f aca="false">FALSE()</f>
        <v>0</v>
      </c>
      <c r="S441" s="13" t="n">
        <v>0</v>
      </c>
      <c r="T441" s="13" t="n">
        <f aca="false">S441*F441</f>
        <v>0</v>
      </c>
      <c r="U441" s="13" t="n">
        <v>0</v>
      </c>
      <c r="V441" s="13" t="n">
        <v>0</v>
      </c>
    </row>
    <row r="442" customFormat="false" ht="15.75" hidden="false" customHeight="false" outlineLevel="0" collapsed="false">
      <c r="A442" s="13" t="n">
        <v>0</v>
      </c>
      <c r="B442" s="13" t="str">
        <v/>
      </c>
      <c r="C442" s="13" t="n">
        <v>0</v>
      </c>
      <c r="D442" s="13" t="n">
        <v>0</v>
      </c>
      <c r="E442" s="13" t="str">
        <v/>
      </c>
      <c r="F442" s="13" t="n">
        <v>0</v>
      </c>
      <c r="G442" s="13" t="n">
        <v>0</v>
      </c>
      <c r="H442" s="13" t="n">
        <v>0</v>
      </c>
      <c r="I442" s="13" t="n">
        <v>0</v>
      </c>
      <c r="J442" s="13" t="b">
        <f aca="false">IF(ISBLANK(I442),"", IF($I$2:$I1439 = "Gohar Rehan","Overnight",IF($I$2:$I1439 = "Taufeeq Akhtar ","Overnight",IF($I$2:$I1439 = "Zeeshan Ali Malik","Audit",IF($I$2:$I1439 = "Ali Raza ","Receiving",IF($I$2:$I1439 = "Ali Ahmad","Full-In"))))))</f>
        <v>0</v>
      </c>
      <c r="K442" s="39" t="e">
        <f aca="false">IFERROR(VLOOKUP(D442,'Brand manager data '!A:B,2,0))</f>
        <v>#VALUE!</v>
      </c>
      <c r="L442" s="13" t="n">
        <v>0</v>
      </c>
      <c r="M442" s="13" t="str">
        <v>Yes</v>
      </c>
      <c r="N442" s="22"/>
      <c r="Q442" s="40"/>
      <c r="R442" s="13" t="b">
        <f aca="false">FALSE()</f>
        <v>0</v>
      </c>
      <c r="S442" s="13" t="n">
        <v>0</v>
      </c>
      <c r="T442" s="13" t="n">
        <f aca="false">S442*F442</f>
        <v>0</v>
      </c>
      <c r="U442" s="13" t="n">
        <v>0</v>
      </c>
      <c r="V442" s="13" t="n">
        <v>0</v>
      </c>
    </row>
    <row r="443" customFormat="false" ht="15.75" hidden="false" customHeight="false" outlineLevel="0" collapsed="false">
      <c r="A443" s="13" t="n">
        <v>0</v>
      </c>
      <c r="B443" s="13" t="str">
        <v/>
      </c>
      <c r="C443" s="13" t="n">
        <v>0</v>
      </c>
      <c r="D443" s="13" t="n">
        <v>0</v>
      </c>
      <c r="E443" s="13" t="str">
        <v/>
      </c>
      <c r="F443" s="13" t="n">
        <v>0</v>
      </c>
      <c r="G443" s="13" t="n">
        <v>0</v>
      </c>
      <c r="H443" s="13" t="n">
        <v>0</v>
      </c>
      <c r="I443" s="13" t="n">
        <v>0</v>
      </c>
      <c r="J443" s="13" t="b">
        <f aca="false">IF(ISBLANK(I443),"", IF($I$2:$I1440 = "Gohar Rehan","Overnight",IF($I$2:$I1440 = "Taufeeq Akhtar ","Overnight",IF($I$2:$I1440 = "Zeeshan Ali Malik","Audit",IF($I$2:$I1440 = "Ali Raza ","Receiving",IF($I$2:$I1440 = "Ali Ahmad","Full-In"))))))</f>
        <v>0</v>
      </c>
      <c r="K443" s="39" t="e">
        <f aca="false">IFERROR(VLOOKUP(D443,'Brand manager data '!A:B,2,0))</f>
        <v>#VALUE!</v>
      </c>
      <c r="L443" s="13" t="n">
        <v>0</v>
      </c>
      <c r="M443" s="13" t="str">
        <v>Yes</v>
      </c>
      <c r="N443" s="22"/>
      <c r="Q443" s="40"/>
      <c r="R443" s="13" t="b">
        <f aca="false">FALSE()</f>
        <v>0</v>
      </c>
      <c r="S443" s="13" t="n">
        <v>0</v>
      </c>
      <c r="T443" s="13" t="n">
        <f aca="false">S443*F443</f>
        <v>0</v>
      </c>
      <c r="U443" s="13" t="n">
        <v>0</v>
      </c>
      <c r="V443" s="13" t="n">
        <v>0</v>
      </c>
    </row>
    <row r="444" customFormat="false" ht="15.75" hidden="false" customHeight="false" outlineLevel="0" collapsed="false">
      <c r="A444" s="13" t="n">
        <v>0</v>
      </c>
      <c r="B444" s="13" t="str">
        <v/>
      </c>
      <c r="C444" s="13" t="n">
        <v>0</v>
      </c>
      <c r="D444" s="13" t="n">
        <v>0</v>
      </c>
      <c r="E444" s="13" t="str">
        <v/>
      </c>
      <c r="F444" s="13" t="n">
        <v>0</v>
      </c>
      <c r="G444" s="13" t="n">
        <v>0</v>
      </c>
      <c r="H444" s="13" t="n">
        <v>0</v>
      </c>
      <c r="I444" s="13" t="n">
        <v>0</v>
      </c>
      <c r="J444" s="13" t="b">
        <f aca="false">IF(ISBLANK(I444),"", IF($I$2:$I1441 = "Gohar Rehan","Overnight",IF($I$2:$I1441 = "Taufeeq Akhtar ","Overnight",IF($I$2:$I1441 = "Zeeshan Ali Malik","Audit",IF($I$2:$I1441 = "Ali Raza ","Receiving",IF($I$2:$I1441 = "Ali Ahmad","Full-In"))))))</f>
        <v>0</v>
      </c>
      <c r="K444" s="39" t="e">
        <f aca="false">IFERROR(VLOOKUP(D444,'Brand manager data '!A:B,2,0))</f>
        <v>#VALUE!</v>
      </c>
      <c r="L444" s="13" t="n">
        <v>0</v>
      </c>
      <c r="M444" s="13" t="str">
        <v>Yes</v>
      </c>
      <c r="N444" s="22"/>
      <c r="Q444" s="40"/>
      <c r="R444" s="13" t="b">
        <f aca="false">FALSE()</f>
        <v>0</v>
      </c>
      <c r="S444" s="13" t="n">
        <v>0</v>
      </c>
      <c r="T444" s="13" t="n">
        <f aca="false">S444*F444</f>
        <v>0</v>
      </c>
      <c r="U444" s="13" t="n">
        <v>0</v>
      </c>
      <c r="V444" s="13" t="n">
        <v>0</v>
      </c>
    </row>
    <row r="445" customFormat="false" ht="15.75" hidden="false" customHeight="false" outlineLevel="0" collapsed="false">
      <c r="A445" s="13" t="n">
        <v>0</v>
      </c>
      <c r="B445" s="13" t="str">
        <v/>
      </c>
      <c r="C445" s="13" t="n">
        <v>0</v>
      </c>
      <c r="D445" s="13" t="n">
        <v>0</v>
      </c>
      <c r="E445" s="13" t="str">
        <v/>
      </c>
      <c r="F445" s="13" t="n">
        <v>0</v>
      </c>
      <c r="G445" s="13" t="n">
        <v>0</v>
      </c>
      <c r="H445" s="13" t="n">
        <v>0</v>
      </c>
      <c r="I445" s="13" t="n">
        <v>0</v>
      </c>
      <c r="J445" s="13" t="b">
        <f aca="false">IF(ISBLANK(I445),"", IF($I$2:$I1442 = "Gohar Rehan","Overnight",IF($I$2:$I1442 = "Taufeeq Akhtar ","Overnight",IF($I$2:$I1442 = "Zeeshan Ali Malik","Audit",IF($I$2:$I1442 = "Ali Raza ","Receiving",IF($I$2:$I1442 = "Ali Ahmad","Full-In"))))))</f>
        <v>0</v>
      </c>
      <c r="K445" s="39" t="e">
        <f aca="false">IFERROR(VLOOKUP(D445,'Brand manager data '!A:B,2,0))</f>
        <v>#VALUE!</v>
      </c>
      <c r="L445" s="13" t="n">
        <v>0</v>
      </c>
      <c r="M445" s="13" t="str">
        <v>Yes</v>
      </c>
      <c r="N445" s="22"/>
      <c r="Q445" s="40"/>
      <c r="R445" s="13" t="b">
        <f aca="false">FALSE()</f>
        <v>0</v>
      </c>
      <c r="S445" s="13" t="n">
        <v>0</v>
      </c>
      <c r="T445" s="13" t="n">
        <f aca="false">S445*F445</f>
        <v>0</v>
      </c>
      <c r="U445" s="13" t="n">
        <v>0</v>
      </c>
      <c r="V445" s="13" t="n">
        <v>0</v>
      </c>
    </row>
    <row r="446" customFormat="false" ht="15.75" hidden="false" customHeight="false" outlineLevel="0" collapsed="false">
      <c r="A446" s="13" t="n">
        <v>0</v>
      </c>
      <c r="B446" s="13" t="str">
        <v/>
      </c>
      <c r="C446" s="13" t="n">
        <v>0</v>
      </c>
      <c r="D446" s="13" t="n">
        <v>0</v>
      </c>
      <c r="E446" s="13" t="str">
        <v/>
      </c>
      <c r="F446" s="13" t="n">
        <v>0</v>
      </c>
      <c r="G446" s="13" t="n">
        <v>0</v>
      </c>
      <c r="H446" s="13" t="n">
        <v>0</v>
      </c>
      <c r="I446" s="13" t="n">
        <v>0</v>
      </c>
      <c r="J446" s="13" t="b">
        <f aca="false">IF(ISBLANK(I446),"", IF($I$2:$I1443 = "Gohar Rehan","Overnight",IF($I$2:$I1443 = "Taufeeq Akhtar ","Overnight",IF($I$2:$I1443 = "Zeeshan Ali Malik","Audit",IF($I$2:$I1443 = "Ali Raza ","Receiving",IF($I$2:$I1443 = "Ali Ahmad","Full-In"))))))</f>
        <v>0</v>
      </c>
      <c r="K446" s="39" t="e">
        <f aca="false">IFERROR(VLOOKUP(D446,'Brand manager data '!A:B,2,0))</f>
        <v>#VALUE!</v>
      </c>
      <c r="L446" s="13" t="n">
        <v>0</v>
      </c>
      <c r="M446" s="13" t="str">
        <v>Yes</v>
      </c>
      <c r="N446" s="22"/>
      <c r="Q446" s="40"/>
      <c r="R446" s="13" t="b">
        <f aca="false">FALSE()</f>
        <v>0</v>
      </c>
      <c r="S446" s="13" t="n">
        <v>0</v>
      </c>
      <c r="T446" s="13" t="n">
        <f aca="false">S446*F446</f>
        <v>0</v>
      </c>
      <c r="U446" s="13" t="n">
        <v>0</v>
      </c>
      <c r="V446" s="13" t="n">
        <v>0</v>
      </c>
    </row>
    <row r="447" customFormat="false" ht="15.75" hidden="false" customHeight="false" outlineLevel="0" collapsed="false">
      <c r="A447" s="13" t="n">
        <v>0</v>
      </c>
      <c r="B447" s="13" t="str">
        <v/>
      </c>
      <c r="C447" s="13" t="n">
        <v>0</v>
      </c>
      <c r="D447" s="13" t="n">
        <v>0</v>
      </c>
      <c r="E447" s="13" t="str">
        <v/>
      </c>
      <c r="F447" s="13" t="n">
        <v>0</v>
      </c>
      <c r="G447" s="13" t="n">
        <v>0</v>
      </c>
      <c r="H447" s="13" t="n">
        <v>0</v>
      </c>
      <c r="I447" s="13" t="n">
        <v>0</v>
      </c>
      <c r="J447" s="13" t="b">
        <f aca="false">IF(ISBLANK(I447),"", IF($I$2:$I1444 = "Gohar Rehan","Overnight",IF($I$2:$I1444 = "Taufeeq Akhtar ","Overnight",IF($I$2:$I1444 = "Zeeshan Ali Malik","Audit",IF($I$2:$I1444 = "Ali Raza ","Receiving",IF($I$2:$I1444 = "Ali Ahmad","Full-In"))))))</f>
        <v>0</v>
      </c>
      <c r="K447" s="39" t="e">
        <f aca="false">IFERROR(VLOOKUP(D447,'Brand manager data '!A:B,2,0))</f>
        <v>#VALUE!</v>
      </c>
      <c r="L447" s="13" t="n">
        <v>0</v>
      </c>
      <c r="M447" s="13" t="str">
        <v>Yes</v>
      </c>
      <c r="N447" s="22"/>
      <c r="Q447" s="40"/>
      <c r="R447" s="13" t="b">
        <f aca="false">FALSE()</f>
        <v>0</v>
      </c>
      <c r="S447" s="13" t="n">
        <v>0</v>
      </c>
      <c r="T447" s="13" t="n">
        <f aca="false">S447*F447</f>
        <v>0</v>
      </c>
      <c r="U447" s="13" t="n">
        <v>0</v>
      </c>
      <c r="V447" s="13" t="n">
        <v>0</v>
      </c>
    </row>
    <row r="448" customFormat="false" ht="15.75" hidden="false" customHeight="false" outlineLevel="0" collapsed="false">
      <c r="A448" s="13" t="n">
        <v>0</v>
      </c>
      <c r="B448" s="13" t="str">
        <v/>
      </c>
      <c r="C448" s="13" t="n">
        <v>0</v>
      </c>
      <c r="D448" s="13" t="n">
        <v>0</v>
      </c>
      <c r="E448" s="13" t="str">
        <v/>
      </c>
      <c r="F448" s="13" t="n">
        <v>0</v>
      </c>
      <c r="G448" s="13" t="n">
        <v>0</v>
      </c>
      <c r="H448" s="13" t="n">
        <v>0</v>
      </c>
      <c r="I448" s="13" t="n">
        <v>0</v>
      </c>
      <c r="J448" s="13" t="b">
        <f aca="false">IF(ISBLANK(I448),"", IF($I$2:$I1445 = "Gohar Rehan","Overnight",IF($I$2:$I1445 = "Taufeeq Akhtar ","Overnight",IF($I$2:$I1445 = "Zeeshan Ali Malik","Audit",IF($I$2:$I1445 = "Ali Raza ","Receiving",IF($I$2:$I1445 = "Ali Ahmad","Full-In"))))))</f>
        <v>0</v>
      </c>
      <c r="K448" s="39" t="e">
        <f aca="false">IFERROR(VLOOKUP(D448,'Brand manager data '!A:B,2,0))</f>
        <v>#VALUE!</v>
      </c>
      <c r="L448" s="13" t="n">
        <v>0</v>
      </c>
      <c r="M448" s="13" t="str">
        <v>Yes</v>
      </c>
      <c r="N448" s="22"/>
      <c r="Q448" s="40"/>
      <c r="R448" s="13" t="b">
        <f aca="false">FALSE()</f>
        <v>0</v>
      </c>
      <c r="S448" s="13" t="n">
        <v>0</v>
      </c>
      <c r="T448" s="13" t="n">
        <f aca="false">S448*F448</f>
        <v>0</v>
      </c>
      <c r="U448" s="13" t="n">
        <v>0</v>
      </c>
      <c r="V448" s="13" t="n">
        <v>0</v>
      </c>
    </row>
    <row r="449" customFormat="false" ht="15.75" hidden="false" customHeight="false" outlineLevel="0" collapsed="false">
      <c r="A449" s="13" t="n">
        <v>0</v>
      </c>
      <c r="B449" s="13" t="str">
        <v/>
      </c>
      <c r="C449" s="13" t="n">
        <v>0</v>
      </c>
      <c r="D449" s="13" t="n">
        <v>0</v>
      </c>
      <c r="E449" s="13" t="str">
        <v/>
      </c>
      <c r="F449" s="13" t="n">
        <v>0</v>
      </c>
      <c r="G449" s="13" t="n">
        <v>0</v>
      </c>
      <c r="H449" s="13" t="n">
        <v>0</v>
      </c>
      <c r="I449" s="13" t="n">
        <v>0</v>
      </c>
      <c r="J449" s="13" t="b">
        <f aca="false">IF(ISBLANK(I449),"", IF($I$2:$I1446 = "Gohar Rehan","Overnight",IF($I$2:$I1446 = "Taufeeq Akhtar ","Overnight",IF($I$2:$I1446 = "Zeeshan Ali Malik","Audit",IF($I$2:$I1446 = "Ali Raza ","Receiving",IF($I$2:$I1446 = "Ali Ahmad","Full-In"))))))</f>
        <v>0</v>
      </c>
      <c r="K449" s="39" t="e">
        <f aca="false">IFERROR(VLOOKUP(D449,'Brand manager data '!A:B,2,0))</f>
        <v>#VALUE!</v>
      </c>
      <c r="L449" s="13" t="n">
        <v>0</v>
      </c>
      <c r="M449" s="13" t="str">
        <v>Yes</v>
      </c>
      <c r="N449" s="22"/>
      <c r="Q449" s="40"/>
      <c r="R449" s="13" t="b">
        <f aca="false">FALSE()</f>
        <v>0</v>
      </c>
      <c r="S449" s="13" t="n">
        <v>0</v>
      </c>
      <c r="T449" s="13" t="n">
        <f aca="false">S449*F449</f>
        <v>0</v>
      </c>
      <c r="U449" s="13" t="n">
        <v>0</v>
      </c>
      <c r="V449" s="13" t="n">
        <v>0</v>
      </c>
    </row>
    <row r="450" customFormat="false" ht="15.75" hidden="false" customHeight="false" outlineLevel="0" collapsed="false">
      <c r="A450" s="13" t="n">
        <v>0</v>
      </c>
      <c r="B450" s="13" t="str">
        <v/>
      </c>
      <c r="C450" s="13" t="n">
        <v>0</v>
      </c>
      <c r="D450" s="13" t="n">
        <v>0</v>
      </c>
      <c r="E450" s="13" t="str">
        <v/>
      </c>
      <c r="F450" s="13" t="n">
        <v>0</v>
      </c>
      <c r="G450" s="13" t="n">
        <v>0</v>
      </c>
      <c r="H450" s="13" t="n">
        <v>0</v>
      </c>
      <c r="I450" s="13" t="n">
        <v>0</v>
      </c>
      <c r="J450" s="13" t="b">
        <f aca="false">IF(ISBLANK(I450),"", IF($I$2:$I1447 = "Gohar Rehan","Overnight",IF($I$2:$I1447 = "Taufeeq Akhtar ","Overnight",IF($I$2:$I1447 = "Zeeshan Ali Malik","Audit",IF($I$2:$I1447 = "Ali Raza ","Receiving",IF($I$2:$I1447 = "Ali Ahmad","Full-In"))))))</f>
        <v>0</v>
      </c>
      <c r="K450" s="39" t="e">
        <f aca="false">IFERROR(VLOOKUP(D450,'Brand manager data '!A:B,2,0))</f>
        <v>#VALUE!</v>
      </c>
      <c r="L450" s="13" t="n">
        <v>0</v>
      </c>
      <c r="M450" s="13" t="str">
        <v>Yes</v>
      </c>
      <c r="N450" s="22"/>
      <c r="Q450" s="40"/>
      <c r="R450" s="13" t="b">
        <f aca="false">FALSE()</f>
        <v>0</v>
      </c>
      <c r="S450" s="13" t="n">
        <v>0</v>
      </c>
      <c r="T450" s="13" t="n">
        <f aca="false">S450*F450</f>
        <v>0</v>
      </c>
      <c r="U450" s="13" t="n">
        <v>0</v>
      </c>
      <c r="V450" s="13" t="n">
        <v>0</v>
      </c>
    </row>
    <row r="451" customFormat="false" ht="15.75" hidden="false" customHeight="false" outlineLevel="0" collapsed="false">
      <c r="A451" s="13" t="n">
        <v>0</v>
      </c>
      <c r="B451" s="13" t="str">
        <v/>
      </c>
      <c r="C451" s="13" t="n">
        <v>0</v>
      </c>
      <c r="D451" s="13" t="n">
        <v>0</v>
      </c>
      <c r="E451" s="13" t="str">
        <v/>
      </c>
      <c r="F451" s="13" t="n">
        <v>0</v>
      </c>
      <c r="G451" s="13" t="n">
        <v>0</v>
      </c>
      <c r="H451" s="13" t="n">
        <v>0</v>
      </c>
      <c r="I451" s="13" t="n">
        <v>0</v>
      </c>
      <c r="J451" s="13" t="b">
        <f aca="false">IF(ISBLANK(I451),"", IF($I$2:$I1448 = "Gohar Rehan","Overnight",IF($I$2:$I1448 = "Taufeeq Akhtar ","Overnight",IF($I$2:$I1448 = "Zeeshan Ali Malik","Audit",IF($I$2:$I1448 = "Ali Raza ","Receiving",IF($I$2:$I1448 = "Ali Ahmad","Full-In"))))))</f>
        <v>0</v>
      </c>
      <c r="K451" s="39" t="e">
        <f aca="false">IFERROR(VLOOKUP(D451,'Brand manager data '!A:B,2,0))</f>
        <v>#VALUE!</v>
      </c>
      <c r="L451" s="13" t="n">
        <v>0</v>
      </c>
      <c r="M451" s="13" t="str">
        <v>Yes</v>
      </c>
      <c r="N451" s="22"/>
      <c r="Q451" s="40"/>
      <c r="R451" s="13" t="b">
        <f aca="false">FALSE()</f>
        <v>0</v>
      </c>
      <c r="S451" s="13" t="n">
        <v>0</v>
      </c>
      <c r="T451" s="13" t="n">
        <f aca="false">S451*F451</f>
        <v>0</v>
      </c>
      <c r="U451" s="13" t="n">
        <v>0</v>
      </c>
      <c r="V451" s="13" t="n">
        <v>0</v>
      </c>
    </row>
    <row r="452" customFormat="false" ht="15.75" hidden="false" customHeight="false" outlineLevel="0" collapsed="false">
      <c r="A452" s="13" t="n">
        <v>0</v>
      </c>
      <c r="B452" s="13" t="str">
        <v/>
      </c>
      <c r="C452" s="13" t="n">
        <v>0</v>
      </c>
      <c r="D452" s="13" t="n">
        <v>0</v>
      </c>
      <c r="E452" s="13" t="str">
        <v/>
      </c>
      <c r="F452" s="13" t="n">
        <v>0</v>
      </c>
      <c r="G452" s="13" t="n">
        <v>0</v>
      </c>
      <c r="H452" s="13" t="n">
        <v>0</v>
      </c>
      <c r="I452" s="13" t="n">
        <v>0</v>
      </c>
      <c r="J452" s="13" t="b">
        <f aca="false">IF(ISBLANK(I452),"", IF($I$2:$I1449 = "Gohar Rehan","Overnight",IF($I$2:$I1449 = "Taufeeq Akhtar ","Overnight",IF($I$2:$I1449 = "Zeeshan Ali Malik","Audit",IF($I$2:$I1449 = "Ali Raza ","Receiving",IF($I$2:$I1449 = "Ali Ahmad","Full-In"))))))</f>
        <v>0</v>
      </c>
      <c r="K452" s="39" t="e">
        <f aca="false">IFERROR(VLOOKUP(D452,'Brand manager data '!A:B,2,0))</f>
        <v>#VALUE!</v>
      </c>
      <c r="L452" s="13" t="n">
        <v>0</v>
      </c>
      <c r="M452" s="13" t="str">
        <v>Yes</v>
      </c>
      <c r="N452" s="22"/>
      <c r="Q452" s="40"/>
      <c r="R452" s="13" t="b">
        <f aca="false">FALSE()</f>
        <v>0</v>
      </c>
      <c r="S452" s="13" t="n">
        <v>0</v>
      </c>
      <c r="T452" s="13" t="n">
        <f aca="false">S452*F452</f>
        <v>0</v>
      </c>
      <c r="U452" s="13" t="n">
        <v>0</v>
      </c>
      <c r="V452" s="13" t="n">
        <v>0</v>
      </c>
    </row>
    <row r="453" customFormat="false" ht="15.75" hidden="false" customHeight="false" outlineLevel="0" collapsed="false">
      <c r="A453" s="13" t="n">
        <v>0</v>
      </c>
      <c r="B453" s="13" t="str">
        <v/>
      </c>
      <c r="C453" s="13" t="n">
        <v>0</v>
      </c>
      <c r="D453" s="13" t="n">
        <v>0</v>
      </c>
      <c r="E453" s="13" t="str">
        <v/>
      </c>
      <c r="F453" s="13" t="n">
        <v>0</v>
      </c>
      <c r="G453" s="13" t="n">
        <v>0</v>
      </c>
      <c r="H453" s="13" t="n">
        <v>0</v>
      </c>
      <c r="I453" s="13" t="n">
        <v>0</v>
      </c>
      <c r="J453" s="13" t="b">
        <f aca="false">IF(ISBLANK(I453),"", IF($I$2:$I1450 = "Gohar Rehan","Overnight",IF($I$2:$I1450 = "Taufeeq Akhtar ","Overnight",IF($I$2:$I1450 = "Zeeshan Ali Malik","Audit",IF($I$2:$I1450 = "Ali Raza ","Receiving",IF($I$2:$I1450 = "Ali Ahmad","Full-In"))))))</f>
        <v>0</v>
      </c>
      <c r="K453" s="39" t="e">
        <f aca="false">IFERROR(VLOOKUP(D453,'Brand manager data '!A:B,2,0))</f>
        <v>#VALUE!</v>
      </c>
      <c r="L453" s="13" t="n">
        <v>0</v>
      </c>
      <c r="M453" s="13" t="str">
        <v>Yes</v>
      </c>
      <c r="N453" s="22"/>
      <c r="Q453" s="40"/>
      <c r="R453" s="13" t="b">
        <f aca="false">FALSE()</f>
        <v>0</v>
      </c>
      <c r="S453" s="13" t="n">
        <v>0</v>
      </c>
      <c r="T453" s="13" t="n">
        <f aca="false">S453*F453</f>
        <v>0</v>
      </c>
      <c r="U453" s="13" t="n">
        <v>0</v>
      </c>
      <c r="V453" s="13" t="n">
        <v>0</v>
      </c>
    </row>
    <row r="454" customFormat="false" ht="15.75" hidden="false" customHeight="false" outlineLevel="0" collapsed="false">
      <c r="A454" s="13" t="n">
        <v>0</v>
      </c>
      <c r="B454" s="13" t="str">
        <v/>
      </c>
      <c r="C454" s="13" t="n">
        <v>0</v>
      </c>
      <c r="D454" s="13" t="n">
        <v>0</v>
      </c>
      <c r="E454" s="13" t="str">
        <v/>
      </c>
      <c r="F454" s="13" t="n">
        <v>0</v>
      </c>
      <c r="G454" s="13" t="n">
        <v>0</v>
      </c>
      <c r="H454" s="13" t="n">
        <v>0</v>
      </c>
      <c r="I454" s="13" t="n">
        <v>0</v>
      </c>
      <c r="J454" s="13" t="b">
        <f aca="false">IF(ISBLANK(I454),"", IF($I$2:$I1451 = "Gohar Rehan","Overnight",IF($I$2:$I1451 = "Taufeeq Akhtar ","Overnight",IF($I$2:$I1451 = "Zeeshan Ali Malik","Audit",IF($I$2:$I1451 = "Ali Raza ","Receiving",IF($I$2:$I1451 = "Ali Ahmad","Full-In"))))))</f>
        <v>0</v>
      </c>
      <c r="K454" s="39" t="e">
        <f aca="false">IFERROR(VLOOKUP(D454,'Brand manager data '!A:B,2,0))</f>
        <v>#VALUE!</v>
      </c>
      <c r="L454" s="13" t="n">
        <v>0</v>
      </c>
      <c r="M454" s="13" t="str">
        <v>Yes</v>
      </c>
      <c r="N454" s="22"/>
      <c r="Q454" s="40"/>
      <c r="R454" s="13" t="b">
        <f aca="false">FALSE()</f>
        <v>0</v>
      </c>
      <c r="S454" s="13" t="n">
        <v>0</v>
      </c>
      <c r="T454" s="13" t="n">
        <f aca="false">S454*F454</f>
        <v>0</v>
      </c>
      <c r="U454" s="13" t="n">
        <v>0</v>
      </c>
      <c r="V454" s="13" t="n">
        <v>0</v>
      </c>
    </row>
    <row r="455" customFormat="false" ht="15.75" hidden="false" customHeight="false" outlineLevel="0" collapsed="false">
      <c r="A455" s="13" t="n">
        <v>0</v>
      </c>
      <c r="B455" s="13" t="str">
        <v/>
      </c>
      <c r="C455" s="13" t="n">
        <v>0</v>
      </c>
      <c r="D455" s="13" t="n">
        <v>0</v>
      </c>
      <c r="E455" s="13" t="str">
        <v/>
      </c>
      <c r="F455" s="13" t="n">
        <v>0</v>
      </c>
      <c r="G455" s="13" t="n">
        <v>0</v>
      </c>
      <c r="H455" s="13" t="n">
        <v>0</v>
      </c>
      <c r="I455" s="13" t="n">
        <v>0</v>
      </c>
      <c r="J455" s="13" t="b">
        <f aca="false">IF(ISBLANK(I455),"", IF($I$2:$I1452 = "Gohar Rehan","Overnight",IF($I$2:$I1452 = "Taufeeq Akhtar ","Overnight",IF($I$2:$I1452 = "Zeeshan Ali Malik","Audit",IF($I$2:$I1452 = "Ali Raza ","Receiving",IF($I$2:$I1452 = "Ali Ahmad","Full-In"))))))</f>
        <v>0</v>
      </c>
      <c r="K455" s="39" t="e">
        <f aca="false">IFERROR(VLOOKUP(D455,'Brand manager data '!A:B,2,0))</f>
        <v>#VALUE!</v>
      </c>
      <c r="L455" s="13" t="n">
        <v>0</v>
      </c>
      <c r="M455" s="13" t="str">
        <v>Yes</v>
      </c>
      <c r="N455" s="22"/>
      <c r="Q455" s="40"/>
      <c r="R455" s="13" t="b">
        <f aca="false">FALSE()</f>
        <v>0</v>
      </c>
      <c r="S455" s="13" t="n">
        <v>0</v>
      </c>
      <c r="T455" s="13" t="n">
        <f aca="false">S455*F455</f>
        <v>0</v>
      </c>
      <c r="U455" s="13" t="n">
        <v>0</v>
      </c>
      <c r="V455" s="13" t="n">
        <v>0</v>
      </c>
    </row>
    <row r="456" customFormat="false" ht="15.75" hidden="false" customHeight="false" outlineLevel="0" collapsed="false">
      <c r="A456" s="13" t="n">
        <v>0</v>
      </c>
      <c r="B456" s="13" t="str">
        <v/>
      </c>
      <c r="C456" s="13" t="n">
        <v>0</v>
      </c>
      <c r="D456" s="13" t="n">
        <v>0</v>
      </c>
      <c r="E456" s="13" t="str">
        <v/>
      </c>
      <c r="F456" s="13" t="n">
        <v>0</v>
      </c>
      <c r="G456" s="13" t="n">
        <v>0</v>
      </c>
      <c r="H456" s="13" t="n">
        <v>0</v>
      </c>
      <c r="I456" s="13" t="n">
        <v>0</v>
      </c>
      <c r="J456" s="13" t="b">
        <f aca="false">IF(ISBLANK(I456),"", IF($I$2:$I1453 = "Gohar Rehan","Overnight",IF($I$2:$I1453 = "Taufeeq Akhtar ","Overnight",IF($I$2:$I1453 = "Zeeshan Ali Malik","Audit",IF($I$2:$I1453 = "Ali Raza ","Receiving",IF($I$2:$I1453 = "Ali Ahmad","Full-In"))))))</f>
        <v>0</v>
      </c>
      <c r="K456" s="39" t="e">
        <f aca="false">IFERROR(VLOOKUP(D456,'Brand manager data '!A:B,2,0))</f>
        <v>#VALUE!</v>
      </c>
      <c r="L456" s="13" t="n">
        <v>0</v>
      </c>
      <c r="M456" s="13" t="str">
        <v>Yes</v>
      </c>
      <c r="N456" s="22"/>
      <c r="Q456" s="40"/>
      <c r="R456" s="13" t="b">
        <f aca="false">FALSE()</f>
        <v>0</v>
      </c>
      <c r="S456" s="13" t="n">
        <v>0</v>
      </c>
      <c r="T456" s="13" t="n">
        <f aca="false">S456*F456</f>
        <v>0</v>
      </c>
      <c r="U456" s="13" t="n">
        <v>0</v>
      </c>
      <c r="V456" s="13" t="n">
        <v>0</v>
      </c>
    </row>
    <row r="457" customFormat="false" ht="15.75" hidden="false" customHeight="false" outlineLevel="0" collapsed="false">
      <c r="A457" s="13" t="n">
        <v>0</v>
      </c>
      <c r="B457" s="13" t="str">
        <v/>
      </c>
      <c r="C457" s="13" t="n">
        <v>0</v>
      </c>
      <c r="D457" s="13" t="n">
        <v>0</v>
      </c>
      <c r="E457" s="13" t="str">
        <v/>
      </c>
      <c r="F457" s="13" t="n">
        <v>0</v>
      </c>
      <c r="G457" s="13" t="n">
        <v>0</v>
      </c>
      <c r="H457" s="13" t="n">
        <v>0</v>
      </c>
      <c r="I457" s="13" t="n">
        <v>0</v>
      </c>
      <c r="J457" s="13" t="b">
        <f aca="false">IF(ISBLANK(I457),"", IF($I$2:$I1454 = "Gohar Rehan","Overnight",IF($I$2:$I1454 = "Taufeeq Akhtar ","Overnight",IF($I$2:$I1454 = "Zeeshan Ali Malik","Audit",IF($I$2:$I1454 = "Ali Raza ","Receiving",IF($I$2:$I1454 = "Ali Ahmad","Full-In"))))))</f>
        <v>0</v>
      </c>
      <c r="K457" s="39" t="e">
        <f aca="false">IFERROR(VLOOKUP(D457,'Brand manager data '!A:B,2,0))</f>
        <v>#VALUE!</v>
      </c>
      <c r="L457" s="13" t="n">
        <v>0</v>
      </c>
      <c r="M457" s="13" t="str">
        <v>Yes</v>
      </c>
      <c r="N457" s="22"/>
      <c r="Q457" s="40"/>
      <c r="R457" s="13" t="b">
        <f aca="false">FALSE()</f>
        <v>0</v>
      </c>
      <c r="S457" s="13" t="n">
        <v>0</v>
      </c>
      <c r="T457" s="13" t="n">
        <f aca="false">S457*F457</f>
        <v>0</v>
      </c>
      <c r="U457" s="13" t="n">
        <v>0</v>
      </c>
      <c r="V457" s="13" t="n">
        <v>0</v>
      </c>
    </row>
    <row r="458" customFormat="false" ht="15.75" hidden="false" customHeight="false" outlineLevel="0" collapsed="false">
      <c r="A458" s="13" t="n">
        <v>0</v>
      </c>
      <c r="B458" s="13" t="str">
        <v/>
      </c>
      <c r="C458" s="13" t="n">
        <v>0</v>
      </c>
      <c r="D458" s="13" t="n">
        <v>0</v>
      </c>
      <c r="E458" s="13" t="str">
        <v/>
      </c>
      <c r="F458" s="13" t="n">
        <v>0</v>
      </c>
      <c r="G458" s="13" t="n">
        <v>0</v>
      </c>
      <c r="H458" s="13" t="n">
        <v>0</v>
      </c>
      <c r="I458" s="13" t="n">
        <v>0</v>
      </c>
      <c r="J458" s="13" t="b">
        <f aca="false">IF(ISBLANK(I458),"", IF($I$2:$I1455 = "Gohar Rehan","Overnight",IF($I$2:$I1455 = "Taufeeq Akhtar ","Overnight",IF($I$2:$I1455 = "Zeeshan Ali Malik","Audit",IF($I$2:$I1455 = "Ali Raza ","Receiving",IF($I$2:$I1455 = "Ali Ahmad","Full-In"))))))</f>
        <v>0</v>
      </c>
      <c r="K458" s="39" t="e">
        <f aca="false">IFERROR(VLOOKUP(D458,'Brand manager data '!A:B,2,0))</f>
        <v>#VALUE!</v>
      </c>
      <c r="L458" s="13" t="n">
        <v>0</v>
      </c>
      <c r="M458" s="13" t="str">
        <v>Yes</v>
      </c>
      <c r="N458" s="22"/>
      <c r="Q458" s="40"/>
      <c r="R458" s="13" t="b">
        <f aca="false">FALSE()</f>
        <v>0</v>
      </c>
      <c r="S458" s="13" t="n">
        <v>0</v>
      </c>
      <c r="T458" s="13" t="n">
        <f aca="false">S458*F458</f>
        <v>0</v>
      </c>
      <c r="U458" s="13" t="n">
        <v>0</v>
      </c>
      <c r="V458" s="13" t="n">
        <v>0</v>
      </c>
    </row>
    <row r="459" customFormat="false" ht="15.75" hidden="false" customHeight="false" outlineLevel="0" collapsed="false">
      <c r="A459" s="13" t="n">
        <v>0</v>
      </c>
      <c r="B459" s="13" t="str">
        <v/>
      </c>
      <c r="C459" s="13" t="n">
        <v>0</v>
      </c>
      <c r="D459" s="13" t="n">
        <v>0</v>
      </c>
      <c r="E459" s="13" t="str">
        <v/>
      </c>
      <c r="F459" s="13" t="n">
        <v>0</v>
      </c>
      <c r="G459" s="13" t="n">
        <v>0</v>
      </c>
      <c r="H459" s="13" t="n">
        <v>0</v>
      </c>
      <c r="I459" s="13" t="n">
        <v>0</v>
      </c>
      <c r="J459" s="13" t="b">
        <f aca="false">IF(ISBLANK(I459),"", IF($I$2:$I1456 = "Gohar Rehan","Overnight",IF($I$2:$I1456 = "Taufeeq Akhtar ","Overnight",IF($I$2:$I1456 = "Zeeshan Ali Malik","Audit",IF($I$2:$I1456 = "Ali Raza ","Receiving",IF($I$2:$I1456 = "Ali Ahmad","Full-In"))))))</f>
        <v>0</v>
      </c>
      <c r="K459" s="39" t="e">
        <f aca="false">IFERROR(VLOOKUP(D459,'Brand manager data '!A:B,2,0))</f>
        <v>#VALUE!</v>
      </c>
      <c r="L459" s="13" t="n">
        <v>0</v>
      </c>
      <c r="M459" s="13" t="str">
        <v>Yes</v>
      </c>
      <c r="N459" s="22"/>
      <c r="Q459" s="40"/>
      <c r="R459" s="13" t="b">
        <f aca="false">FALSE()</f>
        <v>0</v>
      </c>
      <c r="S459" s="13" t="n">
        <v>0</v>
      </c>
      <c r="T459" s="13" t="n">
        <f aca="false">S459*F459</f>
        <v>0</v>
      </c>
      <c r="U459" s="13" t="n">
        <v>0</v>
      </c>
      <c r="V459" s="13" t="n">
        <v>0</v>
      </c>
    </row>
    <row r="460" customFormat="false" ht="15.75" hidden="false" customHeight="false" outlineLevel="0" collapsed="false">
      <c r="A460" s="13" t="n">
        <v>0</v>
      </c>
      <c r="B460" s="13" t="str">
        <v/>
      </c>
      <c r="C460" s="13" t="n">
        <v>0</v>
      </c>
      <c r="D460" s="13" t="n">
        <v>0</v>
      </c>
      <c r="E460" s="13" t="str">
        <v/>
      </c>
      <c r="F460" s="13" t="n">
        <v>0</v>
      </c>
      <c r="G460" s="13" t="n">
        <v>0</v>
      </c>
      <c r="H460" s="13" t="n">
        <v>0</v>
      </c>
      <c r="I460" s="13" t="n">
        <v>0</v>
      </c>
      <c r="J460" s="13" t="b">
        <f aca="false">IF(ISBLANK(I460),"", IF($I$2:$I1457 = "Gohar Rehan","Overnight",IF($I$2:$I1457 = "Taufeeq Akhtar ","Overnight",IF($I$2:$I1457 = "Zeeshan Ali Malik","Audit",IF($I$2:$I1457 = "Ali Raza ","Receiving",IF($I$2:$I1457 = "Ali Ahmad","Full-In"))))))</f>
        <v>0</v>
      </c>
      <c r="K460" s="39" t="e">
        <f aca="false">IFERROR(VLOOKUP(D460,'Brand manager data '!A:B,2,0))</f>
        <v>#VALUE!</v>
      </c>
      <c r="L460" s="13" t="n">
        <v>0</v>
      </c>
      <c r="M460" s="13" t="str">
        <v>Yes</v>
      </c>
      <c r="N460" s="22"/>
      <c r="Q460" s="40"/>
      <c r="R460" s="13" t="b">
        <f aca="false">FALSE()</f>
        <v>0</v>
      </c>
      <c r="S460" s="13" t="n">
        <v>0</v>
      </c>
      <c r="T460" s="13" t="n">
        <f aca="false">S460*F460</f>
        <v>0</v>
      </c>
      <c r="U460" s="13" t="n">
        <v>0</v>
      </c>
      <c r="V460" s="13" t="n">
        <v>0</v>
      </c>
    </row>
    <row r="461" customFormat="false" ht="15.75" hidden="false" customHeight="false" outlineLevel="0" collapsed="false">
      <c r="A461" s="13" t="n">
        <v>0</v>
      </c>
      <c r="B461" s="13" t="str">
        <v/>
      </c>
      <c r="C461" s="13" t="n">
        <v>0</v>
      </c>
      <c r="D461" s="13" t="n">
        <v>0</v>
      </c>
      <c r="E461" s="13" t="str">
        <v/>
      </c>
      <c r="F461" s="13" t="n">
        <v>0</v>
      </c>
      <c r="G461" s="13" t="n">
        <v>0</v>
      </c>
      <c r="H461" s="13" t="n">
        <v>0</v>
      </c>
      <c r="I461" s="13" t="n">
        <v>0</v>
      </c>
      <c r="J461" s="13" t="b">
        <f aca="false">IF(ISBLANK(I461),"", IF($I$2:$I1458 = "Gohar Rehan","Overnight",IF($I$2:$I1458 = "Taufeeq Akhtar ","Overnight",IF($I$2:$I1458 = "Zeeshan Ali Malik","Audit",IF($I$2:$I1458 = "Ali Raza ","Receiving",IF($I$2:$I1458 = "Ali Ahmad","Full-In"))))))</f>
        <v>0</v>
      </c>
      <c r="K461" s="39" t="e">
        <f aca="false">IFERROR(VLOOKUP(D461,'Brand manager data '!A:B,2,0))</f>
        <v>#VALUE!</v>
      </c>
      <c r="L461" s="13" t="n">
        <v>0</v>
      </c>
      <c r="M461" s="13" t="str">
        <v>Yes</v>
      </c>
      <c r="N461" s="22"/>
      <c r="Q461" s="40"/>
      <c r="R461" s="13" t="b">
        <f aca="false">FALSE()</f>
        <v>0</v>
      </c>
      <c r="S461" s="13" t="n">
        <v>0</v>
      </c>
      <c r="T461" s="13" t="n">
        <f aca="false">S461*F461</f>
        <v>0</v>
      </c>
      <c r="U461" s="13" t="n">
        <v>0</v>
      </c>
      <c r="V461" s="13" t="n">
        <v>0</v>
      </c>
    </row>
    <row r="462" customFormat="false" ht="15.75" hidden="false" customHeight="false" outlineLevel="0" collapsed="false">
      <c r="A462" s="13" t="n">
        <v>0</v>
      </c>
      <c r="B462" s="13" t="str">
        <v/>
      </c>
      <c r="C462" s="13" t="n">
        <v>0</v>
      </c>
      <c r="D462" s="13" t="n">
        <v>0</v>
      </c>
      <c r="E462" s="13" t="str">
        <v/>
      </c>
      <c r="F462" s="13" t="n">
        <v>0</v>
      </c>
      <c r="G462" s="13" t="n">
        <v>0</v>
      </c>
      <c r="H462" s="13" t="n">
        <v>0</v>
      </c>
      <c r="I462" s="13" t="n">
        <v>0</v>
      </c>
      <c r="J462" s="13" t="b">
        <f aca="false">IF(ISBLANK(I462),"", IF($I$2:$I1459 = "Gohar Rehan","Overnight",IF($I$2:$I1459 = "Taufeeq Akhtar ","Overnight",IF($I$2:$I1459 = "Zeeshan Ali Malik","Audit",IF($I$2:$I1459 = "Ali Raza ","Receiving",IF($I$2:$I1459 = "Ali Ahmad","Full-In"))))))</f>
        <v>0</v>
      </c>
      <c r="K462" s="39" t="e">
        <f aca="false">IFERROR(VLOOKUP(D462,'Brand manager data '!A:B,2,0))</f>
        <v>#VALUE!</v>
      </c>
      <c r="L462" s="13" t="n">
        <v>0</v>
      </c>
      <c r="M462" s="13" t="str">
        <v>Yes</v>
      </c>
      <c r="N462" s="22"/>
      <c r="Q462" s="40"/>
      <c r="R462" s="13" t="b">
        <f aca="false">FALSE()</f>
        <v>0</v>
      </c>
      <c r="S462" s="13" t="n">
        <v>0</v>
      </c>
      <c r="T462" s="13" t="n">
        <f aca="false">S462*F462</f>
        <v>0</v>
      </c>
      <c r="U462" s="13" t="n">
        <v>0</v>
      </c>
      <c r="V462" s="13" t="n">
        <v>0</v>
      </c>
    </row>
    <row r="463" customFormat="false" ht="15.75" hidden="false" customHeight="false" outlineLevel="0" collapsed="false">
      <c r="A463" s="13" t="n">
        <v>0</v>
      </c>
      <c r="B463" s="13" t="str">
        <v/>
      </c>
      <c r="C463" s="13" t="n">
        <v>0</v>
      </c>
      <c r="D463" s="13" t="n">
        <v>0</v>
      </c>
      <c r="E463" s="13" t="str">
        <v/>
      </c>
      <c r="F463" s="13" t="n">
        <v>0</v>
      </c>
      <c r="G463" s="13" t="n">
        <v>0</v>
      </c>
      <c r="H463" s="13" t="n">
        <v>0</v>
      </c>
      <c r="I463" s="13" t="n">
        <v>0</v>
      </c>
      <c r="J463" s="13" t="b">
        <f aca="false">IF(ISBLANK(I463),"", IF($I$2:$I1460 = "Gohar Rehan","Overnight",IF($I$2:$I1460 = "Taufeeq Akhtar ","Overnight",IF($I$2:$I1460 = "Zeeshan Ali Malik","Audit",IF($I$2:$I1460 = "Ali Raza ","Receiving",IF($I$2:$I1460 = "Ali Ahmad","Full-In"))))))</f>
        <v>0</v>
      </c>
      <c r="K463" s="39" t="e">
        <f aca="false">IFERROR(VLOOKUP(D463,'Brand manager data '!A:B,2,0))</f>
        <v>#VALUE!</v>
      </c>
      <c r="L463" s="13" t="n">
        <v>0</v>
      </c>
      <c r="M463" s="13" t="str">
        <v>Yes</v>
      </c>
      <c r="N463" s="22"/>
      <c r="Q463" s="40"/>
      <c r="R463" s="13" t="b">
        <f aca="false">FALSE()</f>
        <v>0</v>
      </c>
      <c r="S463" s="13" t="n">
        <v>0</v>
      </c>
      <c r="T463" s="13" t="n">
        <f aca="false">S463*F463</f>
        <v>0</v>
      </c>
      <c r="U463" s="13" t="n">
        <v>0</v>
      </c>
      <c r="V463" s="13" t="n">
        <v>0</v>
      </c>
    </row>
    <row r="464" customFormat="false" ht="15.75" hidden="false" customHeight="false" outlineLevel="0" collapsed="false">
      <c r="A464" s="13" t="n">
        <v>0</v>
      </c>
      <c r="B464" s="13" t="str">
        <v/>
      </c>
      <c r="C464" s="13" t="n">
        <v>0</v>
      </c>
      <c r="D464" s="13" t="n">
        <v>0</v>
      </c>
      <c r="E464" s="13" t="str">
        <v/>
      </c>
      <c r="F464" s="13" t="n">
        <v>0</v>
      </c>
      <c r="G464" s="13" t="n">
        <v>0</v>
      </c>
      <c r="H464" s="13" t="n">
        <v>0</v>
      </c>
      <c r="I464" s="13" t="n">
        <v>0</v>
      </c>
      <c r="J464" s="13" t="b">
        <f aca="false">IF(ISBLANK(I464),"", IF($I$2:$I1461 = "Gohar Rehan","Overnight",IF($I$2:$I1461 = "Taufeeq Akhtar ","Overnight",IF($I$2:$I1461 = "Zeeshan Ali Malik","Audit",IF($I$2:$I1461 = "Ali Raza ","Receiving",IF($I$2:$I1461 = "Ali Ahmad","Full-In"))))))</f>
        <v>0</v>
      </c>
      <c r="K464" s="39" t="e">
        <f aca="false">IFERROR(VLOOKUP(D464,'Brand manager data '!A:B,2,0))</f>
        <v>#VALUE!</v>
      </c>
      <c r="L464" s="13" t="n">
        <v>0</v>
      </c>
      <c r="M464" s="13" t="str">
        <v>Yes</v>
      </c>
      <c r="N464" s="22"/>
      <c r="Q464" s="40"/>
      <c r="R464" s="13" t="b">
        <f aca="false">FALSE()</f>
        <v>0</v>
      </c>
      <c r="S464" s="13" t="n">
        <v>0</v>
      </c>
      <c r="T464" s="13" t="n">
        <f aca="false">S464*F464</f>
        <v>0</v>
      </c>
      <c r="U464" s="13" t="n">
        <v>0</v>
      </c>
      <c r="V464" s="13" t="n">
        <v>0</v>
      </c>
    </row>
    <row r="465" customFormat="false" ht="15.75" hidden="false" customHeight="false" outlineLevel="0" collapsed="false">
      <c r="A465" s="13" t="n">
        <v>0</v>
      </c>
      <c r="B465" s="13" t="str">
        <v/>
      </c>
      <c r="C465" s="13" t="n">
        <v>0</v>
      </c>
      <c r="D465" s="13" t="n">
        <v>0</v>
      </c>
      <c r="E465" s="13" t="str">
        <v/>
      </c>
      <c r="F465" s="13" t="n">
        <v>0</v>
      </c>
      <c r="G465" s="13" t="n">
        <v>0</v>
      </c>
      <c r="H465" s="13" t="n">
        <v>0</v>
      </c>
      <c r="I465" s="13" t="n">
        <v>0</v>
      </c>
      <c r="J465" s="13" t="b">
        <f aca="false">IF(ISBLANK(I465),"", IF($I$2:$I1462 = "Gohar Rehan","Overnight",IF($I$2:$I1462 = "Taufeeq Akhtar ","Overnight",IF($I$2:$I1462 = "Zeeshan Ali Malik","Audit",IF($I$2:$I1462 = "Ali Raza ","Receiving",IF($I$2:$I1462 = "Ali Ahmad","Full-In"))))))</f>
        <v>0</v>
      </c>
      <c r="K465" s="39" t="e">
        <f aca="false">IFERROR(VLOOKUP(D465,'Brand manager data '!A:B,2,0))</f>
        <v>#VALUE!</v>
      </c>
      <c r="L465" s="13" t="n">
        <v>0</v>
      </c>
      <c r="M465" s="13" t="str">
        <v>Yes</v>
      </c>
      <c r="N465" s="22"/>
      <c r="Q465" s="40"/>
      <c r="R465" s="13" t="b">
        <f aca="false">FALSE()</f>
        <v>0</v>
      </c>
      <c r="S465" s="13" t="n">
        <v>0</v>
      </c>
      <c r="T465" s="13" t="n">
        <f aca="false">S465*F465</f>
        <v>0</v>
      </c>
      <c r="U465" s="13" t="n">
        <v>0</v>
      </c>
      <c r="V465" s="13" t="n">
        <v>0</v>
      </c>
    </row>
    <row r="466" customFormat="false" ht="15.75" hidden="false" customHeight="false" outlineLevel="0" collapsed="false">
      <c r="A466" s="13" t="n">
        <v>0</v>
      </c>
      <c r="B466" s="13" t="str">
        <v/>
      </c>
      <c r="C466" s="13" t="n">
        <v>0</v>
      </c>
      <c r="D466" s="13" t="n">
        <v>0</v>
      </c>
      <c r="E466" s="13" t="str">
        <v/>
      </c>
      <c r="F466" s="13" t="n">
        <v>0</v>
      </c>
      <c r="G466" s="13" t="n">
        <v>0</v>
      </c>
      <c r="H466" s="13" t="n">
        <v>0</v>
      </c>
      <c r="I466" s="13" t="n">
        <v>0</v>
      </c>
      <c r="J466" s="13" t="b">
        <f aca="false">IF(ISBLANK(I466),"", IF($I$2:$I1463 = "Gohar Rehan","Overnight",IF($I$2:$I1463 = "Taufeeq Akhtar ","Overnight",IF($I$2:$I1463 = "Zeeshan Ali Malik","Audit",IF($I$2:$I1463 = "Ali Raza ","Receiving",IF($I$2:$I1463 = "Ali Ahmad","Full-In"))))))</f>
        <v>0</v>
      </c>
      <c r="K466" s="39" t="e">
        <f aca="false">IFERROR(VLOOKUP(D466,'Brand manager data '!A:B,2,0))</f>
        <v>#VALUE!</v>
      </c>
      <c r="L466" s="13" t="n">
        <v>0</v>
      </c>
      <c r="M466" s="13" t="str">
        <v>Yes</v>
      </c>
      <c r="N466" s="22"/>
      <c r="Q466" s="40"/>
      <c r="R466" s="13" t="b">
        <f aca="false">FALSE()</f>
        <v>0</v>
      </c>
      <c r="S466" s="13" t="n">
        <v>0</v>
      </c>
      <c r="T466" s="13" t="n">
        <f aca="false">S466*F466</f>
        <v>0</v>
      </c>
      <c r="U466" s="13" t="n">
        <v>0</v>
      </c>
      <c r="V466" s="13" t="n">
        <v>0</v>
      </c>
    </row>
    <row r="467" customFormat="false" ht="15.75" hidden="false" customHeight="false" outlineLevel="0" collapsed="false">
      <c r="A467" s="13" t="n">
        <v>0</v>
      </c>
      <c r="B467" s="13" t="str">
        <v/>
      </c>
      <c r="C467" s="13" t="n">
        <v>0</v>
      </c>
      <c r="D467" s="13" t="n">
        <v>0</v>
      </c>
      <c r="E467" s="13" t="str">
        <v/>
      </c>
      <c r="F467" s="13" t="n">
        <v>0</v>
      </c>
      <c r="G467" s="13" t="n">
        <v>0</v>
      </c>
      <c r="H467" s="13" t="n">
        <v>0</v>
      </c>
      <c r="I467" s="13" t="n">
        <v>0</v>
      </c>
      <c r="J467" s="13" t="b">
        <f aca="false">IF(ISBLANK(I467),"", IF($I$2:$I1464 = "Gohar Rehan","Overnight",IF($I$2:$I1464 = "Taufeeq Akhtar ","Overnight",IF($I$2:$I1464 = "Zeeshan Ali Malik","Audit",IF($I$2:$I1464 = "Ali Raza ","Receiving",IF($I$2:$I1464 = "Ali Ahmad","Full-In"))))))</f>
        <v>0</v>
      </c>
      <c r="K467" s="39" t="e">
        <f aca="false">IFERROR(VLOOKUP(D467,'Brand manager data '!A:B,2,0))</f>
        <v>#VALUE!</v>
      </c>
      <c r="L467" s="13" t="n">
        <v>0</v>
      </c>
      <c r="M467" s="13" t="str">
        <v>Yes</v>
      </c>
      <c r="N467" s="22"/>
      <c r="Q467" s="40"/>
      <c r="R467" s="13" t="b">
        <f aca="false">FALSE()</f>
        <v>0</v>
      </c>
      <c r="S467" s="13" t="n">
        <v>0</v>
      </c>
      <c r="T467" s="13" t="n">
        <f aca="false">S467*F467</f>
        <v>0</v>
      </c>
      <c r="U467" s="13" t="n">
        <v>0</v>
      </c>
      <c r="V467" s="13" t="n">
        <v>0</v>
      </c>
    </row>
    <row r="468" customFormat="false" ht="15.75" hidden="false" customHeight="false" outlineLevel="0" collapsed="false">
      <c r="A468" s="13" t="n">
        <v>0</v>
      </c>
      <c r="B468" s="13" t="str">
        <v/>
      </c>
      <c r="C468" s="13" t="n">
        <v>0</v>
      </c>
      <c r="D468" s="13" t="n">
        <v>0</v>
      </c>
      <c r="E468" s="13" t="str">
        <v/>
      </c>
      <c r="F468" s="13" t="n">
        <v>0</v>
      </c>
      <c r="G468" s="13" t="n">
        <v>0</v>
      </c>
      <c r="H468" s="13" t="n">
        <v>0</v>
      </c>
      <c r="I468" s="13" t="n">
        <v>0</v>
      </c>
      <c r="J468" s="13" t="b">
        <f aca="false">IF(ISBLANK(I468),"", IF($I$2:$I1465 = "Gohar Rehan","Overnight",IF($I$2:$I1465 = "Taufeeq Akhtar ","Overnight",IF($I$2:$I1465 = "Zeeshan Ali Malik","Audit",IF($I$2:$I1465 = "Ali Raza ","Receiving",IF($I$2:$I1465 = "Ali Ahmad","Full-In"))))))</f>
        <v>0</v>
      </c>
      <c r="K468" s="39" t="e">
        <f aca="false">IFERROR(VLOOKUP(D468,'Brand manager data '!A:B,2,0))</f>
        <v>#VALUE!</v>
      </c>
      <c r="L468" s="13" t="n">
        <v>0</v>
      </c>
      <c r="M468" s="13" t="str">
        <v>Yes</v>
      </c>
      <c r="N468" s="22"/>
      <c r="Q468" s="40"/>
      <c r="R468" s="13" t="b">
        <f aca="false">FALSE()</f>
        <v>0</v>
      </c>
      <c r="S468" s="13" t="n">
        <v>0</v>
      </c>
      <c r="T468" s="13" t="n">
        <f aca="false">S468*F468</f>
        <v>0</v>
      </c>
      <c r="U468" s="13" t="n">
        <v>0</v>
      </c>
      <c r="V468" s="13" t="n">
        <v>0</v>
      </c>
    </row>
    <row r="469" customFormat="false" ht="15.75" hidden="false" customHeight="false" outlineLevel="0" collapsed="false">
      <c r="A469" s="13" t="n">
        <v>0</v>
      </c>
      <c r="B469" s="13" t="str">
        <v/>
      </c>
      <c r="C469" s="13" t="n">
        <v>0</v>
      </c>
      <c r="D469" s="13" t="n">
        <v>0</v>
      </c>
      <c r="E469" s="13" t="str">
        <v/>
      </c>
      <c r="F469" s="13" t="n">
        <v>0</v>
      </c>
      <c r="G469" s="13" t="n">
        <v>0</v>
      </c>
      <c r="H469" s="13" t="n">
        <v>0</v>
      </c>
      <c r="I469" s="13" t="n">
        <v>0</v>
      </c>
      <c r="J469" s="13" t="b">
        <f aca="false">IF(ISBLANK(I469),"", IF($I$2:$I1466 = "Gohar Rehan","Overnight",IF($I$2:$I1466 = "Taufeeq Akhtar ","Overnight",IF($I$2:$I1466 = "Zeeshan Ali Malik","Audit",IF($I$2:$I1466 = "Ali Raza ","Receiving",IF($I$2:$I1466 = "Ali Ahmad","Full-In"))))))</f>
        <v>0</v>
      </c>
      <c r="K469" s="39" t="e">
        <f aca="false">IFERROR(VLOOKUP(D469,'Brand manager data '!A:B,2,0))</f>
        <v>#VALUE!</v>
      </c>
      <c r="L469" s="13" t="n">
        <v>0</v>
      </c>
      <c r="M469" s="13" t="str">
        <v>Yes</v>
      </c>
      <c r="N469" s="22"/>
      <c r="Q469" s="40"/>
      <c r="R469" s="13" t="b">
        <f aca="false">FALSE()</f>
        <v>0</v>
      </c>
      <c r="S469" s="13" t="n">
        <v>0</v>
      </c>
      <c r="T469" s="13" t="n">
        <f aca="false">S469*F469</f>
        <v>0</v>
      </c>
      <c r="U469" s="13" t="n">
        <v>0</v>
      </c>
      <c r="V469" s="13" t="n">
        <v>0</v>
      </c>
    </row>
    <row r="470" customFormat="false" ht="15.75" hidden="false" customHeight="false" outlineLevel="0" collapsed="false">
      <c r="A470" s="13" t="n">
        <v>0</v>
      </c>
      <c r="B470" s="13" t="str">
        <v/>
      </c>
      <c r="C470" s="13" t="n">
        <v>0</v>
      </c>
      <c r="D470" s="13" t="n">
        <v>0</v>
      </c>
      <c r="E470" s="13" t="str">
        <v/>
      </c>
      <c r="F470" s="13" t="n">
        <v>0</v>
      </c>
      <c r="G470" s="13" t="n">
        <v>0</v>
      </c>
      <c r="H470" s="13" t="n">
        <v>0</v>
      </c>
      <c r="I470" s="13" t="n">
        <v>0</v>
      </c>
      <c r="J470" s="13" t="b">
        <f aca="false">IF(ISBLANK(I470),"", IF($I$2:$I1467 = "Gohar Rehan","Overnight",IF($I$2:$I1467 = "Taufeeq Akhtar ","Overnight",IF($I$2:$I1467 = "Zeeshan Ali Malik","Audit",IF($I$2:$I1467 = "Ali Raza ","Receiving",IF($I$2:$I1467 = "Ali Ahmad","Full-In"))))))</f>
        <v>0</v>
      </c>
      <c r="K470" s="39" t="e">
        <f aca="false">IFERROR(VLOOKUP(D470,'Brand manager data '!A:B,2,0))</f>
        <v>#VALUE!</v>
      </c>
      <c r="L470" s="13" t="n">
        <v>0</v>
      </c>
      <c r="M470" s="13" t="str">
        <v>Yes</v>
      </c>
      <c r="N470" s="22"/>
      <c r="Q470" s="40"/>
      <c r="R470" s="13" t="b">
        <f aca="false">FALSE()</f>
        <v>0</v>
      </c>
      <c r="S470" s="13" t="n">
        <v>0</v>
      </c>
      <c r="T470" s="13" t="n">
        <f aca="false">S470*F470</f>
        <v>0</v>
      </c>
      <c r="U470" s="13" t="n">
        <v>0</v>
      </c>
      <c r="V470" s="13" t="n">
        <v>0</v>
      </c>
    </row>
    <row r="471" customFormat="false" ht="15.75" hidden="false" customHeight="false" outlineLevel="0" collapsed="false">
      <c r="A471" s="13" t="n">
        <v>0</v>
      </c>
      <c r="B471" s="13" t="str">
        <v/>
      </c>
      <c r="C471" s="13" t="n">
        <v>0</v>
      </c>
      <c r="D471" s="13" t="n">
        <v>0</v>
      </c>
      <c r="E471" s="13" t="str">
        <v/>
      </c>
      <c r="F471" s="13" t="n">
        <v>0</v>
      </c>
      <c r="G471" s="13" t="n">
        <v>0</v>
      </c>
      <c r="H471" s="13" t="n">
        <v>0</v>
      </c>
      <c r="I471" s="13" t="n">
        <v>0</v>
      </c>
      <c r="J471" s="13" t="b">
        <f aca="false">IF(ISBLANK(I471),"", IF($I$2:$I1468 = "Gohar Rehan","Overnight",IF($I$2:$I1468 = "Taufeeq Akhtar ","Overnight",IF($I$2:$I1468 = "Zeeshan Ali Malik","Audit",IF($I$2:$I1468 = "Ali Raza ","Receiving",IF($I$2:$I1468 = "Ali Ahmad","Full-In"))))))</f>
        <v>0</v>
      </c>
      <c r="K471" s="39" t="e">
        <f aca="false">IFERROR(VLOOKUP(D471,'Brand manager data '!A:B,2,0))</f>
        <v>#VALUE!</v>
      </c>
      <c r="L471" s="13" t="n">
        <v>0</v>
      </c>
      <c r="M471" s="13" t="str">
        <v>Yes</v>
      </c>
      <c r="N471" s="22"/>
      <c r="Q471" s="40"/>
      <c r="R471" s="13" t="b">
        <f aca="false">FALSE()</f>
        <v>0</v>
      </c>
      <c r="S471" s="13" t="n">
        <v>0</v>
      </c>
      <c r="T471" s="13" t="n">
        <f aca="false">S471*F471</f>
        <v>0</v>
      </c>
      <c r="U471" s="13" t="n">
        <v>0</v>
      </c>
      <c r="V471" s="13" t="n">
        <v>0</v>
      </c>
    </row>
    <row r="472" customFormat="false" ht="15.75" hidden="false" customHeight="false" outlineLevel="0" collapsed="false">
      <c r="A472" s="13" t="n">
        <v>0</v>
      </c>
      <c r="B472" s="13" t="str">
        <v/>
      </c>
      <c r="C472" s="13" t="n">
        <v>0</v>
      </c>
      <c r="D472" s="13" t="n">
        <v>0</v>
      </c>
      <c r="E472" s="13" t="str">
        <v/>
      </c>
      <c r="F472" s="13" t="n">
        <v>0</v>
      </c>
      <c r="G472" s="13" t="n">
        <v>0</v>
      </c>
      <c r="H472" s="13" t="n">
        <v>0</v>
      </c>
      <c r="I472" s="13" t="n">
        <v>0</v>
      </c>
      <c r="J472" s="13" t="b">
        <f aca="false">IF(ISBLANK(I472),"", IF($I$2:$I1469 = "Gohar Rehan","Overnight",IF($I$2:$I1469 = "Taufeeq Akhtar ","Overnight",IF($I$2:$I1469 = "Zeeshan Ali Malik","Audit",IF($I$2:$I1469 = "Ali Raza ","Receiving",IF($I$2:$I1469 = "Ali Ahmad","Full-In"))))))</f>
        <v>0</v>
      </c>
      <c r="K472" s="39" t="e">
        <f aca="false">IFERROR(VLOOKUP(D472,'Brand manager data '!A:B,2,0))</f>
        <v>#VALUE!</v>
      </c>
      <c r="L472" s="13" t="n">
        <v>0</v>
      </c>
      <c r="M472" s="13" t="str">
        <v>Yes</v>
      </c>
      <c r="N472" s="22"/>
      <c r="Q472" s="40"/>
      <c r="R472" s="13" t="b">
        <f aca="false">FALSE()</f>
        <v>0</v>
      </c>
      <c r="S472" s="13" t="n">
        <v>0</v>
      </c>
      <c r="T472" s="13" t="n">
        <f aca="false">S472*F472</f>
        <v>0</v>
      </c>
      <c r="U472" s="13" t="n">
        <v>0</v>
      </c>
      <c r="V472" s="13" t="n">
        <v>0</v>
      </c>
    </row>
    <row r="473" customFormat="false" ht="15.75" hidden="false" customHeight="false" outlineLevel="0" collapsed="false">
      <c r="A473" s="13" t="n">
        <v>0</v>
      </c>
      <c r="B473" s="13" t="str">
        <v/>
      </c>
      <c r="C473" s="13" t="n">
        <v>0</v>
      </c>
      <c r="D473" s="13" t="n">
        <v>0</v>
      </c>
      <c r="E473" s="13" t="str">
        <v/>
      </c>
      <c r="F473" s="13" t="n">
        <v>0</v>
      </c>
      <c r="G473" s="13" t="n">
        <v>0</v>
      </c>
      <c r="H473" s="13" t="n">
        <v>0</v>
      </c>
      <c r="I473" s="13" t="n">
        <v>0</v>
      </c>
      <c r="J473" s="13" t="b">
        <f aca="false">IF(ISBLANK(I473),"", IF($I$2:$I1470 = "Gohar Rehan","Overnight",IF($I$2:$I1470 = "Taufeeq Akhtar ","Overnight",IF($I$2:$I1470 = "Zeeshan Ali Malik","Audit",IF($I$2:$I1470 = "Ali Raza ","Receiving",IF($I$2:$I1470 = "Ali Ahmad","Full-In"))))))</f>
        <v>0</v>
      </c>
      <c r="K473" s="39" t="e">
        <f aca="false">IFERROR(VLOOKUP(D473,'Brand manager data '!A:B,2,0))</f>
        <v>#VALUE!</v>
      </c>
      <c r="L473" s="13" t="n">
        <v>0</v>
      </c>
      <c r="M473" s="13" t="str">
        <v>Yes</v>
      </c>
      <c r="N473" s="22"/>
      <c r="Q473" s="40"/>
      <c r="R473" s="13" t="b">
        <f aca="false">FALSE()</f>
        <v>0</v>
      </c>
      <c r="S473" s="13" t="n">
        <v>0</v>
      </c>
      <c r="T473" s="13" t="n">
        <f aca="false">S473*F473</f>
        <v>0</v>
      </c>
      <c r="U473" s="13" t="n">
        <v>0</v>
      </c>
      <c r="V473" s="13" t="n">
        <v>0</v>
      </c>
    </row>
    <row r="474" customFormat="false" ht="15.75" hidden="false" customHeight="false" outlineLevel="0" collapsed="false">
      <c r="A474" s="13" t="n">
        <v>0</v>
      </c>
      <c r="B474" s="13" t="str">
        <v/>
      </c>
      <c r="C474" s="13" t="n">
        <v>0</v>
      </c>
      <c r="D474" s="13" t="n">
        <v>0</v>
      </c>
      <c r="E474" s="13" t="str">
        <v/>
      </c>
      <c r="F474" s="13" t="n">
        <v>0</v>
      </c>
      <c r="G474" s="13" t="n">
        <v>0</v>
      </c>
      <c r="H474" s="13" t="n">
        <v>0</v>
      </c>
      <c r="I474" s="13" t="n">
        <v>0</v>
      </c>
      <c r="J474" s="13" t="b">
        <f aca="false">IF(ISBLANK(I474),"", IF($I$2:$I1471 = "Gohar Rehan","Overnight",IF($I$2:$I1471 = "Taufeeq Akhtar ","Overnight",IF($I$2:$I1471 = "Zeeshan Ali Malik","Audit",IF($I$2:$I1471 = "Ali Raza ","Receiving",IF($I$2:$I1471 = "Ali Ahmad","Full-In"))))))</f>
        <v>0</v>
      </c>
      <c r="K474" s="39" t="e">
        <f aca="false">IFERROR(VLOOKUP(D474,'Brand manager data '!A:B,2,0))</f>
        <v>#VALUE!</v>
      </c>
      <c r="L474" s="13" t="n">
        <v>0</v>
      </c>
      <c r="M474" s="13" t="str">
        <v>Yes</v>
      </c>
      <c r="N474" s="22"/>
      <c r="Q474" s="40"/>
      <c r="R474" s="13" t="b">
        <f aca="false">FALSE()</f>
        <v>0</v>
      </c>
      <c r="S474" s="13" t="n">
        <v>0</v>
      </c>
      <c r="T474" s="13" t="n">
        <f aca="false">S474*F474</f>
        <v>0</v>
      </c>
      <c r="U474" s="13" t="n">
        <v>0</v>
      </c>
      <c r="V474" s="13" t="n">
        <v>0</v>
      </c>
    </row>
    <row r="475" customFormat="false" ht="15.75" hidden="false" customHeight="false" outlineLevel="0" collapsed="false">
      <c r="A475" s="13" t="n">
        <v>0</v>
      </c>
      <c r="B475" s="13" t="str">
        <v/>
      </c>
      <c r="C475" s="13" t="n">
        <v>0</v>
      </c>
      <c r="D475" s="13" t="n">
        <v>0</v>
      </c>
      <c r="E475" s="13" t="str">
        <v/>
      </c>
      <c r="F475" s="13" t="n">
        <v>0</v>
      </c>
      <c r="G475" s="13" t="n">
        <v>0</v>
      </c>
      <c r="H475" s="13" t="n">
        <v>0</v>
      </c>
      <c r="I475" s="13" t="n">
        <v>0</v>
      </c>
      <c r="J475" s="13" t="b">
        <f aca="false">IF(ISBLANK(I475),"", IF($I$2:$I1472 = "Gohar Rehan","Overnight",IF($I$2:$I1472 = "Taufeeq Akhtar ","Overnight",IF($I$2:$I1472 = "Zeeshan Ali Malik","Audit",IF($I$2:$I1472 = "Ali Raza ","Receiving",IF($I$2:$I1472 = "Ali Ahmad","Full-In"))))))</f>
        <v>0</v>
      </c>
      <c r="K475" s="39" t="e">
        <f aca="false">IFERROR(VLOOKUP(D475,'Brand manager data '!A:B,2,0))</f>
        <v>#VALUE!</v>
      </c>
      <c r="L475" s="13" t="n">
        <v>0</v>
      </c>
      <c r="M475" s="13" t="str">
        <v>Yes</v>
      </c>
      <c r="N475" s="22"/>
      <c r="Q475" s="40"/>
      <c r="R475" s="13" t="b">
        <f aca="false">FALSE()</f>
        <v>0</v>
      </c>
      <c r="S475" s="13" t="n">
        <v>0</v>
      </c>
      <c r="T475" s="13" t="n">
        <f aca="false">S475*F475</f>
        <v>0</v>
      </c>
      <c r="U475" s="13" t="n">
        <v>0</v>
      </c>
      <c r="V475" s="13" t="n">
        <v>0</v>
      </c>
    </row>
    <row r="476" customFormat="false" ht="15.75" hidden="false" customHeight="false" outlineLevel="0" collapsed="false">
      <c r="A476" s="13" t="n">
        <v>0</v>
      </c>
      <c r="B476" s="13" t="str">
        <v/>
      </c>
      <c r="C476" s="13" t="n">
        <v>0</v>
      </c>
      <c r="D476" s="13" t="n">
        <v>0</v>
      </c>
      <c r="E476" s="13" t="str">
        <v/>
      </c>
      <c r="F476" s="13" t="n">
        <v>0</v>
      </c>
      <c r="G476" s="13" t="n">
        <v>0</v>
      </c>
      <c r="H476" s="13" t="n">
        <v>0</v>
      </c>
      <c r="I476" s="13" t="n">
        <v>0</v>
      </c>
      <c r="J476" s="13" t="b">
        <f aca="false">IF(ISBLANK(I476),"", IF($I$2:$I1473 = "Gohar Rehan","Overnight",IF($I$2:$I1473 = "Taufeeq Akhtar ","Overnight",IF($I$2:$I1473 = "Zeeshan Ali Malik","Audit",IF($I$2:$I1473 = "Ali Raza ","Receiving",IF($I$2:$I1473 = "Ali Ahmad","Full-In"))))))</f>
        <v>0</v>
      </c>
      <c r="K476" s="39" t="e">
        <f aca="false">IFERROR(VLOOKUP(D476,'Brand manager data '!A:B,2,0))</f>
        <v>#VALUE!</v>
      </c>
      <c r="L476" s="13" t="n">
        <v>0</v>
      </c>
      <c r="M476" s="13" t="str">
        <v>Yes</v>
      </c>
      <c r="N476" s="22"/>
      <c r="Q476" s="40"/>
      <c r="R476" s="13" t="b">
        <f aca="false">FALSE()</f>
        <v>0</v>
      </c>
      <c r="S476" s="13" t="n">
        <v>0</v>
      </c>
      <c r="T476" s="13" t="n">
        <f aca="false">S476*F476</f>
        <v>0</v>
      </c>
      <c r="U476" s="13" t="n">
        <v>0</v>
      </c>
      <c r="V476" s="13" t="n">
        <v>0</v>
      </c>
    </row>
    <row r="477" customFormat="false" ht="15.75" hidden="false" customHeight="false" outlineLevel="0" collapsed="false">
      <c r="A477" s="13" t="n">
        <v>0</v>
      </c>
      <c r="B477" s="13" t="str">
        <v/>
      </c>
      <c r="C477" s="13" t="n">
        <v>0</v>
      </c>
      <c r="D477" s="13" t="n">
        <v>0</v>
      </c>
      <c r="E477" s="13" t="str">
        <v/>
      </c>
      <c r="F477" s="13" t="n">
        <v>0</v>
      </c>
      <c r="G477" s="13" t="n">
        <v>0</v>
      </c>
      <c r="H477" s="13" t="n">
        <v>0</v>
      </c>
      <c r="I477" s="13" t="n">
        <v>0</v>
      </c>
      <c r="J477" s="13" t="b">
        <f aca="false">IF(ISBLANK(I477),"", IF($I$2:$I1474 = "Gohar Rehan","Overnight",IF($I$2:$I1474 = "Taufeeq Akhtar ","Overnight",IF($I$2:$I1474 = "Zeeshan Ali Malik","Audit",IF($I$2:$I1474 = "Ali Raza ","Receiving",IF($I$2:$I1474 = "Ali Ahmad","Full-In"))))))</f>
        <v>0</v>
      </c>
      <c r="K477" s="39" t="e">
        <f aca="false">IFERROR(VLOOKUP(D477,'Brand manager data '!A:B,2,0))</f>
        <v>#VALUE!</v>
      </c>
      <c r="L477" s="13" t="n">
        <v>0</v>
      </c>
      <c r="M477" s="13" t="str">
        <v>Yes</v>
      </c>
      <c r="N477" s="22"/>
      <c r="Q477" s="40"/>
      <c r="R477" s="13" t="b">
        <f aca="false">FALSE()</f>
        <v>0</v>
      </c>
      <c r="S477" s="13" t="n">
        <v>0</v>
      </c>
      <c r="T477" s="13" t="n">
        <f aca="false">S477*F477</f>
        <v>0</v>
      </c>
      <c r="U477" s="13" t="n">
        <v>0</v>
      </c>
      <c r="V477" s="13" t="n">
        <v>0</v>
      </c>
    </row>
    <row r="478" customFormat="false" ht="15.75" hidden="false" customHeight="false" outlineLevel="0" collapsed="false">
      <c r="A478" s="13" t="n">
        <v>0</v>
      </c>
      <c r="B478" s="13" t="str">
        <v/>
      </c>
      <c r="C478" s="13" t="n">
        <v>0</v>
      </c>
      <c r="D478" s="13" t="n">
        <v>0</v>
      </c>
      <c r="E478" s="13" t="str">
        <v/>
      </c>
      <c r="F478" s="13" t="n">
        <v>0</v>
      </c>
      <c r="G478" s="13" t="n">
        <v>0</v>
      </c>
      <c r="H478" s="13" t="n">
        <v>0</v>
      </c>
      <c r="I478" s="13" t="n">
        <v>0</v>
      </c>
      <c r="J478" s="13" t="b">
        <f aca="false">IF(ISBLANK(I478),"", IF($I$2:$I1475 = "Gohar Rehan","Overnight",IF($I$2:$I1475 = "Taufeeq Akhtar ","Overnight",IF($I$2:$I1475 = "Zeeshan Ali Malik","Audit",IF($I$2:$I1475 = "Ali Raza ","Receiving",IF($I$2:$I1475 = "Ali Ahmad","Full-In"))))))</f>
        <v>0</v>
      </c>
      <c r="K478" s="39" t="e">
        <f aca="false">IFERROR(VLOOKUP(D478,'Brand manager data '!A:B,2,0))</f>
        <v>#VALUE!</v>
      </c>
      <c r="L478" s="13" t="n">
        <v>0</v>
      </c>
      <c r="M478" s="13" t="str">
        <v>Yes</v>
      </c>
      <c r="N478" s="22"/>
      <c r="Q478" s="40"/>
      <c r="R478" s="13" t="b">
        <f aca="false">FALSE()</f>
        <v>0</v>
      </c>
      <c r="S478" s="13" t="n">
        <v>0</v>
      </c>
      <c r="T478" s="13" t="n">
        <f aca="false">S478*F478</f>
        <v>0</v>
      </c>
      <c r="U478" s="13" t="n">
        <v>0</v>
      </c>
      <c r="V478" s="13" t="n">
        <v>0</v>
      </c>
    </row>
    <row r="479" customFormat="false" ht="15.75" hidden="false" customHeight="false" outlineLevel="0" collapsed="false">
      <c r="A479" s="13" t="n">
        <v>0</v>
      </c>
      <c r="B479" s="13" t="str">
        <v/>
      </c>
      <c r="C479" s="13" t="n">
        <v>0</v>
      </c>
      <c r="D479" s="13" t="n">
        <v>0</v>
      </c>
      <c r="E479" s="13" t="str">
        <v/>
      </c>
      <c r="F479" s="13" t="n">
        <v>0</v>
      </c>
      <c r="G479" s="13" t="n">
        <v>0</v>
      </c>
      <c r="H479" s="13" t="n">
        <v>0</v>
      </c>
      <c r="I479" s="13" t="n">
        <v>0</v>
      </c>
      <c r="J479" s="13" t="b">
        <f aca="false">IF(ISBLANK(I479),"", IF($I$2:$I1476 = "Gohar Rehan","Overnight",IF($I$2:$I1476 = "Taufeeq Akhtar ","Overnight",IF($I$2:$I1476 = "Zeeshan Ali Malik","Audit",IF($I$2:$I1476 = "Ali Raza ","Receiving",IF($I$2:$I1476 = "Ali Ahmad","Full-In"))))))</f>
        <v>0</v>
      </c>
      <c r="K479" s="39" t="e">
        <f aca="false">IFERROR(VLOOKUP(D479,'Brand manager data '!A:B,2,0))</f>
        <v>#VALUE!</v>
      </c>
      <c r="L479" s="13" t="n">
        <v>0</v>
      </c>
      <c r="M479" s="13" t="str">
        <v>Yes</v>
      </c>
      <c r="N479" s="22"/>
      <c r="Q479" s="40"/>
      <c r="R479" s="13" t="b">
        <f aca="false">FALSE()</f>
        <v>0</v>
      </c>
      <c r="S479" s="13" t="n">
        <v>0</v>
      </c>
      <c r="T479" s="13" t="n">
        <f aca="false">S479*F479</f>
        <v>0</v>
      </c>
      <c r="U479" s="13" t="n">
        <v>0</v>
      </c>
      <c r="V479" s="13" t="n">
        <v>0</v>
      </c>
    </row>
    <row r="480" customFormat="false" ht="15.75" hidden="false" customHeight="false" outlineLevel="0" collapsed="false">
      <c r="A480" s="13" t="n">
        <v>0</v>
      </c>
      <c r="B480" s="13" t="str">
        <v/>
      </c>
      <c r="C480" s="13" t="n">
        <v>0</v>
      </c>
      <c r="D480" s="13" t="n">
        <v>0</v>
      </c>
      <c r="E480" s="13" t="str">
        <v/>
      </c>
      <c r="F480" s="13" t="n">
        <v>0</v>
      </c>
      <c r="G480" s="13" t="n">
        <v>0</v>
      </c>
      <c r="H480" s="13" t="n">
        <v>0</v>
      </c>
      <c r="I480" s="13" t="n">
        <v>0</v>
      </c>
      <c r="J480" s="13" t="b">
        <f aca="false">IF(ISBLANK(I480),"", IF($I$2:$I1477 = "Gohar Rehan","Overnight",IF($I$2:$I1477 = "Taufeeq Akhtar ","Overnight",IF($I$2:$I1477 = "Zeeshan Ali Malik","Audit",IF($I$2:$I1477 = "Ali Raza ","Receiving",IF($I$2:$I1477 = "Ali Ahmad","Full-In"))))))</f>
        <v>0</v>
      </c>
      <c r="K480" s="39" t="e">
        <f aca="false">IFERROR(VLOOKUP(D480,'Brand manager data '!A:B,2,0))</f>
        <v>#VALUE!</v>
      </c>
      <c r="L480" s="13" t="n">
        <v>0</v>
      </c>
      <c r="M480" s="13" t="str">
        <v>Yes</v>
      </c>
      <c r="N480" s="22"/>
      <c r="Q480" s="40"/>
      <c r="R480" s="13" t="b">
        <f aca="false">FALSE()</f>
        <v>0</v>
      </c>
      <c r="S480" s="13" t="n">
        <v>0</v>
      </c>
      <c r="T480" s="13" t="n">
        <f aca="false">S480*F480</f>
        <v>0</v>
      </c>
      <c r="U480" s="13" t="n">
        <v>0</v>
      </c>
      <c r="V480" s="13" t="n">
        <v>0</v>
      </c>
    </row>
    <row r="481" customFormat="false" ht="15.75" hidden="false" customHeight="false" outlineLevel="0" collapsed="false">
      <c r="A481" s="13" t="n">
        <v>0</v>
      </c>
      <c r="B481" s="13" t="str">
        <v/>
      </c>
      <c r="C481" s="13" t="n">
        <v>0</v>
      </c>
      <c r="D481" s="13" t="n">
        <v>0</v>
      </c>
      <c r="E481" s="13" t="str">
        <v/>
      </c>
      <c r="F481" s="13" t="n">
        <v>0</v>
      </c>
      <c r="G481" s="13" t="n">
        <v>0</v>
      </c>
      <c r="H481" s="13" t="n">
        <v>0</v>
      </c>
      <c r="I481" s="13" t="n">
        <v>0</v>
      </c>
      <c r="J481" s="13" t="b">
        <f aca="false">IF(ISBLANK(I481),"", IF($I$2:$I1478 = "Gohar Rehan","Overnight",IF($I$2:$I1478 = "Taufeeq Akhtar ","Overnight",IF($I$2:$I1478 = "Zeeshan Ali Malik","Audit",IF($I$2:$I1478 = "Ali Raza ","Receiving",IF($I$2:$I1478 = "Ali Ahmad","Full-In"))))))</f>
        <v>0</v>
      </c>
      <c r="K481" s="39" t="e">
        <f aca="false">IFERROR(VLOOKUP(D481,'Brand manager data '!A:B,2,0))</f>
        <v>#VALUE!</v>
      </c>
      <c r="L481" s="13" t="n">
        <v>0</v>
      </c>
      <c r="M481" s="13" t="str">
        <v>Yes</v>
      </c>
      <c r="N481" s="22"/>
      <c r="Q481" s="40"/>
      <c r="R481" s="13" t="b">
        <f aca="false">FALSE()</f>
        <v>0</v>
      </c>
      <c r="S481" s="13" t="n">
        <v>0</v>
      </c>
      <c r="T481" s="13" t="n">
        <f aca="false">S481*F481</f>
        <v>0</v>
      </c>
      <c r="U481" s="13" t="n">
        <v>0</v>
      </c>
      <c r="V481" s="13" t="n">
        <v>0</v>
      </c>
    </row>
    <row r="482" customFormat="false" ht="15.75" hidden="false" customHeight="false" outlineLevel="0" collapsed="false">
      <c r="A482" s="13" t="n">
        <v>0</v>
      </c>
      <c r="B482" s="13" t="str">
        <v/>
      </c>
      <c r="C482" s="13" t="n">
        <v>0</v>
      </c>
      <c r="D482" s="13" t="n">
        <v>0</v>
      </c>
      <c r="E482" s="13" t="str">
        <v/>
      </c>
      <c r="F482" s="13" t="n">
        <v>0</v>
      </c>
      <c r="G482" s="13" t="n">
        <v>0</v>
      </c>
      <c r="H482" s="13" t="n">
        <v>0</v>
      </c>
      <c r="I482" s="13" t="n">
        <v>0</v>
      </c>
      <c r="J482" s="13" t="b">
        <f aca="false">IF(ISBLANK(I482),"", IF($I$2:$I1479 = "Gohar Rehan","Overnight",IF($I$2:$I1479 = "Taufeeq Akhtar ","Overnight",IF($I$2:$I1479 = "Zeeshan Ali Malik","Audit",IF($I$2:$I1479 = "Ali Raza ","Receiving",IF($I$2:$I1479 = "Ali Ahmad","Full-In"))))))</f>
        <v>0</v>
      </c>
      <c r="K482" s="39" t="e">
        <f aca="false">IFERROR(VLOOKUP(D482,'Brand manager data '!A:B,2,0))</f>
        <v>#VALUE!</v>
      </c>
      <c r="L482" s="13" t="n">
        <v>0</v>
      </c>
      <c r="M482" s="13" t="str">
        <v>Yes</v>
      </c>
      <c r="N482" s="22"/>
      <c r="Q482" s="40"/>
      <c r="R482" s="13" t="b">
        <f aca="false">FALSE()</f>
        <v>0</v>
      </c>
      <c r="S482" s="13" t="n">
        <v>0</v>
      </c>
      <c r="T482" s="13" t="n">
        <f aca="false">S482*F482</f>
        <v>0</v>
      </c>
      <c r="U482" s="13" t="n">
        <v>0</v>
      </c>
      <c r="V482" s="13" t="n">
        <v>0</v>
      </c>
    </row>
    <row r="483" customFormat="false" ht="15.75" hidden="false" customHeight="false" outlineLevel="0" collapsed="false">
      <c r="A483" s="13" t="n">
        <v>0</v>
      </c>
      <c r="B483" s="13" t="str">
        <v/>
      </c>
      <c r="C483" s="13" t="n">
        <v>0</v>
      </c>
      <c r="D483" s="13" t="n">
        <v>0</v>
      </c>
      <c r="E483" s="13" t="str">
        <v/>
      </c>
      <c r="F483" s="13" t="n">
        <v>0</v>
      </c>
      <c r="G483" s="13" t="n">
        <v>0</v>
      </c>
      <c r="H483" s="13" t="n">
        <v>0</v>
      </c>
      <c r="I483" s="13" t="n">
        <v>0</v>
      </c>
      <c r="J483" s="13" t="b">
        <f aca="false">IF(ISBLANK(I483),"", IF($I$2:$I1480 = "Gohar Rehan","Overnight",IF($I$2:$I1480 = "Taufeeq Akhtar ","Overnight",IF($I$2:$I1480 = "Zeeshan Ali Malik","Audit",IF($I$2:$I1480 = "Ali Raza ","Receiving",IF($I$2:$I1480 = "Ali Ahmad","Full-In"))))))</f>
        <v>0</v>
      </c>
      <c r="K483" s="39" t="e">
        <f aca="false">IFERROR(VLOOKUP(D483,'Brand manager data '!A:B,2,0))</f>
        <v>#VALUE!</v>
      </c>
      <c r="L483" s="13" t="n">
        <v>0</v>
      </c>
      <c r="M483" s="13" t="str">
        <v>Yes</v>
      </c>
      <c r="N483" s="22"/>
      <c r="Q483" s="40"/>
      <c r="R483" s="13" t="b">
        <f aca="false">FALSE()</f>
        <v>0</v>
      </c>
      <c r="S483" s="13" t="n">
        <v>0</v>
      </c>
      <c r="T483" s="13" t="n">
        <f aca="false">S483*F483</f>
        <v>0</v>
      </c>
      <c r="U483" s="13" t="n">
        <v>0</v>
      </c>
      <c r="V483" s="13" t="n">
        <v>0</v>
      </c>
    </row>
    <row r="484" customFormat="false" ht="15.75" hidden="false" customHeight="false" outlineLevel="0" collapsed="false">
      <c r="A484" s="13" t="n">
        <v>0</v>
      </c>
      <c r="B484" s="13" t="str">
        <v/>
      </c>
      <c r="C484" s="13" t="n">
        <v>0</v>
      </c>
      <c r="D484" s="13" t="n">
        <v>0</v>
      </c>
      <c r="E484" s="13" t="str">
        <v/>
      </c>
      <c r="F484" s="13" t="n">
        <v>0</v>
      </c>
      <c r="G484" s="13" t="n">
        <v>0</v>
      </c>
      <c r="H484" s="13" t="n">
        <v>0</v>
      </c>
      <c r="I484" s="13" t="n">
        <v>0</v>
      </c>
      <c r="J484" s="13" t="b">
        <f aca="false">IF(ISBLANK(I484),"", IF($I$2:$I1481 = "Gohar Rehan","Overnight",IF($I$2:$I1481 = "Taufeeq Akhtar ","Overnight",IF($I$2:$I1481 = "Zeeshan Ali Malik","Audit",IF($I$2:$I1481 = "Ali Raza ","Receiving",IF($I$2:$I1481 = "Ali Ahmad","Full-In"))))))</f>
        <v>0</v>
      </c>
      <c r="K484" s="39" t="e">
        <f aca="false">IFERROR(VLOOKUP(D484,'Brand manager data '!A:B,2,0))</f>
        <v>#VALUE!</v>
      </c>
      <c r="L484" s="13" t="n">
        <v>0</v>
      </c>
      <c r="M484" s="13" t="str">
        <v>Yes</v>
      </c>
      <c r="N484" s="22"/>
      <c r="Q484" s="40"/>
      <c r="R484" s="13" t="b">
        <f aca="false">FALSE()</f>
        <v>0</v>
      </c>
      <c r="S484" s="13" t="n">
        <v>0</v>
      </c>
      <c r="T484" s="13" t="n">
        <f aca="false">S484*F484</f>
        <v>0</v>
      </c>
      <c r="U484" s="13" t="n">
        <v>0</v>
      </c>
      <c r="V484" s="13" t="n">
        <v>0</v>
      </c>
    </row>
    <row r="485" customFormat="false" ht="15.75" hidden="false" customHeight="false" outlineLevel="0" collapsed="false">
      <c r="A485" s="13" t="n">
        <v>0</v>
      </c>
      <c r="B485" s="13" t="str">
        <v/>
      </c>
      <c r="C485" s="13" t="n">
        <v>0</v>
      </c>
      <c r="D485" s="13" t="n">
        <v>0</v>
      </c>
      <c r="E485" s="13" t="str">
        <v/>
      </c>
      <c r="F485" s="13" t="n">
        <v>0</v>
      </c>
      <c r="G485" s="13" t="n">
        <v>0</v>
      </c>
      <c r="H485" s="13" t="n">
        <v>0</v>
      </c>
      <c r="I485" s="13" t="n">
        <v>0</v>
      </c>
      <c r="J485" s="13" t="b">
        <f aca="false">IF(ISBLANK(I485),"", IF($I$2:$I1482 = "Gohar Rehan","Overnight",IF($I$2:$I1482 = "Taufeeq Akhtar ","Overnight",IF($I$2:$I1482 = "Zeeshan Ali Malik","Audit",IF($I$2:$I1482 = "Ali Raza ","Receiving",IF($I$2:$I1482 = "Ali Ahmad","Full-In"))))))</f>
        <v>0</v>
      </c>
      <c r="K485" s="39" t="e">
        <f aca="false">IFERROR(VLOOKUP(D485,'Brand manager data '!A:B,2,0))</f>
        <v>#VALUE!</v>
      </c>
      <c r="L485" s="13" t="n">
        <v>0</v>
      </c>
      <c r="M485" s="13" t="str">
        <v>Yes</v>
      </c>
      <c r="N485" s="22"/>
      <c r="Q485" s="40"/>
      <c r="R485" s="13" t="b">
        <f aca="false">FALSE()</f>
        <v>0</v>
      </c>
      <c r="S485" s="13" t="n">
        <v>0</v>
      </c>
      <c r="T485" s="13" t="n">
        <f aca="false">S485*F485</f>
        <v>0</v>
      </c>
      <c r="U485" s="13" t="n">
        <v>0</v>
      </c>
      <c r="V485" s="13" t="n">
        <v>0</v>
      </c>
    </row>
    <row r="486" customFormat="false" ht="15.75" hidden="false" customHeight="false" outlineLevel="0" collapsed="false">
      <c r="A486" s="13" t="n">
        <v>0</v>
      </c>
      <c r="B486" s="13" t="str">
        <v/>
      </c>
      <c r="C486" s="13" t="n">
        <v>0</v>
      </c>
      <c r="D486" s="13" t="n">
        <v>0</v>
      </c>
      <c r="E486" s="13" t="str">
        <v/>
      </c>
      <c r="F486" s="13" t="n">
        <v>0</v>
      </c>
      <c r="G486" s="13" t="n">
        <v>0</v>
      </c>
      <c r="H486" s="13" t="n">
        <v>0</v>
      </c>
      <c r="I486" s="13" t="n">
        <v>0</v>
      </c>
      <c r="J486" s="13" t="b">
        <f aca="false">IF(ISBLANK(I486),"", IF($I$2:$I1483 = "Gohar Rehan","Overnight",IF($I$2:$I1483 = "Taufeeq Akhtar ","Overnight",IF($I$2:$I1483 = "Zeeshan Ali Malik","Audit",IF($I$2:$I1483 = "Ali Raza ","Receiving",IF($I$2:$I1483 = "Ali Ahmad","Full-In"))))))</f>
        <v>0</v>
      </c>
      <c r="K486" s="39" t="e">
        <f aca="false">IFERROR(VLOOKUP(D486,'Brand manager data '!A:B,2,0))</f>
        <v>#VALUE!</v>
      </c>
      <c r="L486" s="13" t="n">
        <v>0</v>
      </c>
      <c r="M486" s="13" t="str">
        <v>Yes</v>
      </c>
      <c r="N486" s="22"/>
      <c r="Q486" s="40"/>
      <c r="R486" s="13" t="b">
        <f aca="false">FALSE()</f>
        <v>0</v>
      </c>
      <c r="S486" s="13" t="n">
        <v>0</v>
      </c>
      <c r="T486" s="13" t="n">
        <f aca="false">S486*F486</f>
        <v>0</v>
      </c>
      <c r="U486" s="13" t="n">
        <v>0</v>
      </c>
      <c r="V486" s="13" t="n">
        <v>0</v>
      </c>
    </row>
    <row r="487" customFormat="false" ht="15.75" hidden="false" customHeight="false" outlineLevel="0" collapsed="false">
      <c r="A487" s="13" t="n">
        <v>0</v>
      </c>
      <c r="B487" s="13" t="str">
        <v/>
      </c>
      <c r="C487" s="13" t="n">
        <v>0</v>
      </c>
      <c r="D487" s="13" t="n">
        <v>0</v>
      </c>
      <c r="E487" s="13" t="str">
        <v/>
      </c>
      <c r="F487" s="13" t="n">
        <v>0</v>
      </c>
      <c r="G487" s="13" t="n">
        <v>0</v>
      </c>
      <c r="H487" s="13" t="n">
        <v>0</v>
      </c>
      <c r="I487" s="13" t="n">
        <v>0</v>
      </c>
      <c r="J487" s="13" t="b">
        <f aca="false">IF(ISBLANK(I487),"", IF($I$2:$I1484 = "Gohar Rehan","Overnight",IF($I$2:$I1484 = "Taufeeq Akhtar ","Overnight",IF($I$2:$I1484 = "Zeeshan Ali Malik","Audit",IF($I$2:$I1484 = "Ali Raza ","Receiving",IF($I$2:$I1484 = "Ali Ahmad","Full-In"))))))</f>
        <v>0</v>
      </c>
      <c r="K487" s="39" t="e">
        <f aca="false">IFERROR(VLOOKUP(D487,'Brand manager data '!A:B,2,0))</f>
        <v>#VALUE!</v>
      </c>
      <c r="L487" s="13" t="n">
        <v>0</v>
      </c>
      <c r="M487" s="13" t="str">
        <v>Yes</v>
      </c>
      <c r="N487" s="22"/>
      <c r="Q487" s="40"/>
      <c r="R487" s="13" t="b">
        <f aca="false">FALSE()</f>
        <v>0</v>
      </c>
      <c r="S487" s="13" t="n">
        <v>0</v>
      </c>
      <c r="T487" s="13" t="n">
        <f aca="false">S487*F487</f>
        <v>0</v>
      </c>
      <c r="U487" s="13" t="n">
        <v>0</v>
      </c>
      <c r="V487" s="13" t="n">
        <v>0</v>
      </c>
    </row>
    <row r="488" customFormat="false" ht="15.75" hidden="false" customHeight="false" outlineLevel="0" collapsed="false">
      <c r="A488" s="13" t="n">
        <v>0</v>
      </c>
      <c r="B488" s="13" t="str">
        <v/>
      </c>
      <c r="C488" s="13" t="n">
        <v>0</v>
      </c>
      <c r="D488" s="13" t="n">
        <v>0</v>
      </c>
      <c r="E488" s="13" t="str">
        <v/>
      </c>
      <c r="F488" s="13" t="n">
        <v>0</v>
      </c>
      <c r="G488" s="13" t="n">
        <v>0</v>
      </c>
      <c r="H488" s="13" t="n">
        <v>0</v>
      </c>
      <c r="I488" s="13" t="n">
        <v>0</v>
      </c>
      <c r="J488" s="13" t="b">
        <f aca="false">IF(ISBLANK(I488),"", IF($I$2:$I1485 = "Gohar Rehan","Overnight",IF($I$2:$I1485 = "Taufeeq Akhtar ","Overnight",IF($I$2:$I1485 = "Zeeshan Ali Malik","Audit",IF($I$2:$I1485 = "Ali Raza ","Receiving",IF($I$2:$I1485 = "Ali Ahmad","Full-In"))))))</f>
        <v>0</v>
      </c>
      <c r="K488" s="39" t="e">
        <f aca="false">IFERROR(VLOOKUP(D488,'Brand manager data '!A:B,2,0))</f>
        <v>#VALUE!</v>
      </c>
      <c r="L488" s="13" t="n">
        <v>0</v>
      </c>
      <c r="M488" s="13" t="str">
        <v>Yes</v>
      </c>
      <c r="N488" s="22"/>
      <c r="Q488" s="40"/>
      <c r="R488" s="13" t="b">
        <f aca="false">FALSE()</f>
        <v>0</v>
      </c>
      <c r="S488" s="13" t="n">
        <v>0</v>
      </c>
      <c r="T488" s="13" t="n">
        <f aca="false">S488*F488</f>
        <v>0</v>
      </c>
      <c r="U488" s="13" t="n">
        <v>0</v>
      </c>
      <c r="V488" s="13" t="n">
        <v>0</v>
      </c>
    </row>
    <row r="489" customFormat="false" ht="15.75" hidden="false" customHeight="false" outlineLevel="0" collapsed="false">
      <c r="A489" s="13" t="n">
        <v>0</v>
      </c>
      <c r="B489" s="13" t="str">
        <v/>
      </c>
      <c r="C489" s="13" t="n">
        <v>0</v>
      </c>
      <c r="D489" s="13" t="n">
        <v>0</v>
      </c>
      <c r="E489" s="13" t="str">
        <v/>
      </c>
      <c r="F489" s="13" t="n">
        <v>0</v>
      </c>
      <c r="G489" s="13" t="n">
        <v>0</v>
      </c>
      <c r="H489" s="13" t="n">
        <v>0</v>
      </c>
      <c r="I489" s="13" t="n">
        <v>0</v>
      </c>
      <c r="J489" s="13" t="b">
        <f aca="false">IF(ISBLANK(I489),"", IF($I$2:$I1486 = "Gohar Rehan","Overnight",IF($I$2:$I1486 = "Taufeeq Akhtar ","Overnight",IF($I$2:$I1486 = "Zeeshan Ali Malik","Audit",IF($I$2:$I1486 = "Ali Raza ","Receiving",IF($I$2:$I1486 = "Ali Ahmad","Full-In"))))))</f>
        <v>0</v>
      </c>
      <c r="K489" s="39" t="e">
        <f aca="false">IFERROR(VLOOKUP(D489,'Brand manager data '!A:B,2,0))</f>
        <v>#VALUE!</v>
      </c>
      <c r="L489" s="13" t="n">
        <v>0</v>
      </c>
      <c r="M489" s="13" t="str">
        <v>Yes</v>
      </c>
      <c r="N489" s="22"/>
      <c r="Q489" s="40"/>
      <c r="R489" s="13" t="b">
        <f aca="false">FALSE()</f>
        <v>0</v>
      </c>
      <c r="S489" s="13" t="n">
        <v>0</v>
      </c>
      <c r="T489" s="13" t="n">
        <f aca="false">S489*F489</f>
        <v>0</v>
      </c>
      <c r="U489" s="13" t="n">
        <v>0</v>
      </c>
      <c r="V489" s="13" t="n">
        <v>0</v>
      </c>
    </row>
    <row r="490" customFormat="false" ht="15.75" hidden="false" customHeight="false" outlineLevel="0" collapsed="false">
      <c r="A490" s="13" t="n">
        <v>0</v>
      </c>
      <c r="B490" s="13" t="str">
        <v/>
      </c>
      <c r="C490" s="13" t="n">
        <v>0</v>
      </c>
      <c r="D490" s="13" t="n">
        <v>0</v>
      </c>
      <c r="E490" s="13" t="str">
        <v/>
      </c>
      <c r="F490" s="13" t="n">
        <v>0</v>
      </c>
      <c r="G490" s="13" t="n">
        <v>0</v>
      </c>
      <c r="H490" s="13" t="n">
        <v>0</v>
      </c>
      <c r="I490" s="13" t="n">
        <v>0</v>
      </c>
      <c r="J490" s="13" t="b">
        <f aca="false">IF(ISBLANK(I490),"", IF($I$2:$I1487 = "Gohar Rehan","Overnight",IF($I$2:$I1487 = "Taufeeq Akhtar ","Overnight",IF($I$2:$I1487 = "Zeeshan Ali Malik","Audit",IF($I$2:$I1487 = "Ali Raza ","Receiving",IF($I$2:$I1487 = "Ali Ahmad","Full-In"))))))</f>
        <v>0</v>
      </c>
      <c r="K490" s="39" t="e">
        <f aca="false">IFERROR(VLOOKUP(D490,'Brand manager data '!A:B,2,0))</f>
        <v>#VALUE!</v>
      </c>
      <c r="L490" s="13" t="n">
        <v>0</v>
      </c>
      <c r="M490" s="13" t="str">
        <v>Yes</v>
      </c>
      <c r="N490" s="22"/>
      <c r="Q490" s="40"/>
      <c r="R490" s="13" t="b">
        <f aca="false">FALSE()</f>
        <v>0</v>
      </c>
      <c r="S490" s="13" t="n">
        <v>0</v>
      </c>
      <c r="T490" s="13" t="n">
        <f aca="false">S490*F490</f>
        <v>0</v>
      </c>
      <c r="U490" s="13" t="n">
        <v>0</v>
      </c>
      <c r="V490" s="13" t="n">
        <v>0</v>
      </c>
    </row>
    <row r="491" customFormat="false" ht="15.75" hidden="false" customHeight="false" outlineLevel="0" collapsed="false">
      <c r="A491" s="13" t="n">
        <v>0</v>
      </c>
      <c r="B491" s="13" t="str">
        <v/>
      </c>
      <c r="C491" s="13" t="n">
        <v>0</v>
      </c>
      <c r="D491" s="13" t="n">
        <v>0</v>
      </c>
      <c r="E491" s="13" t="str">
        <v/>
      </c>
      <c r="F491" s="13" t="n">
        <v>0</v>
      </c>
      <c r="G491" s="13" t="n">
        <v>0</v>
      </c>
      <c r="H491" s="13" t="n">
        <v>0</v>
      </c>
      <c r="I491" s="13" t="n">
        <v>0</v>
      </c>
      <c r="J491" s="13" t="b">
        <f aca="false">IF(ISBLANK(I491),"", IF($I$2:$I1488 = "Gohar Rehan","Overnight",IF($I$2:$I1488 = "Taufeeq Akhtar ","Overnight",IF($I$2:$I1488 = "Zeeshan Ali Malik","Audit",IF($I$2:$I1488 = "Ali Raza ","Receiving",IF($I$2:$I1488 = "Ali Ahmad","Full-In"))))))</f>
        <v>0</v>
      </c>
      <c r="K491" s="39" t="e">
        <f aca="false">IFERROR(VLOOKUP(D491,'Brand manager data '!A:B,2,0))</f>
        <v>#VALUE!</v>
      </c>
      <c r="L491" s="13" t="n">
        <v>0</v>
      </c>
      <c r="M491" s="13" t="str">
        <v>Yes</v>
      </c>
      <c r="N491" s="22"/>
      <c r="Q491" s="40"/>
      <c r="R491" s="13" t="b">
        <f aca="false">FALSE()</f>
        <v>0</v>
      </c>
      <c r="S491" s="13" t="n">
        <v>0</v>
      </c>
      <c r="T491" s="13" t="n">
        <f aca="false">S491*F491</f>
        <v>0</v>
      </c>
      <c r="U491" s="13" t="n">
        <v>0</v>
      </c>
      <c r="V491" s="13" t="n">
        <v>0</v>
      </c>
    </row>
    <row r="492" customFormat="false" ht="15.75" hidden="false" customHeight="false" outlineLevel="0" collapsed="false">
      <c r="A492" s="13" t="n">
        <v>0</v>
      </c>
      <c r="B492" s="13" t="str">
        <v/>
      </c>
      <c r="C492" s="13" t="n">
        <v>0</v>
      </c>
      <c r="D492" s="13" t="n">
        <v>0</v>
      </c>
      <c r="E492" s="13" t="str">
        <v/>
      </c>
      <c r="F492" s="13" t="n">
        <v>0</v>
      </c>
      <c r="G492" s="13" t="n">
        <v>0</v>
      </c>
      <c r="H492" s="13" t="n">
        <v>0</v>
      </c>
      <c r="I492" s="13" t="n">
        <v>0</v>
      </c>
      <c r="J492" s="13" t="b">
        <f aca="false">IF(ISBLANK(I492),"", IF($I$2:$I1489 = "Gohar Rehan","Overnight",IF($I$2:$I1489 = "Taufeeq Akhtar ","Overnight",IF($I$2:$I1489 = "Zeeshan Ali Malik","Audit",IF($I$2:$I1489 = "Ali Raza ","Receiving",IF($I$2:$I1489 = "Ali Ahmad","Full-In"))))))</f>
        <v>0</v>
      </c>
      <c r="K492" s="39" t="e">
        <f aca="false">IFERROR(VLOOKUP(D492,'Brand manager data '!A:B,2,0))</f>
        <v>#VALUE!</v>
      </c>
      <c r="L492" s="13" t="n">
        <v>0</v>
      </c>
      <c r="M492" s="13" t="str">
        <v>Yes</v>
      </c>
      <c r="N492" s="22"/>
      <c r="Q492" s="40"/>
      <c r="R492" s="13" t="b">
        <f aca="false">FALSE()</f>
        <v>0</v>
      </c>
      <c r="S492" s="13" t="n">
        <v>0</v>
      </c>
      <c r="T492" s="13" t="n">
        <f aca="false">S492*F492</f>
        <v>0</v>
      </c>
      <c r="U492" s="13" t="n">
        <v>0</v>
      </c>
      <c r="V492" s="13" t="n">
        <v>0</v>
      </c>
    </row>
    <row r="493" customFormat="false" ht="15.75" hidden="false" customHeight="false" outlineLevel="0" collapsed="false">
      <c r="A493" s="13" t="n">
        <v>0</v>
      </c>
      <c r="B493" s="13" t="str">
        <v/>
      </c>
      <c r="C493" s="13" t="n">
        <v>0</v>
      </c>
      <c r="D493" s="13" t="n">
        <v>0</v>
      </c>
      <c r="E493" s="13" t="str">
        <v/>
      </c>
      <c r="F493" s="13" t="n">
        <v>0</v>
      </c>
      <c r="G493" s="13" t="n">
        <v>0</v>
      </c>
      <c r="H493" s="13" t="n">
        <v>0</v>
      </c>
      <c r="I493" s="13" t="n">
        <v>0</v>
      </c>
      <c r="J493" s="13" t="b">
        <f aca="false">IF(ISBLANK(I493),"", IF($I$2:$I1490 = "Gohar Rehan","Overnight",IF($I$2:$I1490 = "Taufeeq Akhtar ","Overnight",IF($I$2:$I1490 = "Zeeshan Ali Malik","Audit",IF($I$2:$I1490 = "Ali Raza ","Receiving",IF($I$2:$I1490 = "Ali Ahmad","Full-In"))))))</f>
        <v>0</v>
      </c>
      <c r="K493" s="39" t="e">
        <f aca="false">IFERROR(VLOOKUP(D493,'Brand manager data '!A:B,2,0))</f>
        <v>#VALUE!</v>
      </c>
      <c r="L493" s="13" t="n">
        <v>0</v>
      </c>
      <c r="M493" s="13" t="str">
        <v>Yes</v>
      </c>
      <c r="N493" s="22"/>
      <c r="Q493" s="40"/>
      <c r="R493" s="13" t="b">
        <f aca="false">FALSE()</f>
        <v>0</v>
      </c>
      <c r="S493" s="13" t="n">
        <v>0</v>
      </c>
      <c r="T493" s="13" t="n">
        <f aca="false">S493*F493</f>
        <v>0</v>
      </c>
      <c r="U493" s="13" t="n">
        <v>0</v>
      </c>
      <c r="V493" s="13" t="n">
        <v>0</v>
      </c>
    </row>
    <row r="494" customFormat="false" ht="15.75" hidden="false" customHeight="false" outlineLevel="0" collapsed="false">
      <c r="A494" s="13" t="n">
        <v>0</v>
      </c>
      <c r="B494" s="13" t="str">
        <v/>
      </c>
      <c r="C494" s="13" t="n">
        <v>0</v>
      </c>
      <c r="D494" s="13" t="n">
        <v>0</v>
      </c>
      <c r="E494" s="13" t="str">
        <v/>
      </c>
      <c r="F494" s="13" t="n">
        <v>0</v>
      </c>
      <c r="G494" s="13" t="n">
        <v>0</v>
      </c>
      <c r="H494" s="13" t="n">
        <v>0</v>
      </c>
      <c r="I494" s="13" t="n">
        <v>0</v>
      </c>
      <c r="J494" s="13" t="b">
        <f aca="false">IF(ISBLANK(I494),"", IF($I$2:$I1491 = "Gohar Rehan","Overnight",IF($I$2:$I1491 = "Taufeeq Akhtar ","Overnight",IF($I$2:$I1491 = "Zeeshan Ali Malik","Audit",IF($I$2:$I1491 = "Ali Raza ","Receiving",IF($I$2:$I1491 = "Ali Ahmad","Full-In"))))))</f>
        <v>0</v>
      </c>
      <c r="K494" s="39" t="e">
        <f aca="false">IFERROR(VLOOKUP(D494,'Brand manager data '!A:B,2,0))</f>
        <v>#VALUE!</v>
      </c>
      <c r="L494" s="13" t="n">
        <v>0</v>
      </c>
      <c r="M494" s="13" t="str">
        <v>Yes</v>
      </c>
      <c r="N494" s="22"/>
      <c r="Q494" s="40"/>
      <c r="R494" s="13" t="b">
        <f aca="false">FALSE()</f>
        <v>0</v>
      </c>
      <c r="S494" s="13" t="n">
        <v>0</v>
      </c>
      <c r="T494" s="13" t="n">
        <f aca="false">S494*F494</f>
        <v>0</v>
      </c>
      <c r="U494" s="13" t="n">
        <v>0</v>
      </c>
      <c r="V494" s="13" t="n">
        <v>0</v>
      </c>
    </row>
    <row r="495" customFormat="false" ht="15.75" hidden="false" customHeight="false" outlineLevel="0" collapsed="false">
      <c r="A495" s="13" t="n">
        <v>0</v>
      </c>
      <c r="B495" s="13" t="str">
        <v/>
      </c>
      <c r="C495" s="13" t="n">
        <v>0</v>
      </c>
      <c r="D495" s="13" t="n">
        <v>0</v>
      </c>
      <c r="E495" s="13" t="str">
        <v/>
      </c>
      <c r="F495" s="13" t="n">
        <v>0</v>
      </c>
      <c r="G495" s="13" t="n">
        <v>0</v>
      </c>
      <c r="H495" s="13" t="n">
        <v>0</v>
      </c>
      <c r="I495" s="13" t="n">
        <v>0</v>
      </c>
      <c r="J495" s="13" t="b">
        <f aca="false">IF(ISBLANK(I495),"", IF($I$2:$I1492 = "Gohar Rehan","Overnight",IF($I$2:$I1492 = "Taufeeq Akhtar ","Overnight",IF($I$2:$I1492 = "Zeeshan Ali Malik","Audit",IF($I$2:$I1492 = "Ali Raza ","Receiving",IF($I$2:$I1492 = "Ali Ahmad","Full-In"))))))</f>
        <v>0</v>
      </c>
      <c r="K495" s="39" t="e">
        <f aca="false">IFERROR(VLOOKUP(D495,'Brand manager data '!A:B,2,0))</f>
        <v>#VALUE!</v>
      </c>
      <c r="L495" s="13" t="n">
        <v>0</v>
      </c>
      <c r="M495" s="13" t="str">
        <v>Yes</v>
      </c>
      <c r="N495" s="22"/>
      <c r="Q495" s="40"/>
      <c r="R495" s="13" t="b">
        <f aca="false">FALSE()</f>
        <v>0</v>
      </c>
      <c r="S495" s="13" t="n">
        <v>0</v>
      </c>
      <c r="T495" s="13" t="n">
        <f aca="false">S495*F495</f>
        <v>0</v>
      </c>
      <c r="U495" s="13" t="n">
        <v>0</v>
      </c>
      <c r="V495" s="13" t="n">
        <v>0</v>
      </c>
    </row>
    <row r="496" customFormat="false" ht="15.75" hidden="false" customHeight="false" outlineLevel="0" collapsed="false">
      <c r="A496" s="13" t="n">
        <v>0</v>
      </c>
      <c r="B496" s="13" t="str">
        <v/>
      </c>
      <c r="C496" s="13" t="n">
        <v>0</v>
      </c>
      <c r="D496" s="13" t="n">
        <v>0</v>
      </c>
      <c r="E496" s="13" t="str">
        <v/>
      </c>
      <c r="F496" s="13" t="n">
        <v>0</v>
      </c>
      <c r="G496" s="13" t="n">
        <v>0</v>
      </c>
      <c r="H496" s="13" t="n">
        <v>0</v>
      </c>
      <c r="I496" s="13" t="n">
        <v>0</v>
      </c>
      <c r="J496" s="13" t="b">
        <f aca="false">IF(ISBLANK(I496),"", IF($I$2:$I1493 = "Gohar Rehan","Overnight",IF($I$2:$I1493 = "Taufeeq Akhtar ","Overnight",IF($I$2:$I1493 = "Zeeshan Ali Malik","Audit",IF($I$2:$I1493 = "Ali Raza ","Receiving",IF($I$2:$I1493 = "Ali Ahmad","Full-In"))))))</f>
        <v>0</v>
      </c>
      <c r="K496" s="39" t="e">
        <f aca="false">IFERROR(VLOOKUP(D496,'Brand manager data '!A:B,2,0))</f>
        <v>#VALUE!</v>
      </c>
      <c r="L496" s="13" t="n">
        <v>0</v>
      </c>
      <c r="M496" s="13" t="str">
        <v>Yes</v>
      </c>
      <c r="N496" s="22"/>
      <c r="Q496" s="40"/>
      <c r="R496" s="13" t="b">
        <f aca="false">FALSE()</f>
        <v>0</v>
      </c>
      <c r="S496" s="13" t="n">
        <v>0</v>
      </c>
      <c r="T496" s="13" t="n">
        <f aca="false">S496*F496</f>
        <v>0</v>
      </c>
      <c r="U496" s="13" t="n">
        <v>0</v>
      </c>
      <c r="V496" s="13" t="n">
        <v>0</v>
      </c>
    </row>
    <row r="497" customFormat="false" ht="15.75" hidden="false" customHeight="false" outlineLevel="0" collapsed="false">
      <c r="A497" s="13" t="n">
        <v>0</v>
      </c>
      <c r="B497" s="13" t="str">
        <v/>
      </c>
      <c r="C497" s="13" t="n">
        <v>0</v>
      </c>
      <c r="D497" s="13" t="n">
        <v>0</v>
      </c>
      <c r="E497" s="13" t="str">
        <v/>
      </c>
      <c r="F497" s="13" t="n">
        <v>0</v>
      </c>
      <c r="G497" s="13" t="n">
        <v>0</v>
      </c>
      <c r="H497" s="13" t="n">
        <v>0</v>
      </c>
      <c r="I497" s="13" t="n">
        <v>0</v>
      </c>
      <c r="J497" s="13" t="b">
        <f aca="false">IF(ISBLANK(I497),"", IF($I$2:$I1494 = "Gohar Rehan","Overnight",IF($I$2:$I1494 = "Taufeeq Akhtar ","Overnight",IF($I$2:$I1494 = "Zeeshan Ali Malik","Audit",IF($I$2:$I1494 = "Ali Raza ","Receiving",IF($I$2:$I1494 = "Ali Ahmad","Full-In"))))))</f>
        <v>0</v>
      </c>
      <c r="K497" s="39" t="e">
        <f aca="false">IFERROR(VLOOKUP(D497,'Brand manager data '!A:B,2,0))</f>
        <v>#VALUE!</v>
      </c>
      <c r="L497" s="13" t="n">
        <v>0</v>
      </c>
      <c r="M497" s="13" t="str">
        <v>Yes</v>
      </c>
      <c r="N497" s="22"/>
      <c r="Q497" s="40"/>
      <c r="R497" s="13" t="b">
        <f aca="false">FALSE()</f>
        <v>0</v>
      </c>
      <c r="S497" s="13" t="n">
        <v>0</v>
      </c>
      <c r="T497" s="13" t="n">
        <f aca="false">S497*F497</f>
        <v>0</v>
      </c>
      <c r="U497" s="13" t="n">
        <v>0</v>
      </c>
      <c r="V497" s="13" t="n">
        <v>0</v>
      </c>
    </row>
    <row r="498" customFormat="false" ht="15.75" hidden="false" customHeight="false" outlineLevel="0" collapsed="false">
      <c r="A498" s="13" t="n">
        <v>0</v>
      </c>
      <c r="B498" s="13" t="str">
        <v/>
      </c>
      <c r="C498" s="13" t="n">
        <v>0</v>
      </c>
      <c r="D498" s="13" t="n">
        <v>0</v>
      </c>
      <c r="E498" s="13" t="str">
        <v/>
      </c>
      <c r="F498" s="13" t="n">
        <v>0</v>
      </c>
      <c r="G498" s="13" t="n">
        <v>0</v>
      </c>
      <c r="H498" s="13" t="n">
        <v>0</v>
      </c>
      <c r="I498" s="13" t="n">
        <v>0</v>
      </c>
      <c r="J498" s="13" t="b">
        <f aca="false">IF(ISBLANK(I498),"", IF($I$2:$I1495 = "Gohar Rehan","Overnight",IF($I$2:$I1495 = "Taufeeq Akhtar ","Overnight",IF($I$2:$I1495 = "Zeeshan Ali Malik","Audit",IF($I$2:$I1495 = "Ali Raza ","Receiving",IF($I$2:$I1495 = "Ali Ahmad","Full-In"))))))</f>
        <v>0</v>
      </c>
      <c r="K498" s="39" t="e">
        <f aca="false">IFERROR(VLOOKUP(D498,'Brand manager data '!A:B,2,0))</f>
        <v>#VALUE!</v>
      </c>
      <c r="L498" s="13" t="n">
        <v>0</v>
      </c>
      <c r="M498" s="13" t="str">
        <v>Yes</v>
      </c>
      <c r="N498" s="22"/>
      <c r="Q498" s="40"/>
      <c r="R498" s="13" t="b">
        <f aca="false">FALSE()</f>
        <v>0</v>
      </c>
      <c r="S498" s="13" t="n">
        <v>0</v>
      </c>
      <c r="T498" s="13" t="n">
        <f aca="false">S498*F498</f>
        <v>0</v>
      </c>
      <c r="U498" s="13" t="n">
        <v>0</v>
      </c>
      <c r="V498" s="13" t="n">
        <v>0</v>
      </c>
    </row>
    <row r="499" customFormat="false" ht="15.75" hidden="false" customHeight="false" outlineLevel="0" collapsed="false">
      <c r="A499" s="13" t="n">
        <v>0</v>
      </c>
      <c r="B499" s="13" t="str">
        <v/>
      </c>
      <c r="C499" s="13" t="n">
        <v>0</v>
      </c>
      <c r="D499" s="13" t="n">
        <v>0</v>
      </c>
      <c r="E499" s="13" t="str">
        <v/>
      </c>
      <c r="F499" s="13" t="n">
        <v>0</v>
      </c>
      <c r="G499" s="13" t="n">
        <v>0</v>
      </c>
      <c r="H499" s="13" t="n">
        <v>0</v>
      </c>
      <c r="I499" s="13" t="n">
        <v>0</v>
      </c>
      <c r="J499" s="13" t="b">
        <f aca="false">IF(ISBLANK(I499),"", IF($I$2:$I1496 = "Gohar Rehan","Overnight",IF($I$2:$I1496 = "Taufeeq Akhtar ","Overnight",IF($I$2:$I1496 = "Zeeshan Ali Malik","Audit",IF($I$2:$I1496 = "Ali Raza ","Receiving",IF($I$2:$I1496 = "Ali Ahmad","Full-In"))))))</f>
        <v>0</v>
      </c>
      <c r="K499" s="39" t="e">
        <f aca="false">IFERROR(VLOOKUP(D499,'Brand manager data '!A:B,2,0))</f>
        <v>#VALUE!</v>
      </c>
      <c r="L499" s="13" t="n">
        <v>0</v>
      </c>
      <c r="M499" s="13" t="str">
        <v>Yes</v>
      </c>
      <c r="N499" s="22"/>
      <c r="Q499" s="40"/>
      <c r="R499" s="13" t="b">
        <f aca="false">FALSE()</f>
        <v>0</v>
      </c>
      <c r="S499" s="13" t="n">
        <v>0</v>
      </c>
      <c r="T499" s="13" t="n">
        <f aca="false">S499*F499</f>
        <v>0</v>
      </c>
      <c r="U499" s="13" t="n">
        <v>0</v>
      </c>
      <c r="V499" s="13" t="n">
        <v>0</v>
      </c>
    </row>
    <row r="500" customFormat="false" ht="15.75" hidden="false" customHeight="false" outlineLevel="0" collapsed="false">
      <c r="A500" s="13" t="n">
        <v>0</v>
      </c>
      <c r="B500" s="13" t="str">
        <v/>
      </c>
      <c r="C500" s="13" t="n">
        <v>0</v>
      </c>
      <c r="D500" s="13" t="n">
        <v>0</v>
      </c>
      <c r="E500" s="13" t="str">
        <v/>
      </c>
      <c r="F500" s="13" t="n">
        <v>0</v>
      </c>
      <c r="G500" s="13" t="n">
        <v>0</v>
      </c>
      <c r="H500" s="13" t="n">
        <v>0</v>
      </c>
      <c r="I500" s="13" t="n">
        <v>0</v>
      </c>
      <c r="J500" s="13" t="b">
        <f aca="false">IF(ISBLANK(I500),"", IF($I$2:$I1497 = "Gohar Rehan","Overnight",IF($I$2:$I1497 = "Taufeeq Akhtar ","Overnight",IF($I$2:$I1497 = "Zeeshan Ali Malik","Audit",IF($I$2:$I1497 = "Ali Raza ","Receiving",IF($I$2:$I1497 = "Ali Ahmad","Full-In"))))))</f>
        <v>0</v>
      </c>
      <c r="K500" s="39" t="e">
        <f aca="false">IFERROR(VLOOKUP(D500,'Brand manager data '!A:B,2,0))</f>
        <v>#VALUE!</v>
      </c>
      <c r="L500" s="13" t="n">
        <v>0</v>
      </c>
      <c r="M500" s="13" t="str">
        <v>Yes</v>
      </c>
      <c r="N500" s="22"/>
      <c r="Q500" s="40"/>
      <c r="R500" s="13" t="b">
        <f aca="false">FALSE()</f>
        <v>0</v>
      </c>
      <c r="S500" s="13" t="n">
        <v>0</v>
      </c>
      <c r="T500" s="13" t="n">
        <f aca="false">S500*F500</f>
        <v>0</v>
      </c>
      <c r="U500" s="13" t="n">
        <v>0</v>
      </c>
      <c r="V500" s="13" t="n">
        <v>0</v>
      </c>
    </row>
    <row r="501" customFormat="false" ht="15.75" hidden="false" customHeight="false" outlineLevel="0" collapsed="false">
      <c r="A501" s="13" t="n">
        <v>0</v>
      </c>
      <c r="B501" s="13" t="str">
        <v/>
      </c>
      <c r="C501" s="13" t="n">
        <v>0</v>
      </c>
      <c r="D501" s="13" t="n">
        <v>0</v>
      </c>
      <c r="E501" s="13" t="str">
        <v/>
      </c>
      <c r="F501" s="13" t="n">
        <v>0</v>
      </c>
      <c r="G501" s="13" t="n">
        <v>0</v>
      </c>
      <c r="H501" s="13" t="n">
        <v>0</v>
      </c>
      <c r="I501" s="13" t="n">
        <v>0</v>
      </c>
      <c r="J501" s="13" t="b">
        <f aca="false">IF(ISBLANK(I501),"", IF($I$2:$I1498 = "Gohar Rehan","Overnight",IF($I$2:$I1498 = "Taufeeq Akhtar ","Overnight",IF($I$2:$I1498 = "Zeeshan Ali Malik","Audit",IF($I$2:$I1498 = "Ali Raza ","Receiving",IF($I$2:$I1498 = "Ali Ahmad","Full-In"))))))</f>
        <v>0</v>
      </c>
      <c r="K501" s="39" t="e">
        <f aca="false">IFERROR(VLOOKUP(D501,'Brand manager data '!A:B,2,0))</f>
        <v>#VALUE!</v>
      </c>
      <c r="L501" s="13" t="n">
        <v>0</v>
      </c>
      <c r="M501" s="13" t="str">
        <v>Yes</v>
      </c>
      <c r="N501" s="22"/>
      <c r="Q501" s="40"/>
      <c r="R501" s="13" t="b">
        <f aca="false">FALSE()</f>
        <v>0</v>
      </c>
      <c r="S501" s="13" t="n">
        <v>0</v>
      </c>
      <c r="T501" s="13" t="n">
        <f aca="false">S501*F501</f>
        <v>0</v>
      </c>
      <c r="U501" s="13" t="n">
        <v>0</v>
      </c>
      <c r="V501" s="13" t="n">
        <v>0</v>
      </c>
    </row>
    <row r="502" customFormat="false" ht="15.75" hidden="false" customHeight="false" outlineLevel="0" collapsed="false">
      <c r="A502" s="13" t="n">
        <v>0</v>
      </c>
      <c r="B502" s="13" t="str">
        <v/>
      </c>
      <c r="C502" s="13" t="n">
        <v>0</v>
      </c>
      <c r="D502" s="13" t="n">
        <v>0</v>
      </c>
      <c r="E502" s="13" t="str">
        <v/>
      </c>
      <c r="F502" s="13" t="n">
        <v>0</v>
      </c>
      <c r="G502" s="13" t="n">
        <v>0</v>
      </c>
      <c r="H502" s="13" t="n">
        <v>0</v>
      </c>
      <c r="I502" s="13" t="n">
        <v>0</v>
      </c>
      <c r="J502" s="13" t="b">
        <f aca="false">IF(ISBLANK(I502),"", IF($I$2:$I1499 = "Gohar Rehan","Overnight",IF($I$2:$I1499 = "Taufeeq Akhtar ","Overnight",IF($I$2:$I1499 = "Zeeshan Ali Malik","Audit",IF($I$2:$I1499 = "Ali Raza ","Receiving",IF($I$2:$I1499 = "Ali Ahmad","Full-In"))))))</f>
        <v>0</v>
      </c>
      <c r="K502" s="39" t="e">
        <f aca="false">IFERROR(VLOOKUP(D502,'Brand manager data '!A:B,2,0))</f>
        <v>#VALUE!</v>
      </c>
      <c r="L502" s="13" t="n">
        <v>0</v>
      </c>
      <c r="M502" s="13" t="str">
        <v>Yes</v>
      </c>
      <c r="N502" s="22"/>
      <c r="Q502" s="40"/>
      <c r="R502" s="13" t="b">
        <f aca="false">FALSE()</f>
        <v>0</v>
      </c>
      <c r="S502" s="13" t="n">
        <v>0</v>
      </c>
      <c r="T502" s="13" t="n">
        <f aca="false">S502*F502</f>
        <v>0</v>
      </c>
      <c r="U502" s="13" t="n">
        <v>0</v>
      </c>
      <c r="V502" s="13" t="n">
        <v>0</v>
      </c>
    </row>
    <row r="503" customFormat="false" ht="15.75" hidden="false" customHeight="false" outlineLevel="0" collapsed="false">
      <c r="A503" s="13" t="n">
        <v>0</v>
      </c>
      <c r="B503" s="13" t="str">
        <v/>
      </c>
      <c r="C503" s="13" t="n">
        <v>0</v>
      </c>
      <c r="D503" s="13" t="n">
        <v>0</v>
      </c>
      <c r="E503" s="13" t="str">
        <v/>
      </c>
      <c r="F503" s="13" t="n">
        <v>0</v>
      </c>
      <c r="G503" s="13" t="n">
        <v>0</v>
      </c>
      <c r="H503" s="13" t="n">
        <v>0</v>
      </c>
      <c r="I503" s="13" t="n">
        <v>0</v>
      </c>
      <c r="J503" s="13" t="b">
        <f aca="false">IF(ISBLANK(I503),"", IF($I$2:$I1500 = "Gohar Rehan","Overnight",IF($I$2:$I1500 = "Taufeeq Akhtar ","Overnight",IF($I$2:$I1500 = "Zeeshan Ali Malik","Audit",IF($I$2:$I1500 = "Ali Raza ","Receiving",IF($I$2:$I1500 = "Ali Ahmad","Full-In"))))))</f>
        <v>0</v>
      </c>
      <c r="K503" s="39" t="e">
        <f aca="false">IFERROR(VLOOKUP(D503,'Brand manager data '!A:B,2,0))</f>
        <v>#VALUE!</v>
      </c>
      <c r="L503" s="13" t="n">
        <v>0</v>
      </c>
      <c r="M503" s="13" t="str">
        <v>Yes</v>
      </c>
      <c r="N503" s="22"/>
      <c r="Q503" s="40"/>
      <c r="R503" s="13" t="b">
        <f aca="false">FALSE()</f>
        <v>0</v>
      </c>
      <c r="S503" s="13" t="n">
        <v>0</v>
      </c>
      <c r="T503" s="13" t="n">
        <f aca="false">S503*F503</f>
        <v>0</v>
      </c>
      <c r="U503" s="13" t="n">
        <v>0</v>
      </c>
      <c r="V503" s="13" t="n">
        <v>0</v>
      </c>
    </row>
    <row r="504" customFormat="false" ht="15.75" hidden="false" customHeight="false" outlineLevel="0" collapsed="false">
      <c r="A504" s="13" t="n">
        <v>0</v>
      </c>
      <c r="B504" s="13" t="str">
        <v/>
      </c>
      <c r="C504" s="13" t="n">
        <v>0</v>
      </c>
      <c r="D504" s="13" t="n">
        <v>0</v>
      </c>
      <c r="E504" s="13" t="str">
        <v/>
      </c>
      <c r="F504" s="13" t="n">
        <v>0</v>
      </c>
      <c r="G504" s="13" t="n">
        <v>0</v>
      </c>
      <c r="H504" s="13" t="n">
        <v>0</v>
      </c>
      <c r="I504" s="13" t="n">
        <v>0</v>
      </c>
      <c r="J504" s="13" t="b">
        <f aca="false">IF(ISBLANK(I504),"", IF($I$2:$I1501 = "Gohar Rehan","Overnight",IF($I$2:$I1501 = "Taufeeq Akhtar ","Overnight",IF($I$2:$I1501 = "Zeeshan Ali Malik","Audit",IF($I$2:$I1501 = "Ali Raza ","Receiving",IF($I$2:$I1501 = "Ali Ahmad","Full-In"))))))</f>
        <v>0</v>
      </c>
      <c r="K504" s="39" t="e">
        <f aca="false">IFERROR(VLOOKUP(D504,'Brand manager data '!A:B,2,0))</f>
        <v>#VALUE!</v>
      </c>
      <c r="L504" s="13" t="n">
        <v>0</v>
      </c>
      <c r="M504" s="13" t="str">
        <v>Yes</v>
      </c>
      <c r="N504" s="22"/>
      <c r="Q504" s="40"/>
      <c r="R504" s="13" t="b">
        <f aca="false">FALSE()</f>
        <v>0</v>
      </c>
      <c r="S504" s="13" t="n">
        <v>0</v>
      </c>
      <c r="T504" s="13" t="n">
        <f aca="false">S504*F504</f>
        <v>0</v>
      </c>
      <c r="U504" s="13" t="n">
        <v>0</v>
      </c>
      <c r="V504" s="13" t="n">
        <v>0</v>
      </c>
    </row>
    <row r="505" customFormat="false" ht="15.75" hidden="false" customHeight="false" outlineLevel="0" collapsed="false">
      <c r="A505" s="13" t="n">
        <v>0</v>
      </c>
      <c r="B505" s="13" t="str">
        <v/>
      </c>
      <c r="C505" s="13" t="n">
        <v>0</v>
      </c>
      <c r="D505" s="13" t="n">
        <v>0</v>
      </c>
      <c r="E505" s="13" t="str">
        <v/>
      </c>
      <c r="F505" s="13" t="n">
        <v>0</v>
      </c>
      <c r="G505" s="13" t="n">
        <v>0</v>
      </c>
      <c r="H505" s="13" t="n">
        <v>0</v>
      </c>
      <c r="I505" s="13" t="n">
        <v>0</v>
      </c>
      <c r="J505" s="13" t="b">
        <f aca="false">IF(ISBLANK(I505),"", IF($I$2:$I1502 = "Gohar Rehan","Overnight",IF($I$2:$I1502 = "Taufeeq Akhtar ","Overnight",IF($I$2:$I1502 = "Zeeshan Ali Malik","Audit",IF($I$2:$I1502 = "Ali Raza ","Receiving",IF($I$2:$I1502 = "Ali Ahmad","Full-In"))))))</f>
        <v>0</v>
      </c>
      <c r="K505" s="39" t="e">
        <f aca="false">IFERROR(VLOOKUP(D505,'Brand manager data '!A:B,2,0))</f>
        <v>#VALUE!</v>
      </c>
      <c r="L505" s="13" t="n">
        <v>0</v>
      </c>
      <c r="M505" s="13" t="str">
        <v>Yes</v>
      </c>
      <c r="N505" s="22"/>
      <c r="Q505" s="40"/>
      <c r="R505" s="13" t="b">
        <f aca="false">FALSE()</f>
        <v>0</v>
      </c>
      <c r="S505" s="13" t="n">
        <v>0</v>
      </c>
      <c r="T505" s="13" t="n">
        <f aca="false">S505*F505</f>
        <v>0</v>
      </c>
      <c r="U505" s="13" t="n">
        <v>0</v>
      </c>
      <c r="V505" s="13" t="n">
        <v>0</v>
      </c>
    </row>
    <row r="506" customFormat="false" ht="15.75" hidden="false" customHeight="false" outlineLevel="0" collapsed="false">
      <c r="A506" s="13" t="n">
        <v>0</v>
      </c>
      <c r="B506" s="13" t="str">
        <v/>
      </c>
      <c r="C506" s="13" t="n">
        <v>0</v>
      </c>
      <c r="D506" s="13" t="n">
        <v>0</v>
      </c>
      <c r="E506" s="13" t="str">
        <v/>
      </c>
      <c r="F506" s="13" t="n">
        <v>0</v>
      </c>
      <c r="G506" s="13" t="n">
        <v>0</v>
      </c>
      <c r="H506" s="13" t="n">
        <v>0</v>
      </c>
      <c r="I506" s="13" t="n">
        <v>0</v>
      </c>
      <c r="J506" s="13" t="b">
        <f aca="false">IF(ISBLANK(I506),"", IF($I$2:$I1503 = "Gohar Rehan","Overnight",IF($I$2:$I1503 = "Taufeeq Akhtar ","Overnight",IF($I$2:$I1503 = "Zeeshan Ali Malik","Audit",IF($I$2:$I1503 = "Ali Raza ","Receiving",IF($I$2:$I1503 = "Ali Ahmad","Full-In"))))))</f>
        <v>0</v>
      </c>
      <c r="K506" s="39" t="e">
        <f aca="false">IFERROR(VLOOKUP(D506,'Brand manager data '!A:B,2,0))</f>
        <v>#VALUE!</v>
      </c>
      <c r="L506" s="13" t="n">
        <v>0</v>
      </c>
      <c r="M506" s="13" t="str">
        <v>Yes</v>
      </c>
      <c r="N506" s="22"/>
      <c r="Q506" s="40"/>
      <c r="R506" s="13" t="b">
        <f aca="false">FALSE()</f>
        <v>0</v>
      </c>
      <c r="S506" s="13" t="n">
        <v>0</v>
      </c>
      <c r="T506" s="13" t="n">
        <f aca="false">S506*F506</f>
        <v>0</v>
      </c>
      <c r="U506" s="13" t="n">
        <v>0</v>
      </c>
      <c r="V506" s="13" t="n">
        <v>0</v>
      </c>
    </row>
    <row r="507" customFormat="false" ht="15.75" hidden="false" customHeight="false" outlineLevel="0" collapsed="false">
      <c r="A507" s="13" t="n">
        <v>0</v>
      </c>
      <c r="B507" s="13" t="str">
        <v/>
      </c>
      <c r="C507" s="13" t="n">
        <v>0</v>
      </c>
      <c r="D507" s="13" t="n">
        <v>0</v>
      </c>
      <c r="E507" s="13" t="str">
        <v/>
      </c>
      <c r="F507" s="13" t="n">
        <v>0</v>
      </c>
      <c r="G507" s="13" t="n">
        <v>0</v>
      </c>
      <c r="H507" s="13" t="n">
        <v>0</v>
      </c>
      <c r="I507" s="13" t="n">
        <v>0</v>
      </c>
      <c r="J507" s="13" t="b">
        <f aca="false">IF(ISBLANK(I507),"", IF($I$2:$I1504 = "Gohar Rehan","Overnight",IF($I$2:$I1504 = "Taufeeq Akhtar ","Overnight",IF($I$2:$I1504 = "Zeeshan Ali Malik","Audit",IF($I$2:$I1504 = "Ali Raza ","Receiving",IF($I$2:$I1504 = "Ali Ahmad","Full-In"))))))</f>
        <v>0</v>
      </c>
      <c r="K507" s="39" t="e">
        <f aca="false">IFERROR(VLOOKUP(D507,'Brand manager data '!A:B,2,0))</f>
        <v>#VALUE!</v>
      </c>
      <c r="L507" s="13" t="n">
        <v>0</v>
      </c>
      <c r="M507" s="13" t="str">
        <v>Yes</v>
      </c>
      <c r="N507" s="22"/>
      <c r="Q507" s="40"/>
      <c r="R507" s="13" t="b">
        <f aca="false">FALSE()</f>
        <v>0</v>
      </c>
      <c r="S507" s="13" t="n">
        <v>0</v>
      </c>
      <c r="T507" s="13" t="n">
        <f aca="false">S507*F507</f>
        <v>0</v>
      </c>
      <c r="U507" s="13" t="n">
        <v>0</v>
      </c>
      <c r="V507" s="13" t="n">
        <v>0</v>
      </c>
    </row>
    <row r="508" customFormat="false" ht="15.75" hidden="false" customHeight="false" outlineLevel="0" collapsed="false">
      <c r="A508" s="13" t="n">
        <v>0</v>
      </c>
      <c r="B508" s="13" t="str">
        <v/>
      </c>
      <c r="C508" s="13" t="n">
        <v>0</v>
      </c>
      <c r="D508" s="13" t="n">
        <v>0</v>
      </c>
      <c r="E508" s="13" t="str">
        <v/>
      </c>
      <c r="F508" s="13" t="n">
        <v>0</v>
      </c>
      <c r="G508" s="13" t="n">
        <v>0</v>
      </c>
      <c r="H508" s="13" t="n">
        <v>0</v>
      </c>
      <c r="I508" s="13" t="n">
        <v>0</v>
      </c>
      <c r="J508" s="13" t="b">
        <f aca="false">IF(ISBLANK(I508),"", IF($I$2:$I1505 = "Gohar Rehan","Overnight",IF($I$2:$I1505 = "Taufeeq Akhtar ","Overnight",IF($I$2:$I1505 = "Zeeshan Ali Malik","Audit",IF($I$2:$I1505 = "Ali Raza ","Receiving",IF($I$2:$I1505 = "Ali Ahmad","Full-In"))))))</f>
        <v>0</v>
      </c>
      <c r="K508" s="39" t="e">
        <f aca="false">IFERROR(VLOOKUP(D508,'Brand manager data '!A:B,2,0))</f>
        <v>#VALUE!</v>
      </c>
      <c r="L508" s="13" t="n">
        <v>0</v>
      </c>
      <c r="M508" s="13" t="str">
        <v>Yes</v>
      </c>
      <c r="N508" s="22"/>
      <c r="Q508" s="40"/>
      <c r="R508" s="13" t="b">
        <f aca="false">FALSE()</f>
        <v>0</v>
      </c>
      <c r="S508" s="13" t="n">
        <v>0</v>
      </c>
      <c r="T508" s="13" t="n">
        <f aca="false">S508*F508</f>
        <v>0</v>
      </c>
      <c r="U508" s="13" t="n">
        <v>0</v>
      </c>
      <c r="V508" s="13" t="n">
        <v>0</v>
      </c>
    </row>
    <row r="509" customFormat="false" ht="15.75" hidden="false" customHeight="false" outlineLevel="0" collapsed="false">
      <c r="A509" s="13" t="n">
        <v>0</v>
      </c>
      <c r="B509" s="13" t="str">
        <v/>
      </c>
      <c r="C509" s="13" t="n">
        <v>0</v>
      </c>
      <c r="D509" s="13" t="n">
        <v>0</v>
      </c>
      <c r="E509" s="13" t="str">
        <v/>
      </c>
      <c r="F509" s="13" t="n">
        <v>0</v>
      </c>
      <c r="G509" s="13" t="n">
        <v>0</v>
      </c>
      <c r="H509" s="13" t="n">
        <v>0</v>
      </c>
      <c r="I509" s="13" t="n">
        <v>0</v>
      </c>
      <c r="J509" s="13" t="b">
        <f aca="false">IF(ISBLANK(I509),"", IF($I$2:$I1506 = "Gohar Rehan","Overnight",IF($I$2:$I1506 = "Taufeeq Akhtar ","Overnight",IF($I$2:$I1506 = "Zeeshan Ali Malik","Audit",IF($I$2:$I1506 = "Ali Raza ","Receiving",IF($I$2:$I1506 = "Ali Ahmad","Full-In"))))))</f>
        <v>0</v>
      </c>
      <c r="K509" s="39" t="e">
        <f aca="false">IFERROR(VLOOKUP(D509,'Brand manager data '!A:B,2,0))</f>
        <v>#VALUE!</v>
      </c>
      <c r="L509" s="13" t="n">
        <v>0</v>
      </c>
      <c r="M509" s="13" t="str">
        <v>Yes</v>
      </c>
      <c r="N509" s="22"/>
      <c r="Q509" s="40"/>
      <c r="R509" s="13" t="b">
        <f aca="false">FALSE()</f>
        <v>0</v>
      </c>
      <c r="S509" s="13" t="n">
        <v>0</v>
      </c>
      <c r="T509" s="13" t="n">
        <f aca="false">S509*F509</f>
        <v>0</v>
      </c>
      <c r="U509" s="13" t="n">
        <v>0</v>
      </c>
      <c r="V509" s="13" t="n">
        <v>0</v>
      </c>
    </row>
    <row r="510" customFormat="false" ht="15.75" hidden="false" customHeight="false" outlineLevel="0" collapsed="false">
      <c r="A510" s="13" t="n">
        <v>0</v>
      </c>
      <c r="B510" s="13" t="str">
        <v/>
      </c>
      <c r="C510" s="13" t="n">
        <v>0</v>
      </c>
      <c r="D510" s="13" t="n">
        <v>0</v>
      </c>
      <c r="E510" s="13" t="str">
        <v/>
      </c>
      <c r="F510" s="13" t="n">
        <v>0</v>
      </c>
      <c r="G510" s="13" t="n">
        <v>0</v>
      </c>
      <c r="H510" s="13" t="n">
        <v>0</v>
      </c>
      <c r="I510" s="13" t="n">
        <v>0</v>
      </c>
      <c r="J510" s="13" t="b">
        <f aca="false">IF(ISBLANK(I510),"", IF($I$2:$I1507 = "Gohar Rehan","Overnight",IF($I$2:$I1507 = "Taufeeq Akhtar ","Overnight",IF($I$2:$I1507 = "Zeeshan Ali Malik","Audit",IF($I$2:$I1507 = "Ali Raza ","Receiving",IF($I$2:$I1507 = "Ali Ahmad","Full-In"))))))</f>
        <v>0</v>
      </c>
      <c r="K510" s="39" t="e">
        <f aca="false">IFERROR(VLOOKUP(D510,'Brand manager data '!A:B,2,0))</f>
        <v>#VALUE!</v>
      </c>
      <c r="L510" s="13" t="n">
        <v>0</v>
      </c>
      <c r="M510" s="13" t="str">
        <v>Yes</v>
      </c>
      <c r="N510" s="22"/>
      <c r="Q510" s="40"/>
      <c r="R510" s="13" t="b">
        <f aca="false">FALSE()</f>
        <v>0</v>
      </c>
      <c r="S510" s="13" t="n">
        <v>0</v>
      </c>
      <c r="T510" s="13" t="n">
        <f aca="false">S510*F510</f>
        <v>0</v>
      </c>
      <c r="U510" s="13" t="n">
        <v>0</v>
      </c>
      <c r="V510" s="13" t="n">
        <v>0</v>
      </c>
    </row>
    <row r="511" customFormat="false" ht="15.75" hidden="false" customHeight="false" outlineLevel="0" collapsed="false">
      <c r="A511" s="13" t="n">
        <v>0</v>
      </c>
      <c r="B511" s="13" t="str">
        <v/>
      </c>
      <c r="C511" s="13" t="n">
        <v>0</v>
      </c>
      <c r="D511" s="13" t="n">
        <v>0</v>
      </c>
      <c r="E511" s="13" t="str">
        <v/>
      </c>
      <c r="F511" s="13" t="n">
        <v>0</v>
      </c>
      <c r="G511" s="13" t="n">
        <v>0</v>
      </c>
      <c r="H511" s="13" t="n">
        <v>0</v>
      </c>
      <c r="I511" s="13" t="n">
        <v>0</v>
      </c>
      <c r="J511" s="13" t="b">
        <f aca="false">IF(ISBLANK(I511),"", IF($I$2:$I1508 = "Gohar Rehan","Overnight",IF($I$2:$I1508 = "Taufeeq Akhtar ","Overnight",IF($I$2:$I1508 = "Zeeshan Ali Malik","Audit",IF($I$2:$I1508 = "Ali Raza ","Receiving",IF($I$2:$I1508 = "Ali Ahmad","Full-In"))))))</f>
        <v>0</v>
      </c>
      <c r="K511" s="39" t="e">
        <f aca="false">IFERROR(VLOOKUP(D511,'Brand manager data '!A:B,2,0))</f>
        <v>#VALUE!</v>
      </c>
      <c r="L511" s="13" t="n">
        <v>0</v>
      </c>
      <c r="M511" s="13" t="str">
        <v>Yes</v>
      </c>
      <c r="N511" s="22"/>
      <c r="Q511" s="40"/>
      <c r="R511" s="13" t="b">
        <f aca="false">FALSE()</f>
        <v>0</v>
      </c>
      <c r="S511" s="13" t="n">
        <v>0</v>
      </c>
      <c r="T511" s="13" t="n">
        <f aca="false">S511*F511</f>
        <v>0</v>
      </c>
      <c r="U511" s="13" t="n">
        <v>0</v>
      </c>
      <c r="V511" s="13" t="n">
        <v>0</v>
      </c>
    </row>
    <row r="512" customFormat="false" ht="15.75" hidden="false" customHeight="false" outlineLevel="0" collapsed="false">
      <c r="A512" s="13" t="n">
        <v>0</v>
      </c>
      <c r="B512" s="13" t="str">
        <v/>
      </c>
      <c r="C512" s="13" t="n">
        <v>0</v>
      </c>
      <c r="D512" s="13" t="n">
        <v>0</v>
      </c>
      <c r="E512" s="13" t="str">
        <v/>
      </c>
      <c r="F512" s="13" t="n">
        <v>0</v>
      </c>
      <c r="G512" s="13" t="n">
        <v>0</v>
      </c>
      <c r="H512" s="13" t="n">
        <v>0</v>
      </c>
      <c r="I512" s="13" t="n">
        <v>0</v>
      </c>
      <c r="J512" s="13" t="b">
        <f aca="false">IF(ISBLANK(I512),"", IF($I$2:$I1509 = "Gohar Rehan","Overnight",IF($I$2:$I1509 = "Taufeeq Akhtar ","Overnight",IF($I$2:$I1509 = "Zeeshan Ali Malik","Audit",IF($I$2:$I1509 = "Ali Raza ","Receiving",IF($I$2:$I1509 = "Ali Ahmad","Full-In"))))))</f>
        <v>0</v>
      </c>
      <c r="K512" s="39" t="e">
        <f aca="false">IFERROR(VLOOKUP(D512,'Brand manager data '!A:B,2,0))</f>
        <v>#VALUE!</v>
      </c>
      <c r="L512" s="13" t="n">
        <v>0</v>
      </c>
      <c r="M512" s="13" t="str">
        <v>Yes</v>
      </c>
      <c r="N512" s="22"/>
      <c r="Q512" s="40"/>
      <c r="R512" s="13" t="b">
        <f aca="false">FALSE()</f>
        <v>0</v>
      </c>
      <c r="S512" s="13" t="n">
        <v>0</v>
      </c>
      <c r="T512" s="13" t="n">
        <f aca="false">S512*F512</f>
        <v>0</v>
      </c>
      <c r="U512" s="13" t="n">
        <v>0</v>
      </c>
      <c r="V512" s="13" t="n">
        <v>0</v>
      </c>
    </row>
    <row r="513" customFormat="false" ht="15.75" hidden="false" customHeight="false" outlineLevel="0" collapsed="false">
      <c r="A513" s="13" t="n">
        <v>0</v>
      </c>
      <c r="B513" s="13" t="str">
        <v/>
      </c>
      <c r="C513" s="13" t="n">
        <v>0</v>
      </c>
      <c r="D513" s="13" t="n">
        <v>0</v>
      </c>
      <c r="E513" s="13" t="str">
        <v/>
      </c>
      <c r="F513" s="13" t="n">
        <v>0</v>
      </c>
      <c r="G513" s="13" t="n">
        <v>0</v>
      </c>
      <c r="H513" s="13" t="n">
        <v>0</v>
      </c>
      <c r="I513" s="13" t="n">
        <v>0</v>
      </c>
      <c r="J513" s="13" t="b">
        <f aca="false">IF(ISBLANK(I513),"", IF($I$2:$I1510 = "Gohar Rehan","Overnight",IF($I$2:$I1510 = "Taufeeq Akhtar ","Overnight",IF($I$2:$I1510 = "Zeeshan Ali Malik","Audit",IF($I$2:$I1510 = "Ali Raza ","Receiving",IF($I$2:$I1510 = "Ali Ahmad","Full-In"))))))</f>
        <v>0</v>
      </c>
      <c r="K513" s="39" t="e">
        <f aca="false">IFERROR(VLOOKUP(D513,'Brand manager data '!A:B,2,0))</f>
        <v>#VALUE!</v>
      </c>
      <c r="L513" s="13" t="n">
        <v>0</v>
      </c>
      <c r="M513" s="13" t="str">
        <v>Yes</v>
      </c>
      <c r="N513" s="22"/>
      <c r="Q513" s="40"/>
      <c r="R513" s="13" t="b">
        <f aca="false">FALSE()</f>
        <v>0</v>
      </c>
      <c r="S513" s="13" t="n">
        <v>0</v>
      </c>
      <c r="T513" s="13" t="n">
        <f aca="false">S513*F513</f>
        <v>0</v>
      </c>
      <c r="U513" s="13" t="n">
        <v>0</v>
      </c>
      <c r="V513" s="13" t="n">
        <v>0</v>
      </c>
    </row>
    <row r="514" customFormat="false" ht="15.75" hidden="false" customHeight="false" outlineLevel="0" collapsed="false">
      <c r="A514" s="13" t="n">
        <v>0</v>
      </c>
      <c r="B514" s="13" t="str">
        <v/>
      </c>
      <c r="C514" s="13" t="n">
        <v>0</v>
      </c>
      <c r="D514" s="13" t="n">
        <v>0</v>
      </c>
      <c r="E514" s="13" t="str">
        <v/>
      </c>
      <c r="F514" s="13" t="n">
        <v>0</v>
      </c>
      <c r="G514" s="13" t="n">
        <v>0</v>
      </c>
      <c r="H514" s="13" t="n">
        <v>0</v>
      </c>
      <c r="I514" s="13" t="n">
        <v>0</v>
      </c>
      <c r="J514" s="13" t="b">
        <f aca="false">IF(ISBLANK(I514),"", IF($I$2:$I1511 = "Gohar Rehan","Overnight",IF($I$2:$I1511 = "Taufeeq Akhtar ","Overnight",IF($I$2:$I1511 = "Zeeshan Ali Malik","Audit",IF($I$2:$I1511 = "Ali Raza ","Receiving",IF($I$2:$I1511 = "Ali Ahmad","Full-In"))))))</f>
        <v>0</v>
      </c>
      <c r="K514" s="39" t="e">
        <f aca="false">IFERROR(VLOOKUP(D514,'Brand manager data '!A:B,2,0))</f>
        <v>#VALUE!</v>
      </c>
      <c r="L514" s="13" t="n">
        <v>0</v>
      </c>
      <c r="M514" s="13" t="str">
        <v>Yes</v>
      </c>
      <c r="N514" s="22"/>
      <c r="Q514" s="40"/>
      <c r="R514" s="13" t="b">
        <f aca="false">FALSE()</f>
        <v>0</v>
      </c>
      <c r="S514" s="13" t="n">
        <v>0</v>
      </c>
      <c r="T514" s="13" t="n">
        <f aca="false">S514*F514</f>
        <v>0</v>
      </c>
      <c r="U514" s="13" t="n">
        <v>0</v>
      </c>
      <c r="V514" s="13" t="n">
        <v>0</v>
      </c>
    </row>
    <row r="515" customFormat="false" ht="15.75" hidden="false" customHeight="false" outlineLevel="0" collapsed="false">
      <c r="A515" s="13" t="n">
        <v>0</v>
      </c>
      <c r="B515" s="13" t="str">
        <v/>
      </c>
      <c r="C515" s="13" t="n">
        <v>0</v>
      </c>
      <c r="D515" s="13" t="n">
        <v>0</v>
      </c>
      <c r="E515" s="13" t="str">
        <v/>
      </c>
      <c r="F515" s="13" t="n">
        <v>0</v>
      </c>
      <c r="G515" s="13" t="n">
        <v>0</v>
      </c>
      <c r="H515" s="13" t="n">
        <v>0</v>
      </c>
      <c r="I515" s="13" t="n">
        <v>0</v>
      </c>
      <c r="J515" s="13" t="b">
        <f aca="false">IF(ISBLANK(I515),"", IF($I$2:$I1512 = "Gohar Rehan","Overnight",IF($I$2:$I1512 = "Taufeeq Akhtar ","Overnight",IF($I$2:$I1512 = "Zeeshan Ali Malik","Audit",IF($I$2:$I1512 = "Ali Raza ","Receiving",IF($I$2:$I1512 = "Ali Ahmad","Full-In"))))))</f>
        <v>0</v>
      </c>
      <c r="K515" s="39" t="e">
        <f aca="false">IFERROR(VLOOKUP(D515,'Brand manager data '!A:B,2,0))</f>
        <v>#VALUE!</v>
      </c>
      <c r="L515" s="13" t="n">
        <v>0</v>
      </c>
      <c r="M515" s="13" t="str">
        <v>Yes</v>
      </c>
      <c r="N515" s="22"/>
      <c r="Q515" s="40"/>
      <c r="R515" s="13" t="b">
        <f aca="false">FALSE()</f>
        <v>0</v>
      </c>
      <c r="S515" s="13" t="n">
        <v>0</v>
      </c>
      <c r="T515" s="13" t="n">
        <f aca="false">S515*F515</f>
        <v>0</v>
      </c>
      <c r="U515" s="13" t="n">
        <v>0</v>
      </c>
      <c r="V515" s="13" t="n">
        <v>0</v>
      </c>
    </row>
    <row r="516" customFormat="false" ht="15.75" hidden="false" customHeight="false" outlineLevel="0" collapsed="false">
      <c r="A516" s="13" t="n">
        <v>0</v>
      </c>
      <c r="B516" s="13" t="str">
        <v/>
      </c>
      <c r="C516" s="13" t="n">
        <v>0</v>
      </c>
      <c r="D516" s="13" t="n">
        <v>0</v>
      </c>
      <c r="E516" s="13" t="str">
        <v/>
      </c>
      <c r="F516" s="13" t="n">
        <v>0</v>
      </c>
      <c r="G516" s="13" t="n">
        <v>0</v>
      </c>
      <c r="H516" s="13" t="n">
        <v>0</v>
      </c>
      <c r="I516" s="13" t="n">
        <v>0</v>
      </c>
      <c r="J516" s="13" t="b">
        <f aca="false">IF(ISBLANK(I516),"", IF($I$2:$I1513 = "Gohar Rehan","Overnight",IF($I$2:$I1513 = "Taufeeq Akhtar ","Overnight",IF($I$2:$I1513 = "Zeeshan Ali Malik","Audit",IF($I$2:$I1513 = "Ali Raza ","Receiving",IF($I$2:$I1513 = "Ali Ahmad","Full-In"))))))</f>
        <v>0</v>
      </c>
      <c r="K516" s="39" t="e">
        <f aca="false">IFERROR(VLOOKUP(D516,'Brand manager data '!A:B,2,0))</f>
        <v>#VALUE!</v>
      </c>
      <c r="L516" s="13" t="n">
        <v>0</v>
      </c>
      <c r="M516" s="13" t="str">
        <v>Yes</v>
      </c>
      <c r="N516" s="22"/>
      <c r="Q516" s="40"/>
      <c r="R516" s="13" t="b">
        <f aca="false">FALSE()</f>
        <v>0</v>
      </c>
      <c r="S516" s="13" t="n">
        <v>0</v>
      </c>
      <c r="T516" s="13" t="n">
        <f aca="false">S516*F516</f>
        <v>0</v>
      </c>
      <c r="U516" s="13" t="n">
        <v>0</v>
      </c>
      <c r="V516" s="13" t="n">
        <v>0</v>
      </c>
    </row>
    <row r="517" customFormat="false" ht="15.75" hidden="false" customHeight="false" outlineLevel="0" collapsed="false">
      <c r="A517" s="13" t="n">
        <v>0</v>
      </c>
      <c r="B517" s="13" t="str">
        <v/>
      </c>
      <c r="C517" s="13" t="n">
        <v>0</v>
      </c>
      <c r="D517" s="13" t="n">
        <v>0</v>
      </c>
      <c r="E517" s="13" t="str">
        <v/>
      </c>
      <c r="F517" s="13" t="n">
        <v>0</v>
      </c>
      <c r="G517" s="13" t="n">
        <v>0</v>
      </c>
      <c r="H517" s="13" t="n">
        <v>0</v>
      </c>
      <c r="I517" s="13" t="n">
        <v>0</v>
      </c>
      <c r="J517" s="13" t="b">
        <f aca="false">IF(ISBLANK(I517),"", IF($I$2:$I1514 = "Gohar Rehan","Overnight",IF($I$2:$I1514 = "Taufeeq Akhtar ","Overnight",IF($I$2:$I1514 = "Zeeshan Ali Malik","Audit",IF($I$2:$I1514 = "Ali Raza ","Receiving",IF($I$2:$I1514 = "Ali Ahmad","Full-In"))))))</f>
        <v>0</v>
      </c>
      <c r="K517" s="39" t="e">
        <f aca="false">IFERROR(VLOOKUP(D517,'Brand manager data '!A:B,2,0))</f>
        <v>#VALUE!</v>
      </c>
      <c r="L517" s="13" t="n">
        <v>0</v>
      </c>
      <c r="M517" s="13" t="str">
        <v>Yes</v>
      </c>
      <c r="N517" s="22"/>
      <c r="Q517" s="40"/>
      <c r="R517" s="13" t="b">
        <f aca="false">FALSE()</f>
        <v>0</v>
      </c>
      <c r="S517" s="13" t="n">
        <v>0</v>
      </c>
      <c r="T517" s="13" t="n">
        <f aca="false">S517*F517</f>
        <v>0</v>
      </c>
      <c r="U517" s="13" t="n">
        <v>0</v>
      </c>
      <c r="V517" s="13" t="n">
        <v>0</v>
      </c>
    </row>
    <row r="518" customFormat="false" ht="15.75" hidden="false" customHeight="false" outlineLevel="0" collapsed="false">
      <c r="A518" s="13" t="n">
        <v>0</v>
      </c>
      <c r="B518" s="13" t="str">
        <v/>
      </c>
      <c r="C518" s="13" t="n">
        <v>0</v>
      </c>
      <c r="D518" s="13" t="n">
        <v>0</v>
      </c>
      <c r="E518" s="13" t="str">
        <v/>
      </c>
      <c r="F518" s="13" t="n">
        <v>0</v>
      </c>
      <c r="G518" s="13" t="n">
        <v>0</v>
      </c>
      <c r="H518" s="13" t="n">
        <v>0</v>
      </c>
      <c r="I518" s="13" t="n">
        <v>0</v>
      </c>
      <c r="J518" s="13" t="b">
        <f aca="false">IF(ISBLANK(I518),"", IF($I$2:$I1515 = "Gohar Rehan","Overnight",IF($I$2:$I1515 = "Taufeeq Akhtar ","Overnight",IF($I$2:$I1515 = "Zeeshan Ali Malik","Audit",IF($I$2:$I1515 = "Ali Raza ","Receiving",IF($I$2:$I1515 = "Ali Ahmad","Full-In"))))))</f>
        <v>0</v>
      </c>
      <c r="K518" s="39" t="e">
        <f aca="false">IFERROR(VLOOKUP(D518,'Brand manager data '!A:B,2,0))</f>
        <v>#VALUE!</v>
      </c>
      <c r="L518" s="13" t="n">
        <v>0</v>
      </c>
      <c r="M518" s="13" t="str">
        <v>Yes</v>
      </c>
      <c r="N518" s="22"/>
      <c r="Q518" s="40"/>
      <c r="R518" s="13" t="b">
        <f aca="false">FALSE()</f>
        <v>0</v>
      </c>
      <c r="S518" s="13" t="n">
        <v>0</v>
      </c>
      <c r="T518" s="13" t="n">
        <f aca="false">S518*F518</f>
        <v>0</v>
      </c>
      <c r="U518" s="13" t="n">
        <v>0</v>
      </c>
      <c r="V518" s="13" t="n">
        <v>0</v>
      </c>
    </row>
    <row r="519" customFormat="false" ht="15.75" hidden="false" customHeight="false" outlineLevel="0" collapsed="false">
      <c r="A519" s="13" t="n">
        <v>0</v>
      </c>
      <c r="B519" s="13" t="str">
        <v/>
      </c>
      <c r="C519" s="13" t="n">
        <v>0</v>
      </c>
      <c r="D519" s="13" t="n">
        <v>0</v>
      </c>
      <c r="E519" s="13" t="str">
        <v/>
      </c>
      <c r="F519" s="13" t="n">
        <v>0</v>
      </c>
      <c r="G519" s="13" t="n">
        <v>0</v>
      </c>
      <c r="H519" s="13" t="n">
        <v>0</v>
      </c>
      <c r="I519" s="13" t="n">
        <v>0</v>
      </c>
      <c r="J519" s="13" t="b">
        <f aca="false">IF(ISBLANK(I519),"", IF($I$2:$I1516 = "Gohar Rehan","Overnight",IF($I$2:$I1516 = "Taufeeq Akhtar ","Overnight",IF($I$2:$I1516 = "Zeeshan Ali Malik","Audit",IF($I$2:$I1516 = "Ali Raza ","Receiving",IF($I$2:$I1516 = "Ali Ahmad","Full-In"))))))</f>
        <v>0</v>
      </c>
      <c r="K519" s="39" t="e">
        <f aca="false">IFERROR(VLOOKUP(D519,'Brand manager data '!A:B,2,0))</f>
        <v>#VALUE!</v>
      </c>
      <c r="L519" s="13" t="n">
        <v>0</v>
      </c>
      <c r="M519" s="13" t="str">
        <v>Yes</v>
      </c>
      <c r="N519" s="22"/>
      <c r="Q519" s="40"/>
      <c r="R519" s="13" t="b">
        <f aca="false">FALSE()</f>
        <v>0</v>
      </c>
      <c r="S519" s="13" t="n">
        <v>0</v>
      </c>
      <c r="T519" s="13" t="n">
        <f aca="false">S519*F519</f>
        <v>0</v>
      </c>
      <c r="U519" s="13" t="n">
        <v>0</v>
      </c>
      <c r="V519" s="13" t="n">
        <v>0</v>
      </c>
    </row>
    <row r="520" customFormat="false" ht="15.75" hidden="false" customHeight="false" outlineLevel="0" collapsed="false">
      <c r="A520" s="13" t="n">
        <v>0</v>
      </c>
      <c r="B520" s="13" t="str">
        <v/>
      </c>
      <c r="C520" s="13" t="n">
        <v>0</v>
      </c>
      <c r="D520" s="13" t="n">
        <v>0</v>
      </c>
      <c r="E520" s="13" t="str">
        <v/>
      </c>
      <c r="F520" s="13" t="n">
        <v>0</v>
      </c>
      <c r="G520" s="13" t="n">
        <v>0</v>
      </c>
      <c r="H520" s="13" t="n">
        <v>0</v>
      </c>
      <c r="I520" s="13" t="n">
        <v>0</v>
      </c>
      <c r="J520" s="13" t="b">
        <f aca="false">IF(ISBLANK(I520),"", IF($I$2:$I1517 = "Gohar Rehan","Overnight",IF($I$2:$I1517 = "Taufeeq Akhtar ","Overnight",IF($I$2:$I1517 = "Zeeshan Ali Malik","Audit",IF($I$2:$I1517 = "Ali Raza ","Receiving",IF($I$2:$I1517 = "Ali Ahmad","Full-In"))))))</f>
        <v>0</v>
      </c>
      <c r="K520" s="39" t="e">
        <f aca="false">IFERROR(VLOOKUP(D520,'Brand manager data '!A:B,2,0))</f>
        <v>#VALUE!</v>
      </c>
      <c r="L520" s="13" t="n">
        <v>0</v>
      </c>
      <c r="M520" s="13" t="str">
        <v>Yes</v>
      </c>
      <c r="N520" s="22"/>
      <c r="Q520" s="40"/>
      <c r="R520" s="13" t="b">
        <f aca="false">FALSE()</f>
        <v>0</v>
      </c>
      <c r="S520" s="13" t="n">
        <v>0</v>
      </c>
      <c r="T520" s="13" t="n">
        <f aca="false">S520*F520</f>
        <v>0</v>
      </c>
      <c r="U520" s="13" t="n">
        <v>0</v>
      </c>
      <c r="V520" s="13" t="n">
        <v>0</v>
      </c>
    </row>
    <row r="521" customFormat="false" ht="15.75" hidden="false" customHeight="false" outlineLevel="0" collapsed="false">
      <c r="A521" s="13" t="n">
        <v>0</v>
      </c>
      <c r="B521" s="13" t="str">
        <v/>
      </c>
      <c r="C521" s="13" t="n">
        <v>0</v>
      </c>
      <c r="D521" s="13" t="n">
        <v>0</v>
      </c>
      <c r="E521" s="13" t="str">
        <v/>
      </c>
      <c r="F521" s="13" t="n">
        <v>0</v>
      </c>
      <c r="G521" s="13" t="n">
        <v>0</v>
      </c>
      <c r="H521" s="13" t="n">
        <v>0</v>
      </c>
      <c r="I521" s="13" t="n">
        <v>0</v>
      </c>
      <c r="J521" s="13" t="b">
        <f aca="false">IF(ISBLANK(I521),"", IF($I$2:$I1518 = "Gohar Rehan","Overnight",IF($I$2:$I1518 = "Taufeeq Akhtar ","Overnight",IF($I$2:$I1518 = "Zeeshan Ali Malik","Audit",IF($I$2:$I1518 = "Ali Raza ","Receiving",IF($I$2:$I1518 = "Ali Ahmad","Full-In"))))))</f>
        <v>0</v>
      </c>
      <c r="K521" s="39" t="e">
        <f aca="false">IFERROR(VLOOKUP(D521,'Brand manager data '!A:B,2,0))</f>
        <v>#VALUE!</v>
      </c>
      <c r="L521" s="13" t="n">
        <v>0</v>
      </c>
      <c r="M521" s="13" t="str">
        <v>Yes</v>
      </c>
      <c r="N521" s="22"/>
      <c r="Q521" s="40"/>
      <c r="R521" s="13" t="b">
        <f aca="false">FALSE()</f>
        <v>0</v>
      </c>
      <c r="S521" s="13" t="n">
        <v>0</v>
      </c>
      <c r="T521" s="13" t="n">
        <f aca="false">S521*F521</f>
        <v>0</v>
      </c>
      <c r="U521" s="13" t="n">
        <v>0</v>
      </c>
      <c r="V521" s="13" t="n">
        <v>0</v>
      </c>
    </row>
    <row r="522" customFormat="false" ht="15.75" hidden="false" customHeight="false" outlineLevel="0" collapsed="false">
      <c r="A522" s="13" t="n">
        <v>0</v>
      </c>
      <c r="B522" s="13" t="str">
        <v/>
      </c>
      <c r="C522" s="13" t="n">
        <v>0</v>
      </c>
      <c r="D522" s="13" t="n">
        <v>0</v>
      </c>
      <c r="E522" s="13" t="str">
        <v/>
      </c>
      <c r="F522" s="13" t="n">
        <v>0</v>
      </c>
      <c r="G522" s="13" t="n">
        <v>0</v>
      </c>
      <c r="H522" s="13" t="n">
        <v>0</v>
      </c>
      <c r="I522" s="13" t="n">
        <v>0</v>
      </c>
      <c r="J522" s="13" t="b">
        <f aca="false">IF(ISBLANK(I522),"", IF($I$2:$I1519 = "Gohar Rehan","Overnight",IF($I$2:$I1519 = "Taufeeq Akhtar ","Overnight",IF($I$2:$I1519 = "Zeeshan Ali Malik","Audit",IF($I$2:$I1519 = "Ali Raza ","Receiving",IF($I$2:$I1519 = "Ali Ahmad","Full-In"))))))</f>
        <v>0</v>
      </c>
      <c r="K522" s="39" t="e">
        <f aca="false">IFERROR(VLOOKUP(D522,'Brand manager data '!A:B,2,0))</f>
        <v>#VALUE!</v>
      </c>
      <c r="L522" s="13" t="n">
        <v>0</v>
      </c>
      <c r="M522" s="13" t="str">
        <v>Yes</v>
      </c>
      <c r="N522" s="22"/>
      <c r="Q522" s="40"/>
      <c r="R522" s="13" t="b">
        <f aca="false">FALSE()</f>
        <v>0</v>
      </c>
      <c r="S522" s="13" t="n">
        <v>0</v>
      </c>
      <c r="T522" s="13" t="n">
        <f aca="false">S522*F522</f>
        <v>0</v>
      </c>
      <c r="U522" s="13" t="n">
        <v>0</v>
      </c>
      <c r="V522" s="13" t="n">
        <v>0</v>
      </c>
    </row>
    <row r="523" customFormat="false" ht="15.75" hidden="false" customHeight="false" outlineLevel="0" collapsed="false">
      <c r="A523" s="13" t="n">
        <v>0</v>
      </c>
      <c r="B523" s="13" t="str">
        <v/>
      </c>
      <c r="C523" s="13" t="n">
        <v>0</v>
      </c>
      <c r="D523" s="13" t="n">
        <v>0</v>
      </c>
      <c r="E523" s="13" t="str">
        <v/>
      </c>
      <c r="F523" s="13" t="n">
        <v>0</v>
      </c>
      <c r="G523" s="13" t="n">
        <v>0</v>
      </c>
      <c r="H523" s="13" t="n">
        <v>0</v>
      </c>
      <c r="I523" s="13" t="n">
        <v>0</v>
      </c>
      <c r="J523" s="13" t="b">
        <f aca="false">IF(ISBLANK(I523),"", IF($I$2:$I1520 = "Gohar Rehan","Overnight",IF($I$2:$I1520 = "Taufeeq Akhtar ","Overnight",IF($I$2:$I1520 = "Zeeshan Ali Malik","Audit",IF($I$2:$I1520 = "Ali Raza ","Receiving",IF($I$2:$I1520 = "Ali Ahmad","Full-In"))))))</f>
        <v>0</v>
      </c>
      <c r="K523" s="39" t="e">
        <f aca="false">IFERROR(VLOOKUP(D523,'Brand manager data '!A:B,2,0))</f>
        <v>#VALUE!</v>
      </c>
      <c r="L523" s="13" t="n">
        <v>0</v>
      </c>
      <c r="M523" s="13" t="str">
        <v>Yes</v>
      </c>
      <c r="N523" s="22"/>
      <c r="Q523" s="40"/>
      <c r="R523" s="13" t="b">
        <f aca="false">FALSE()</f>
        <v>0</v>
      </c>
      <c r="S523" s="13" t="n">
        <v>0</v>
      </c>
      <c r="T523" s="13" t="n">
        <f aca="false">S523*F523</f>
        <v>0</v>
      </c>
      <c r="U523" s="13" t="n">
        <v>0</v>
      </c>
      <c r="V523" s="13" t="n">
        <v>0</v>
      </c>
    </row>
    <row r="524" customFormat="false" ht="15.75" hidden="false" customHeight="false" outlineLevel="0" collapsed="false">
      <c r="A524" s="13" t="n">
        <v>0</v>
      </c>
      <c r="B524" s="13" t="str">
        <v/>
      </c>
      <c r="C524" s="13" t="n">
        <v>0</v>
      </c>
      <c r="D524" s="13" t="n">
        <v>0</v>
      </c>
      <c r="E524" s="13" t="str">
        <v/>
      </c>
      <c r="F524" s="13" t="n">
        <v>0</v>
      </c>
      <c r="G524" s="13" t="n">
        <v>0</v>
      </c>
      <c r="H524" s="13" t="n">
        <v>0</v>
      </c>
      <c r="I524" s="13" t="n">
        <v>0</v>
      </c>
      <c r="J524" s="13" t="b">
        <f aca="false">IF(ISBLANK(I524),"", IF($I$2:$I1521 = "Gohar Rehan","Overnight",IF($I$2:$I1521 = "Taufeeq Akhtar ","Overnight",IF($I$2:$I1521 = "Zeeshan Ali Malik","Audit",IF($I$2:$I1521 = "Ali Raza ","Receiving",IF($I$2:$I1521 = "Ali Ahmad","Full-In"))))))</f>
        <v>0</v>
      </c>
      <c r="K524" s="39" t="e">
        <f aca="false">IFERROR(VLOOKUP(D524,'Brand manager data '!A:B,2,0))</f>
        <v>#VALUE!</v>
      </c>
      <c r="L524" s="13" t="n">
        <v>0</v>
      </c>
      <c r="M524" s="13" t="str">
        <v>Yes</v>
      </c>
      <c r="N524" s="22"/>
      <c r="Q524" s="40"/>
      <c r="R524" s="13" t="b">
        <f aca="false">FALSE()</f>
        <v>0</v>
      </c>
      <c r="S524" s="13" t="n">
        <v>0</v>
      </c>
      <c r="T524" s="13" t="n">
        <f aca="false">S524*F524</f>
        <v>0</v>
      </c>
      <c r="U524" s="13" t="n">
        <v>0</v>
      </c>
      <c r="V524" s="13" t="n">
        <v>0</v>
      </c>
    </row>
    <row r="525" customFormat="false" ht="15.75" hidden="false" customHeight="false" outlineLevel="0" collapsed="false">
      <c r="A525" s="13" t="n">
        <v>0</v>
      </c>
      <c r="B525" s="13" t="str">
        <v/>
      </c>
      <c r="C525" s="13" t="n">
        <v>0</v>
      </c>
      <c r="D525" s="13" t="n">
        <v>0</v>
      </c>
      <c r="E525" s="13" t="str">
        <v/>
      </c>
      <c r="F525" s="13" t="n">
        <v>0</v>
      </c>
      <c r="G525" s="13" t="n">
        <v>0</v>
      </c>
      <c r="H525" s="13" t="n">
        <v>0</v>
      </c>
      <c r="I525" s="13" t="n">
        <v>0</v>
      </c>
      <c r="J525" s="13" t="b">
        <f aca="false">IF(ISBLANK(I525),"", IF($I$2:$I1522 = "Gohar Rehan","Overnight",IF($I$2:$I1522 = "Taufeeq Akhtar ","Overnight",IF($I$2:$I1522 = "Zeeshan Ali Malik","Audit",IF($I$2:$I1522 = "Ali Raza ","Receiving",IF($I$2:$I1522 = "Ali Ahmad","Full-In"))))))</f>
        <v>0</v>
      </c>
      <c r="K525" s="39" t="e">
        <f aca="false">IFERROR(VLOOKUP(D525,'Brand manager data '!A:B,2,0))</f>
        <v>#VALUE!</v>
      </c>
      <c r="L525" s="13" t="n">
        <v>0</v>
      </c>
      <c r="M525" s="13" t="str">
        <v>Yes</v>
      </c>
      <c r="N525" s="22"/>
      <c r="Q525" s="40"/>
      <c r="R525" s="13" t="b">
        <f aca="false">FALSE()</f>
        <v>0</v>
      </c>
      <c r="S525" s="13" t="n">
        <v>0</v>
      </c>
      <c r="T525" s="13" t="n">
        <f aca="false">S525*F525</f>
        <v>0</v>
      </c>
      <c r="U525" s="13" t="n">
        <v>0</v>
      </c>
      <c r="V525" s="13" t="n">
        <v>0</v>
      </c>
    </row>
    <row r="526" customFormat="false" ht="15.75" hidden="false" customHeight="false" outlineLevel="0" collapsed="false">
      <c r="A526" s="13" t="n">
        <v>0</v>
      </c>
      <c r="B526" s="13" t="str">
        <v/>
      </c>
      <c r="C526" s="13" t="n">
        <v>0</v>
      </c>
      <c r="D526" s="13" t="n">
        <v>0</v>
      </c>
      <c r="E526" s="13" t="str">
        <v/>
      </c>
      <c r="F526" s="13" t="n">
        <v>0</v>
      </c>
      <c r="G526" s="13" t="n">
        <v>0</v>
      </c>
      <c r="H526" s="13" t="n">
        <v>0</v>
      </c>
      <c r="I526" s="13" t="n">
        <v>0</v>
      </c>
      <c r="J526" s="13" t="b">
        <f aca="false">IF(ISBLANK(I526),"", IF($I$2:$I1523 = "Gohar Rehan","Overnight",IF($I$2:$I1523 = "Taufeeq Akhtar ","Overnight",IF($I$2:$I1523 = "Zeeshan Ali Malik","Audit",IF($I$2:$I1523 = "Ali Raza ","Receiving",IF($I$2:$I1523 = "Ali Ahmad","Full-In"))))))</f>
        <v>0</v>
      </c>
      <c r="K526" s="39" t="e">
        <f aca="false">IFERROR(VLOOKUP(D526,'Brand manager data '!A:B,2,0))</f>
        <v>#VALUE!</v>
      </c>
      <c r="L526" s="13" t="n">
        <v>0</v>
      </c>
      <c r="M526" s="13" t="str">
        <v>Yes</v>
      </c>
      <c r="N526" s="22"/>
      <c r="Q526" s="40"/>
      <c r="R526" s="13" t="b">
        <f aca="false">FALSE()</f>
        <v>0</v>
      </c>
      <c r="S526" s="13" t="n">
        <v>0</v>
      </c>
      <c r="T526" s="13" t="n">
        <f aca="false">S526*F526</f>
        <v>0</v>
      </c>
      <c r="U526" s="13" t="n">
        <v>0</v>
      </c>
      <c r="V526" s="13" t="n">
        <v>0</v>
      </c>
    </row>
    <row r="527" customFormat="false" ht="15.75" hidden="false" customHeight="false" outlineLevel="0" collapsed="false">
      <c r="A527" s="13" t="n">
        <v>0</v>
      </c>
      <c r="B527" s="13" t="str">
        <v/>
      </c>
      <c r="C527" s="13" t="n">
        <v>0</v>
      </c>
      <c r="D527" s="13" t="n">
        <v>0</v>
      </c>
      <c r="E527" s="13" t="str">
        <v/>
      </c>
      <c r="F527" s="13" t="n">
        <v>0</v>
      </c>
      <c r="G527" s="13" t="n">
        <v>0</v>
      </c>
      <c r="H527" s="13" t="n">
        <v>0</v>
      </c>
      <c r="I527" s="13" t="n">
        <v>0</v>
      </c>
      <c r="J527" s="13" t="b">
        <f aca="false">IF(ISBLANK(I527),"", IF($I$2:$I1524 = "Gohar Rehan","Overnight",IF($I$2:$I1524 = "Taufeeq Akhtar ","Overnight",IF($I$2:$I1524 = "Zeeshan Ali Malik","Audit",IF($I$2:$I1524 = "Ali Raza ","Receiving",IF($I$2:$I1524 = "Ali Ahmad","Full-In"))))))</f>
        <v>0</v>
      </c>
      <c r="K527" s="39" t="e">
        <f aca="false">IFERROR(VLOOKUP(D527,'Brand manager data '!A:B,2,0))</f>
        <v>#VALUE!</v>
      </c>
      <c r="L527" s="13" t="n">
        <v>0</v>
      </c>
      <c r="M527" s="13" t="str">
        <v>Yes</v>
      </c>
      <c r="N527" s="22"/>
      <c r="Q527" s="40"/>
      <c r="R527" s="13" t="b">
        <f aca="false">FALSE()</f>
        <v>0</v>
      </c>
      <c r="S527" s="13" t="n">
        <v>0</v>
      </c>
      <c r="T527" s="13" t="n">
        <f aca="false">S527*F527</f>
        <v>0</v>
      </c>
      <c r="U527" s="13" t="n">
        <v>0</v>
      </c>
      <c r="V527" s="13" t="n">
        <v>0</v>
      </c>
    </row>
    <row r="528" customFormat="false" ht="15.75" hidden="false" customHeight="false" outlineLevel="0" collapsed="false">
      <c r="A528" s="13" t="n">
        <v>0</v>
      </c>
      <c r="B528" s="13" t="str">
        <v/>
      </c>
      <c r="C528" s="13" t="n">
        <v>0</v>
      </c>
      <c r="D528" s="13" t="n">
        <v>0</v>
      </c>
      <c r="E528" s="13" t="str">
        <v/>
      </c>
      <c r="F528" s="13" t="n">
        <v>0</v>
      </c>
      <c r="G528" s="13" t="n">
        <v>0</v>
      </c>
      <c r="H528" s="13" t="n">
        <v>0</v>
      </c>
      <c r="I528" s="13" t="n">
        <v>0</v>
      </c>
      <c r="J528" s="13" t="b">
        <f aca="false">IF(ISBLANK(I528),"", IF($I$2:$I1525 = "Gohar Rehan","Overnight",IF($I$2:$I1525 = "Taufeeq Akhtar ","Overnight",IF($I$2:$I1525 = "Zeeshan Ali Malik","Audit",IF($I$2:$I1525 = "Ali Raza ","Receiving",IF($I$2:$I1525 = "Ali Ahmad","Full-In"))))))</f>
        <v>0</v>
      </c>
      <c r="K528" s="39" t="e">
        <f aca="false">IFERROR(VLOOKUP(D528,'Brand manager data '!A:B,2,0))</f>
        <v>#VALUE!</v>
      </c>
      <c r="L528" s="13" t="n">
        <v>0</v>
      </c>
      <c r="M528" s="13" t="str">
        <v>Yes</v>
      </c>
      <c r="N528" s="22"/>
      <c r="Q528" s="40"/>
      <c r="R528" s="13" t="b">
        <f aca="false">FALSE()</f>
        <v>0</v>
      </c>
      <c r="S528" s="13" t="n">
        <v>0</v>
      </c>
      <c r="T528" s="13" t="n">
        <f aca="false">S528*F528</f>
        <v>0</v>
      </c>
      <c r="U528" s="13" t="n">
        <v>0</v>
      </c>
      <c r="V528" s="13" t="n">
        <v>0</v>
      </c>
    </row>
    <row r="529" customFormat="false" ht="15.75" hidden="false" customHeight="false" outlineLevel="0" collapsed="false">
      <c r="A529" s="13" t="n">
        <v>0</v>
      </c>
      <c r="B529" s="13" t="str">
        <v/>
      </c>
      <c r="C529" s="13" t="n">
        <v>0</v>
      </c>
      <c r="D529" s="13" t="n">
        <v>0</v>
      </c>
      <c r="E529" s="13" t="str">
        <v/>
      </c>
      <c r="F529" s="13" t="n">
        <v>0</v>
      </c>
      <c r="G529" s="13" t="n">
        <v>0</v>
      </c>
      <c r="H529" s="13" t="n">
        <v>0</v>
      </c>
      <c r="I529" s="13" t="n">
        <v>0</v>
      </c>
      <c r="J529" s="13" t="b">
        <f aca="false">IF(ISBLANK(I529),"", IF($I$2:$I1526 = "Gohar Rehan","Overnight",IF($I$2:$I1526 = "Taufeeq Akhtar ","Overnight",IF($I$2:$I1526 = "Zeeshan Ali Malik","Audit",IF($I$2:$I1526 = "Ali Raza ","Receiving",IF($I$2:$I1526 = "Ali Ahmad","Full-In"))))))</f>
        <v>0</v>
      </c>
      <c r="K529" s="39" t="e">
        <f aca="false">IFERROR(VLOOKUP(D529,'Brand manager data '!A:B,2,0))</f>
        <v>#VALUE!</v>
      </c>
      <c r="L529" s="13" t="n">
        <v>0</v>
      </c>
      <c r="M529" s="13" t="str">
        <v>Yes</v>
      </c>
      <c r="N529" s="22"/>
      <c r="Q529" s="40"/>
      <c r="R529" s="13" t="b">
        <f aca="false">FALSE()</f>
        <v>0</v>
      </c>
      <c r="S529" s="13" t="n">
        <v>0</v>
      </c>
      <c r="T529" s="13" t="n">
        <f aca="false">S529*F529</f>
        <v>0</v>
      </c>
      <c r="U529" s="13" t="n">
        <v>0</v>
      </c>
      <c r="V529" s="13" t="n">
        <v>0</v>
      </c>
    </row>
    <row r="530" customFormat="false" ht="15.75" hidden="false" customHeight="false" outlineLevel="0" collapsed="false">
      <c r="A530" s="13" t="n">
        <v>0</v>
      </c>
      <c r="B530" s="13" t="str">
        <v/>
      </c>
      <c r="C530" s="13" t="n">
        <v>0</v>
      </c>
      <c r="D530" s="13" t="n">
        <v>0</v>
      </c>
      <c r="E530" s="13" t="str">
        <v/>
      </c>
      <c r="F530" s="13" t="n">
        <v>0</v>
      </c>
      <c r="G530" s="13" t="n">
        <v>0</v>
      </c>
      <c r="H530" s="13" t="n">
        <v>0</v>
      </c>
      <c r="I530" s="13" t="n">
        <v>0</v>
      </c>
      <c r="J530" s="13" t="b">
        <f aca="false">IF(ISBLANK(I530),"", IF($I$2:$I1527 = "Gohar Rehan","Overnight",IF($I$2:$I1527 = "Taufeeq Akhtar ","Overnight",IF($I$2:$I1527 = "Zeeshan Ali Malik","Audit",IF($I$2:$I1527 = "Ali Raza ","Receiving",IF($I$2:$I1527 = "Ali Ahmad","Full-In"))))))</f>
        <v>0</v>
      </c>
      <c r="K530" s="39" t="e">
        <f aca="false">IFERROR(VLOOKUP(D530,'Brand manager data '!A:B,2,0))</f>
        <v>#VALUE!</v>
      </c>
      <c r="L530" s="13" t="n">
        <v>0</v>
      </c>
      <c r="M530" s="13" t="str">
        <v>Yes</v>
      </c>
      <c r="N530" s="22"/>
      <c r="Q530" s="40"/>
      <c r="R530" s="13" t="b">
        <f aca="false">FALSE()</f>
        <v>0</v>
      </c>
      <c r="S530" s="13" t="n">
        <v>0</v>
      </c>
      <c r="T530" s="13" t="n">
        <f aca="false">S530*F530</f>
        <v>0</v>
      </c>
      <c r="U530" s="13" t="n">
        <v>0</v>
      </c>
      <c r="V530" s="13" t="n">
        <v>0</v>
      </c>
    </row>
    <row r="531" customFormat="false" ht="15.75" hidden="false" customHeight="false" outlineLevel="0" collapsed="false">
      <c r="A531" s="13" t="n">
        <v>0</v>
      </c>
      <c r="B531" s="13" t="str">
        <v/>
      </c>
      <c r="C531" s="13" t="n">
        <v>0</v>
      </c>
      <c r="D531" s="13" t="n">
        <v>0</v>
      </c>
      <c r="E531" s="13" t="str">
        <v/>
      </c>
      <c r="F531" s="13" t="n">
        <v>0</v>
      </c>
      <c r="G531" s="13" t="n">
        <v>0</v>
      </c>
      <c r="H531" s="13" t="n">
        <v>0</v>
      </c>
      <c r="I531" s="13" t="n">
        <v>0</v>
      </c>
      <c r="J531" s="13" t="b">
        <f aca="false">IF(ISBLANK(I531),"", IF($I$2:$I1528 = "Gohar Rehan","Overnight",IF($I$2:$I1528 = "Taufeeq Akhtar ","Overnight",IF($I$2:$I1528 = "Zeeshan Ali Malik","Audit",IF($I$2:$I1528 = "Ali Raza ","Receiving",IF($I$2:$I1528 = "Ali Ahmad","Full-In"))))))</f>
        <v>0</v>
      </c>
      <c r="K531" s="39" t="e">
        <f aca="false">IFERROR(VLOOKUP(D531,'Brand manager data '!A:B,2,0))</f>
        <v>#VALUE!</v>
      </c>
      <c r="L531" s="13" t="n">
        <v>0</v>
      </c>
      <c r="M531" s="13" t="str">
        <v>Yes</v>
      </c>
      <c r="N531" s="22"/>
      <c r="Q531" s="40"/>
      <c r="R531" s="13" t="b">
        <f aca="false">FALSE()</f>
        <v>0</v>
      </c>
      <c r="S531" s="13" t="n">
        <v>0</v>
      </c>
      <c r="T531" s="13" t="n">
        <f aca="false">S531*F531</f>
        <v>0</v>
      </c>
      <c r="U531" s="13" t="n">
        <v>0</v>
      </c>
      <c r="V531" s="13" t="n">
        <v>0</v>
      </c>
    </row>
    <row r="532" customFormat="false" ht="15.75" hidden="false" customHeight="false" outlineLevel="0" collapsed="false">
      <c r="A532" s="13" t="n">
        <v>0</v>
      </c>
      <c r="B532" s="13" t="str">
        <v/>
      </c>
      <c r="C532" s="13" t="n">
        <v>0</v>
      </c>
      <c r="D532" s="13" t="n">
        <v>0</v>
      </c>
      <c r="E532" s="13" t="str">
        <v/>
      </c>
      <c r="F532" s="13" t="n">
        <v>0</v>
      </c>
      <c r="G532" s="13" t="n">
        <v>0</v>
      </c>
      <c r="H532" s="13" t="n">
        <v>0</v>
      </c>
      <c r="I532" s="13" t="n">
        <v>0</v>
      </c>
      <c r="J532" s="13" t="b">
        <f aca="false">IF(ISBLANK(I532),"", IF($I$2:$I1529 = "Gohar Rehan","Overnight",IF($I$2:$I1529 = "Taufeeq Akhtar ","Overnight",IF($I$2:$I1529 = "Zeeshan Ali Malik","Audit",IF($I$2:$I1529 = "Ali Raza ","Receiving",IF($I$2:$I1529 = "Ali Ahmad","Full-In"))))))</f>
        <v>0</v>
      </c>
      <c r="K532" s="39" t="e">
        <f aca="false">IFERROR(VLOOKUP(D532,'Brand manager data '!A:B,2,0))</f>
        <v>#VALUE!</v>
      </c>
      <c r="L532" s="13" t="n">
        <v>0</v>
      </c>
      <c r="M532" s="13" t="str">
        <v>Yes</v>
      </c>
      <c r="N532" s="22"/>
      <c r="Q532" s="40"/>
      <c r="R532" s="13" t="b">
        <f aca="false">FALSE()</f>
        <v>0</v>
      </c>
      <c r="S532" s="13" t="n">
        <v>0</v>
      </c>
      <c r="T532" s="13" t="n">
        <f aca="false">S532*F532</f>
        <v>0</v>
      </c>
      <c r="U532" s="13" t="n">
        <v>0</v>
      </c>
      <c r="V532" s="13" t="n">
        <v>0</v>
      </c>
    </row>
    <row r="533" customFormat="false" ht="15.75" hidden="false" customHeight="false" outlineLevel="0" collapsed="false">
      <c r="A533" s="13" t="n">
        <v>0</v>
      </c>
      <c r="B533" s="13" t="str">
        <v/>
      </c>
      <c r="C533" s="13" t="n">
        <v>0</v>
      </c>
      <c r="D533" s="13" t="n">
        <v>0</v>
      </c>
      <c r="E533" s="13" t="str">
        <v/>
      </c>
      <c r="F533" s="13" t="n">
        <v>0</v>
      </c>
      <c r="G533" s="13" t="n">
        <v>0</v>
      </c>
      <c r="H533" s="13" t="n">
        <v>0</v>
      </c>
      <c r="I533" s="13" t="n">
        <v>0</v>
      </c>
      <c r="J533" s="13" t="b">
        <f aca="false">IF(ISBLANK(I533),"", IF($I$2:$I1530 = "Gohar Rehan","Overnight",IF($I$2:$I1530 = "Taufeeq Akhtar ","Overnight",IF($I$2:$I1530 = "Zeeshan Ali Malik","Audit",IF($I$2:$I1530 = "Ali Raza ","Receiving",IF($I$2:$I1530 = "Ali Ahmad","Full-In"))))))</f>
        <v>0</v>
      </c>
      <c r="K533" s="39" t="e">
        <f aca="false">IFERROR(VLOOKUP(D533,'Brand manager data '!A:B,2,0))</f>
        <v>#VALUE!</v>
      </c>
      <c r="L533" s="13" t="n">
        <v>0</v>
      </c>
      <c r="M533" s="13" t="str">
        <v>Yes</v>
      </c>
      <c r="N533" s="22"/>
      <c r="Q533" s="40"/>
      <c r="R533" s="13" t="b">
        <f aca="false">FALSE()</f>
        <v>0</v>
      </c>
      <c r="S533" s="13" t="n">
        <v>0</v>
      </c>
      <c r="T533" s="13" t="n">
        <f aca="false">S533*F533</f>
        <v>0</v>
      </c>
      <c r="U533" s="13" t="n">
        <v>0</v>
      </c>
      <c r="V533" s="13" t="n">
        <v>0</v>
      </c>
    </row>
    <row r="534" customFormat="false" ht="15.75" hidden="false" customHeight="false" outlineLevel="0" collapsed="false">
      <c r="A534" s="13" t="n">
        <v>0</v>
      </c>
      <c r="B534" s="13" t="str">
        <v/>
      </c>
      <c r="C534" s="13" t="n">
        <v>0</v>
      </c>
      <c r="D534" s="13" t="n">
        <v>0</v>
      </c>
      <c r="E534" s="13" t="str">
        <v/>
      </c>
      <c r="F534" s="13" t="n">
        <v>0</v>
      </c>
      <c r="G534" s="13" t="n">
        <v>0</v>
      </c>
      <c r="H534" s="13" t="n">
        <v>0</v>
      </c>
      <c r="I534" s="13" t="n">
        <v>0</v>
      </c>
      <c r="J534" s="13" t="b">
        <f aca="false">IF(ISBLANK(I534),"", IF($I$2:$I1531 = "Gohar Rehan","Overnight",IF($I$2:$I1531 = "Taufeeq Akhtar ","Overnight",IF($I$2:$I1531 = "Zeeshan Ali Malik","Audit",IF($I$2:$I1531 = "Ali Raza ","Receiving",IF($I$2:$I1531 = "Ali Ahmad","Full-In"))))))</f>
        <v>0</v>
      </c>
      <c r="K534" s="39" t="e">
        <f aca="false">IFERROR(VLOOKUP(D534,'Brand manager data '!A:B,2,0))</f>
        <v>#VALUE!</v>
      </c>
      <c r="L534" s="13" t="n">
        <v>0</v>
      </c>
      <c r="M534" s="13" t="str">
        <v>Yes</v>
      </c>
      <c r="N534" s="22"/>
      <c r="Q534" s="40"/>
      <c r="R534" s="13" t="b">
        <f aca="false">FALSE()</f>
        <v>0</v>
      </c>
      <c r="S534" s="13" t="n">
        <v>0</v>
      </c>
      <c r="T534" s="13" t="n">
        <f aca="false">S534*F534</f>
        <v>0</v>
      </c>
      <c r="U534" s="13" t="n">
        <v>0</v>
      </c>
      <c r="V534" s="13" t="n">
        <v>0</v>
      </c>
    </row>
    <row r="535" customFormat="false" ht="15.75" hidden="false" customHeight="false" outlineLevel="0" collapsed="false">
      <c r="A535" s="13" t="n">
        <v>0</v>
      </c>
      <c r="B535" s="13" t="str">
        <v/>
      </c>
      <c r="C535" s="13" t="n">
        <v>0</v>
      </c>
      <c r="D535" s="13" t="n">
        <v>0</v>
      </c>
      <c r="E535" s="13" t="str">
        <v/>
      </c>
      <c r="F535" s="13" t="n">
        <v>0</v>
      </c>
      <c r="G535" s="13" t="n">
        <v>0</v>
      </c>
      <c r="H535" s="13" t="n">
        <v>0</v>
      </c>
      <c r="I535" s="13" t="n">
        <v>0</v>
      </c>
      <c r="J535" s="13" t="b">
        <f aca="false">IF(ISBLANK(I535),"", IF($I$2:$I1532 = "Gohar Rehan","Overnight",IF($I$2:$I1532 = "Taufeeq Akhtar ","Overnight",IF($I$2:$I1532 = "Zeeshan Ali Malik","Audit",IF($I$2:$I1532 = "Ali Raza ","Receiving",IF($I$2:$I1532 = "Ali Ahmad","Full-In"))))))</f>
        <v>0</v>
      </c>
      <c r="K535" s="39" t="e">
        <f aca="false">IFERROR(VLOOKUP(D535,'Brand manager data '!A:B,2,0))</f>
        <v>#VALUE!</v>
      </c>
      <c r="L535" s="13" t="n">
        <v>0</v>
      </c>
      <c r="M535" s="13" t="str">
        <v>Yes</v>
      </c>
      <c r="N535" s="22"/>
      <c r="Q535" s="40"/>
      <c r="R535" s="13" t="b">
        <f aca="false">FALSE()</f>
        <v>0</v>
      </c>
      <c r="S535" s="13" t="n">
        <v>0</v>
      </c>
      <c r="T535" s="13" t="n">
        <f aca="false">S535*F535</f>
        <v>0</v>
      </c>
      <c r="U535" s="13" t="n">
        <v>0</v>
      </c>
      <c r="V535" s="13" t="n">
        <v>0</v>
      </c>
    </row>
    <row r="536" customFormat="false" ht="15.75" hidden="false" customHeight="false" outlineLevel="0" collapsed="false">
      <c r="A536" s="13" t="n">
        <v>0</v>
      </c>
      <c r="B536" s="13" t="str">
        <v/>
      </c>
      <c r="C536" s="13" t="n">
        <v>0</v>
      </c>
      <c r="D536" s="13" t="n">
        <v>0</v>
      </c>
      <c r="E536" s="13" t="str">
        <v/>
      </c>
      <c r="F536" s="13" t="n">
        <v>0</v>
      </c>
      <c r="G536" s="13" t="n">
        <v>0</v>
      </c>
      <c r="H536" s="13" t="n">
        <v>0</v>
      </c>
      <c r="I536" s="13" t="n">
        <v>0</v>
      </c>
      <c r="J536" s="13" t="b">
        <f aca="false">IF(ISBLANK(I536),"", IF($I$2:$I1533 = "Gohar Rehan","Overnight",IF($I$2:$I1533 = "Taufeeq Akhtar ","Overnight",IF($I$2:$I1533 = "Zeeshan Ali Malik","Audit",IF($I$2:$I1533 = "Ali Raza ","Receiving",IF($I$2:$I1533 = "Ali Ahmad","Full-In"))))))</f>
        <v>0</v>
      </c>
      <c r="K536" s="39" t="e">
        <f aca="false">IFERROR(VLOOKUP(D536,'Brand manager data '!A:B,2,0))</f>
        <v>#VALUE!</v>
      </c>
      <c r="L536" s="13" t="n">
        <v>0</v>
      </c>
      <c r="M536" s="13" t="str">
        <v>Yes</v>
      </c>
      <c r="N536" s="22"/>
      <c r="Q536" s="40"/>
      <c r="R536" s="13" t="b">
        <f aca="false">FALSE()</f>
        <v>0</v>
      </c>
      <c r="S536" s="13" t="n">
        <v>0</v>
      </c>
      <c r="T536" s="13" t="n">
        <f aca="false">S536*F536</f>
        <v>0</v>
      </c>
      <c r="U536" s="13" t="n">
        <v>0</v>
      </c>
      <c r="V536" s="13" t="n">
        <v>0</v>
      </c>
    </row>
    <row r="537" customFormat="false" ht="15.75" hidden="false" customHeight="false" outlineLevel="0" collapsed="false">
      <c r="A537" s="13" t="n">
        <v>0</v>
      </c>
      <c r="B537" s="13" t="str">
        <v/>
      </c>
      <c r="C537" s="13" t="n">
        <v>0</v>
      </c>
      <c r="D537" s="13" t="n">
        <v>0</v>
      </c>
      <c r="E537" s="13" t="str">
        <v/>
      </c>
      <c r="F537" s="13" t="n">
        <v>0</v>
      </c>
      <c r="G537" s="13" t="n">
        <v>0</v>
      </c>
      <c r="H537" s="13" t="n">
        <v>0</v>
      </c>
      <c r="I537" s="13" t="n">
        <v>0</v>
      </c>
      <c r="J537" s="13" t="b">
        <f aca="false">IF(ISBLANK(I537),"", IF($I$2:$I1534 = "Gohar Rehan","Overnight",IF($I$2:$I1534 = "Taufeeq Akhtar ","Overnight",IF($I$2:$I1534 = "Zeeshan Ali Malik","Audit",IF($I$2:$I1534 = "Ali Raza ","Receiving",IF($I$2:$I1534 = "Ali Ahmad","Full-In"))))))</f>
        <v>0</v>
      </c>
      <c r="K537" s="39" t="e">
        <f aca="false">IFERROR(VLOOKUP(D537,'Brand manager data '!A:B,2,0))</f>
        <v>#VALUE!</v>
      </c>
      <c r="L537" s="13" t="n">
        <v>0</v>
      </c>
      <c r="M537" s="13" t="str">
        <v>Yes</v>
      </c>
      <c r="N537" s="22"/>
      <c r="Q537" s="40"/>
      <c r="R537" s="13" t="b">
        <f aca="false">FALSE()</f>
        <v>0</v>
      </c>
      <c r="S537" s="13" t="n">
        <v>0</v>
      </c>
      <c r="T537" s="13" t="n">
        <f aca="false">S537*F537</f>
        <v>0</v>
      </c>
      <c r="U537" s="13" t="n">
        <v>0</v>
      </c>
      <c r="V537" s="13" t="n">
        <v>0</v>
      </c>
    </row>
    <row r="538" customFormat="false" ht="15.75" hidden="false" customHeight="false" outlineLevel="0" collapsed="false">
      <c r="A538" s="13" t="n">
        <v>0</v>
      </c>
      <c r="B538" s="13" t="str">
        <v/>
      </c>
      <c r="C538" s="13" t="n">
        <v>0</v>
      </c>
      <c r="D538" s="13" t="n">
        <v>0</v>
      </c>
      <c r="E538" s="13" t="str">
        <v/>
      </c>
      <c r="F538" s="13" t="n">
        <v>0</v>
      </c>
      <c r="G538" s="13" t="n">
        <v>0</v>
      </c>
      <c r="H538" s="13" t="n">
        <v>0</v>
      </c>
      <c r="I538" s="13" t="n">
        <v>0</v>
      </c>
      <c r="J538" s="13" t="b">
        <f aca="false">IF(ISBLANK(I538),"", IF($I$2:$I1535 = "Gohar Rehan","Overnight",IF($I$2:$I1535 = "Taufeeq Akhtar ","Overnight",IF($I$2:$I1535 = "Zeeshan Ali Malik","Audit",IF($I$2:$I1535 = "Ali Raza ","Receiving",IF($I$2:$I1535 = "Ali Ahmad","Full-In"))))))</f>
        <v>0</v>
      </c>
      <c r="K538" s="39" t="e">
        <f aca="false">IFERROR(VLOOKUP(D538,'Brand manager data '!A:B,2,0))</f>
        <v>#VALUE!</v>
      </c>
      <c r="L538" s="13" t="n">
        <v>0</v>
      </c>
      <c r="M538" s="13" t="str">
        <v>Yes</v>
      </c>
      <c r="N538" s="22"/>
      <c r="Q538" s="40"/>
      <c r="R538" s="13" t="b">
        <f aca="false">FALSE()</f>
        <v>0</v>
      </c>
      <c r="S538" s="13" t="n">
        <v>0</v>
      </c>
      <c r="T538" s="13" t="n">
        <f aca="false">S538*F538</f>
        <v>0</v>
      </c>
      <c r="U538" s="13" t="n">
        <v>0</v>
      </c>
      <c r="V538" s="13" t="n">
        <v>0</v>
      </c>
    </row>
    <row r="539" customFormat="false" ht="15.75" hidden="false" customHeight="false" outlineLevel="0" collapsed="false">
      <c r="A539" s="13" t="n">
        <v>0</v>
      </c>
      <c r="B539" s="13" t="str">
        <v/>
      </c>
      <c r="C539" s="13" t="n">
        <v>0</v>
      </c>
      <c r="D539" s="13" t="n">
        <v>0</v>
      </c>
      <c r="E539" s="13" t="str">
        <v/>
      </c>
      <c r="F539" s="13" t="n">
        <v>0</v>
      </c>
      <c r="G539" s="13" t="n">
        <v>0</v>
      </c>
      <c r="H539" s="13" t="n">
        <v>0</v>
      </c>
      <c r="I539" s="13" t="n">
        <v>0</v>
      </c>
      <c r="J539" s="13" t="b">
        <f aca="false">IF(ISBLANK(I539),"", IF($I$2:$I1536 = "Gohar Rehan","Overnight",IF($I$2:$I1536 = "Taufeeq Akhtar ","Overnight",IF($I$2:$I1536 = "Zeeshan Ali Malik","Audit",IF($I$2:$I1536 = "Ali Raza ","Receiving",IF($I$2:$I1536 = "Ali Ahmad","Full-In"))))))</f>
        <v>0</v>
      </c>
      <c r="K539" s="39" t="e">
        <f aca="false">IFERROR(VLOOKUP(D539,'Brand manager data '!A:B,2,0))</f>
        <v>#VALUE!</v>
      </c>
      <c r="L539" s="13" t="n">
        <v>0</v>
      </c>
      <c r="M539" s="13" t="str">
        <v>Yes</v>
      </c>
      <c r="N539" s="22"/>
      <c r="Q539" s="40"/>
      <c r="R539" s="13" t="b">
        <f aca="false">FALSE()</f>
        <v>0</v>
      </c>
      <c r="S539" s="13" t="n">
        <v>0</v>
      </c>
      <c r="T539" s="13" t="n">
        <f aca="false">S539*F539</f>
        <v>0</v>
      </c>
      <c r="U539" s="13" t="n">
        <v>0</v>
      </c>
      <c r="V539" s="13" t="n">
        <v>0</v>
      </c>
    </row>
    <row r="540" customFormat="false" ht="15.75" hidden="false" customHeight="false" outlineLevel="0" collapsed="false">
      <c r="A540" s="13" t="n">
        <v>0</v>
      </c>
      <c r="B540" s="13" t="str">
        <v/>
      </c>
      <c r="C540" s="13" t="n">
        <v>0</v>
      </c>
      <c r="D540" s="13" t="n">
        <v>0</v>
      </c>
      <c r="E540" s="13" t="str">
        <v/>
      </c>
      <c r="F540" s="13" t="n">
        <v>0</v>
      </c>
      <c r="G540" s="13" t="n">
        <v>0</v>
      </c>
      <c r="H540" s="13" t="n">
        <v>0</v>
      </c>
      <c r="I540" s="13" t="n">
        <v>0</v>
      </c>
      <c r="J540" s="13" t="b">
        <f aca="false">IF(ISBLANK(I540),"", IF($I$2:$I1537 = "Gohar Rehan","Overnight",IF($I$2:$I1537 = "Taufeeq Akhtar ","Overnight",IF($I$2:$I1537 = "Zeeshan Ali Malik","Audit",IF($I$2:$I1537 = "Ali Raza ","Receiving",IF($I$2:$I1537 = "Ali Ahmad","Full-In"))))))</f>
        <v>0</v>
      </c>
      <c r="K540" s="39" t="e">
        <f aca="false">IFERROR(VLOOKUP(D540,'Brand manager data '!A:B,2,0))</f>
        <v>#VALUE!</v>
      </c>
      <c r="L540" s="13" t="n">
        <v>0</v>
      </c>
      <c r="M540" s="13" t="str">
        <v>Yes</v>
      </c>
      <c r="N540" s="22"/>
      <c r="Q540" s="40"/>
      <c r="R540" s="13" t="b">
        <f aca="false">FALSE()</f>
        <v>0</v>
      </c>
      <c r="S540" s="13" t="n">
        <v>0</v>
      </c>
      <c r="T540" s="13" t="n">
        <f aca="false">S540*F540</f>
        <v>0</v>
      </c>
      <c r="U540" s="13" t="n">
        <v>0</v>
      </c>
      <c r="V540" s="13" t="n">
        <v>0</v>
      </c>
    </row>
    <row r="541" customFormat="false" ht="15.75" hidden="false" customHeight="false" outlineLevel="0" collapsed="false">
      <c r="A541" s="13" t="n">
        <v>0</v>
      </c>
      <c r="B541" s="13" t="str">
        <v/>
      </c>
      <c r="C541" s="13" t="n">
        <v>0</v>
      </c>
      <c r="D541" s="13" t="n">
        <v>0</v>
      </c>
      <c r="E541" s="13" t="str">
        <v/>
      </c>
      <c r="F541" s="13" t="n">
        <v>0</v>
      </c>
      <c r="G541" s="13" t="n">
        <v>0</v>
      </c>
      <c r="H541" s="13" t="n">
        <v>0</v>
      </c>
      <c r="I541" s="13" t="n">
        <v>0</v>
      </c>
      <c r="J541" s="13" t="b">
        <f aca="false">IF(ISBLANK(I541),"", IF($I$2:$I1538 = "Gohar Rehan","Overnight",IF($I$2:$I1538 = "Taufeeq Akhtar ","Overnight",IF($I$2:$I1538 = "Zeeshan Ali Malik","Audit",IF($I$2:$I1538 = "Ali Raza ","Receiving",IF($I$2:$I1538 = "Ali Ahmad","Full-In"))))))</f>
        <v>0</v>
      </c>
      <c r="K541" s="39" t="e">
        <f aca="false">IFERROR(VLOOKUP(D541,'Brand manager data '!A:B,2,0))</f>
        <v>#VALUE!</v>
      </c>
      <c r="L541" s="13" t="n">
        <v>0</v>
      </c>
      <c r="M541" s="13" t="str">
        <v>Yes</v>
      </c>
      <c r="N541" s="22"/>
      <c r="Q541" s="40"/>
      <c r="R541" s="13" t="b">
        <f aca="false">FALSE()</f>
        <v>0</v>
      </c>
      <c r="S541" s="13" t="n">
        <v>0</v>
      </c>
      <c r="T541" s="13" t="n">
        <f aca="false">S541*F541</f>
        <v>0</v>
      </c>
      <c r="U541" s="13" t="n">
        <v>0</v>
      </c>
      <c r="V541" s="13" t="n">
        <v>0</v>
      </c>
    </row>
    <row r="542" customFormat="false" ht="15.75" hidden="false" customHeight="false" outlineLevel="0" collapsed="false">
      <c r="A542" s="13" t="n">
        <v>0</v>
      </c>
      <c r="B542" s="13" t="str">
        <v/>
      </c>
      <c r="C542" s="13" t="n">
        <v>0</v>
      </c>
      <c r="D542" s="13" t="n">
        <v>0</v>
      </c>
      <c r="E542" s="13" t="str">
        <v/>
      </c>
      <c r="F542" s="13" t="n">
        <v>0</v>
      </c>
      <c r="G542" s="13" t="n">
        <v>0</v>
      </c>
      <c r="H542" s="13" t="n">
        <v>0</v>
      </c>
      <c r="I542" s="13" t="n">
        <v>0</v>
      </c>
      <c r="J542" s="13" t="b">
        <f aca="false">IF(ISBLANK(I542),"", IF($I$2:$I1539 = "Gohar Rehan","Overnight",IF($I$2:$I1539 = "Taufeeq Akhtar ","Overnight",IF($I$2:$I1539 = "Zeeshan Ali Malik","Audit",IF($I$2:$I1539 = "Ali Raza ","Receiving",IF($I$2:$I1539 = "Ali Ahmad","Full-In"))))))</f>
        <v>0</v>
      </c>
      <c r="K542" s="39" t="e">
        <f aca="false">IFERROR(VLOOKUP(D542,'Brand manager data '!A:B,2,0))</f>
        <v>#VALUE!</v>
      </c>
      <c r="L542" s="13" t="n">
        <v>0</v>
      </c>
      <c r="M542" s="13" t="str">
        <v>Yes</v>
      </c>
      <c r="N542" s="22"/>
      <c r="Q542" s="40"/>
      <c r="R542" s="13" t="b">
        <f aca="false">FALSE()</f>
        <v>0</v>
      </c>
      <c r="S542" s="13" t="n">
        <v>0</v>
      </c>
      <c r="T542" s="13" t="n">
        <f aca="false">S542*F542</f>
        <v>0</v>
      </c>
      <c r="U542" s="13" t="n">
        <v>0</v>
      </c>
      <c r="V542" s="13" t="n">
        <v>0</v>
      </c>
    </row>
    <row r="543" customFormat="false" ht="15.75" hidden="false" customHeight="false" outlineLevel="0" collapsed="false">
      <c r="A543" s="13" t="n">
        <v>0</v>
      </c>
      <c r="B543" s="13" t="str">
        <v/>
      </c>
      <c r="C543" s="13" t="n">
        <v>0</v>
      </c>
      <c r="D543" s="13" t="n">
        <v>0</v>
      </c>
      <c r="E543" s="13" t="str">
        <v/>
      </c>
      <c r="F543" s="13" t="n">
        <v>0</v>
      </c>
      <c r="G543" s="13" t="n">
        <v>0</v>
      </c>
      <c r="H543" s="13" t="n">
        <v>0</v>
      </c>
      <c r="I543" s="13" t="n">
        <v>0</v>
      </c>
      <c r="J543" s="13" t="b">
        <f aca="false">IF(ISBLANK(I543),"", IF($I$2:$I1540 = "Gohar Rehan","Overnight",IF($I$2:$I1540 = "Taufeeq Akhtar ","Overnight",IF($I$2:$I1540 = "Zeeshan Ali Malik","Audit",IF($I$2:$I1540 = "Ali Raza ","Receiving",IF($I$2:$I1540 = "Ali Ahmad","Full-In"))))))</f>
        <v>0</v>
      </c>
      <c r="K543" s="39" t="e">
        <f aca="false">IFERROR(VLOOKUP(D543,'Brand manager data '!A:B,2,0))</f>
        <v>#VALUE!</v>
      </c>
      <c r="L543" s="13" t="n">
        <v>0</v>
      </c>
      <c r="M543" s="13" t="str">
        <v>Yes</v>
      </c>
      <c r="N543" s="22"/>
      <c r="Q543" s="40"/>
      <c r="R543" s="13" t="b">
        <f aca="false">FALSE()</f>
        <v>0</v>
      </c>
      <c r="S543" s="13" t="n">
        <v>0</v>
      </c>
      <c r="T543" s="13" t="n">
        <f aca="false">S543*F543</f>
        <v>0</v>
      </c>
      <c r="U543" s="13" t="n">
        <v>0</v>
      </c>
      <c r="V543" s="13" t="n">
        <v>0</v>
      </c>
    </row>
    <row r="544" customFormat="false" ht="15.75" hidden="false" customHeight="false" outlineLevel="0" collapsed="false">
      <c r="A544" s="13" t="n">
        <v>0</v>
      </c>
      <c r="B544" s="13" t="str">
        <v/>
      </c>
      <c r="C544" s="13" t="n">
        <v>0</v>
      </c>
      <c r="D544" s="13" t="n">
        <v>0</v>
      </c>
      <c r="E544" s="13" t="str">
        <v/>
      </c>
      <c r="F544" s="13" t="n">
        <v>0</v>
      </c>
      <c r="G544" s="13" t="n">
        <v>0</v>
      </c>
      <c r="H544" s="13" t="n">
        <v>0</v>
      </c>
      <c r="I544" s="13" t="n">
        <v>0</v>
      </c>
      <c r="J544" s="13" t="b">
        <f aca="false">IF(ISBLANK(I544),"", IF($I$2:$I1541 = "Gohar Rehan","Overnight",IF($I$2:$I1541 = "Taufeeq Akhtar ","Overnight",IF($I$2:$I1541 = "Zeeshan Ali Malik","Audit",IF($I$2:$I1541 = "Ali Raza ","Receiving",IF($I$2:$I1541 = "Ali Ahmad","Full-In"))))))</f>
        <v>0</v>
      </c>
      <c r="K544" s="39" t="e">
        <f aca="false">IFERROR(VLOOKUP(D544,'Brand manager data '!A:B,2,0))</f>
        <v>#VALUE!</v>
      </c>
      <c r="L544" s="13" t="n">
        <v>0</v>
      </c>
      <c r="M544" s="13" t="str">
        <v>Yes</v>
      </c>
      <c r="N544" s="22"/>
      <c r="Q544" s="40"/>
      <c r="R544" s="13" t="b">
        <f aca="false">FALSE()</f>
        <v>0</v>
      </c>
      <c r="S544" s="13" t="n">
        <v>0</v>
      </c>
      <c r="T544" s="13" t="n">
        <f aca="false">S544*F544</f>
        <v>0</v>
      </c>
      <c r="U544" s="13" t="n">
        <v>0</v>
      </c>
      <c r="V544" s="13" t="n">
        <v>0</v>
      </c>
    </row>
    <row r="545" customFormat="false" ht="15.75" hidden="false" customHeight="false" outlineLevel="0" collapsed="false">
      <c r="A545" s="13" t="n">
        <v>0</v>
      </c>
      <c r="B545" s="13" t="str">
        <v/>
      </c>
      <c r="C545" s="13" t="n">
        <v>0</v>
      </c>
      <c r="D545" s="13" t="n">
        <v>0</v>
      </c>
      <c r="E545" s="13" t="str">
        <v/>
      </c>
      <c r="F545" s="13" t="n">
        <v>0</v>
      </c>
      <c r="G545" s="13" t="n">
        <v>0</v>
      </c>
      <c r="H545" s="13" t="n">
        <v>0</v>
      </c>
      <c r="I545" s="13" t="n">
        <v>0</v>
      </c>
      <c r="J545" s="13" t="b">
        <f aca="false">IF(ISBLANK(I545),"", IF($I$2:$I1542 = "Gohar Rehan","Overnight",IF($I$2:$I1542 = "Taufeeq Akhtar ","Overnight",IF($I$2:$I1542 = "Zeeshan Ali Malik","Audit",IF($I$2:$I1542 = "Ali Raza ","Receiving",IF($I$2:$I1542 = "Ali Ahmad","Full-In"))))))</f>
        <v>0</v>
      </c>
      <c r="K545" s="39" t="e">
        <f aca="false">IFERROR(VLOOKUP(D545,'Brand manager data '!A:B,2,0))</f>
        <v>#VALUE!</v>
      </c>
      <c r="L545" s="13" t="n">
        <v>0</v>
      </c>
      <c r="M545" s="13" t="str">
        <v>Yes</v>
      </c>
      <c r="N545" s="22"/>
      <c r="Q545" s="40"/>
      <c r="R545" s="13" t="b">
        <f aca="false">FALSE()</f>
        <v>0</v>
      </c>
      <c r="S545" s="13" t="n">
        <v>0</v>
      </c>
      <c r="T545" s="13" t="n">
        <f aca="false">S545*F545</f>
        <v>0</v>
      </c>
      <c r="U545" s="13" t="n">
        <v>0</v>
      </c>
      <c r="V545" s="13" t="n">
        <v>0</v>
      </c>
    </row>
    <row r="546" customFormat="false" ht="15.75" hidden="false" customHeight="false" outlineLevel="0" collapsed="false">
      <c r="A546" s="13" t="n">
        <v>0</v>
      </c>
      <c r="B546" s="13" t="str">
        <v/>
      </c>
      <c r="C546" s="13" t="n">
        <v>0</v>
      </c>
      <c r="D546" s="13" t="n">
        <v>0</v>
      </c>
      <c r="E546" s="13" t="str">
        <v/>
      </c>
      <c r="F546" s="13" t="n">
        <v>0</v>
      </c>
      <c r="G546" s="13" t="n">
        <v>0</v>
      </c>
      <c r="H546" s="13" t="n">
        <v>0</v>
      </c>
      <c r="I546" s="13" t="n">
        <v>0</v>
      </c>
      <c r="J546" s="13" t="b">
        <f aca="false">IF(ISBLANK(I546),"", IF($I$2:$I1543 = "Gohar Rehan","Overnight",IF($I$2:$I1543 = "Taufeeq Akhtar ","Overnight",IF($I$2:$I1543 = "Zeeshan Ali Malik","Audit",IF($I$2:$I1543 = "Ali Raza ","Receiving",IF($I$2:$I1543 = "Ali Ahmad","Full-In"))))))</f>
        <v>0</v>
      </c>
      <c r="K546" s="39" t="e">
        <f aca="false">IFERROR(VLOOKUP(D546,'Brand manager data '!A:B,2,0))</f>
        <v>#VALUE!</v>
      </c>
      <c r="L546" s="13" t="n">
        <v>0</v>
      </c>
      <c r="M546" s="13" t="str">
        <v>Yes</v>
      </c>
      <c r="N546" s="22"/>
      <c r="Q546" s="40"/>
      <c r="R546" s="13" t="b">
        <f aca="false">FALSE()</f>
        <v>0</v>
      </c>
      <c r="S546" s="13" t="n">
        <v>0</v>
      </c>
      <c r="T546" s="13" t="n">
        <f aca="false">S546*F546</f>
        <v>0</v>
      </c>
      <c r="U546" s="13" t="n">
        <v>0</v>
      </c>
      <c r="V546" s="13" t="n">
        <v>0</v>
      </c>
    </row>
    <row r="547" customFormat="false" ht="15.75" hidden="false" customHeight="false" outlineLevel="0" collapsed="false">
      <c r="A547" s="13" t="n">
        <v>0</v>
      </c>
      <c r="B547" s="13" t="str">
        <v/>
      </c>
      <c r="C547" s="13" t="n">
        <v>0</v>
      </c>
      <c r="D547" s="13" t="n">
        <v>0</v>
      </c>
      <c r="E547" s="13" t="str">
        <v/>
      </c>
      <c r="F547" s="13" t="n">
        <v>0</v>
      </c>
      <c r="G547" s="13" t="n">
        <v>0</v>
      </c>
      <c r="H547" s="13" t="n">
        <v>0</v>
      </c>
      <c r="I547" s="13" t="n">
        <v>0</v>
      </c>
      <c r="J547" s="13" t="b">
        <f aca="false">IF(ISBLANK(I547),"", IF($I$2:$I1544 = "Gohar Rehan","Overnight",IF($I$2:$I1544 = "Taufeeq Akhtar ","Overnight",IF($I$2:$I1544 = "Zeeshan Ali Malik","Audit",IF($I$2:$I1544 = "Ali Raza ","Receiving",IF($I$2:$I1544 = "Ali Ahmad","Full-In"))))))</f>
        <v>0</v>
      </c>
      <c r="K547" s="39" t="e">
        <f aca="false">IFERROR(VLOOKUP(D547,'Brand manager data '!A:B,2,0))</f>
        <v>#VALUE!</v>
      </c>
      <c r="L547" s="13" t="n">
        <v>0</v>
      </c>
      <c r="M547" s="13" t="str">
        <v>Yes</v>
      </c>
      <c r="N547" s="22"/>
      <c r="Q547" s="40"/>
      <c r="R547" s="13" t="b">
        <f aca="false">FALSE()</f>
        <v>0</v>
      </c>
      <c r="S547" s="13" t="n">
        <v>0</v>
      </c>
      <c r="T547" s="13" t="n">
        <f aca="false">S547*F547</f>
        <v>0</v>
      </c>
      <c r="U547" s="13" t="n">
        <v>0</v>
      </c>
      <c r="V547" s="13" t="n">
        <v>0</v>
      </c>
    </row>
    <row r="548" customFormat="false" ht="15.75" hidden="false" customHeight="false" outlineLevel="0" collapsed="false">
      <c r="A548" s="13" t="n">
        <v>0</v>
      </c>
      <c r="B548" s="13" t="str">
        <v/>
      </c>
      <c r="C548" s="13" t="n">
        <v>0</v>
      </c>
      <c r="D548" s="13" t="n">
        <v>0</v>
      </c>
      <c r="E548" s="13" t="str">
        <v/>
      </c>
      <c r="F548" s="13" t="n">
        <v>0</v>
      </c>
      <c r="G548" s="13" t="n">
        <v>0</v>
      </c>
      <c r="H548" s="13" t="n">
        <v>0</v>
      </c>
      <c r="I548" s="13" t="n">
        <v>0</v>
      </c>
      <c r="J548" s="13" t="b">
        <f aca="false">IF(ISBLANK(I548),"", IF($I$2:$I1545 = "Gohar Rehan","Overnight",IF($I$2:$I1545 = "Taufeeq Akhtar ","Overnight",IF($I$2:$I1545 = "Zeeshan Ali Malik","Audit",IF($I$2:$I1545 = "Ali Raza ","Receiving",IF($I$2:$I1545 = "Ali Ahmad","Full-In"))))))</f>
        <v>0</v>
      </c>
      <c r="K548" s="39" t="e">
        <f aca="false">IFERROR(VLOOKUP(D548,'Brand manager data '!A:B,2,0))</f>
        <v>#VALUE!</v>
      </c>
      <c r="L548" s="13" t="n">
        <v>0</v>
      </c>
      <c r="M548" s="13" t="str">
        <v>Yes</v>
      </c>
      <c r="N548" s="22"/>
      <c r="Q548" s="40"/>
      <c r="R548" s="13" t="b">
        <f aca="false">FALSE()</f>
        <v>0</v>
      </c>
      <c r="S548" s="13" t="n">
        <v>0</v>
      </c>
      <c r="T548" s="13" t="n">
        <f aca="false">S548*F548</f>
        <v>0</v>
      </c>
      <c r="U548" s="13" t="n">
        <v>0</v>
      </c>
      <c r="V548" s="13" t="n">
        <v>0</v>
      </c>
    </row>
    <row r="549" customFormat="false" ht="15.75" hidden="false" customHeight="false" outlineLevel="0" collapsed="false">
      <c r="A549" s="13" t="n">
        <v>0</v>
      </c>
      <c r="B549" s="13" t="str">
        <v/>
      </c>
      <c r="C549" s="13" t="n">
        <v>0</v>
      </c>
      <c r="D549" s="13" t="n">
        <v>0</v>
      </c>
      <c r="E549" s="13" t="str">
        <v/>
      </c>
      <c r="F549" s="13" t="n">
        <v>0</v>
      </c>
      <c r="G549" s="13" t="n">
        <v>0</v>
      </c>
      <c r="H549" s="13" t="n">
        <v>0</v>
      </c>
      <c r="I549" s="13" t="n">
        <v>0</v>
      </c>
      <c r="J549" s="13" t="b">
        <f aca="false">IF(ISBLANK(I549),"", IF($I$2:$I1546 = "Gohar Rehan","Overnight",IF($I$2:$I1546 = "Taufeeq Akhtar ","Overnight",IF($I$2:$I1546 = "Zeeshan Ali Malik","Audit",IF($I$2:$I1546 = "Ali Raza ","Receiving",IF($I$2:$I1546 = "Ali Ahmad","Full-In"))))))</f>
        <v>0</v>
      </c>
      <c r="K549" s="39" t="e">
        <f aca="false">IFERROR(VLOOKUP(D549,'Brand manager data '!A:B,2,0))</f>
        <v>#VALUE!</v>
      </c>
      <c r="L549" s="13" t="n">
        <v>0</v>
      </c>
      <c r="M549" s="13" t="str">
        <v>Yes</v>
      </c>
      <c r="N549" s="22"/>
      <c r="Q549" s="40"/>
      <c r="R549" s="13" t="b">
        <f aca="false">FALSE()</f>
        <v>0</v>
      </c>
      <c r="S549" s="13" t="n">
        <v>0</v>
      </c>
      <c r="T549" s="13" t="n">
        <f aca="false">S549*F549</f>
        <v>0</v>
      </c>
      <c r="U549" s="13" t="n">
        <v>0</v>
      </c>
      <c r="V549" s="13" t="n">
        <v>0</v>
      </c>
    </row>
    <row r="550" customFormat="false" ht="15.75" hidden="false" customHeight="false" outlineLevel="0" collapsed="false">
      <c r="A550" s="13" t="n">
        <v>0</v>
      </c>
      <c r="B550" s="13" t="str">
        <v/>
      </c>
      <c r="C550" s="13" t="n">
        <v>0</v>
      </c>
      <c r="D550" s="13" t="n">
        <v>0</v>
      </c>
      <c r="E550" s="13" t="str">
        <v/>
      </c>
      <c r="F550" s="13" t="n">
        <v>0</v>
      </c>
      <c r="G550" s="13" t="n">
        <v>0</v>
      </c>
      <c r="H550" s="13" t="n">
        <v>0</v>
      </c>
      <c r="I550" s="13" t="n">
        <v>0</v>
      </c>
      <c r="J550" s="13" t="b">
        <f aca="false">IF(ISBLANK(I550),"", IF($I$2:$I1547 = "Gohar Rehan","Overnight",IF($I$2:$I1547 = "Taufeeq Akhtar ","Overnight",IF($I$2:$I1547 = "Zeeshan Ali Malik","Audit",IF($I$2:$I1547 = "Ali Raza ","Receiving",IF($I$2:$I1547 = "Ali Ahmad","Full-In"))))))</f>
        <v>0</v>
      </c>
      <c r="K550" s="39" t="e">
        <f aca="false">IFERROR(VLOOKUP(D550,'Brand manager data '!A:B,2,0))</f>
        <v>#VALUE!</v>
      </c>
      <c r="L550" s="13" t="n">
        <v>0</v>
      </c>
      <c r="M550" s="13" t="str">
        <v>Yes</v>
      </c>
      <c r="N550" s="22"/>
      <c r="Q550" s="40"/>
      <c r="R550" s="13" t="b">
        <f aca="false">FALSE()</f>
        <v>0</v>
      </c>
      <c r="S550" s="13" t="n">
        <v>0</v>
      </c>
      <c r="T550" s="13" t="n">
        <f aca="false">S550*F550</f>
        <v>0</v>
      </c>
      <c r="U550" s="13" t="n">
        <v>0</v>
      </c>
      <c r="V550" s="13" t="n">
        <v>0</v>
      </c>
    </row>
    <row r="551" customFormat="false" ht="15.75" hidden="false" customHeight="false" outlineLevel="0" collapsed="false">
      <c r="A551" s="13" t="n">
        <v>0</v>
      </c>
      <c r="B551" s="13" t="str">
        <v/>
      </c>
      <c r="C551" s="13" t="n">
        <v>0</v>
      </c>
      <c r="D551" s="13" t="n">
        <v>0</v>
      </c>
      <c r="E551" s="13" t="str">
        <v/>
      </c>
      <c r="F551" s="13" t="n">
        <v>0</v>
      </c>
      <c r="G551" s="13" t="n">
        <v>0</v>
      </c>
      <c r="H551" s="13" t="n">
        <v>0</v>
      </c>
      <c r="I551" s="13" t="n">
        <v>0</v>
      </c>
      <c r="J551" s="13" t="b">
        <f aca="false">IF(ISBLANK(I551),"", IF($I$2:$I1548 = "Gohar Rehan","Overnight",IF($I$2:$I1548 = "Taufeeq Akhtar ","Overnight",IF($I$2:$I1548 = "Zeeshan Ali Malik","Audit",IF($I$2:$I1548 = "Ali Raza ","Receiving",IF($I$2:$I1548 = "Ali Ahmad","Full-In"))))))</f>
        <v>0</v>
      </c>
      <c r="K551" s="39" t="e">
        <f aca="false">IFERROR(VLOOKUP(D551,'Brand manager data '!A:B,2,0))</f>
        <v>#VALUE!</v>
      </c>
      <c r="L551" s="13" t="n">
        <v>0</v>
      </c>
      <c r="M551" s="13" t="str">
        <v>Yes</v>
      </c>
      <c r="N551" s="22"/>
      <c r="Q551" s="40"/>
      <c r="R551" s="13" t="b">
        <f aca="false">FALSE()</f>
        <v>0</v>
      </c>
      <c r="S551" s="13" t="n">
        <v>0</v>
      </c>
      <c r="T551" s="13" t="n">
        <f aca="false">S551*F551</f>
        <v>0</v>
      </c>
      <c r="U551" s="13" t="n">
        <v>0</v>
      </c>
      <c r="V551" s="13" t="n">
        <v>0</v>
      </c>
    </row>
    <row r="552" customFormat="false" ht="15.75" hidden="false" customHeight="false" outlineLevel="0" collapsed="false">
      <c r="A552" s="13" t="n">
        <v>0</v>
      </c>
      <c r="B552" s="13" t="str">
        <v/>
      </c>
      <c r="C552" s="13" t="n">
        <v>0</v>
      </c>
      <c r="D552" s="13" t="n">
        <v>0</v>
      </c>
      <c r="E552" s="13" t="str">
        <v/>
      </c>
      <c r="F552" s="13" t="n">
        <v>0</v>
      </c>
      <c r="G552" s="13" t="n">
        <v>0</v>
      </c>
      <c r="H552" s="13" t="n">
        <v>0</v>
      </c>
      <c r="I552" s="13" t="n">
        <v>0</v>
      </c>
      <c r="J552" s="13" t="b">
        <f aca="false">IF(ISBLANK(I552),"", IF($I$2:$I1549 = "Gohar Rehan","Overnight",IF($I$2:$I1549 = "Taufeeq Akhtar ","Overnight",IF($I$2:$I1549 = "Zeeshan Ali Malik","Audit",IF($I$2:$I1549 = "Ali Raza ","Receiving",IF($I$2:$I1549 = "Ali Ahmad","Full-In"))))))</f>
        <v>0</v>
      </c>
      <c r="K552" s="39" t="e">
        <f aca="false">IFERROR(VLOOKUP(D552,'Brand manager data '!A:B,2,0))</f>
        <v>#VALUE!</v>
      </c>
      <c r="L552" s="13" t="n">
        <v>0</v>
      </c>
      <c r="M552" s="13" t="str">
        <v>Yes</v>
      </c>
      <c r="N552" s="22"/>
      <c r="Q552" s="40"/>
      <c r="R552" s="13" t="b">
        <f aca="false">FALSE()</f>
        <v>0</v>
      </c>
      <c r="S552" s="13" t="n">
        <v>0</v>
      </c>
      <c r="T552" s="13" t="n">
        <f aca="false">S552*F552</f>
        <v>0</v>
      </c>
      <c r="U552" s="13" t="n">
        <v>0</v>
      </c>
      <c r="V552" s="13" t="n">
        <v>0</v>
      </c>
    </row>
    <row r="553" customFormat="false" ht="15.75" hidden="false" customHeight="false" outlineLevel="0" collapsed="false">
      <c r="A553" s="13" t="n">
        <v>0</v>
      </c>
      <c r="B553" s="13" t="str">
        <v/>
      </c>
      <c r="C553" s="13" t="n">
        <v>0</v>
      </c>
      <c r="D553" s="13" t="n">
        <v>0</v>
      </c>
      <c r="E553" s="13" t="str">
        <v/>
      </c>
      <c r="F553" s="13" t="n">
        <v>0</v>
      </c>
      <c r="G553" s="13" t="n">
        <v>0</v>
      </c>
      <c r="H553" s="13" t="n">
        <v>0</v>
      </c>
      <c r="I553" s="13" t="n">
        <v>0</v>
      </c>
      <c r="J553" s="13" t="b">
        <f aca="false">IF(ISBLANK(I553),"", IF($I$2:$I1550 = "Gohar Rehan","Overnight",IF($I$2:$I1550 = "Taufeeq Akhtar ","Overnight",IF($I$2:$I1550 = "Zeeshan Ali Malik","Audit",IF($I$2:$I1550 = "Ali Raza ","Receiving",IF($I$2:$I1550 = "Ali Ahmad","Full-In"))))))</f>
        <v>0</v>
      </c>
      <c r="K553" s="39" t="e">
        <f aca="false">IFERROR(VLOOKUP(D553,'Brand manager data '!A:B,2,0))</f>
        <v>#VALUE!</v>
      </c>
      <c r="L553" s="13" t="n">
        <v>0</v>
      </c>
      <c r="M553" s="13" t="str">
        <v>Yes</v>
      </c>
      <c r="N553" s="22"/>
      <c r="Q553" s="40"/>
      <c r="R553" s="13" t="b">
        <f aca="false">FALSE()</f>
        <v>0</v>
      </c>
      <c r="S553" s="13" t="n">
        <v>0</v>
      </c>
      <c r="T553" s="13" t="n">
        <f aca="false">S553*F553</f>
        <v>0</v>
      </c>
      <c r="U553" s="13" t="n">
        <v>0</v>
      </c>
      <c r="V553" s="13" t="n">
        <v>0</v>
      </c>
    </row>
    <row r="554" customFormat="false" ht="15.75" hidden="false" customHeight="false" outlineLevel="0" collapsed="false">
      <c r="A554" s="13" t="n">
        <v>0</v>
      </c>
      <c r="B554" s="13" t="str">
        <v/>
      </c>
      <c r="C554" s="13" t="n">
        <v>0</v>
      </c>
      <c r="D554" s="13" t="n">
        <v>0</v>
      </c>
      <c r="E554" s="13" t="str">
        <v/>
      </c>
      <c r="F554" s="13" t="n">
        <v>0</v>
      </c>
      <c r="G554" s="13" t="n">
        <v>0</v>
      </c>
      <c r="H554" s="13" t="n">
        <v>0</v>
      </c>
      <c r="I554" s="13" t="n">
        <v>0</v>
      </c>
      <c r="J554" s="13" t="b">
        <f aca="false">IF(ISBLANK(I554),"", IF($I$2:$I1551 = "Gohar Rehan","Overnight",IF($I$2:$I1551 = "Taufeeq Akhtar ","Overnight",IF($I$2:$I1551 = "Zeeshan Ali Malik","Audit",IF($I$2:$I1551 = "Ali Raza ","Receiving",IF($I$2:$I1551 = "Ali Ahmad","Full-In"))))))</f>
        <v>0</v>
      </c>
      <c r="K554" s="39" t="e">
        <f aca="false">IFERROR(VLOOKUP(D554,'Brand manager data '!A:B,2,0))</f>
        <v>#VALUE!</v>
      </c>
      <c r="L554" s="13" t="n">
        <v>0</v>
      </c>
      <c r="M554" s="13" t="str">
        <v>Yes</v>
      </c>
      <c r="N554" s="22"/>
      <c r="Q554" s="40"/>
      <c r="R554" s="13" t="b">
        <f aca="false">FALSE()</f>
        <v>0</v>
      </c>
      <c r="S554" s="13" t="n">
        <v>0</v>
      </c>
      <c r="T554" s="13" t="n">
        <f aca="false">S554*F554</f>
        <v>0</v>
      </c>
      <c r="U554" s="13" t="n">
        <v>0</v>
      </c>
      <c r="V554" s="13" t="n">
        <v>0</v>
      </c>
    </row>
    <row r="555" customFormat="false" ht="15.75" hidden="false" customHeight="false" outlineLevel="0" collapsed="false">
      <c r="A555" s="13" t="n">
        <v>0</v>
      </c>
      <c r="B555" s="13" t="str">
        <v/>
      </c>
      <c r="C555" s="13" t="n">
        <v>0</v>
      </c>
      <c r="D555" s="13" t="n">
        <v>0</v>
      </c>
      <c r="E555" s="13" t="str">
        <v/>
      </c>
      <c r="F555" s="13" t="n">
        <v>0</v>
      </c>
      <c r="G555" s="13" t="n">
        <v>0</v>
      </c>
      <c r="H555" s="13" t="n">
        <v>0</v>
      </c>
      <c r="I555" s="13" t="n">
        <v>0</v>
      </c>
      <c r="J555" s="13" t="b">
        <f aca="false">IF(ISBLANK(I555),"", IF($I$2:$I1552 = "Gohar Rehan","Overnight",IF($I$2:$I1552 = "Taufeeq Akhtar ","Overnight",IF($I$2:$I1552 = "Zeeshan Ali Malik","Audit",IF($I$2:$I1552 = "Ali Raza ","Receiving",IF($I$2:$I1552 = "Ali Ahmad","Full-In"))))))</f>
        <v>0</v>
      </c>
      <c r="K555" s="39" t="e">
        <f aca="false">IFERROR(VLOOKUP(D555,'Brand manager data '!A:B,2,0))</f>
        <v>#VALUE!</v>
      </c>
      <c r="L555" s="13" t="n">
        <v>0</v>
      </c>
      <c r="M555" s="13" t="str">
        <v>Yes</v>
      </c>
      <c r="N555" s="22"/>
      <c r="Q555" s="40"/>
      <c r="R555" s="13" t="b">
        <f aca="false">FALSE()</f>
        <v>0</v>
      </c>
      <c r="S555" s="13" t="n">
        <v>0</v>
      </c>
      <c r="T555" s="13" t="n">
        <f aca="false">S555*F555</f>
        <v>0</v>
      </c>
      <c r="U555" s="13" t="n">
        <v>0</v>
      </c>
      <c r="V555" s="13" t="n">
        <v>0</v>
      </c>
    </row>
    <row r="556" customFormat="false" ht="15.75" hidden="false" customHeight="false" outlineLevel="0" collapsed="false">
      <c r="A556" s="13" t="n">
        <v>0</v>
      </c>
      <c r="B556" s="13" t="str">
        <v/>
      </c>
      <c r="C556" s="13" t="n">
        <v>0</v>
      </c>
      <c r="D556" s="13" t="n">
        <v>0</v>
      </c>
      <c r="E556" s="13" t="str">
        <v/>
      </c>
      <c r="F556" s="13" t="n">
        <v>0</v>
      </c>
      <c r="G556" s="13" t="n">
        <v>0</v>
      </c>
      <c r="H556" s="13" t="n">
        <v>0</v>
      </c>
      <c r="I556" s="13" t="n">
        <v>0</v>
      </c>
      <c r="J556" s="13" t="b">
        <f aca="false">IF(ISBLANK(I556),"", IF($I$2:$I1553 = "Gohar Rehan","Overnight",IF($I$2:$I1553 = "Taufeeq Akhtar ","Overnight",IF($I$2:$I1553 = "Zeeshan Ali Malik","Audit",IF($I$2:$I1553 = "Ali Raza ","Receiving",IF($I$2:$I1553 = "Ali Ahmad","Full-In"))))))</f>
        <v>0</v>
      </c>
      <c r="K556" s="39" t="e">
        <f aca="false">IFERROR(VLOOKUP(D556,'Brand manager data '!A:B,2,0))</f>
        <v>#VALUE!</v>
      </c>
      <c r="L556" s="13" t="n">
        <v>0</v>
      </c>
      <c r="M556" s="13" t="str">
        <v>Yes</v>
      </c>
      <c r="N556" s="22"/>
      <c r="Q556" s="40"/>
      <c r="R556" s="13" t="b">
        <f aca="false">FALSE()</f>
        <v>0</v>
      </c>
      <c r="S556" s="13" t="n">
        <v>0</v>
      </c>
      <c r="T556" s="13" t="n">
        <f aca="false">S556*F556</f>
        <v>0</v>
      </c>
      <c r="U556" s="13" t="n">
        <v>0</v>
      </c>
      <c r="V556" s="13" t="n">
        <v>0</v>
      </c>
    </row>
    <row r="557" customFormat="false" ht="15.75" hidden="false" customHeight="false" outlineLevel="0" collapsed="false">
      <c r="A557" s="13" t="n">
        <v>0</v>
      </c>
      <c r="B557" s="13" t="str">
        <v/>
      </c>
      <c r="C557" s="13" t="n">
        <v>0</v>
      </c>
      <c r="D557" s="13" t="n">
        <v>0</v>
      </c>
      <c r="E557" s="13" t="str">
        <v/>
      </c>
      <c r="F557" s="13" t="n">
        <v>0</v>
      </c>
      <c r="G557" s="13" t="n">
        <v>0</v>
      </c>
      <c r="H557" s="13" t="n">
        <v>0</v>
      </c>
      <c r="I557" s="13" t="n">
        <v>0</v>
      </c>
      <c r="J557" s="13" t="b">
        <f aca="false">IF(ISBLANK(I557),"", IF($I$2:$I1554 = "Gohar Rehan","Overnight",IF($I$2:$I1554 = "Taufeeq Akhtar ","Overnight",IF($I$2:$I1554 = "Zeeshan Ali Malik","Audit",IF($I$2:$I1554 = "Ali Raza ","Receiving",IF($I$2:$I1554 = "Ali Ahmad","Full-In"))))))</f>
        <v>0</v>
      </c>
      <c r="K557" s="39" t="e">
        <f aca="false">IFERROR(VLOOKUP(D557,'Brand manager data '!A:B,2,0))</f>
        <v>#VALUE!</v>
      </c>
      <c r="L557" s="13" t="n">
        <v>0</v>
      </c>
      <c r="M557" s="13" t="str">
        <v>Yes</v>
      </c>
      <c r="N557" s="22"/>
      <c r="Q557" s="40"/>
      <c r="R557" s="13" t="b">
        <f aca="false">FALSE()</f>
        <v>0</v>
      </c>
      <c r="S557" s="13" t="n">
        <v>0</v>
      </c>
      <c r="T557" s="13" t="n">
        <f aca="false">S557*F557</f>
        <v>0</v>
      </c>
      <c r="U557" s="13" t="n">
        <v>0</v>
      </c>
      <c r="V557" s="13" t="n">
        <v>0</v>
      </c>
    </row>
    <row r="558" customFormat="false" ht="15.75" hidden="false" customHeight="false" outlineLevel="0" collapsed="false">
      <c r="A558" s="13" t="n">
        <v>0</v>
      </c>
      <c r="B558" s="13" t="str">
        <v/>
      </c>
      <c r="C558" s="13" t="n">
        <v>0</v>
      </c>
      <c r="D558" s="13" t="n">
        <v>0</v>
      </c>
      <c r="E558" s="13" t="str">
        <v/>
      </c>
      <c r="F558" s="13" t="n">
        <v>0</v>
      </c>
      <c r="G558" s="13" t="n">
        <v>0</v>
      </c>
      <c r="H558" s="13" t="n">
        <v>0</v>
      </c>
      <c r="I558" s="13" t="n">
        <v>0</v>
      </c>
      <c r="J558" s="13" t="b">
        <f aca="false">IF(ISBLANK(I558),"", IF($I$2:$I1555 = "Gohar Rehan","Overnight",IF($I$2:$I1555 = "Taufeeq Akhtar ","Overnight",IF($I$2:$I1555 = "Zeeshan Ali Malik","Audit",IF($I$2:$I1555 = "Ali Raza ","Receiving",IF($I$2:$I1555 = "Ali Ahmad","Full-In"))))))</f>
        <v>0</v>
      </c>
      <c r="K558" s="39" t="e">
        <f aca="false">IFERROR(VLOOKUP(D558,'Brand manager data '!A:B,2,0))</f>
        <v>#VALUE!</v>
      </c>
      <c r="L558" s="13" t="n">
        <v>0</v>
      </c>
      <c r="M558" s="13" t="str">
        <v>Yes</v>
      </c>
      <c r="N558" s="22"/>
      <c r="Q558" s="40"/>
      <c r="R558" s="13" t="b">
        <f aca="false">FALSE()</f>
        <v>0</v>
      </c>
      <c r="S558" s="13" t="n">
        <v>0</v>
      </c>
      <c r="T558" s="13" t="n">
        <f aca="false">S558*F558</f>
        <v>0</v>
      </c>
      <c r="U558" s="13" t="n">
        <v>0</v>
      </c>
      <c r="V558" s="13" t="n">
        <v>0</v>
      </c>
    </row>
    <row r="559" customFormat="false" ht="15.75" hidden="false" customHeight="false" outlineLevel="0" collapsed="false">
      <c r="A559" s="13" t="n">
        <v>0</v>
      </c>
      <c r="B559" s="13" t="str">
        <v/>
      </c>
      <c r="C559" s="13" t="n">
        <v>0</v>
      </c>
      <c r="D559" s="13" t="n">
        <v>0</v>
      </c>
      <c r="E559" s="13" t="str">
        <v/>
      </c>
      <c r="F559" s="13" t="n">
        <v>0</v>
      </c>
      <c r="G559" s="13" t="n">
        <v>0</v>
      </c>
      <c r="H559" s="13" t="n">
        <v>0</v>
      </c>
      <c r="I559" s="13" t="n">
        <v>0</v>
      </c>
      <c r="J559" s="13" t="b">
        <f aca="false">IF(ISBLANK(I559),"", IF($I$2:$I1556 = "Gohar Rehan","Overnight",IF($I$2:$I1556 = "Taufeeq Akhtar ","Overnight",IF($I$2:$I1556 = "Zeeshan Ali Malik","Audit",IF($I$2:$I1556 = "Ali Raza ","Receiving",IF($I$2:$I1556 = "Ali Ahmad","Full-In"))))))</f>
        <v>0</v>
      </c>
      <c r="K559" s="39" t="e">
        <f aca="false">IFERROR(VLOOKUP(D559,'Brand manager data '!A:B,2,0))</f>
        <v>#VALUE!</v>
      </c>
      <c r="L559" s="13" t="n">
        <v>0</v>
      </c>
      <c r="M559" s="13" t="str">
        <v>Yes</v>
      </c>
      <c r="N559" s="22"/>
      <c r="Q559" s="40"/>
      <c r="R559" s="13" t="b">
        <f aca="false">FALSE()</f>
        <v>0</v>
      </c>
      <c r="S559" s="13" t="n">
        <v>0</v>
      </c>
      <c r="T559" s="13" t="n">
        <f aca="false">S559*F559</f>
        <v>0</v>
      </c>
      <c r="U559" s="13" t="n">
        <v>0</v>
      </c>
      <c r="V559" s="13" t="n">
        <v>0</v>
      </c>
    </row>
    <row r="560" customFormat="false" ht="15.75" hidden="false" customHeight="false" outlineLevel="0" collapsed="false">
      <c r="A560" s="13" t="n">
        <v>0</v>
      </c>
      <c r="B560" s="13" t="str">
        <v/>
      </c>
      <c r="C560" s="13" t="n">
        <v>0</v>
      </c>
      <c r="D560" s="13" t="n">
        <v>0</v>
      </c>
      <c r="E560" s="13" t="str">
        <v/>
      </c>
      <c r="F560" s="13" t="n">
        <v>0</v>
      </c>
      <c r="G560" s="13" t="n">
        <v>0</v>
      </c>
      <c r="H560" s="13" t="n">
        <v>0</v>
      </c>
      <c r="I560" s="13" t="n">
        <v>0</v>
      </c>
      <c r="J560" s="13" t="b">
        <f aca="false">IF(ISBLANK(I560),"", IF($I$2:$I1557 = "Gohar Rehan","Overnight",IF($I$2:$I1557 = "Taufeeq Akhtar ","Overnight",IF($I$2:$I1557 = "Zeeshan Ali Malik","Audit",IF($I$2:$I1557 = "Ali Raza ","Receiving",IF($I$2:$I1557 = "Ali Ahmad","Full-In"))))))</f>
        <v>0</v>
      </c>
      <c r="K560" s="39" t="e">
        <f aca="false">IFERROR(VLOOKUP(D560,'Brand manager data '!A:B,2,0))</f>
        <v>#VALUE!</v>
      </c>
      <c r="L560" s="13" t="n">
        <v>0</v>
      </c>
      <c r="M560" s="13" t="str">
        <v>Yes</v>
      </c>
      <c r="N560" s="22"/>
      <c r="Q560" s="40"/>
      <c r="R560" s="13" t="b">
        <f aca="false">FALSE()</f>
        <v>0</v>
      </c>
      <c r="S560" s="13" t="n">
        <v>0</v>
      </c>
      <c r="T560" s="13" t="n">
        <f aca="false">S560*F560</f>
        <v>0</v>
      </c>
      <c r="U560" s="13" t="n">
        <v>0</v>
      </c>
      <c r="V560" s="13" t="n">
        <v>0</v>
      </c>
    </row>
    <row r="561" customFormat="false" ht="15.75" hidden="false" customHeight="false" outlineLevel="0" collapsed="false">
      <c r="A561" s="13" t="n">
        <v>0</v>
      </c>
      <c r="B561" s="13" t="str">
        <v/>
      </c>
      <c r="C561" s="13" t="n">
        <v>0</v>
      </c>
      <c r="D561" s="13" t="n">
        <v>0</v>
      </c>
      <c r="E561" s="13" t="str">
        <v/>
      </c>
      <c r="F561" s="13" t="n">
        <v>0</v>
      </c>
      <c r="G561" s="13" t="n">
        <v>0</v>
      </c>
      <c r="H561" s="13" t="n">
        <v>0</v>
      </c>
      <c r="I561" s="13" t="n">
        <v>0</v>
      </c>
      <c r="J561" s="13" t="b">
        <f aca="false">IF(ISBLANK(I561),"", IF($I$2:$I1558 = "Gohar Rehan","Overnight",IF($I$2:$I1558 = "Taufeeq Akhtar ","Overnight",IF($I$2:$I1558 = "Zeeshan Ali Malik","Audit",IF($I$2:$I1558 = "Ali Raza ","Receiving",IF($I$2:$I1558 = "Ali Ahmad","Full-In"))))))</f>
        <v>0</v>
      </c>
      <c r="K561" s="39" t="e">
        <f aca="false">IFERROR(VLOOKUP(D561,'Brand manager data '!A:B,2,0))</f>
        <v>#VALUE!</v>
      </c>
      <c r="L561" s="13" t="n">
        <v>0</v>
      </c>
      <c r="M561" s="13" t="str">
        <v>Yes</v>
      </c>
      <c r="N561" s="22"/>
      <c r="Q561" s="40"/>
      <c r="R561" s="13" t="b">
        <f aca="false">FALSE()</f>
        <v>0</v>
      </c>
      <c r="S561" s="13" t="n">
        <v>0</v>
      </c>
      <c r="T561" s="13" t="n">
        <f aca="false">S561*F561</f>
        <v>0</v>
      </c>
      <c r="U561" s="13" t="n">
        <v>0</v>
      </c>
      <c r="V561" s="13" t="n">
        <v>0</v>
      </c>
    </row>
    <row r="562" customFormat="false" ht="15.75" hidden="false" customHeight="false" outlineLevel="0" collapsed="false">
      <c r="A562" s="13" t="n">
        <v>0</v>
      </c>
      <c r="B562" s="13" t="str">
        <v/>
      </c>
      <c r="C562" s="13" t="n">
        <v>0</v>
      </c>
      <c r="D562" s="13" t="n">
        <v>0</v>
      </c>
      <c r="E562" s="13" t="str">
        <v/>
      </c>
      <c r="F562" s="13" t="n">
        <v>0</v>
      </c>
      <c r="G562" s="13" t="n">
        <v>0</v>
      </c>
      <c r="H562" s="13" t="n">
        <v>0</v>
      </c>
      <c r="I562" s="13" t="n">
        <v>0</v>
      </c>
      <c r="J562" s="13" t="b">
        <f aca="false">IF(ISBLANK(I562),"", IF($I$2:$I1559 = "Gohar Rehan","Overnight",IF($I$2:$I1559 = "Taufeeq Akhtar ","Overnight",IF($I$2:$I1559 = "Zeeshan Ali Malik","Audit",IF($I$2:$I1559 = "Ali Raza ","Receiving",IF($I$2:$I1559 = "Ali Ahmad","Full-In"))))))</f>
        <v>0</v>
      </c>
      <c r="K562" s="39" t="e">
        <f aca="false">IFERROR(VLOOKUP(D562,'Brand manager data '!A:B,2,0))</f>
        <v>#VALUE!</v>
      </c>
      <c r="L562" s="13" t="n">
        <v>0</v>
      </c>
      <c r="M562" s="13" t="str">
        <v>Yes</v>
      </c>
      <c r="N562" s="22"/>
      <c r="Q562" s="40"/>
      <c r="R562" s="13" t="b">
        <f aca="false">FALSE()</f>
        <v>0</v>
      </c>
      <c r="S562" s="13" t="n">
        <v>0</v>
      </c>
      <c r="T562" s="13" t="n">
        <f aca="false">S562*F562</f>
        <v>0</v>
      </c>
      <c r="U562" s="13" t="n">
        <v>0</v>
      </c>
      <c r="V562" s="13" t="n">
        <v>0</v>
      </c>
    </row>
    <row r="563" customFormat="false" ht="15.75" hidden="false" customHeight="false" outlineLevel="0" collapsed="false">
      <c r="A563" s="13" t="n">
        <v>0</v>
      </c>
      <c r="B563" s="13" t="str">
        <v/>
      </c>
      <c r="C563" s="13" t="n">
        <v>0</v>
      </c>
      <c r="D563" s="13" t="n">
        <v>0</v>
      </c>
      <c r="E563" s="13" t="str">
        <v/>
      </c>
      <c r="F563" s="13" t="n">
        <v>0</v>
      </c>
      <c r="G563" s="13" t="n">
        <v>0</v>
      </c>
      <c r="H563" s="13" t="n">
        <v>0</v>
      </c>
      <c r="I563" s="13" t="n">
        <v>0</v>
      </c>
      <c r="J563" s="13" t="b">
        <f aca="false">IF(ISBLANK(I563),"", IF($I$2:$I1560 = "Gohar Rehan","Overnight",IF($I$2:$I1560 = "Taufeeq Akhtar ","Overnight",IF($I$2:$I1560 = "Zeeshan Ali Malik","Audit",IF($I$2:$I1560 = "Ali Raza ","Receiving",IF($I$2:$I1560 = "Ali Ahmad","Full-In"))))))</f>
        <v>0</v>
      </c>
      <c r="K563" s="39" t="e">
        <f aca="false">IFERROR(VLOOKUP(D563,'Brand manager data '!A:B,2,0))</f>
        <v>#VALUE!</v>
      </c>
      <c r="L563" s="13" t="n">
        <v>0</v>
      </c>
      <c r="M563" s="13" t="str">
        <v>Yes</v>
      </c>
      <c r="N563" s="22"/>
      <c r="Q563" s="40"/>
      <c r="R563" s="13" t="b">
        <f aca="false">FALSE()</f>
        <v>0</v>
      </c>
      <c r="S563" s="13" t="n">
        <v>0</v>
      </c>
      <c r="T563" s="13" t="n">
        <f aca="false">S563*F563</f>
        <v>0</v>
      </c>
      <c r="U563" s="13" t="n">
        <v>0</v>
      </c>
      <c r="V563" s="13" t="n">
        <v>0</v>
      </c>
    </row>
    <row r="564" customFormat="false" ht="15.75" hidden="false" customHeight="false" outlineLevel="0" collapsed="false">
      <c r="A564" s="13" t="n">
        <v>0</v>
      </c>
      <c r="B564" s="13" t="str">
        <v/>
      </c>
      <c r="C564" s="13" t="n">
        <v>0</v>
      </c>
      <c r="D564" s="13" t="n">
        <v>0</v>
      </c>
      <c r="E564" s="13" t="str">
        <v/>
      </c>
      <c r="F564" s="13" t="n">
        <v>0</v>
      </c>
      <c r="G564" s="13" t="n">
        <v>0</v>
      </c>
      <c r="H564" s="13" t="n">
        <v>0</v>
      </c>
      <c r="I564" s="13" t="n">
        <v>0</v>
      </c>
      <c r="J564" s="13" t="b">
        <f aca="false">IF(ISBLANK(I564),"", IF($I$2:$I1561 = "Gohar Rehan","Overnight",IF($I$2:$I1561 = "Taufeeq Akhtar ","Overnight",IF($I$2:$I1561 = "Zeeshan Ali Malik","Audit",IF($I$2:$I1561 = "Ali Raza ","Receiving",IF($I$2:$I1561 = "Ali Ahmad","Full-In"))))))</f>
        <v>0</v>
      </c>
      <c r="K564" s="39" t="e">
        <f aca="false">IFERROR(VLOOKUP(D564,'Brand manager data '!A:B,2,0))</f>
        <v>#VALUE!</v>
      </c>
      <c r="L564" s="13" t="n">
        <v>0</v>
      </c>
      <c r="M564" s="13" t="str">
        <v>Yes</v>
      </c>
      <c r="N564" s="22"/>
      <c r="Q564" s="40"/>
      <c r="R564" s="13" t="b">
        <f aca="false">FALSE()</f>
        <v>0</v>
      </c>
      <c r="S564" s="13" t="n">
        <v>0</v>
      </c>
      <c r="T564" s="13" t="n">
        <f aca="false">S564*F564</f>
        <v>0</v>
      </c>
      <c r="U564" s="13" t="n">
        <v>0</v>
      </c>
      <c r="V564" s="13" t="n">
        <v>0</v>
      </c>
    </row>
    <row r="565" customFormat="false" ht="15.75" hidden="false" customHeight="false" outlineLevel="0" collapsed="false">
      <c r="A565" s="13" t="n">
        <v>0</v>
      </c>
      <c r="B565" s="13" t="str">
        <v/>
      </c>
      <c r="C565" s="13" t="n">
        <v>0</v>
      </c>
      <c r="D565" s="13" t="n">
        <v>0</v>
      </c>
      <c r="E565" s="13" t="str">
        <v/>
      </c>
      <c r="F565" s="13" t="n">
        <v>0</v>
      </c>
      <c r="G565" s="13" t="n">
        <v>0</v>
      </c>
      <c r="H565" s="13" t="n">
        <v>0</v>
      </c>
      <c r="I565" s="13" t="n">
        <v>0</v>
      </c>
      <c r="J565" s="13" t="b">
        <f aca="false">IF(ISBLANK(I565),"", IF($I$2:$I1562 = "Gohar Rehan","Overnight",IF($I$2:$I1562 = "Taufeeq Akhtar ","Overnight",IF($I$2:$I1562 = "Zeeshan Ali Malik","Audit",IF($I$2:$I1562 = "Ali Raza ","Receiving",IF($I$2:$I1562 = "Ali Ahmad","Full-In"))))))</f>
        <v>0</v>
      </c>
      <c r="K565" s="39" t="e">
        <f aca="false">IFERROR(VLOOKUP(D565,'Brand manager data '!A:B,2,0))</f>
        <v>#VALUE!</v>
      </c>
      <c r="L565" s="13" t="n">
        <v>0</v>
      </c>
      <c r="M565" s="13" t="str">
        <v>Yes</v>
      </c>
      <c r="N565" s="22"/>
      <c r="Q565" s="40"/>
      <c r="R565" s="13" t="b">
        <f aca="false">FALSE()</f>
        <v>0</v>
      </c>
      <c r="S565" s="13" t="n">
        <v>0</v>
      </c>
      <c r="T565" s="13" t="n">
        <f aca="false">S565*F565</f>
        <v>0</v>
      </c>
      <c r="U565" s="13" t="n">
        <v>0</v>
      </c>
      <c r="V565" s="13" t="n">
        <v>0</v>
      </c>
    </row>
    <row r="566" customFormat="false" ht="15.75" hidden="false" customHeight="false" outlineLevel="0" collapsed="false">
      <c r="A566" s="13" t="n">
        <v>0</v>
      </c>
      <c r="B566" s="13" t="str">
        <v/>
      </c>
      <c r="C566" s="13" t="n">
        <v>0</v>
      </c>
      <c r="D566" s="13" t="n">
        <v>0</v>
      </c>
      <c r="E566" s="13" t="str">
        <v/>
      </c>
      <c r="F566" s="13" t="n">
        <v>0</v>
      </c>
      <c r="G566" s="13" t="n">
        <v>0</v>
      </c>
      <c r="H566" s="13" t="n">
        <v>0</v>
      </c>
      <c r="I566" s="13" t="n">
        <v>0</v>
      </c>
      <c r="J566" s="13" t="b">
        <f aca="false">IF(ISBLANK(I566),"", IF($I$2:$I1563 = "Gohar Rehan","Overnight",IF($I$2:$I1563 = "Taufeeq Akhtar ","Overnight",IF($I$2:$I1563 = "Zeeshan Ali Malik","Audit",IF($I$2:$I1563 = "Ali Raza ","Receiving",IF($I$2:$I1563 = "Ali Ahmad","Full-In"))))))</f>
        <v>0</v>
      </c>
      <c r="K566" s="39" t="e">
        <f aca="false">IFERROR(VLOOKUP(D566,'Brand manager data '!A:B,2,0))</f>
        <v>#VALUE!</v>
      </c>
      <c r="L566" s="13" t="n">
        <v>0</v>
      </c>
      <c r="M566" s="13" t="str">
        <v>Yes</v>
      </c>
      <c r="N566" s="22"/>
      <c r="Q566" s="40"/>
      <c r="R566" s="13" t="b">
        <f aca="false">FALSE()</f>
        <v>0</v>
      </c>
      <c r="S566" s="13" t="n">
        <v>0</v>
      </c>
      <c r="T566" s="13" t="n">
        <f aca="false">S566*F566</f>
        <v>0</v>
      </c>
      <c r="U566" s="13" t="n">
        <v>0</v>
      </c>
      <c r="V566" s="13" t="n">
        <v>0</v>
      </c>
    </row>
    <row r="567" customFormat="false" ht="15.75" hidden="false" customHeight="false" outlineLevel="0" collapsed="false">
      <c r="A567" s="13" t="n">
        <v>0</v>
      </c>
      <c r="B567" s="13" t="str">
        <v/>
      </c>
      <c r="C567" s="13" t="n">
        <v>0</v>
      </c>
      <c r="D567" s="13" t="n">
        <v>0</v>
      </c>
      <c r="E567" s="13" t="str">
        <v/>
      </c>
      <c r="F567" s="13" t="n">
        <v>0</v>
      </c>
      <c r="G567" s="13" t="n">
        <v>0</v>
      </c>
      <c r="H567" s="13" t="n">
        <v>0</v>
      </c>
      <c r="I567" s="13" t="n">
        <v>0</v>
      </c>
      <c r="J567" s="13" t="b">
        <f aca="false">IF(ISBLANK(I567),"", IF($I$2:$I1564 = "Gohar Rehan","Overnight",IF($I$2:$I1564 = "Taufeeq Akhtar ","Overnight",IF($I$2:$I1564 = "Zeeshan Ali Malik","Audit",IF($I$2:$I1564 = "Ali Raza ","Receiving",IF($I$2:$I1564 = "Ali Ahmad","Full-In"))))))</f>
        <v>0</v>
      </c>
      <c r="K567" s="39" t="e">
        <f aca="false">IFERROR(VLOOKUP(D567,'Brand manager data '!A:B,2,0))</f>
        <v>#VALUE!</v>
      </c>
      <c r="L567" s="13" t="n">
        <v>0</v>
      </c>
      <c r="M567" s="13" t="str">
        <v>Yes</v>
      </c>
      <c r="N567" s="22"/>
      <c r="Q567" s="40"/>
      <c r="R567" s="13" t="b">
        <f aca="false">FALSE()</f>
        <v>0</v>
      </c>
      <c r="S567" s="13" t="n">
        <v>0</v>
      </c>
      <c r="T567" s="13" t="n">
        <f aca="false">S567*F567</f>
        <v>0</v>
      </c>
      <c r="U567" s="13" t="n">
        <v>0</v>
      </c>
      <c r="V567" s="13" t="n">
        <v>0</v>
      </c>
    </row>
    <row r="568" customFormat="false" ht="15.75" hidden="false" customHeight="false" outlineLevel="0" collapsed="false">
      <c r="A568" s="13" t="n">
        <v>0</v>
      </c>
      <c r="B568" s="13" t="str">
        <v/>
      </c>
      <c r="C568" s="13" t="n">
        <v>0</v>
      </c>
      <c r="D568" s="13" t="n">
        <v>0</v>
      </c>
      <c r="E568" s="13" t="str">
        <v/>
      </c>
      <c r="F568" s="13" t="n">
        <v>0</v>
      </c>
      <c r="G568" s="13" t="n">
        <v>0</v>
      </c>
      <c r="H568" s="13" t="n">
        <v>0</v>
      </c>
      <c r="I568" s="13" t="n">
        <v>0</v>
      </c>
      <c r="J568" s="13" t="b">
        <f aca="false">IF(ISBLANK(I568),"", IF($I$2:$I1565 = "Gohar Rehan","Overnight",IF($I$2:$I1565 = "Taufeeq Akhtar ","Overnight",IF($I$2:$I1565 = "Zeeshan Ali Malik","Audit",IF($I$2:$I1565 = "Ali Raza ","Receiving",IF($I$2:$I1565 = "Ali Ahmad","Full-In"))))))</f>
        <v>0</v>
      </c>
      <c r="K568" s="39" t="e">
        <f aca="false">IFERROR(VLOOKUP(D568,'Brand manager data '!A:B,2,0))</f>
        <v>#VALUE!</v>
      </c>
      <c r="L568" s="13" t="n">
        <v>0</v>
      </c>
      <c r="M568" s="13" t="str">
        <v>Yes</v>
      </c>
      <c r="N568" s="22"/>
      <c r="Q568" s="40"/>
      <c r="R568" s="13" t="b">
        <f aca="false">FALSE()</f>
        <v>0</v>
      </c>
      <c r="S568" s="13" t="n">
        <v>0</v>
      </c>
      <c r="T568" s="13" t="n">
        <f aca="false">S568*F568</f>
        <v>0</v>
      </c>
      <c r="U568" s="13" t="n">
        <v>0</v>
      </c>
      <c r="V568" s="13" t="n">
        <v>0</v>
      </c>
    </row>
    <row r="569" customFormat="false" ht="15.75" hidden="false" customHeight="false" outlineLevel="0" collapsed="false">
      <c r="A569" s="13" t="n">
        <v>0</v>
      </c>
      <c r="B569" s="13" t="str">
        <v/>
      </c>
      <c r="C569" s="13" t="n">
        <v>0</v>
      </c>
      <c r="D569" s="13" t="n">
        <v>0</v>
      </c>
      <c r="E569" s="13" t="str">
        <v/>
      </c>
      <c r="F569" s="13" t="n">
        <v>0</v>
      </c>
      <c r="G569" s="13" t="n">
        <v>0</v>
      </c>
      <c r="H569" s="13" t="n">
        <v>0</v>
      </c>
      <c r="I569" s="13" t="n">
        <v>0</v>
      </c>
      <c r="J569" s="13" t="b">
        <f aca="false">IF(ISBLANK(I569),"", IF($I$2:$I1566 = "Gohar Rehan","Overnight",IF($I$2:$I1566 = "Taufeeq Akhtar ","Overnight",IF($I$2:$I1566 = "Zeeshan Ali Malik","Audit",IF($I$2:$I1566 = "Ali Raza ","Receiving",IF($I$2:$I1566 = "Ali Ahmad","Full-In"))))))</f>
        <v>0</v>
      </c>
      <c r="K569" s="39" t="e">
        <f aca="false">IFERROR(VLOOKUP(D569,'Brand manager data '!A:B,2,0))</f>
        <v>#VALUE!</v>
      </c>
      <c r="L569" s="13" t="n">
        <v>0</v>
      </c>
      <c r="M569" s="13" t="str">
        <v>Yes</v>
      </c>
      <c r="N569" s="22"/>
      <c r="Q569" s="40"/>
      <c r="R569" s="13" t="b">
        <f aca="false">FALSE()</f>
        <v>0</v>
      </c>
      <c r="S569" s="13" t="n">
        <v>0</v>
      </c>
      <c r="T569" s="13" t="n">
        <f aca="false">S569*F569</f>
        <v>0</v>
      </c>
      <c r="U569" s="13" t="n">
        <v>0</v>
      </c>
      <c r="V569" s="13" t="n">
        <v>0</v>
      </c>
    </row>
    <row r="570" customFormat="false" ht="15.75" hidden="false" customHeight="false" outlineLevel="0" collapsed="false">
      <c r="A570" s="13" t="n">
        <v>0</v>
      </c>
      <c r="B570" s="13" t="str">
        <v/>
      </c>
      <c r="C570" s="13" t="n">
        <v>0</v>
      </c>
      <c r="D570" s="13" t="n">
        <v>0</v>
      </c>
      <c r="E570" s="13" t="str">
        <v/>
      </c>
      <c r="F570" s="13" t="n">
        <v>0</v>
      </c>
      <c r="G570" s="13" t="n">
        <v>0</v>
      </c>
      <c r="H570" s="13" t="n">
        <v>0</v>
      </c>
      <c r="I570" s="13" t="n">
        <v>0</v>
      </c>
      <c r="J570" s="13" t="b">
        <f aca="false">IF(ISBLANK(I570),"", IF($I$2:$I1567 = "Gohar Rehan","Overnight",IF($I$2:$I1567 = "Taufeeq Akhtar ","Overnight",IF($I$2:$I1567 = "Zeeshan Ali Malik","Audit",IF($I$2:$I1567 = "Ali Raza ","Receiving",IF($I$2:$I1567 = "Ali Ahmad","Full-In"))))))</f>
        <v>0</v>
      </c>
      <c r="K570" s="39" t="e">
        <f aca="false">IFERROR(VLOOKUP(D570,'Brand manager data '!A:B,2,0))</f>
        <v>#VALUE!</v>
      </c>
      <c r="L570" s="13" t="n">
        <v>0</v>
      </c>
      <c r="M570" s="13" t="str">
        <v>Yes</v>
      </c>
      <c r="N570" s="22"/>
      <c r="Q570" s="40"/>
      <c r="R570" s="13" t="b">
        <f aca="false">FALSE()</f>
        <v>0</v>
      </c>
      <c r="S570" s="13" t="n">
        <v>0</v>
      </c>
      <c r="T570" s="13" t="n">
        <f aca="false">S570*F570</f>
        <v>0</v>
      </c>
      <c r="U570" s="13" t="n">
        <v>0</v>
      </c>
      <c r="V570" s="13" t="n">
        <v>0</v>
      </c>
    </row>
    <row r="571" customFormat="false" ht="15.75" hidden="false" customHeight="false" outlineLevel="0" collapsed="false">
      <c r="A571" s="13" t="n">
        <v>0</v>
      </c>
      <c r="B571" s="13" t="str">
        <v/>
      </c>
      <c r="C571" s="13" t="n">
        <v>0</v>
      </c>
      <c r="D571" s="13" t="n">
        <v>0</v>
      </c>
      <c r="E571" s="13" t="str">
        <v/>
      </c>
      <c r="F571" s="13" t="n">
        <v>0</v>
      </c>
      <c r="G571" s="13" t="n">
        <v>0</v>
      </c>
      <c r="H571" s="13" t="n">
        <v>0</v>
      </c>
      <c r="I571" s="13" t="n">
        <v>0</v>
      </c>
      <c r="J571" s="13" t="b">
        <f aca="false">IF(ISBLANK(I571),"", IF($I$2:$I1568 = "Gohar Rehan","Overnight",IF($I$2:$I1568 = "Taufeeq Akhtar ","Overnight",IF($I$2:$I1568 = "Zeeshan Ali Malik","Audit",IF($I$2:$I1568 = "Ali Raza ","Receiving",IF($I$2:$I1568 = "Ali Ahmad","Full-In"))))))</f>
        <v>0</v>
      </c>
      <c r="K571" s="39" t="e">
        <f aca="false">IFERROR(VLOOKUP(D571,'Brand manager data '!A:B,2,0))</f>
        <v>#VALUE!</v>
      </c>
      <c r="L571" s="13" t="n">
        <v>0</v>
      </c>
      <c r="M571" s="13" t="str">
        <v>Yes</v>
      </c>
      <c r="N571" s="22"/>
      <c r="Q571" s="40"/>
      <c r="R571" s="13" t="b">
        <f aca="false">FALSE()</f>
        <v>0</v>
      </c>
      <c r="S571" s="13" t="n">
        <v>0</v>
      </c>
      <c r="T571" s="13" t="n">
        <f aca="false">S571*F571</f>
        <v>0</v>
      </c>
      <c r="U571" s="13" t="n">
        <v>0</v>
      </c>
      <c r="V571" s="13" t="n">
        <v>0</v>
      </c>
    </row>
    <row r="572" customFormat="false" ht="15.75" hidden="false" customHeight="false" outlineLevel="0" collapsed="false">
      <c r="A572" s="13" t="n">
        <v>0</v>
      </c>
      <c r="B572" s="13" t="str">
        <v/>
      </c>
      <c r="C572" s="13" t="n">
        <v>0</v>
      </c>
      <c r="D572" s="13" t="n">
        <v>0</v>
      </c>
      <c r="E572" s="13" t="str">
        <v/>
      </c>
      <c r="F572" s="13" t="n">
        <v>0</v>
      </c>
      <c r="G572" s="13" t="n">
        <v>0</v>
      </c>
      <c r="H572" s="13" t="n">
        <v>0</v>
      </c>
      <c r="I572" s="13" t="n">
        <v>0</v>
      </c>
      <c r="J572" s="13" t="b">
        <f aca="false">IF(ISBLANK(I572),"", IF($I$2:$I1569 = "Gohar Rehan","Overnight",IF($I$2:$I1569 = "Taufeeq Akhtar ","Overnight",IF($I$2:$I1569 = "Zeeshan Ali Malik","Audit",IF($I$2:$I1569 = "Ali Raza ","Receiving",IF($I$2:$I1569 = "Ali Ahmad","Full-In"))))))</f>
        <v>0</v>
      </c>
      <c r="K572" s="39" t="e">
        <f aca="false">IFERROR(VLOOKUP(D572,'Brand manager data '!A:B,2,0))</f>
        <v>#VALUE!</v>
      </c>
      <c r="L572" s="13" t="n">
        <v>0</v>
      </c>
      <c r="M572" s="13" t="str">
        <v>Yes</v>
      </c>
      <c r="N572" s="22"/>
      <c r="Q572" s="40"/>
      <c r="R572" s="13" t="b">
        <f aca="false">FALSE()</f>
        <v>0</v>
      </c>
      <c r="S572" s="13" t="n">
        <v>0</v>
      </c>
      <c r="T572" s="13" t="n">
        <f aca="false">S572*F572</f>
        <v>0</v>
      </c>
      <c r="U572" s="13" t="n">
        <v>0</v>
      </c>
      <c r="V572" s="13" t="n">
        <v>0</v>
      </c>
    </row>
    <row r="573" customFormat="false" ht="15.75" hidden="false" customHeight="false" outlineLevel="0" collapsed="false">
      <c r="A573" s="13" t="n">
        <v>0</v>
      </c>
      <c r="B573" s="13" t="str">
        <v/>
      </c>
      <c r="C573" s="13" t="n">
        <v>0</v>
      </c>
      <c r="D573" s="13" t="n">
        <v>0</v>
      </c>
      <c r="E573" s="13" t="str">
        <v/>
      </c>
      <c r="F573" s="13" t="n">
        <v>0</v>
      </c>
      <c r="G573" s="13" t="n">
        <v>0</v>
      </c>
      <c r="H573" s="13" t="n">
        <v>0</v>
      </c>
      <c r="I573" s="13" t="n">
        <v>0</v>
      </c>
      <c r="J573" s="13" t="b">
        <f aca="false">IF(ISBLANK(I573),"", IF($I$2:$I1570 = "Gohar Rehan","Overnight",IF($I$2:$I1570 = "Taufeeq Akhtar ","Overnight",IF($I$2:$I1570 = "Zeeshan Ali Malik","Audit",IF($I$2:$I1570 = "Ali Raza ","Receiving",IF($I$2:$I1570 = "Ali Ahmad","Full-In"))))))</f>
        <v>0</v>
      </c>
      <c r="K573" s="39" t="e">
        <f aca="false">IFERROR(VLOOKUP(D573,'Brand manager data '!A:B,2,0))</f>
        <v>#VALUE!</v>
      </c>
      <c r="L573" s="13" t="n">
        <v>0</v>
      </c>
      <c r="M573" s="13" t="str">
        <v>Yes</v>
      </c>
      <c r="N573" s="22"/>
      <c r="Q573" s="40"/>
      <c r="R573" s="13" t="b">
        <f aca="false">FALSE()</f>
        <v>0</v>
      </c>
      <c r="S573" s="13" t="n">
        <v>0</v>
      </c>
      <c r="T573" s="13" t="n">
        <f aca="false">S573*F573</f>
        <v>0</v>
      </c>
      <c r="U573" s="13" t="n">
        <v>0</v>
      </c>
      <c r="V573" s="13" t="n">
        <v>0</v>
      </c>
    </row>
    <row r="574" customFormat="false" ht="15.75" hidden="false" customHeight="false" outlineLevel="0" collapsed="false">
      <c r="A574" s="13" t="n">
        <v>0</v>
      </c>
      <c r="B574" s="13" t="str">
        <v/>
      </c>
      <c r="C574" s="13" t="n">
        <v>0</v>
      </c>
      <c r="D574" s="13" t="n">
        <v>0</v>
      </c>
      <c r="E574" s="13" t="str">
        <v/>
      </c>
      <c r="F574" s="13" t="n">
        <v>0</v>
      </c>
      <c r="G574" s="13" t="n">
        <v>0</v>
      </c>
      <c r="H574" s="13" t="n">
        <v>0</v>
      </c>
      <c r="I574" s="13" t="n">
        <v>0</v>
      </c>
      <c r="J574" s="13" t="b">
        <f aca="false">IF(ISBLANK(I574),"", IF($I$2:$I1571 = "Gohar Rehan","Overnight",IF($I$2:$I1571 = "Taufeeq Akhtar ","Overnight",IF($I$2:$I1571 = "Zeeshan Ali Malik","Audit",IF($I$2:$I1571 = "Ali Raza ","Receiving",IF($I$2:$I1571 = "Ali Ahmad","Full-In"))))))</f>
        <v>0</v>
      </c>
      <c r="K574" s="39" t="e">
        <f aca="false">IFERROR(VLOOKUP(D574,'Brand manager data '!A:B,2,0))</f>
        <v>#VALUE!</v>
      </c>
      <c r="L574" s="13" t="n">
        <v>0</v>
      </c>
      <c r="M574" s="13" t="str">
        <v>Yes</v>
      </c>
      <c r="N574" s="22"/>
      <c r="Q574" s="40"/>
      <c r="R574" s="13" t="b">
        <f aca="false">FALSE()</f>
        <v>0</v>
      </c>
      <c r="S574" s="13" t="n">
        <v>0</v>
      </c>
      <c r="T574" s="13" t="n">
        <f aca="false">S574*F574</f>
        <v>0</v>
      </c>
      <c r="U574" s="13" t="n">
        <v>0</v>
      </c>
      <c r="V574" s="13" t="n">
        <v>0</v>
      </c>
    </row>
    <row r="575" customFormat="false" ht="15.75" hidden="false" customHeight="false" outlineLevel="0" collapsed="false">
      <c r="A575" s="13" t="n">
        <v>0</v>
      </c>
      <c r="B575" s="13" t="str">
        <v/>
      </c>
      <c r="C575" s="13" t="n">
        <v>0</v>
      </c>
      <c r="D575" s="13" t="n">
        <v>0</v>
      </c>
      <c r="E575" s="13" t="str">
        <v/>
      </c>
      <c r="F575" s="13" t="n">
        <v>0</v>
      </c>
      <c r="G575" s="13" t="n">
        <v>0</v>
      </c>
      <c r="H575" s="13" t="n">
        <v>0</v>
      </c>
      <c r="I575" s="13" t="n">
        <v>0</v>
      </c>
      <c r="J575" s="13" t="b">
        <f aca="false">IF(ISBLANK(I575),"", IF($I$2:$I1572 = "Gohar Rehan","Overnight",IF($I$2:$I1572 = "Taufeeq Akhtar ","Overnight",IF($I$2:$I1572 = "Zeeshan Ali Malik","Audit",IF($I$2:$I1572 = "Ali Raza ","Receiving",IF($I$2:$I1572 = "Ali Ahmad","Full-In"))))))</f>
        <v>0</v>
      </c>
      <c r="K575" s="39" t="e">
        <f aca="false">IFERROR(VLOOKUP(D575,'Brand manager data '!A:B,2,0))</f>
        <v>#VALUE!</v>
      </c>
      <c r="L575" s="13" t="n">
        <v>0</v>
      </c>
      <c r="M575" s="13" t="str">
        <v>Yes</v>
      </c>
      <c r="N575" s="22"/>
      <c r="Q575" s="40"/>
      <c r="R575" s="13" t="b">
        <f aca="false">FALSE()</f>
        <v>0</v>
      </c>
      <c r="S575" s="13" t="n">
        <v>0</v>
      </c>
      <c r="T575" s="13" t="n">
        <f aca="false">S575*F575</f>
        <v>0</v>
      </c>
      <c r="U575" s="13" t="n">
        <v>0</v>
      </c>
      <c r="V575" s="13" t="n">
        <v>0</v>
      </c>
    </row>
    <row r="576" customFormat="false" ht="15.75" hidden="false" customHeight="false" outlineLevel="0" collapsed="false">
      <c r="A576" s="13" t="n">
        <v>0</v>
      </c>
      <c r="B576" s="13" t="str">
        <v/>
      </c>
      <c r="C576" s="13" t="n">
        <v>0</v>
      </c>
      <c r="D576" s="13" t="n">
        <v>0</v>
      </c>
      <c r="E576" s="13" t="str">
        <v/>
      </c>
      <c r="F576" s="13" t="n">
        <v>0</v>
      </c>
      <c r="G576" s="13" t="n">
        <v>0</v>
      </c>
      <c r="H576" s="13" t="n">
        <v>0</v>
      </c>
      <c r="I576" s="13" t="n">
        <v>0</v>
      </c>
      <c r="J576" s="13" t="b">
        <f aca="false">IF(ISBLANK(I576),"", IF($I$2:$I1573 = "Gohar Rehan","Overnight",IF($I$2:$I1573 = "Taufeeq Akhtar ","Overnight",IF($I$2:$I1573 = "Zeeshan Ali Malik","Audit",IF($I$2:$I1573 = "Ali Raza ","Receiving",IF($I$2:$I1573 = "Ali Ahmad","Full-In"))))))</f>
        <v>0</v>
      </c>
      <c r="K576" s="39" t="e">
        <f aca="false">IFERROR(VLOOKUP(D576,'Brand manager data '!A:B,2,0))</f>
        <v>#VALUE!</v>
      </c>
      <c r="L576" s="13" t="n">
        <v>0</v>
      </c>
      <c r="M576" s="13" t="str">
        <v>Yes</v>
      </c>
      <c r="N576" s="22"/>
      <c r="Q576" s="40"/>
      <c r="R576" s="13" t="b">
        <f aca="false">FALSE()</f>
        <v>0</v>
      </c>
      <c r="S576" s="13" t="n">
        <v>0</v>
      </c>
      <c r="T576" s="13" t="n">
        <f aca="false">S576*F576</f>
        <v>0</v>
      </c>
      <c r="U576" s="13" t="n">
        <v>0</v>
      </c>
      <c r="V576" s="13" t="n">
        <v>0</v>
      </c>
    </row>
    <row r="577" customFormat="false" ht="15.75" hidden="false" customHeight="false" outlineLevel="0" collapsed="false">
      <c r="A577" s="13" t="n">
        <v>0</v>
      </c>
      <c r="B577" s="13" t="str">
        <v/>
      </c>
      <c r="C577" s="13" t="n">
        <v>0</v>
      </c>
      <c r="D577" s="13" t="n">
        <v>0</v>
      </c>
      <c r="E577" s="13" t="str">
        <v/>
      </c>
      <c r="F577" s="13" t="n">
        <v>0</v>
      </c>
      <c r="G577" s="13" t="n">
        <v>0</v>
      </c>
      <c r="H577" s="13" t="n">
        <v>0</v>
      </c>
      <c r="I577" s="13" t="n">
        <v>0</v>
      </c>
      <c r="J577" s="13" t="b">
        <f aca="false">IF(ISBLANK(I577),"", IF($I$2:$I1574 = "Gohar Rehan","Overnight",IF($I$2:$I1574 = "Taufeeq Akhtar ","Overnight",IF($I$2:$I1574 = "Zeeshan Ali Malik","Audit",IF($I$2:$I1574 = "Ali Raza ","Receiving",IF($I$2:$I1574 = "Ali Ahmad","Full-In"))))))</f>
        <v>0</v>
      </c>
      <c r="K577" s="39" t="e">
        <f aca="false">IFERROR(VLOOKUP(D577,'Brand manager data '!A:B,2,0))</f>
        <v>#VALUE!</v>
      </c>
      <c r="L577" s="13" t="n">
        <v>0</v>
      </c>
      <c r="M577" s="13" t="str">
        <v>Yes</v>
      </c>
      <c r="N577" s="22"/>
      <c r="Q577" s="40"/>
      <c r="R577" s="13" t="b">
        <f aca="false">FALSE()</f>
        <v>0</v>
      </c>
      <c r="S577" s="13" t="n">
        <v>0</v>
      </c>
      <c r="T577" s="13" t="n">
        <f aca="false">S577*F577</f>
        <v>0</v>
      </c>
      <c r="U577" s="13" t="n">
        <v>0</v>
      </c>
      <c r="V577" s="13" t="n">
        <v>0</v>
      </c>
    </row>
    <row r="578" customFormat="false" ht="15.75" hidden="false" customHeight="false" outlineLevel="0" collapsed="false">
      <c r="A578" s="13" t="n">
        <v>0</v>
      </c>
      <c r="B578" s="13" t="str">
        <v/>
      </c>
      <c r="C578" s="13" t="n">
        <v>0</v>
      </c>
      <c r="D578" s="13" t="n">
        <v>0</v>
      </c>
      <c r="E578" s="13" t="str">
        <v/>
      </c>
      <c r="F578" s="13" t="n">
        <v>0</v>
      </c>
      <c r="G578" s="13" t="n">
        <v>0</v>
      </c>
      <c r="H578" s="13" t="n">
        <v>0</v>
      </c>
      <c r="I578" s="13" t="n">
        <v>0</v>
      </c>
      <c r="J578" s="13" t="b">
        <f aca="false">IF(ISBLANK(I578),"", IF($I$2:$I1575 = "Gohar Rehan","Overnight",IF($I$2:$I1575 = "Taufeeq Akhtar ","Overnight",IF($I$2:$I1575 = "Zeeshan Ali Malik","Audit",IF($I$2:$I1575 = "Ali Raza ","Receiving",IF($I$2:$I1575 = "Ali Ahmad","Full-In"))))))</f>
        <v>0</v>
      </c>
      <c r="K578" s="39" t="e">
        <f aca="false">IFERROR(VLOOKUP(D578,'Brand manager data '!A:B,2,0))</f>
        <v>#VALUE!</v>
      </c>
      <c r="L578" s="13" t="n">
        <v>0</v>
      </c>
      <c r="M578" s="13" t="str">
        <v>Yes</v>
      </c>
      <c r="N578" s="22"/>
      <c r="Q578" s="40"/>
      <c r="R578" s="13" t="b">
        <f aca="false">FALSE()</f>
        <v>0</v>
      </c>
      <c r="S578" s="13" t="n">
        <v>0</v>
      </c>
      <c r="T578" s="13" t="n">
        <f aca="false">S578*F578</f>
        <v>0</v>
      </c>
      <c r="U578" s="13" t="n">
        <v>0</v>
      </c>
      <c r="V578" s="13" t="n">
        <v>0</v>
      </c>
    </row>
    <row r="579" customFormat="false" ht="15.75" hidden="false" customHeight="false" outlineLevel="0" collapsed="false">
      <c r="A579" s="13" t="n">
        <v>0</v>
      </c>
      <c r="B579" s="13" t="str">
        <v/>
      </c>
      <c r="C579" s="13" t="n">
        <v>0</v>
      </c>
      <c r="D579" s="13" t="n">
        <v>0</v>
      </c>
      <c r="E579" s="13" t="str">
        <v/>
      </c>
      <c r="F579" s="13" t="n">
        <v>0</v>
      </c>
      <c r="G579" s="13" t="n">
        <v>0</v>
      </c>
      <c r="H579" s="13" t="n">
        <v>0</v>
      </c>
      <c r="I579" s="13" t="n">
        <v>0</v>
      </c>
      <c r="J579" s="13" t="b">
        <f aca="false">IF(ISBLANK(I579),"", IF($I$2:$I1576 = "Gohar Rehan","Overnight",IF($I$2:$I1576 = "Taufeeq Akhtar ","Overnight",IF($I$2:$I1576 = "Zeeshan Ali Malik","Audit",IF($I$2:$I1576 = "Ali Raza ","Receiving",IF($I$2:$I1576 = "Ali Ahmad","Full-In"))))))</f>
        <v>0</v>
      </c>
      <c r="K579" s="39" t="e">
        <f aca="false">IFERROR(VLOOKUP(D579,'Brand manager data '!A:B,2,0))</f>
        <v>#VALUE!</v>
      </c>
      <c r="L579" s="13" t="n">
        <v>0</v>
      </c>
      <c r="M579" s="13" t="str">
        <v>Yes</v>
      </c>
      <c r="N579" s="22"/>
      <c r="Q579" s="40"/>
      <c r="R579" s="13" t="b">
        <f aca="false">FALSE()</f>
        <v>0</v>
      </c>
      <c r="S579" s="13" t="n">
        <v>0</v>
      </c>
      <c r="T579" s="13" t="n">
        <f aca="false">S579*F579</f>
        <v>0</v>
      </c>
      <c r="U579" s="13" t="n">
        <v>0</v>
      </c>
      <c r="V579" s="13" t="n">
        <v>0</v>
      </c>
    </row>
    <row r="580" customFormat="false" ht="15.75" hidden="false" customHeight="false" outlineLevel="0" collapsed="false">
      <c r="A580" s="13" t="n">
        <v>0</v>
      </c>
      <c r="B580" s="13" t="str">
        <v/>
      </c>
      <c r="C580" s="13" t="n">
        <v>0</v>
      </c>
      <c r="D580" s="13" t="n">
        <v>0</v>
      </c>
      <c r="E580" s="13" t="str">
        <v/>
      </c>
      <c r="F580" s="13" t="n">
        <v>0</v>
      </c>
      <c r="G580" s="13" t="n">
        <v>0</v>
      </c>
      <c r="H580" s="13" t="n">
        <v>0</v>
      </c>
      <c r="I580" s="13" t="n">
        <v>0</v>
      </c>
      <c r="J580" s="13" t="b">
        <f aca="false">IF(ISBLANK(I580),"", IF($I$2:$I1577 = "Gohar Rehan","Overnight",IF($I$2:$I1577 = "Taufeeq Akhtar ","Overnight",IF($I$2:$I1577 = "Zeeshan Ali Malik","Audit",IF($I$2:$I1577 = "Ali Raza ","Receiving",IF($I$2:$I1577 = "Ali Ahmad","Full-In"))))))</f>
        <v>0</v>
      </c>
      <c r="K580" s="39" t="e">
        <f aca="false">IFERROR(VLOOKUP(D580,'Brand manager data '!A:B,2,0))</f>
        <v>#VALUE!</v>
      </c>
      <c r="L580" s="13" t="n">
        <v>0</v>
      </c>
      <c r="M580" s="13" t="str">
        <v>Yes</v>
      </c>
      <c r="N580" s="22"/>
      <c r="Q580" s="40"/>
      <c r="R580" s="13" t="b">
        <f aca="false">FALSE()</f>
        <v>0</v>
      </c>
      <c r="S580" s="13" t="n">
        <v>0</v>
      </c>
      <c r="T580" s="13" t="n">
        <f aca="false">S580*F580</f>
        <v>0</v>
      </c>
      <c r="U580" s="13" t="n">
        <v>0</v>
      </c>
      <c r="V580" s="13" t="n">
        <v>0</v>
      </c>
    </row>
    <row r="581" customFormat="false" ht="15.75" hidden="false" customHeight="false" outlineLevel="0" collapsed="false">
      <c r="A581" s="13" t="n">
        <v>0</v>
      </c>
      <c r="B581" s="13" t="str">
        <v/>
      </c>
      <c r="C581" s="13" t="n">
        <v>0</v>
      </c>
      <c r="D581" s="13" t="n">
        <v>0</v>
      </c>
      <c r="E581" s="13" t="str">
        <v/>
      </c>
      <c r="F581" s="13" t="n">
        <v>0</v>
      </c>
      <c r="G581" s="13" t="n">
        <v>0</v>
      </c>
      <c r="H581" s="13" t="n">
        <v>0</v>
      </c>
      <c r="I581" s="13" t="n">
        <v>0</v>
      </c>
      <c r="J581" s="13" t="b">
        <f aca="false">IF(ISBLANK(I581),"", IF($I$2:$I1578 = "Gohar Rehan","Overnight",IF($I$2:$I1578 = "Taufeeq Akhtar ","Overnight",IF($I$2:$I1578 = "Zeeshan Ali Malik","Audit",IF($I$2:$I1578 = "Ali Raza ","Receiving",IF($I$2:$I1578 = "Ali Ahmad","Full-In"))))))</f>
        <v>0</v>
      </c>
      <c r="K581" s="39" t="e">
        <f aca="false">IFERROR(VLOOKUP(D581,'Brand manager data '!A:B,2,0))</f>
        <v>#VALUE!</v>
      </c>
      <c r="L581" s="13" t="n">
        <v>0</v>
      </c>
      <c r="M581" s="13" t="str">
        <v>Yes</v>
      </c>
      <c r="N581" s="22"/>
      <c r="Q581" s="40"/>
      <c r="R581" s="13" t="b">
        <f aca="false">FALSE()</f>
        <v>0</v>
      </c>
      <c r="S581" s="13" t="n">
        <v>0</v>
      </c>
      <c r="T581" s="13" t="n">
        <f aca="false">S581*F581</f>
        <v>0</v>
      </c>
      <c r="U581" s="13" t="n">
        <v>0</v>
      </c>
      <c r="V581" s="13" t="n">
        <v>0</v>
      </c>
    </row>
    <row r="582" customFormat="false" ht="15.75" hidden="false" customHeight="false" outlineLevel="0" collapsed="false">
      <c r="A582" s="13" t="n">
        <v>0</v>
      </c>
      <c r="B582" s="13" t="str">
        <v/>
      </c>
      <c r="C582" s="13" t="n">
        <v>0</v>
      </c>
      <c r="D582" s="13" t="n">
        <v>0</v>
      </c>
      <c r="E582" s="13" t="str">
        <v/>
      </c>
      <c r="F582" s="13" t="n">
        <v>0</v>
      </c>
      <c r="G582" s="13" t="n">
        <v>0</v>
      </c>
      <c r="H582" s="13" t="n">
        <v>0</v>
      </c>
      <c r="I582" s="13" t="n">
        <v>0</v>
      </c>
      <c r="J582" s="13" t="b">
        <f aca="false">IF(ISBLANK(I582),"", IF($I$2:$I1579 = "Gohar Rehan","Overnight",IF($I$2:$I1579 = "Taufeeq Akhtar ","Overnight",IF($I$2:$I1579 = "Zeeshan Ali Malik","Audit",IF($I$2:$I1579 = "Ali Raza ","Receiving",IF($I$2:$I1579 = "Ali Ahmad","Full-In"))))))</f>
        <v>0</v>
      </c>
      <c r="K582" s="39" t="e">
        <f aca="false">IFERROR(VLOOKUP(D582,'Brand manager data '!A:B,2,0))</f>
        <v>#VALUE!</v>
      </c>
      <c r="L582" s="13" t="n">
        <v>0</v>
      </c>
      <c r="M582" s="13" t="str">
        <v>Yes</v>
      </c>
      <c r="N582" s="22"/>
      <c r="Q582" s="40"/>
      <c r="R582" s="13" t="b">
        <f aca="false">FALSE()</f>
        <v>0</v>
      </c>
      <c r="S582" s="13" t="n">
        <v>0</v>
      </c>
      <c r="T582" s="13" t="n">
        <f aca="false">S582*F582</f>
        <v>0</v>
      </c>
      <c r="U582" s="13" t="n">
        <v>0</v>
      </c>
      <c r="V582" s="13" t="n">
        <v>0</v>
      </c>
    </row>
    <row r="583" customFormat="false" ht="15.75" hidden="false" customHeight="false" outlineLevel="0" collapsed="false">
      <c r="A583" s="13" t="n">
        <v>0</v>
      </c>
      <c r="B583" s="13" t="str">
        <v/>
      </c>
      <c r="C583" s="13" t="n">
        <v>0</v>
      </c>
      <c r="D583" s="13" t="n">
        <v>0</v>
      </c>
      <c r="E583" s="13" t="str">
        <v/>
      </c>
      <c r="F583" s="13" t="n">
        <v>0</v>
      </c>
      <c r="G583" s="13" t="n">
        <v>0</v>
      </c>
      <c r="H583" s="13" t="n">
        <v>0</v>
      </c>
      <c r="I583" s="13" t="n">
        <v>0</v>
      </c>
      <c r="J583" s="13" t="b">
        <f aca="false">IF(ISBLANK(I583),"", IF($I$2:$I1580 = "Gohar Rehan","Overnight",IF($I$2:$I1580 = "Taufeeq Akhtar ","Overnight",IF($I$2:$I1580 = "Zeeshan Ali Malik","Audit",IF($I$2:$I1580 = "Ali Raza ","Receiving",IF($I$2:$I1580 = "Ali Ahmad","Full-In"))))))</f>
        <v>0</v>
      </c>
      <c r="K583" s="39" t="e">
        <f aca="false">IFERROR(VLOOKUP(D583,'Brand manager data '!A:B,2,0))</f>
        <v>#VALUE!</v>
      </c>
      <c r="L583" s="13" t="n">
        <v>0</v>
      </c>
      <c r="M583" s="13" t="str">
        <v>Yes</v>
      </c>
      <c r="N583" s="22"/>
      <c r="Q583" s="40"/>
      <c r="R583" s="13" t="b">
        <f aca="false">FALSE()</f>
        <v>0</v>
      </c>
      <c r="S583" s="13" t="n">
        <v>0</v>
      </c>
      <c r="T583" s="13" t="n">
        <f aca="false">S583*F583</f>
        <v>0</v>
      </c>
      <c r="U583" s="13" t="n">
        <v>0</v>
      </c>
      <c r="V583" s="13" t="n">
        <v>0</v>
      </c>
    </row>
    <row r="584" customFormat="false" ht="15.75" hidden="false" customHeight="false" outlineLevel="0" collapsed="false">
      <c r="A584" s="13" t="n">
        <v>0</v>
      </c>
      <c r="B584" s="13" t="str">
        <v/>
      </c>
      <c r="C584" s="13" t="n">
        <v>0</v>
      </c>
      <c r="D584" s="13" t="n">
        <v>0</v>
      </c>
      <c r="E584" s="13" t="str">
        <v/>
      </c>
      <c r="F584" s="13" t="n">
        <v>0</v>
      </c>
      <c r="G584" s="13" t="n">
        <v>0</v>
      </c>
      <c r="H584" s="13" t="n">
        <v>0</v>
      </c>
      <c r="I584" s="13" t="n">
        <v>0</v>
      </c>
      <c r="J584" s="13" t="b">
        <f aca="false">IF(ISBLANK(I584),"", IF($I$2:$I1581 = "Gohar Rehan","Overnight",IF($I$2:$I1581 = "Taufeeq Akhtar ","Overnight",IF($I$2:$I1581 = "Zeeshan Ali Malik","Audit",IF($I$2:$I1581 = "Ali Raza ","Receiving",IF($I$2:$I1581 = "Ali Ahmad","Full-In"))))))</f>
        <v>0</v>
      </c>
      <c r="K584" s="39" t="e">
        <f aca="false">IFERROR(VLOOKUP(D584,'Brand manager data '!A:B,2,0))</f>
        <v>#VALUE!</v>
      </c>
      <c r="L584" s="13" t="n">
        <v>0</v>
      </c>
      <c r="M584" s="13" t="str">
        <v>Yes</v>
      </c>
      <c r="N584" s="22"/>
      <c r="Q584" s="40"/>
      <c r="R584" s="13" t="b">
        <f aca="false">FALSE()</f>
        <v>0</v>
      </c>
      <c r="S584" s="13" t="n">
        <v>0</v>
      </c>
      <c r="T584" s="13" t="n">
        <f aca="false">S584*F584</f>
        <v>0</v>
      </c>
      <c r="U584" s="13" t="n">
        <v>0</v>
      </c>
      <c r="V584" s="13" t="n">
        <v>0</v>
      </c>
    </row>
    <row r="585" customFormat="false" ht="15.75" hidden="false" customHeight="false" outlineLevel="0" collapsed="false">
      <c r="A585" s="13" t="n">
        <v>0</v>
      </c>
      <c r="B585" s="13" t="str">
        <v/>
      </c>
      <c r="C585" s="13" t="n">
        <v>0</v>
      </c>
      <c r="D585" s="13" t="n">
        <v>0</v>
      </c>
      <c r="E585" s="13" t="str">
        <v/>
      </c>
      <c r="F585" s="13" t="n">
        <v>0</v>
      </c>
      <c r="G585" s="13" t="n">
        <v>0</v>
      </c>
      <c r="H585" s="13" t="n">
        <v>0</v>
      </c>
      <c r="I585" s="13" t="n">
        <v>0</v>
      </c>
      <c r="J585" s="13" t="b">
        <f aca="false">IF(ISBLANK(I585),"", IF($I$2:$I1582 = "Gohar Rehan","Overnight",IF($I$2:$I1582 = "Taufeeq Akhtar ","Overnight",IF($I$2:$I1582 = "Zeeshan Ali Malik","Audit",IF($I$2:$I1582 = "Ali Raza ","Receiving",IF($I$2:$I1582 = "Ali Ahmad","Full-In"))))))</f>
        <v>0</v>
      </c>
      <c r="K585" s="39" t="e">
        <f aca="false">IFERROR(VLOOKUP(D585,'Brand manager data '!A:B,2,0))</f>
        <v>#VALUE!</v>
      </c>
      <c r="L585" s="13" t="n">
        <v>0</v>
      </c>
      <c r="M585" s="13" t="str">
        <v>Yes</v>
      </c>
      <c r="N585" s="22"/>
      <c r="Q585" s="40"/>
      <c r="R585" s="13" t="b">
        <f aca="false">FALSE()</f>
        <v>0</v>
      </c>
      <c r="S585" s="13" t="n">
        <v>0</v>
      </c>
      <c r="T585" s="13" t="n">
        <f aca="false">S585*F585</f>
        <v>0</v>
      </c>
      <c r="U585" s="13" t="n">
        <v>0</v>
      </c>
      <c r="V585" s="13" t="n">
        <v>0</v>
      </c>
    </row>
    <row r="586" customFormat="false" ht="15.75" hidden="false" customHeight="false" outlineLevel="0" collapsed="false">
      <c r="A586" s="13" t="n">
        <v>0</v>
      </c>
      <c r="B586" s="13" t="str">
        <v/>
      </c>
      <c r="C586" s="13" t="n">
        <v>0</v>
      </c>
      <c r="D586" s="13" t="n">
        <v>0</v>
      </c>
      <c r="E586" s="13" t="str">
        <v/>
      </c>
      <c r="F586" s="13" t="n">
        <v>0</v>
      </c>
      <c r="G586" s="13" t="n">
        <v>0</v>
      </c>
      <c r="H586" s="13" t="n">
        <v>0</v>
      </c>
      <c r="I586" s="13" t="n">
        <v>0</v>
      </c>
      <c r="J586" s="13" t="b">
        <f aca="false">IF(ISBLANK(I586),"", IF($I$2:$I1583 = "Gohar Rehan","Overnight",IF($I$2:$I1583 = "Taufeeq Akhtar ","Overnight",IF($I$2:$I1583 = "Zeeshan Ali Malik","Audit",IF($I$2:$I1583 = "Ali Raza ","Receiving",IF($I$2:$I1583 = "Ali Ahmad","Full-In"))))))</f>
        <v>0</v>
      </c>
      <c r="K586" s="39" t="e">
        <f aca="false">IFERROR(VLOOKUP(D586,'Brand manager data '!A:B,2,0))</f>
        <v>#VALUE!</v>
      </c>
      <c r="L586" s="13" t="n">
        <v>0</v>
      </c>
      <c r="M586" s="13" t="str">
        <v>Yes</v>
      </c>
      <c r="N586" s="22"/>
      <c r="Q586" s="40"/>
      <c r="R586" s="13" t="b">
        <f aca="false">FALSE()</f>
        <v>0</v>
      </c>
      <c r="S586" s="13" t="n">
        <v>0</v>
      </c>
      <c r="T586" s="13" t="n">
        <f aca="false">S586*F586</f>
        <v>0</v>
      </c>
      <c r="U586" s="13" t="n">
        <v>0</v>
      </c>
      <c r="V586" s="13" t="n">
        <v>0</v>
      </c>
    </row>
    <row r="587" customFormat="false" ht="15.75" hidden="false" customHeight="false" outlineLevel="0" collapsed="false">
      <c r="A587" s="13" t="n">
        <v>0</v>
      </c>
      <c r="B587" s="13" t="str">
        <v/>
      </c>
      <c r="C587" s="13" t="n">
        <v>0</v>
      </c>
      <c r="D587" s="13" t="n">
        <v>0</v>
      </c>
      <c r="E587" s="13" t="str">
        <v/>
      </c>
      <c r="F587" s="13" t="n">
        <v>0</v>
      </c>
      <c r="G587" s="13" t="n">
        <v>0</v>
      </c>
      <c r="H587" s="13" t="n">
        <v>0</v>
      </c>
      <c r="I587" s="13" t="n">
        <v>0</v>
      </c>
      <c r="J587" s="13" t="b">
        <f aca="false">IF(ISBLANK(I587),"", IF($I$2:$I1584 = "Gohar Rehan","Overnight",IF($I$2:$I1584 = "Taufeeq Akhtar ","Overnight",IF($I$2:$I1584 = "Zeeshan Ali Malik","Audit",IF($I$2:$I1584 = "Ali Raza ","Receiving",IF($I$2:$I1584 = "Ali Ahmad","Full-In"))))))</f>
        <v>0</v>
      </c>
      <c r="K587" s="39" t="e">
        <f aca="false">IFERROR(VLOOKUP(D587,'Brand manager data '!A:B,2,0))</f>
        <v>#VALUE!</v>
      </c>
      <c r="L587" s="13" t="n">
        <v>0</v>
      </c>
      <c r="M587" s="13" t="str">
        <v>Yes</v>
      </c>
      <c r="N587" s="22"/>
      <c r="Q587" s="40"/>
      <c r="R587" s="13" t="b">
        <f aca="false">FALSE()</f>
        <v>0</v>
      </c>
      <c r="S587" s="13" t="n">
        <v>0</v>
      </c>
      <c r="T587" s="13" t="n">
        <f aca="false">S587*F587</f>
        <v>0</v>
      </c>
      <c r="U587" s="13" t="n">
        <v>0</v>
      </c>
      <c r="V587" s="13" t="n">
        <v>0</v>
      </c>
    </row>
    <row r="588" customFormat="false" ht="15.75" hidden="false" customHeight="false" outlineLevel="0" collapsed="false">
      <c r="A588" s="13" t="n">
        <v>0</v>
      </c>
      <c r="B588" s="13" t="str">
        <v/>
      </c>
      <c r="C588" s="13" t="n">
        <v>0</v>
      </c>
      <c r="D588" s="13" t="n">
        <v>0</v>
      </c>
      <c r="E588" s="13" t="str">
        <v/>
      </c>
      <c r="F588" s="13" t="n">
        <v>0</v>
      </c>
      <c r="G588" s="13" t="n">
        <v>0</v>
      </c>
      <c r="H588" s="13" t="n">
        <v>0</v>
      </c>
      <c r="I588" s="13" t="n">
        <v>0</v>
      </c>
      <c r="J588" s="13" t="b">
        <f aca="false">IF(ISBLANK(I588),"", IF($I$2:$I1585 = "Gohar Rehan","Overnight",IF($I$2:$I1585 = "Taufeeq Akhtar ","Overnight",IF($I$2:$I1585 = "Zeeshan Ali Malik","Audit",IF($I$2:$I1585 = "Ali Raza ","Receiving",IF($I$2:$I1585 = "Ali Ahmad","Full-In"))))))</f>
        <v>0</v>
      </c>
      <c r="K588" s="39" t="e">
        <f aca="false">IFERROR(VLOOKUP(D588,'Brand manager data '!A:B,2,0))</f>
        <v>#VALUE!</v>
      </c>
      <c r="L588" s="13" t="n">
        <v>0</v>
      </c>
      <c r="M588" s="13" t="str">
        <v>Yes</v>
      </c>
      <c r="N588" s="22"/>
      <c r="Q588" s="40"/>
      <c r="R588" s="13" t="b">
        <f aca="false">FALSE()</f>
        <v>0</v>
      </c>
      <c r="S588" s="13" t="n">
        <v>0</v>
      </c>
      <c r="T588" s="13" t="n">
        <f aca="false">S588*F588</f>
        <v>0</v>
      </c>
      <c r="U588" s="13" t="n">
        <v>0</v>
      </c>
      <c r="V588" s="13" t="n">
        <v>0</v>
      </c>
    </row>
    <row r="589" customFormat="false" ht="15.75" hidden="false" customHeight="false" outlineLevel="0" collapsed="false">
      <c r="A589" s="13" t="n">
        <v>0</v>
      </c>
      <c r="B589" s="13" t="str">
        <v/>
      </c>
      <c r="C589" s="13" t="n">
        <v>0</v>
      </c>
      <c r="D589" s="13" t="n">
        <v>0</v>
      </c>
      <c r="E589" s="13" t="str">
        <v/>
      </c>
      <c r="F589" s="13" t="n">
        <v>0</v>
      </c>
      <c r="G589" s="13" t="n">
        <v>0</v>
      </c>
      <c r="H589" s="13" t="n">
        <v>0</v>
      </c>
      <c r="I589" s="13" t="n">
        <v>0</v>
      </c>
      <c r="J589" s="13" t="b">
        <f aca="false">IF(ISBLANK(I589),"", IF($I$2:$I1586 = "Gohar Rehan","Overnight",IF($I$2:$I1586 = "Taufeeq Akhtar ","Overnight",IF($I$2:$I1586 = "Zeeshan Ali Malik","Audit",IF($I$2:$I1586 = "Ali Raza ","Receiving",IF($I$2:$I1586 = "Ali Ahmad","Full-In"))))))</f>
        <v>0</v>
      </c>
      <c r="K589" s="39" t="e">
        <f aca="false">IFERROR(VLOOKUP(D589,'Brand manager data '!A:B,2,0))</f>
        <v>#VALUE!</v>
      </c>
      <c r="L589" s="13" t="n">
        <v>0</v>
      </c>
      <c r="M589" s="13" t="str">
        <v>Yes</v>
      </c>
      <c r="N589" s="22"/>
      <c r="Q589" s="40"/>
      <c r="R589" s="13" t="b">
        <f aca="false">FALSE()</f>
        <v>0</v>
      </c>
      <c r="S589" s="13" t="n">
        <v>0</v>
      </c>
      <c r="T589" s="13" t="n">
        <f aca="false">S589*F589</f>
        <v>0</v>
      </c>
      <c r="U589" s="13" t="n">
        <v>0</v>
      </c>
      <c r="V589" s="13" t="n">
        <v>0</v>
      </c>
    </row>
    <row r="590" customFormat="false" ht="15.75" hidden="false" customHeight="false" outlineLevel="0" collapsed="false">
      <c r="A590" s="13" t="n">
        <v>0</v>
      </c>
      <c r="B590" s="13" t="str">
        <v/>
      </c>
      <c r="C590" s="13" t="n">
        <v>0</v>
      </c>
      <c r="D590" s="13" t="n">
        <v>0</v>
      </c>
      <c r="E590" s="13" t="str">
        <v/>
      </c>
      <c r="F590" s="13" t="n">
        <v>0</v>
      </c>
      <c r="G590" s="13" t="n">
        <v>0</v>
      </c>
      <c r="H590" s="13" t="n">
        <v>0</v>
      </c>
      <c r="I590" s="13" t="n">
        <v>0</v>
      </c>
      <c r="J590" s="13" t="b">
        <f aca="false">IF(ISBLANK(I590),"", IF($I$2:$I1587 = "Gohar Rehan","Overnight",IF($I$2:$I1587 = "Taufeeq Akhtar ","Overnight",IF($I$2:$I1587 = "Zeeshan Ali Malik","Audit",IF($I$2:$I1587 = "Ali Raza ","Receiving",IF($I$2:$I1587 = "Ali Ahmad","Full-In"))))))</f>
        <v>0</v>
      </c>
      <c r="K590" s="39" t="e">
        <f aca="false">IFERROR(VLOOKUP(D590,'Brand manager data '!A:B,2,0))</f>
        <v>#VALUE!</v>
      </c>
      <c r="L590" s="13" t="n">
        <v>0</v>
      </c>
      <c r="M590" s="13" t="str">
        <v>Yes</v>
      </c>
      <c r="N590" s="22"/>
      <c r="Q590" s="40"/>
      <c r="R590" s="13" t="b">
        <f aca="false">FALSE()</f>
        <v>0</v>
      </c>
      <c r="S590" s="13" t="n">
        <v>0</v>
      </c>
      <c r="T590" s="13" t="n">
        <f aca="false">S590*F590</f>
        <v>0</v>
      </c>
      <c r="U590" s="13" t="n">
        <v>0</v>
      </c>
      <c r="V590" s="13" t="n">
        <v>0</v>
      </c>
    </row>
    <row r="591" customFormat="false" ht="15.75" hidden="false" customHeight="false" outlineLevel="0" collapsed="false">
      <c r="A591" s="13" t="n">
        <v>0</v>
      </c>
      <c r="B591" s="13" t="str">
        <v/>
      </c>
      <c r="C591" s="13" t="n">
        <v>0</v>
      </c>
      <c r="D591" s="13" t="n">
        <v>0</v>
      </c>
      <c r="E591" s="13" t="str">
        <v/>
      </c>
      <c r="F591" s="13" t="n">
        <v>0</v>
      </c>
      <c r="G591" s="13" t="n">
        <v>0</v>
      </c>
      <c r="H591" s="13" t="n">
        <v>0</v>
      </c>
      <c r="I591" s="13" t="n">
        <v>0</v>
      </c>
      <c r="J591" s="13" t="b">
        <f aca="false">IF(ISBLANK(I591),"", IF($I$2:$I1588 = "Gohar Rehan","Overnight",IF($I$2:$I1588 = "Taufeeq Akhtar ","Overnight",IF($I$2:$I1588 = "Zeeshan Ali Malik","Audit",IF($I$2:$I1588 = "Ali Raza ","Receiving",IF($I$2:$I1588 = "Ali Ahmad","Full-In"))))))</f>
        <v>0</v>
      </c>
      <c r="K591" s="39" t="e">
        <f aca="false">IFERROR(VLOOKUP(D591,'Brand manager data '!A:B,2,0))</f>
        <v>#VALUE!</v>
      </c>
      <c r="L591" s="13" t="n">
        <v>0</v>
      </c>
      <c r="M591" s="13" t="str">
        <v>Yes</v>
      </c>
      <c r="N591" s="22"/>
      <c r="Q591" s="40"/>
      <c r="R591" s="13" t="b">
        <f aca="false">FALSE()</f>
        <v>0</v>
      </c>
      <c r="S591" s="13" t="n">
        <v>0</v>
      </c>
      <c r="T591" s="13" t="n">
        <f aca="false">S591*F591</f>
        <v>0</v>
      </c>
      <c r="U591" s="13" t="n">
        <v>0</v>
      </c>
      <c r="V591" s="13" t="n">
        <v>0</v>
      </c>
    </row>
    <row r="592" customFormat="false" ht="15.75" hidden="false" customHeight="false" outlineLevel="0" collapsed="false">
      <c r="A592" s="13" t="n">
        <v>0</v>
      </c>
      <c r="B592" s="13" t="str">
        <v/>
      </c>
      <c r="C592" s="13" t="n">
        <v>0</v>
      </c>
      <c r="D592" s="13" t="n">
        <v>0</v>
      </c>
      <c r="E592" s="13" t="str">
        <v/>
      </c>
      <c r="F592" s="13" t="n">
        <v>0</v>
      </c>
      <c r="G592" s="13" t="n">
        <v>0</v>
      </c>
      <c r="H592" s="13" t="n">
        <v>0</v>
      </c>
      <c r="I592" s="13" t="n">
        <v>0</v>
      </c>
      <c r="J592" s="13" t="b">
        <f aca="false">IF(ISBLANK(I592),"", IF($I$2:$I1589 = "Gohar Rehan","Overnight",IF($I$2:$I1589 = "Taufeeq Akhtar ","Overnight",IF($I$2:$I1589 = "Zeeshan Ali Malik","Audit",IF($I$2:$I1589 = "Ali Raza ","Receiving",IF($I$2:$I1589 = "Ali Ahmad","Full-In"))))))</f>
        <v>0</v>
      </c>
      <c r="K592" s="39" t="e">
        <f aca="false">IFERROR(VLOOKUP(D592,'Brand manager data '!A:B,2,0))</f>
        <v>#VALUE!</v>
      </c>
      <c r="L592" s="13" t="n">
        <v>0</v>
      </c>
      <c r="M592" s="13" t="str">
        <v>Yes</v>
      </c>
      <c r="N592" s="22"/>
      <c r="Q592" s="40"/>
      <c r="R592" s="13" t="b">
        <f aca="false">FALSE()</f>
        <v>0</v>
      </c>
      <c r="S592" s="13" t="n">
        <v>0</v>
      </c>
      <c r="T592" s="13" t="n">
        <f aca="false">S592*F592</f>
        <v>0</v>
      </c>
      <c r="U592" s="13" t="n">
        <v>0</v>
      </c>
      <c r="V592" s="13" t="n">
        <v>0</v>
      </c>
    </row>
    <row r="593" customFormat="false" ht="15.75" hidden="false" customHeight="false" outlineLevel="0" collapsed="false">
      <c r="A593" s="13" t="n">
        <v>0</v>
      </c>
      <c r="B593" s="13" t="str">
        <v/>
      </c>
      <c r="C593" s="13" t="n">
        <v>0</v>
      </c>
      <c r="D593" s="13" t="n">
        <v>0</v>
      </c>
      <c r="E593" s="13" t="str">
        <v/>
      </c>
      <c r="F593" s="13" t="n">
        <v>0</v>
      </c>
      <c r="G593" s="13" t="n">
        <v>0</v>
      </c>
      <c r="H593" s="13" t="n">
        <v>0</v>
      </c>
      <c r="I593" s="13" t="n">
        <v>0</v>
      </c>
      <c r="J593" s="13" t="b">
        <f aca="false">IF(ISBLANK(I593),"", IF($I$2:$I1590 = "Gohar Rehan","Overnight",IF($I$2:$I1590 = "Taufeeq Akhtar ","Overnight",IF($I$2:$I1590 = "Zeeshan Ali Malik","Audit",IF($I$2:$I1590 = "Ali Raza ","Receiving",IF($I$2:$I1590 = "Ali Ahmad","Full-In"))))))</f>
        <v>0</v>
      </c>
      <c r="K593" s="39" t="e">
        <f aca="false">IFERROR(VLOOKUP(D593,'Brand manager data '!A:B,2,0))</f>
        <v>#VALUE!</v>
      </c>
      <c r="L593" s="13" t="n">
        <v>0</v>
      </c>
      <c r="M593" s="13" t="str">
        <v>Yes</v>
      </c>
      <c r="N593" s="22"/>
      <c r="Q593" s="40"/>
      <c r="R593" s="13" t="b">
        <f aca="false">FALSE()</f>
        <v>0</v>
      </c>
      <c r="S593" s="13" t="n">
        <v>0</v>
      </c>
      <c r="T593" s="13" t="n">
        <f aca="false">S593*F593</f>
        <v>0</v>
      </c>
      <c r="U593" s="13" t="n">
        <v>0</v>
      </c>
      <c r="V593" s="13" t="n">
        <v>0</v>
      </c>
    </row>
    <row r="594" customFormat="false" ht="15.75" hidden="false" customHeight="false" outlineLevel="0" collapsed="false">
      <c r="A594" s="13" t="n">
        <v>0</v>
      </c>
      <c r="B594" s="13" t="str">
        <v/>
      </c>
      <c r="C594" s="13" t="n">
        <v>0</v>
      </c>
      <c r="D594" s="13" t="n">
        <v>0</v>
      </c>
      <c r="E594" s="13" t="str">
        <v/>
      </c>
      <c r="F594" s="13" t="n">
        <v>0</v>
      </c>
      <c r="G594" s="13" t="n">
        <v>0</v>
      </c>
      <c r="H594" s="13" t="n">
        <v>0</v>
      </c>
      <c r="I594" s="13" t="n">
        <v>0</v>
      </c>
      <c r="J594" s="13" t="b">
        <f aca="false">IF(ISBLANK(I594),"", IF($I$2:$I1591 = "Gohar Rehan","Overnight",IF($I$2:$I1591 = "Taufeeq Akhtar ","Overnight",IF($I$2:$I1591 = "Zeeshan Ali Malik","Audit",IF($I$2:$I1591 = "Ali Raza ","Receiving",IF($I$2:$I1591 = "Ali Ahmad","Full-In"))))))</f>
        <v>0</v>
      </c>
      <c r="K594" s="39" t="e">
        <f aca="false">IFERROR(VLOOKUP(D594,'Brand manager data '!A:B,2,0))</f>
        <v>#VALUE!</v>
      </c>
      <c r="L594" s="13" t="n">
        <v>0</v>
      </c>
      <c r="M594" s="13" t="str">
        <v>Yes</v>
      </c>
      <c r="N594" s="22"/>
      <c r="Q594" s="40"/>
      <c r="R594" s="13" t="b">
        <f aca="false">FALSE()</f>
        <v>0</v>
      </c>
      <c r="S594" s="13" t="n">
        <v>0</v>
      </c>
      <c r="T594" s="13" t="n">
        <f aca="false">S594*F594</f>
        <v>0</v>
      </c>
      <c r="U594" s="13" t="n">
        <v>0</v>
      </c>
      <c r="V594" s="13" t="n">
        <v>0</v>
      </c>
    </row>
    <row r="595" customFormat="false" ht="15.75" hidden="false" customHeight="false" outlineLevel="0" collapsed="false">
      <c r="A595" s="13" t="n">
        <v>0</v>
      </c>
      <c r="B595" s="13" t="str">
        <v/>
      </c>
      <c r="C595" s="13" t="n">
        <v>0</v>
      </c>
      <c r="D595" s="13" t="n">
        <v>0</v>
      </c>
      <c r="E595" s="13" t="str">
        <v/>
      </c>
      <c r="F595" s="13" t="n">
        <v>0</v>
      </c>
      <c r="G595" s="13" t="n">
        <v>0</v>
      </c>
      <c r="H595" s="13" t="n">
        <v>0</v>
      </c>
      <c r="I595" s="13" t="n">
        <v>0</v>
      </c>
      <c r="J595" s="13" t="b">
        <f aca="false">IF(ISBLANK(I595),"", IF($I$2:$I1592 = "Gohar Rehan","Overnight",IF($I$2:$I1592 = "Taufeeq Akhtar ","Overnight",IF($I$2:$I1592 = "Zeeshan Ali Malik","Audit",IF($I$2:$I1592 = "Ali Raza ","Receiving",IF($I$2:$I1592 = "Ali Ahmad","Full-In"))))))</f>
        <v>0</v>
      </c>
      <c r="K595" s="39" t="e">
        <f aca="false">IFERROR(VLOOKUP(D595,'Brand manager data '!A:B,2,0))</f>
        <v>#VALUE!</v>
      </c>
      <c r="L595" s="13" t="n">
        <v>0</v>
      </c>
      <c r="M595" s="13" t="str">
        <v>Yes</v>
      </c>
      <c r="N595" s="22"/>
      <c r="Q595" s="40"/>
      <c r="R595" s="13" t="b">
        <f aca="false">FALSE()</f>
        <v>0</v>
      </c>
      <c r="S595" s="13" t="n">
        <v>0</v>
      </c>
      <c r="T595" s="13" t="n">
        <f aca="false">S595*F595</f>
        <v>0</v>
      </c>
      <c r="U595" s="13" t="n">
        <v>0</v>
      </c>
      <c r="V595" s="13" t="n">
        <v>0</v>
      </c>
    </row>
    <row r="596" customFormat="false" ht="15.75" hidden="false" customHeight="false" outlineLevel="0" collapsed="false">
      <c r="A596" s="13" t="n">
        <v>0</v>
      </c>
      <c r="B596" s="13" t="str">
        <v/>
      </c>
      <c r="C596" s="13" t="n">
        <v>0</v>
      </c>
      <c r="D596" s="13" t="n">
        <v>0</v>
      </c>
      <c r="E596" s="13" t="str">
        <v/>
      </c>
      <c r="F596" s="13" t="n">
        <v>0</v>
      </c>
      <c r="G596" s="13" t="n">
        <v>0</v>
      </c>
      <c r="H596" s="13" t="n">
        <v>0</v>
      </c>
      <c r="I596" s="13" t="n">
        <v>0</v>
      </c>
      <c r="J596" s="13" t="b">
        <f aca="false">IF(ISBLANK(I596),"", IF($I$2:$I1593 = "Gohar Rehan","Overnight",IF($I$2:$I1593 = "Taufeeq Akhtar ","Overnight",IF($I$2:$I1593 = "Zeeshan Ali Malik","Audit",IF($I$2:$I1593 = "Ali Raza ","Receiving",IF($I$2:$I1593 = "Ali Ahmad","Full-In"))))))</f>
        <v>0</v>
      </c>
      <c r="K596" s="39" t="e">
        <f aca="false">IFERROR(VLOOKUP(D596,'Brand manager data '!A:B,2,0))</f>
        <v>#VALUE!</v>
      </c>
      <c r="L596" s="13" t="n">
        <v>0</v>
      </c>
      <c r="M596" s="13" t="str">
        <v>Yes</v>
      </c>
      <c r="N596" s="22"/>
      <c r="Q596" s="40"/>
      <c r="R596" s="13" t="b">
        <f aca="false">FALSE()</f>
        <v>0</v>
      </c>
      <c r="S596" s="13" t="n">
        <v>0</v>
      </c>
      <c r="T596" s="13" t="n">
        <f aca="false">S596*F596</f>
        <v>0</v>
      </c>
      <c r="U596" s="13" t="n">
        <v>0</v>
      </c>
      <c r="V596" s="13" t="n">
        <v>0</v>
      </c>
    </row>
    <row r="597" customFormat="false" ht="15.75" hidden="false" customHeight="false" outlineLevel="0" collapsed="false">
      <c r="A597" s="13" t="n">
        <v>0</v>
      </c>
      <c r="B597" s="13" t="str">
        <v/>
      </c>
      <c r="C597" s="13" t="n">
        <v>0</v>
      </c>
      <c r="D597" s="13" t="n">
        <v>0</v>
      </c>
      <c r="E597" s="13" t="str">
        <v/>
      </c>
      <c r="F597" s="13" t="n">
        <v>0</v>
      </c>
      <c r="G597" s="13" t="n">
        <v>0</v>
      </c>
      <c r="H597" s="13" t="n">
        <v>0</v>
      </c>
      <c r="I597" s="13" t="n">
        <v>0</v>
      </c>
      <c r="J597" s="13" t="b">
        <f aca="false">IF(ISBLANK(I597),"", IF($I$2:$I1594 = "Gohar Rehan","Overnight",IF($I$2:$I1594 = "Taufeeq Akhtar ","Overnight",IF($I$2:$I1594 = "Zeeshan Ali Malik","Audit",IF($I$2:$I1594 = "Ali Raza ","Receiving",IF($I$2:$I1594 = "Ali Ahmad","Full-In"))))))</f>
        <v>0</v>
      </c>
      <c r="K597" s="39" t="e">
        <f aca="false">IFERROR(VLOOKUP(D597,'Brand manager data '!A:B,2,0))</f>
        <v>#VALUE!</v>
      </c>
      <c r="L597" s="13" t="n">
        <v>0</v>
      </c>
      <c r="M597" s="13" t="str">
        <v>Yes</v>
      </c>
      <c r="N597" s="22"/>
      <c r="Q597" s="40"/>
      <c r="R597" s="13" t="b">
        <f aca="false">FALSE()</f>
        <v>0</v>
      </c>
      <c r="S597" s="13" t="n">
        <v>0</v>
      </c>
      <c r="T597" s="13" t="n">
        <f aca="false">S597*F597</f>
        <v>0</v>
      </c>
      <c r="U597" s="13" t="n">
        <v>0</v>
      </c>
      <c r="V597" s="13" t="n">
        <v>0</v>
      </c>
    </row>
    <row r="598" customFormat="false" ht="15.75" hidden="false" customHeight="false" outlineLevel="0" collapsed="false">
      <c r="A598" s="13" t="n">
        <v>0</v>
      </c>
      <c r="B598" s="13" t="str">
        <v/>
      </c>
      <c r="C598" s="13" t="n">
        <v>0</v>
      </c>
      <c r="D598" s="13" t="n">
        <v>0</v>
      </c>
      <c r="E598" s="13" t="str">
        <v/>
      </c>
      <c r="F598" s="13" t="n">
        <v>0</v>
      </c>
      <c r="G598" s="13" t="n">
        <v>0</v>
      </c>
      <c r="H598" s="13" t="n">
        <v>0</v>
      </c>
      <c r="I598" s="13" t="n">
        <v>0</v>
      </c>
      <c r="J598" s="13" t="b">
        <f aca="false">IF(ISBLANK(I598),"", IF($I$2:$I1595 = "Gohar Rehan","Overnight",IF($I$2:$I1595 = "Taufeeq Akhtar ","Overnight",IF($I$2:$I1595 = "Zeeshan Ali Malik","Audit",IF($I$2:$I1595 = "Ali Raza ","Receiving",IF($I$2:$I1595 = "Ali Ahmad","Full-In"))))))</f>
        <v>0</v>
      </c>
      <c r="K598" s="39" t="e">
        <f aca="false">IFERROR(VLOOKUP(D598,'Brand manager data '!A:B,2,0))</f>
        <v>#VALUE!</v>
      </c>
      <c r="L598" s="13" t="n">
        <v>0</v>
      </c>
      <c r="M598" s="13" t="str">
        <v>Yes</v>
      </c>
      <c r="N598" s="22"/>
      <c r="Q598" s="40"/>
      <c r="R598" s="13" t="b">
        <f aca="false">FALSE()</f>
        <v>0</v>
      </c>
      <c r="S598" s="13" t="n">
        <v>0</v>
      </c>
      <c r="T598" s="13" t="n">
        <f aca="false">S598*F598</f>
        <v>0</v>
      </c>
      <c r="U598" s="13" t="n">
        <v>0</v>
      </c>
      <c r="V598" s="13" t="n">
        <v>0</v>
      </c>
    </row>
    <row r="599" customFormat="false" ht="15.75" hidden="false" customHeight="false" outlineLevel="0" collapsed="false">
      <c r="A599" s="13" t="n">
        <v>0</v>
      </c>
      <c r="B599" s="13" t="str">
        <v/>
      </c>
      <c r="C599" s="13" t="n">
        <v>0</v>
      </c>
      <c r="D599" s="13" t="n">
        <v>0</v>
      </c>
      <c r="E599" s="13" t="str">
        <v/>
      </c>
      <c r="F599" s="13" t="n">
        <v>0</v>
      </c>
      <c r="G599" s="13" t="n">
        <v>0</v>
      </c>
      <c r="H599" s="13" t="n">
        <v>0</v>
      </c>
      <c r="I599" s="13" t="n">
        <v>0</v>
      </c>
      <c r="J599" s="13" t="b">
        <f aca="false">IF(ISBLANK(I599),"", IF($I$2:$I1596 = "Gohar Rehan","Overnight",IF($I$2:$I1596 = "Taufeeq Akhtar ","Overnight",IF($I$2:$I1596 = "Zeeshan Ali Malik","Audit",IF($I$2:$I1596 = "Ali Raza ","Receiving",IF($I$2:$I1596 = "Ali Ahmad","Full-In"))))))</f>
        <v>0</v>
      </c>
      <c r="K599" s="39" t="e">
        <f aca="false">IFERROR(VLOOKUP(D599,'Brand manager data '!A:B,2,0))</f>
        <v>#VALUE!</v>
      </c>
      <c r="L599" s="13" t="n">
        <v>0</v>
      </c>
      <c r="M599" s="13" t="str">
        <v>Yes</v>
      </c>
      <c r="N599" s="22"/>
      <c r="Q599" s="40"/>
      <c r="R599" s="13" t="b">
        <f aca="false">FALSE()</f>
        <v>0</v>
      </c>
      <c r="S599" s="13" t="n">
        <v>0</v>
      </c>
      <c r="T599" s="13" t="n">
        <f aca="false">S599*F599</f>
        <v>0</v>
      </c>
      <c r="U599" s="13" t="n">
        <v>0</v>
      </c>
      <c r="V599" s="13" t="n">
        <v>0</v>
      </c>
    </row>
    <row r="600" customFormat="false" ht="15.75" hidden="false" customHeight="false" outlineLevel="0" collapsed="false">
      <c r="A600" s="13" t="n">
        <v>0</v>
      </c>
      <c r="B600" s="13" t="str">
        <v/>
      </c>
      <c r="C600" s="13" t="n">
        <v>0</v>
      </c>
      <c r="D600" s="13" t="n">
        <v>0</v>
      </c>
      <c r="E600" s="13" t="str">
        <v/>
      </c>
      <c r="F600" s="13" t="n">
        <v>0</v>
      </c>
      <c r="G600" s="13" t="n">
        <v>0</v>
      </c>
      <c r="H600" s="13" t="n">
        <v>0</v>
      </c>
      <c r="I600" s="13" t="n">
        <v>0</v>
      </c>
      <c r="J600" s="13" t="b">
        <f aca="false">IF(ISBLANK(I600),"", IF($I$2:$I1597 = "Gohar Rehan","Overnight",IF($I$2:$I1597 = "Taufeeq Akhtar ","Overnight",IF($I$2:$I1597 = "Zeeshan Ali Malik","Audit",IF($I$2:$I1597 = "Ali Raza ","Receiving",IF($I$2:$I1597 = "Ali Ahmad","Full-In"))))))</f>
        <v>0</v>
      </c>
      <c r="K600" s="39" t="e">
        <f aca="false">IFERROR(VLOOKUP(D600,'Brand manager data '!A:B,2,0))</f>
        <v>#VALUE!</v>
      </c>
      <c r="L600" s="13" t="n">
        <v>0</v>
      </c>
      <c r="M600" s="13" t="str">
        <v>Yes</v>
      </c>
      <c r="N600" s="22"/>
      <c r="Q600" s="40"/>
      <c r="R600" s="13" t="b">
        <f aca="false">FALSE()</f>
        <v>0</v>
      </c>
      <c r="S600" s="13" t="n">
        <v>0</v>
      </c>
      <c r="T600" s="13" t="n">
        <f aca="false">S600*F600</f>
        <v>0</v>
      </c>
      <c r="U600" s="13" t="n">
        <v>0</v>
      </c>
      <c r="V600" s="13" t="n">
        <v>0</v>
      </c>
    </row>
    <row r="601" customFormat="false" ht="15.75" hidden="false" customHeight="false" outlineLevel="0" collapsed="false">
      <c r="A601" s="13" t="n">
        <v>0</v>
      </c>
      <c r="B601" s="13" t="str">
        <v/>
      </c>
      <c r="C601" s="13" t="n">
        <v>0</v>
      </c>
      <c r="D601" s="13" t="n">
        <v>0</v>
      </c>
      <c r="E601" s="13" t="str">
        <v/>
      </c>
      <c r="F601" s="13" t="n">
        <v>0</v>
      </c>
      <c r="G601" s="13" t="n">
        <v>0</v>
      </c>
      <c r="H601" s="13" t="n">
        <v>0</v>
      </c>
      <c r="I601" s="13" t="n">
        <v>0</v>
      </c>
      <c r="J601" s="13" t="b">
        <f aca="false">IF(ISBLANK(I601),"", IF($I$2:$I1598 = "Gohar Rehan","Overnight",IF($I$2:$I1598 = "Taufeeq Akhtar ","Overnight",IF($I$2:$I1598 = "Zeeshan Ali Malik","Audit",IF($I$2:$I1598 = "Ali Raza ","Receiving",IF($I$2:$I1598 = "Ali Ahmad","Full-In"))))))</f>
        <v>0</v>
      </c>
      <c r="K601" s="39" t="e">
        <f aca="false">IFERROR(VLOOKUP(D601,'Brand manager data '!A:B,2,0))</f>
        <v>#VALUE!</v>
      </c>
      <c r="L601" s="13" t="n">
        <v>0</v>
      </c>
      <c r="M601" s="13" t="str">
        <v>Yes</v>
      </c>
      <c r="N601" s="22"/>
      <c r="Q601" s="40"/>
      <c r="R601" s="13" t="b">
        <f aca="false">FALSE()</f>
        <v>0</v>
      </c>
      <c r="S601" s="13" t="n">
        <v>0</v>
      </c>
      <c r="T601" s="13" t="n">
        <f aca="false">S601*F601</f>
        <v>0</v>
      </c>
      <c r="U601" s="13" t="n">
        <v>0</v>
      </c>
      <c r="V601" s="13" t="n">
        <v>0</v>
      </c>
    </row>
    <row r="602" customFormat="false" ht="15.75" hidden="false" customHeight="false" outlineLevel="0" collapsed="false">
      <c r="A602" s="13" t="n">
        <v>0</v>
      </c>
      <c r="B602" s="13" t="str">
        <v/>
      </c>
      <c r="C602" s="13" t="n">
        <v>0</v>
      </c>
      <c r="D602" s="13" t="n">
        <v>0</v>
      </c>
      <c r="E602" s="13" t="str">
        <v/>
      </c>
      <c r="F602" s="13" t="n">
        <v>0</v>
      </c>
      <c r="G602" s="13" t="n">
        <v>0</v>
      </c>
      <c r="H602" s="13" t="n">
        <v>0</v>
      </c>
      <c r="I602" s="13" t="n">
        <v>0</v>
      </c>
      <c r="J602" s="13" t="b">
        <f aca="false">IF(ISBLANK(I602),"", IF($I$2:$I1599 = "Gohar Rehan","Overnight",IF($I$2:$I1599 = "Taufeeq Akhtar ","Overnight",IF($I$2:$I1599 = "Zeeshan Ali Malik","Audit",IF($I$2:$I1599 = "Ali Raza ","Receiving",IF($I$2:$I1599 = "Ali Ahmad","Full-In"))))))</f>
        <v>0</v>
      </c>
      <c r="K602" s="39" t="e">
        <f aca="false">IFERROR(VLOOKUP(D602,'Brand manager data '!A:B,2,0))</f>
        <v>#VALUE!</v>
      </c>
      <c r="L602" s="13" t="n">
        <v>0</v>
      </c>
      <c r="M602" s="13" t="str">
        <v>Yes</v>
      </c>
      <c r="N602" s="22"/>
      <c r="Q602" s="40"/>
      <c r="R602" s="13" t="b">
        <f aca="false">FALSE()</f>
        <v>0</v>
      </c>
      <c r="S602" s="13" t="n">
        <v>0</v>
      </c>
      <c r="T602" s="13" t="n">
        <f aca="false">S602*F602</f>
        <v>0</v>
      </c>
      <c r="U602" s="13" t="n">
        <v>0</v>
      </c>
      <c r="V602" s="13" t="n">
        <v>0</v>
      </c>
    </row>
    <row r="603" customFormat="false" ht="15.75" hidden="false" customHeight="false" outlineLevel="0" collapsed="false">
      <c r="A603" s="13" t="n">
        <v>0</v>
      </c>
      <c r="B603" s="13" t="str">
        <v/>
      </c>
      <c r="C603" s="13" t="n">
        <v>0</v>
      </c>
      <c r="D603" s="13" t="n">
        <v>0</v>
      </c>
      <c r="E603" s="13" t="str">
        <v/>
      </c>
      <c r="F603" s="13" t="n">
        <v>0</v>
      </c>
      <c r="G603" s="13" t="n">
        <v>0</v>
      </c>
      <c r="H603" s="13" t="n">
        <v>0</v>
      </c>
      <c r="I603" s="13" t="n">
        <v>0</v>
      </c>
      <c r="J603" s="13" t="b">
        <f aca="false">IF(ISBLANK(I603),"", IF($I$2:$I1600 = "Gohar Rehan","Overnight",IF($I$2:$I1600 = "Taufeeq Akhtar ","Overnight",IF($I$2:$I1600 = "Zeeshan Ali Malik","Audit",IF($I$2:$I1600 = "Ali Raza ","Receiving",IF($I$2:$I1600 = "Ali Ahmad","Full-In"))))))</f>
        <v>0</v>
      </c>
      <c r="K603" s="39" t="e">
        <f aca="false">IFERROR(VLOOKUP(D603,'Brand manager data '!A:B,2,0))</f>
        <v>#VALUE!</v>
      </c>
      <c r="L603" s="13" t="n">
        <v>0</v>
      </c>
      <c r="M603" s="13" t="str">
        <v>Yes</v>
      </c>
      <c r="N603" s="22"/>
      <c r="Q603" s="40"/>
      <c r="R603" s="13" t="b">
        <f aca="false">FALSE()</f>
        <v>0</v>
      </c>
      <c r="S603" s="13" t="n">
        <v>0</v>
      </c>
      <c r="T603" s="13" t="n">
        <f aca="false">S603*F603</f>
        <v>0</v>
      </c>
      <c r="U603" s="13" t="n">
        <v>0</v>
      </c>
      <c r="V603" s="13" t="n">
        <v>0</v>
      </c>
    </row>
    <row r="604" customFormat="false" ht="15.75" hidden="false" customHeight="false" outlineLevel="0" collapsed="false">
      <c r="A604" s="13" t="n">
        <v>0</v>
      </c>
      <c r="B604" s="13" t="str">
        <v/>
      </c>
      <c r="C604" s="13" t="n">
        <v>0</v>
      </c>
      <c r="D604" s="13" t="n">
        <v>0</v>
      </c>
      <c r="E604" s="13" t="str">
        <v/>
      </c>
      <c r="F604" s="13" t="n">
        <v>0</v>
      </c>
      <c r="G604" s="13" t="n">
        <v>0</v>
      </c>
      <c r="H604" s="13" t="n">
        <v>0</v>
      </c>
      <c r="I604" s="13" t="n">
        <v>0</v>
      </c>
      <c r="J604" s="13" t="b">
        <f aca="false">IF(ISBLANK(I604),"", IF($I$2:$I1601 = "Gohar Rehan","Overnight",IF($I$2:$I1601 = "Taufeeq Akhtar ","Overnight",IF($I$2:$I1601 = "Zeeshan Ali Malik","Audit",IF($I$2:$I1601 = "Ali Raza ","Receiving",IF($I$2:$I1601 = "Ali Ahmad","Full-In"))))))</f>
        <v>0</v>
      </c>
      <c r="K604" s="39" t="e">
        <f aca="false">IFERROR(VLOOKUP(D604,'Brand manager data '!A:B,2,0))</f>
        <v>#VALUE!</v>
      </c>
      <c r="L604" s="13" t="n">
        <v>0</v>
      </c>
      <c r="M604" s="13" t="str">
        <v>Yes</v>
      </c>
      <c r="N604" s="22"/>
      <c r="Q604" s="40"/>
      <c r="R604" s="13" t="b">
        <f aca="false">FALSE()</f>
        <v>0</v>
      </c>
      <c r="S604" s="13" t="n">
        <v>0</v>
      </c>
      <c r="T604" s="13" t="n">
        <f aca="false">S604*F604</f>
        <v>0</v>
      </c>
      <c r="U604" s="13" t="n">
        <v>0</v>
      </c>
      <c r="V604" s="13" t="n">
        <v>0</v>
      </c>
    </row>
    <row r="605" customFormat="false" ht="15.75" hidden="false" customHeight="false" outlineLevel="0" collapsed="false">
      <c r="A605" s="13" t="n">
        <v>0</v>
      </c>
      <c r="B605" s="13" t="str">
        <v/>
      </c>
      <c r="C605" s="13" t="n">
        <v>0</v>
      </c>
      <c r="D605" s="13" t="n">
        <v>0</v>
      </c>
      <c r="E605" s="13" t="str">
        <v/>
      </c>
      <c r="F605" s="13" t="n">
        <v>0</v>
      </c>
      <c r="G605" s="13" t="n">
        <v>0</v>
      </c>
      <c r="H605" s="13" t="n">
        <v>0</v>
      </c>
      <c r="I605" s="13" t="n">
        <v>0</v>
      </c>
      <c r="J605" s="13" t="b">
        <f aca="false">IF(ISBLANK(I605),"", IF($I$2:$I1602 = "Gohar Rehan","Overnight",IF($I$2:$I1602 = "Taufeeq Akhtar ","Overnight",IF($I$2:$I1602 = "Zeeshan Ali Malik","Audit",IF($I$2:$I1602 = "Ali Raza ","Receiving",IF($I$2:$I1602 = "Ali Ahmad","Full-In"))))))</f>
        <v>0</v>
      </c>
      <c r="K605" s="39" t="e">
        <f aca="false">IFERROR(VLOOKUP(D605,'Brand manager data '!A:B,2,0))</f>
        <v>#VALUE!</v>
      </c>
      <c r="L605" s="13" t="n">
        <v>0</v>
      </c>
      <c r="M605" s="13" t="str">
        <v>Yes</v>
      </c>
      <c r="N605" s="22"/>
      <c r="Q605" s="40"/>
      <c r="R605" s="13" t="b">
        <f aca="false">FALSE()</f>
        <v>0</v>
      </c>
      <c r="S605" s="13" t="n">
        <v>0</v>
      </c>
      <c r="T605" s="13" t="n">
        <f aca="false">S605*F605</f>
        <v>0</v>
      </c>
      <c r="U605" s="13" t="n">
        <v>0</v>
      </c>
      <c r="V605" s="13" t="n">
        <v>0</v>
      </c>
    </row>
    <row r="606" customFormat="false" ht="15.75" hidden="false" customHeight="false" outlineLevel="0" collapsed="false">
      <c r="A606" s="13" t="n">
        <v>0</v>
      </c>
      <c r="B606" s="13" t="str">
        <v/>
      </c>
      <c r="C606" s="13" t="n">
        <v>0</v>
      </c>
      <c r="D606" s="13" t="n">
        <v>0</v>
      </c>
      <c r="E606" s="13" t="str">
        <v/>
      </c>
      <c r="F606" s="13" t="n">
        <v>0</v>
      </c>
      <c r="G606" s="13" t="n">
        <v>0</v>
      </c>
      <c r="H606" s="13" t="n">
        <v>0</v>
      </c>
      <c r="I606" s="13" t="n">
        <v>0</v>
      </c>
      <c r="J606" s="13" t="b">
        <f aca="false">IF(ISBLANK(I606),"", IF($I$2:$I1603 = "Gohar Rehan","Overnight",IF($I$2:$I1603 = "Taufeeq Akhtar ","Overnight",IF($I$2:$I1603 = "Zeeshan Ali Malik","Audit",IF($I$2:$I1603 = "Ali Raza ","Receiving",IF($I$2:$I1603 = "Ali Ahmad","Full-In"))))))</f>
        <v>0</v>
      </c>
      <c r="K606" s="39" t="e">
        <f aca="false">IFERROR(VLOOKUP(D606,'Brand manager data '!A:B,2,0))</f>
        <v>#VALUE!</v>
      </c>
      <c r="L606" s="13" t="n">
        <v>0</v>
      </c>
      <c r="M606" s="13" t="str">
        <v>Yes</v>
      </c>
      <c r="N606" s="22"/>
      <c r="Q606" s="40"/>
      <c r="R606" s="13" t="b">
        <f aca="false">FALSE()</f>
        <v>0</v>
      </c>
      <c r="S606" s="13" t="n">
        <v>0</v>
      </c>
      <c r="T606" s="13" t="n">
        <f aca="false">S606*F606</f>
        <v>0</v>
      </c>
      <c r="U606" s="13" t="n">
        <v>0</v>
      </c>
      <c r="V606" s="13" t="n">
        <v>0</v>
      </c>
    </row>
    <row r="607" customFormat="false" ht="15.75" hidden="false" customHeight="false" outlineLevel="0" collapsed="false">
      <c r="A607" s="13" t="n">
        <v>0</v>
      </c>
      <c r="B607" s="13" t="str">
        <v/>
      </c>
      <c r="C607" s="13" t="n">
        <v>0</v>
      </c>
      <c r="D607" s="13" t="n">
        <v>0</v>
      </c>
      <c r="E607" s="13" t="str">
        <v/>
      </c>
      <c r="F607" s="13" t="n">
        <v>0</v>
      </c>
      <c r="G607" s="13" t="n">
        <v>0</v>
      </c>
      <c r="H607" s="13" t="n">
        <v>0</v>
      </c>
      <c r="I607" s="13" t="n">
        <v>0</v>
      </c>
      <c r="J607" s="13" t="b">
        <f aca="false">IF(ISBLANK(I607),"", IF($I$2:$I1604 = "Gohar Rehan","Overnight",IF($I$2:$I1604 = "Taufeeq Akhtar ","Overnight",IF($I$2:$I1604 = "Zeeshan Ali Malik","Audit",IF($I$2:$I1604 = "Ali Raza ","Receiving",IF($I$2:$I1604 = "Ali Ahmad","Full-In"))))))</f>
        <v>0</v>
      </c>
      <c r="K607" s="39" t="e">
        <f aca="false">IFERROR(VLOOKUP(D607,'Brand manager data '!A:B,2,0))</f>
        <v>#VALUE!</v>
      </c>
      <c r="L607" s="13" t="n">
        <v>0</v>
      </c>
      <c r="M607" s="13" t="str">
        <v>Yes</v>
      </c>
      <c r="N607" s="22"/>
      <c r="Q607" s="40"/>
      <c r="R607" s="13" t="b">
        <f aca="false">FALSE()</f>
        <v>0</v>
      </c>
      <c r="S607" s="13" t="n">
        <v>0</v>
      </c>
      <c r="T607" s="13" t="n">
        <f aca="false">S607*F607</f>
        <v>0</v>
      </c>
      <c r="U607" s="13" t="n">
        <v>0</v>
      </c>
      <c r="V607" s="13" t="n">
        <v>0</v>
      </c>
    </row>
    <row r="608" customFormat="false" ht="15.75" hidden="false" customHeight="false" outlineLevel="0" collapsed="false">
      <c r="A608" s="13" t="n">
        <v>0</v>
      </c>
      <c r="B608" s="13" t="str">
        <v/>
      </c>
      <c r="C608" s="13" t="n">
        <v>0</v>
      </c>
      <c r="D608" s="13" t="n">
        <v>0</v>
      </c>
      <c r="E608" s="13" t="str">
        <v/>
      </c>
      <c r="F608" s="13" t="n">
        <v>0</v>
      </c>
      <c r="G608" s="13" t="n">
        <v>0</v>
      </c>
      <c r="H608" s="13" t="n">
        <v>0</v>
      </c>
      <c r="I608" s="13" t="n">
        <v>0</v>
      </c>
      <c r="J608" s="13" t="b">
        <f aca="false">IF(ISBLANK(I608),"", IF($I$2:$I1605 = "Gohar Rehan","Overnight",IF($I$2:$I1605 = "Taufeeq Akhtar ","Overnight",IF($I$2:$I1605 = "Zeeshan Ali Malik","Audit",IF($I$2:$I1605 = "Ali Raza ","Receiving",IF($I$2:$I1605 = "Ali Ahmad","Full-In"))))))</f>
        <v>0</v>
      </c>
      <c r="K608" s="39" t="e">
        <f aca="false">IFERROR(VLOOKUP(D608,'Brand manager data '!A:B,2,0))</f>
        <v>#VALUE!</v>
      </c>
      <c r="L608" s="13" t="n">
        <v>0</v>
      </c>
      <c r="M608" s="13" t="str">
        <v>Yes</v>
      </c>
      <c r="N608" s="22"/>
      <c r="Q608" s="40"/>
      <c r="R608" s="13" t="b">
        <f aca="false">FALSE()</f>
        <v>0</v>
      </c>
      <c r="S608" s="13" t="n">
        <v>0</v>
      </c>
      <c r="T608" s="13" t="n">
        <f aca="false">S608*F608</f>
        <v>0</v>
      </c>
      <c r="U608" s="13" t="n">
        <v>0</v>
      </c>
      <c r="V608" s="13" t="n">
        <v>0</v>
      </c>
    </row>
    <row r="609" customFormat="false" ht="15.75" hidden="false" customHeight="false" outlineLevel="0" collapsed="false">
      <c r="A609" s="13" t="n">
        <v>0</v>
      </c>
      <c r="B609" s="13" t="str">
        <v/>
      </c>
      <c r="C609" s="13" t="n">
        <v>0</v>
      </c>
      <c r="D609" s="13" t="n">
        <v>0</v>
      </c>
      <c r="E609" s="13" t="str">
        <v/>
      </c>
      <c r="F609" s="13" t="n">
        <v>0</v>
      </c>
      <c r="G609" s="13" t="n">
        <v>0</v>
      </c>
      <c r="H609" s="13" t="n">
        <v>0</v>
      </c>
      <c r="I609" s="13" t="n">
        <v>0</v>
      </c>
      <c r="J609" s="13" t="b">
        <f aca="false">IF(ISBLANK(I609),"", IF($I$2:$I1606 = "Gohar Rehan","Overnight",IF($I$2:$I1606 = "Taufeeq Akhtar ","Overnight",IF($I$2:$I1606 = "Zeeshan Ali Malik","Audit",IF($I$2:$I1606 = "Ali Raza ","Receiving",IF($I$2:$I1606 = "Ali Ahmad","Full-In"))))))</f>
        <v>0</v>
      </c>
      <c r="K609" s="39" t="e">
        <f aca="false">IFERROR(VLOOKUP(D609,'Brand manager data '!A:B,2,0))</f>
        <v>#VALUE!</v>
      </c>
      <c r="L609" s="13" t="n">
        <v>0</v>
      </c>
      <c r="M609" s="13" t="str">
        <v>Yes</v>
      </c>
      <c r="N609" s="22"/>
      <c r="Q609" s="40"/>
      <c r="R609" s="13" t="b">
        <f aca="false">FALSE()</f>
        <v>0</v>
      </c>
      <c r="S609" s="13" t="n">
        <v>0</v>
      </c>
      <c r="T609" s="13" t="n">
        <f aca="false">S609*F609</f>
        <v>0</v>
      </c>
      <c r="U609" s="13" t="n">
        <v>0</v>
      </c>
      <c r="V609" s="13" t="n">
        <v>0</v>
      </c>
    </row>
    <row r="610" customFormat="false" ht="15.75" hidden="false" customHeight="false" outlineLevel="0" collapsed="false">
      <c r="A610" s="13" t="n">
        <v>0</v>
      </c>
      <c r="B610" s="13" t="str">
        <v/>
      </c>
      <c r="C610" s="13" t="n">
        <v>0</v>
      </c>
      <c r="D610" s="13" t="n">
        <v>0</v>
      </c>
      <c r="E610" s="13" t="str">
        <v/>
      </c>
      <c r="F610" s="13" t="n">
        <v>0</v>
      </c>
      <c r="G610" s="13" t="n">
        <v>0</v>
      </c>
      <c r="H610" s="13" t="n">
        <v>0</v>
      </c>
      <c r="I610" s="13" t="n">
        <v>0</v>
      </c>
      <c r="J610" s="13" t="b">
        <f aca="false">IF(ISBLANK(I610),"", IF($I$2:$I1607 = "Gohar Rehan","Overnight",IF($I$2:$I1607 = "Taufeeq Akhtar ","Overnight",IF($I$2:$I1607 = "Zeeshan Ali Malik","Audit",IF($I$2:$I1607 = "Ali Raza ","Receiving",IF($I$2:$I1607 = "Ali Ahmad","Full-In"))))))</f>
        <v>0</v>
      </c>
      <c r="K610" s="39" t="e">
        <f aca="false">IFERROR(VLOOKUP(D610,'Brand manager data '!A:B,2,0))</f>
        <v>#VALUE!</v>
      </c>
      <c r="L610" s="13" t="n">
        <v>0</v>
      </c>
      <c r="M610" s="13" t="str">
        <v>Yes</v>
      </c>
      <c r="N610" s="22"/>
      <c r="Q610" s="40"/>
      <c r="R610" s="13" t="b">
        <f aca="false">FALSE()</f>
        <v>0</v>
      </c>
      <c r="S610" s="13" t="n">
        <v>0</v>
      </c>
      <c r="T610" s="13" t="n">
        <f aca="false">S610*F610</f>
        <v>0</v>
      </c>
      <c r="U610" s="13" t="n">
        <v>0</v>
      </c>
      <c r="V610" s="13" t="n">
        <v>0</v>
      </c>
    </row>
    <row r="611" customFormat="false" ht="15.75" hidden="false" customHeight="false" outlineLevel="0" collapsed="false">
      <c r="A611" s="13" t="n">
        <v>0</v>
      </c>
      <c r="B611" s="13" t="str">
        <v/>
      </c>
      <c r="C611" s="13" t="n">
        <v>0</v>
      </c>
      <c r="D611" s="13" t="n">
        <v>0</v>
      </c>
      <c r="E611" s="13" t="str">
        <v/>
      </c>
      <c r="F611" s="13" t="n">
        <v>0</v>
      </c>
      <c r="G611" s="13" t="n">
        <v>0</v>
      </c>
      <c r="H611" s="13" t="n">
        <v>0</v>
      </c>
      <c r="I611" s="13" t="n">
        <v>0</v>
      </c>
      <c r="J611" s="13" t="b">
        <f aca="false">IF(ISBLANK(I611),"", IF($I$2:$I1608 = "Gohar Rehan","Overnight",IF($I$2:$I1608 = "Taufeeq Akhtar ","Overnight",IF($I$2:$I1608 = "Zeeshan Ali Malik","Audit",IF($I$2:$I1608 = "Ali Raza ","Receiving",IF($I$2:$I1608 = "Ali Ahmad","Full-In"))))))</f>
        <v>0</v>
      </c>
      <c r="K611" s="39" t="e">
        <f aca="false">IFERROR(VLOOKUP(D611,'Brand manager data '!A:B,2,0))</f>
        <v>#VALUE!</v>
      </c>
      <c r="L611" s="13" t="n">
        <v>0</v>
      </c>
      <c r="M611" s="13" t="str">
        <v>Yes</v>
      </c>
      <c r="N611" s="22"/>
      <c r="Q611" s="40"/>
      <c r="R611" s="13" t="b">
        <f aca="false">FALSE()</f>
        <v>0</v>
      </c>
      <c r="S611" s="13" t="n">
        <v>0</v>
      </c>
      <c r="T611" s="13" t="n">
        <f aca="false">S611*F611</f>
        <v>0</v>
      </c>
      <c r="U611" s="13" t="n">
        <v>0</v>
      </c>
      <c r="V611" s="13" t="n">
        <v>0</v>
      </c>
    </row>
    <row r="612" customFormat="false" ht="15.75" hidden="false" customHeight="false" outlineLevel="0" collapsed="false">
      <c r="A612" s="13" t="n">
        <v>0</v>
      </c>
      <c r="B612" s="13" t="str">
        <v/>
      </c>
      <c r="C612" s="13" t="n">
        <v>0</v>
      </c>
      <c r="D612" s="13" t="n">
        <v>0</v>
      </c>
      <c r="E612" s="13" t="str">
        <v/>
      </c>
      <c r="F612" s="13" t="n">
        <v>0</v>
      </c>
      <c r="G612" s="13" t="n">
        <v>0</v>
      </c>
      <c r="H612" s="13" t="n">
        <v>0</v>
      </c>
      <c r="I612" s="13" t="n">
        <v>0</v>
      </c>
      <c r="J612" s="13" t="b">
        <f aca="false">IF(ISBLANK(I612),"", IF($I$2:$I1609 = "Gohar Rehan","Overnight",IF($I$2:$I1609 = "Taufeeq Akhtar ","Overnight",IF($I$2:$I1609 = "Zeeshan Ali Malik","Audit",IF($I$2:$I1609 = "Ali Raza ","Receiving",IF($I$2:$I1609 = "Ali Ahmad","Full-In"))))))</f>
        <v>0</v>
      </c>
      <c r="K612" s="39" t="e">
        <f aca="false">IFERROR(VLOOKUP(D612,'Brand manager data '!A:B,2,0))</f>
        <v>#VALUE!</v>
      </c>
      <c r="L612" s="13" t="n">
        <v>0</v>
      </c>
      <c r="M612" s="13" t="str">
        <v>Yes</v>
      </c>
      <c r="N612" s="22"/>
      <c r="Q612" s="40"/>
      <c r="R612" s="13" t="b">
        <f aca="false">FALSE()</f>
        <v>0</v>
      </c>
      <c r="S612" s="13" t="n">
        <v>0</v>
      </c>
      <c r="T612" s="13" t="n">
        <f aca="false">S612*F612</f>
        <v>0</v>
      </c>
      <c r="U612" s="13" t="n">
        <v>0</v>
      </c>
      <c r="V612" s="13" t="n">
        <v>0</v>
      </c>
    </row>
    <row r="613" customFormat="false" ht="15.75" hidden="false" customHeight="false" outlineLevel="0" collapsed="false">
      <c r="A613" s="13" t="n">
        <v>0</v>
      </c>
      <c r="B613" s="13" t="str">
        <v/>
      </c>
      <c r="C613" s="13" t="n">
        <v>0</v>
      </c>
      <c r="D613" s="13" t="n">
        <v>0</v>
      </c>
      <c r="E613" s="13" t="str">
        <v/>
      </c>
      <c r="F613" s="13" t="n">
        <v>0</v>
      </c>
      <c r="G613" s="13" t="n">
        <v>0</v>
      </c>
      <c r="H613" s="13" t="n">
        <v>0</v>
      </c>
      <c r="I613" s="13" t="n">
        <v>0</v>
      </c>
      <c r="J613" s="13" t="b">
        <f aca="false">IF(ISBLANK(I613),"", IF($I$2:$I1610 = "Gohar Rehan","Overnight",IF($I$2:$I1610 = "Taufeeq Akhtar ","Overnight",IF($I$2:$I1610 = "Zeeshan Ali Malik","Audit",IF($I$2:$I1610 = "Ali Raza ","Receiving",IF($I$2:$I1610 = "Ali Ahmad","Full-In"))))))</f>
        <v>0</v>
      </c>
      <c r="K613" s="39" t="e">
        <f aca="false">IFERROR(VLOOKUP(D613,'Brand manager data '!A:B,2,0))</f>
        <v>#VALUE!</v>
      </c>
      <c r="L613" s="13" t="n">
        <v>0</v>
      </c>
      <c r="M613" s="13" t="str">
        <v>Yes</v>
      </c>
      <c r="N613" s="22"/>
      <c r="Q613" s="40"/>
      <c r="R613" s="13" t="b">
        <f aca="false">FALSE()</f>
        <v>0</v>
      </c>
      <c r="S613" s="13" t="n">
        <v>0</v>
      </c>
      <c r="T613" s="13" t="n">
        <f aca="false">S613*F613</f>
        <v>0</v>
      </c>
      <c r="U613" s="13" t="n">
        <v>0</v>
      </c>
      <c r="V613" s="13" t="n">
        <v>0</v>
      </c>
    </row>
    <row r="614" customFormat="false" ht="15.75" hidden="false" customHeight="false" outlineLevel="0" collapsed="false">
      <c r="A614" s="13" t="n">
        <v>0</v>
      </c>
      <c r="B614" s="13" t="str">
        <v/>
      </c>
      <c r="C614" s="13" t="n">
        <v>0</v>
      </c>
      <c r="D614" s="13" t="n">
        <v>0</v>
      </c>
      <c r="E614" s="13" t="str">
        <v/>
      </c>
      <c r="F614" s="13" t="n">
        <v>0</v>
      </c>
      <c r="G614" s="13" t="n">
        <v>0</v>
      </c>
      <c r="H614" s="13" t="n">
        <v>0</v>
      </c>
      <c r="I614" s="13" t="n">
        <v>0</v>
      </c>
      <c r="J614" s="13" t="b">
        <f aca="false">IF(ISBLANK(I614),"", IF($I$2:$I1611 = "Gohar Rehan","Overnight",IF($I$2:$I1611 = "Taufeeq Akhtar ","Overnight",IF($I$2:$I1611 = "Zeeshan Ali Malik","Audit",IF($I$2:$I1611 = "Ali Raza ","Receiving",IF($I$2:$I1611 = "Ali Ahmad","Full-In"))))))</f>
        <v>0</v>
      </c>
      <c r="K614" s="39" t="e">
        <f aca="false">IFERROR(VLOOKUP(D614,'Brand manager data '!A:B,2,0))</f>
        <v>#VALUE!</v>
      </c>
      <c r="L614" s="13" t="n">
        <v>0</v>
      </c>
      <c r="M614" s="13" t="str">
        <v>Yes</v>
      </c>
      <c r="N614" s="22"/>
      <c r="Q614" s="40"/>
      <c r="R614" s="13" t="b">
        <f aca="false">FALSE()</f>
        <v>0</v>
      </c>
      <c r="S614" s="13" t="n">
        <v>0</v>
      </c>
      <c r="T614" s="13" t="n">
        <f aca="false">S614*F614</f>
        <v>0</v>
      </c>
      <c r="U614" s="13" t="n">
        <v>0</v>
      </c>
      <c r="V614" s="13" t="n">
        <v>0</v>
      </c>
    </row>
    <row r="615" customFormat="false" ht="15.75" hidden="false" customHeight="false" outlineLevel="0" collapsed="false">
      <c r="A615" s="13" t="n">
        <v>0</v>
      </c>
      <c r="B615" s="13" t="str">
        <v/>
      </c>
      <c r="C615" s="13" t="n">
        <v>0</v>
      </c>
      <c r="D615" s="13" t="n">
        <v>0</v>
      </c>
      <c r="E615" s="13" t="str">
        <v/>
      </c>
      <c r="F615" s="13" t="n">
        <v>0</v>
      </c>
      <c r="G615" s="13" t="n">
        <v>0</v>
      </c>
      <c r="H615" s="13" t="n">
        <v>0</v>
      </c>
      <c r="I615" s="13" t="n">
        <v>0</v>
      </c>
      <c r="J615" s="13" t="b">
        <f aca="false">IF(ISBLANK(I615),"", IF($I$2:$I1612 = "Gohar Rehan","Overnight",IF($I$2:$I1612 = "Taufeeq Akhtar ","Overnight",IF($I$2:$I1612 = "Zeeshan Ali Malik","Audit",IF($I$2:$I1612 = "Ali Raza ","Receiving",IF($I$2:$I1612 = "Ali Ahmad","Full-In"))))))</f>
        <v>0</v>
      </c>
      <c r="K615" s="39" t="e">
        <f aca="false">IFERROR(VLOOKUP(D615,'Brand manager data '!A:B,2,0))</f>
        <v>#VALUE!</v>
      </c>
      <c r="L615" s="13" t="n">
        <v>0</v>
      </c>
      <c r="M615" s="13" t="str">
        <v>Yes</v>
      </c>
      <c r="N615" s="22"/>
      <c r="Q615" s="40"/>
      <c r="R615" s="13" t="b">
        <f aca="false">FALSE()</f>
        <v>0</v>
      </c>
      <c r="S615" s="13" t="n">
        <v>0</v>
      </c>
      <c r="T615" s="13" t="n">
        <f aca="false">S615*F615</f>
        <v>0</v>
      </c>
      <c r="U615" s="13" t="n">
        <v>0</v>
      </c>
      <c r="V615" s="13" t="n">
        <v>0</v>
      </c>
    </row>
    <row r="616" customFormat="false" ht="15.75" hidden="false" customHeight="false" outlineLevel="0" collapsed="false">
      <c r="A616" s="13" t="n">
        <v>0</v>
      </c>
      <c r="B616" s="13" t="str">
        <v/>
      </c>
      <c r="C616" s="13" t="n">
        <v>0</v>
      </c>
      <c r="D616" s="13" t="n">
        <v>0</v>
      </c>
      <c r="E616" s="13" t="str">
        <v/>
      </c>
      <c r="F616" s="13" t="n">
        <v>0</v>
      </c>
      <c r="G616" s="13" t="n">
        <v>0</v>
      </c>
      <c r="H616" s="13" t="n">
        <v>0</v>
      </c>
      <c r="I616" s="13" t="n">
        <v>0</v>
      </c>
      <c r="J616" s="13" t="b">
        <f aca="false">IF(ISBLANK(I616),"", IF($I$2:$I1613 = "Gohar Rehan","Overnight",IF($I$2:$I1613 = "Taufeeq Akhtar ","Overnight",IF($I$2:$I1613 = "Zeeshan Ali Malik","Audit",IF($I$2:$I1613 = "Ali Raza ","Receiving",IF($I$2:$I1613 = "Ali Ahmad","Full-In"))))))</f>
        <v>0</v>
      </c>
      <c r="K616" s="39" t="e">
        <f aca="false">IFERROR(VLOOKUP(D616,'Brand manager data '!A:B,2,0))</f>
        <v>#VALUE!</v>
      </c>
      <c r="L616" s="13" t="n">
        <v>0</v>
      </c>
      <c r="M616" s="13" t="str">
        <v>Yes</v>
      </c>
      <c r="N616" s="22"/>
      <c r="Q616" s="40"/>
      <c r="R616" s="13" t="b">
        <f aca="false">FALSE()</f>
        <v>0</v>
      </c>
      <c r="S616" s="13" t="n">
        <v>0</v>
      </c>
      <c r="T616" s="13" t="n">
        <f aca="false">S616*F616</f>
        <v>0</v>
      </c>
      <c r="U616" s="13" t="n">
        <v>0</v>
      </c>
      <c r="V616" s="13" t="n">
        <v>0</v>
      </c>
    </row>
    <row r="617" customFormat="false" ht="15.75" hidden="false" customHeight="false" outlineLevel="0" collapsed="false">
      <c r="A617" s="13" t="n">
        <v>0</v>
      </c>
      <c r="B617" s="13" t="str">
        <v/>
      </c>
      <c r="C617" s="13" t="n">
        <v>0</v>
      </c>
      <c r="D617" s="13" t="n">
        <v>0</v>
      </c>
      <c r="E617" s="13" t="str">
        <v/>
      </c>
      <c r="F617" s="13" t="n">
        <v>0</v>
      </c>
      <c r="G617" s="13" t="n">
        <v>0</v>
      </c>
      <c r="H617" s="13" t="n">
        <v>0</v>
      </c>
      <c r="I617" s="13" t="n">
        <v>0</v>
      </c>
      <c r="J617" s="13" t="b">
        <f aca="false">IF(ISBLANK(I617),"", IF($I$2:$I1614 = "Gohar Rehan","Overnight",IF($I$2:$I1614 = "Taufeeq Akhtar ","Overnight",IF($I$2:$I1614 = "Zeeshan Ali Malik","Audit",IF($I$2:$I1614 = "Ali Raza ","Receiving",IF($I$2:$I1614 = "Ali Ahmad","Full-In"))))))</f>
        <v>0</v>
      </c>
      <c r="K617" s="39" t="e">
        <f aca="false">IFERROR(VLOOKUP(D617,'Brand manager data '!A:B,2,0))</f>
        <v>#VALUE!</v>
      </c>
      <c r="L617" s="13" t="n">
        <v>0</v>
      </c>
      <c r="M617" s="13" t="str">
        <v>Yes</v>
      </c>
      <c r="N617" s="22"/>
      <c r="Q617" s="40"/>
      <c r="R617" s="13" t="b">
        <f aca="false">FALSE()</f>
        <v>0</v>
      </c>
      <c r="S617" s="13" t="n">
        <v>0</v>
      </c>
      <c r="T617" s="13" t="n">
        <f aca="false">S617*F617</f>
        <v>0</v>
      </c>
      <c r="U617" s="13" t="n">
        <v>0</v>
      </c>
      <c r="V617" s="13" t="n">
        <v>0</v>
      </c>
    </row>
    <row r="618" customFormat="false" ht="15.75" hidden="false" customHeight="false" outlineLevel="0" collapsed="false">
      <c r="A618" s="13" t="n">
        <v>0</v>
      </c>
      <c r="B618" s="13" t="str">
        <v/>
      </c>
      <c r="C618" s="13" t="n">
        <v>0</v>
      </c>
      <c r="D618" s="13" t="n">
        <v>0</v>
      </c>
      <c r="E618" s="13" t="str">
        <v/>
      </c>
      <c r="F618" s="13" t="n">
        <v>0</v>
      </c>
      <c r="G618" s="13" t="n">
        <v>0</v>
      </c>
      <c r="H618" s="13" t="n">
        <v>0</v>
      </c>
      <c r="I618" s="13" t="n">
        <v>0</v>
      </c>
      <c r="J618" s="13" t="b">
        <f aca="false">IF(ISBLANK(I618),"", IF($I$2:$I1615 = "Gohar Rehan","Overnight",IF($I$2:$I1615 = "Taufeeq Akhtar ","Overnight",IF($I$2:$I1615 = "Zeeshan Ali Malik","Audit",IF($I$2:$I1615 = "Ali Raza ","Receiving",IF($I$2:$I1615 = "Ali Ahmad","Full-In"))))))</f>
        <v>0</v>
      </c>
      <c r="K618" s="39" t="e">
        <f aca="false">IFERROR(VLOOKUP(D618,'Brand manager data '!A:B,2,0))</f>
        <v>#VALUE!</v>
      </c>
      <c r="L618" s="13" t="n">
        <v>0</v>
      </c>
      <c r="M618" s="13" t="str">
        <v>Yes</v>
      </c>
      <c r="N618" s="22"/>
      <c r="Q618" s="40"/>
      <c r="R618" s="13" t="b">
        <f aca="false">FALSE()</f>
        <v>0</v>
      </c>
      <c r="S618" s="13" t="n">
        <v>0</v>
      </c>
      <c r="T618" s="13" t="n">
        <f aca="false">S618*F618</f>
        <v>0</v>
      </c>
      <c r="U618" s="13" t="n">
        <v>0</v>
      </c>
      <c r="V618" s="13" t="n">
        <v>0</v>
      </c>
    </row>
    <row r="619" customFormat="false" ht="15.75" hidden="false" customHeight="false" outlineLevel="0" collapsed="false">
      <c r="A619" s="13" t="n">
        <v>0</v>
      </c>
      <c r="B619" s="13" t="str">
        <v/>
      </c>
      <c r="C619" s="13" t="n">
        <v>0</v>
      </c>
      <c r="D619" s="13" t="n">
        <v>0</v>
      </c>
      <c r="E619" s="13" t="str">
        <v/>
      </c>
      <c r="F619" s="13" t="n">
        <v>0</v>
      </c>
      <c r="G619" s="13" t="n">
        <v>0</v>
      </c>
      <c r="H619" s="13" t="n">
        <v>0</v>
      </c>
      <c r="I619" s="13" t="n">
        <v>0</v>
      </c>
      <c r="J619" s="13" t="b">
        <f aca="false">IF(ISBLANK(I619),"", IF($I$2:$I1616 = "Gohar Rehan","Overnight",IF($I$2:$I1616 = "Taufeeq Akhtar ","Overnight",IF($I$2:$I1616 = "Zeeshan Ali Malik","Audit",IF($I$2:$I1616 = "Ali Raza ","Receiving",IF($I$2:$I1616 = "Ali Ahmad","Full-In"))))))</f>
        <v>0</v>
      </c>
      <c r="K619" s="39" t="e">
        <f aca="false">IFERROR(VLOOKUP(D619,'Brand manager data '!A:B,2,0))</f>
        <v>#VALUE!</v>
      </c>
      <c r="L619" s="13" t="n">
        <v>0</v>
      </c>
      <c r="M619" s="13" t="str">
        <v>Yes</v>
      </c>
      <c r="N619" s="22"/>
      <c r="Q619" s="40"/>
      <c r="R619" s="13" t="b">
        <f aca="false">FALSE()</f>
        <v>0</v>
      </c>
      <c r="S619" s="13" t="n">
        <v>0</v>
      </c>
      <c r="T619" s="13" t="n">
        <f aca="false">S619*F619</f>
        <v>0</v>
      </c>
      <c r="U619" s="13" t="n">
        <v>0</v>
      </c>
      <c r="V619" s="13" t="n">
        <v>0</v>
      </c>
    </row>
    <row r="620" customFormat="false" ht="15.75" hidden="false" customHeight="false" outlineLevel="0" collapsed="false">
      <c r="A620" s="13" t="n">
        <v>0</v>
      </c>
      <c r="B620" s="13" t="str">
        <v/>
      </c>
      <c r="C620" s="13" t="n">
        <v>0</v>
      </c>
      <c r="D620" s="13" t="n">
        <v>0</v>
      </c>
      <c r="E620" s="13" t="str">
        <v/>
      </c>
      <c r="F620" s="13" t="n">
        <v>0</v>
      </c>
      <c r="G620" s="13" t="n">
        <v>0</v>
      </c>
      <c r="H620" s="13" t="n">
        <v>0</v>
      </c>
      <c r="I620" s="13" t="n">
        <v>0</v>
      </c>
      <c r="J620" s="13" t="b">
        <f aca="false">IF(ISBLANK(I620),"", IF($I$2:$I1617 = "Gohar Rehan","Overnight",IF($I$2:$I1617 = "Taufeeq Akhtar ","Overnight",IF($I$2:$I1617 = "Zeeshan Ali Malik","Audit",IF($I$2:$I1617 = "Ali Raza ","Receiving",IF($I$2:$I1617 = "Ali Ahmad","Full-In"))))))</f>
        <v>0</v>
      </c>
      <c r="K620" s="39" t="e">
        <f aca="false">IFERROR(VLOOKUP(D620,'Brand manager data '!A:B,2,0))</f>
        <v>#VALUE!</v>
      </c>
      <c r="L620" s="13" t="n">
        <v>0</v>
      </c>
      <c r="M620" s="13" t="str">
        <v>Yes</v>
      </c>
      <c r="N620" s="22"/>
      <c r="Q620" s="40"/>
      <c r="R620" s="13" t="b">
        <f aca="false">FALSE()</f>
        <v>0</v>
      </c>
      <c r="S620" s="13" t="n">
        <v>0</v>
      </c>
      <c r="T620" s="13" t="n">
        <f aca="false">S620*F620</f>
        <v>0</v>
      </c>
      <c r="U620" s="13" t="n">
        <v>0</v>
      </c>
      <c r="V620" s="13" t="n">
        <v>0</v>
      </c>
    </row>
    <row r="621" customFormat="false" ht="15.75" hidden="false" customHeight="false" outlineLevel="0" collapsed="false">
      <c r="A621" s="13" t="n">
        <v>0</v>
      </c>
      <c r="B621" s="13" t="str">
        <v/>
      </c>
      <c r="C621" s="13" t="n">
        <v>0</v>
      </c>
      <c r="D621" s="13" t="n">
        <v>0</v>
      </c>
      <c r="E621" s="13" t="str">
        <v/>
      </c>
      <c r="F621" s="13" t="n">
        <v>0</v>
      </c>
      <c r="G621" s="13" t="n">
        <v>0</v>
      </c>
      <c r="H621" s="13" t="n">
        <v>0</v>
      </c>
      <c r="I621" s="13" t="n">
        <v>0</v>
      </c>
      <c r="J621" s="13" t="b">
        <f aca="false">IF(ISBLANK(I621),"", IF($I$2:$I1618 = "Gohar Rehan","Overnight",IF($I$2:$I1618 = "Taufeeq Akhtar ","Overnight",IF($I$2:$I1618 = "Zeeshan Ali Malik","Audit",IF($I$2:$I1618 = "Ali Raza ","Receiving",IF($I$2:$I1618 = "Ali Ahmad","Full-In"))))))</f>
        <v>0</v>
      </c>
      <c r="K621" s="39" t="e">
        <f aca="false">IFERROR(VLOOKUP(D621,'Brand manager data '!A:B,2,0))</f>
        <v>#VALUE!</v>
      </c>
      <c r="L621" s="13" t="n">
        <v>0</v>
      </c>
      <c r="M621" s="13" t="str">
        <v>Yes</v>
      </c>
      <c r="N621" s="22"/>
      <c r="Q621" s="40"/>
      <c r="R621" s="13" t="b">
        <f aca="false">FALSE()</f>
        <v>0</v>
      </c>
      <c r="S621" s="13" t="n">
        <v>0</v>
      </c>
      <c r="T621" s="13" t="n">
        <f aca="false">S621*F621</f>
        <v>0</v>
      </c>
      <c r="U621" s="13" t="n">
        <v>0</v>
      </c>
      <c r="V621" s="13" t="n">
        <v>0</v>
      </c>
    </row>
    <row r="622" customFormat="false" ht="15.75" hidden="false" customHeight="false" outlineLevel="0" collapsed="false">
      <c r="A622" s="13" t="n">
        <v>0</v>
      </c>
      <c r="B622" s="13" t="str">
        <v/>
      </c>
      <c r="C622" s="13" t="n">
        <v>0</v>
      </c>
      <c r="D622" s="13" t="n">
        <v>0</v>
      </c>
      <c r="E622" s="13" t="str">
        <v/>
      </c>
      <c r="F622" s="13" t="n">
        <v>0</v>
      </c>
      <c r="G622" s="13" t="n">
        <v>0</v>
      </c>
      <c r="H622" s="13" t="n">
        <v>0</v>
      </c>
      <c r="I622" s="13" t="n">
        <v>0</v>
      </c>
      <c r="J622" s="13" t="b">
        <f aca="false">IF(ISBLANK(I622),"", IF($I$2:$I1619 = "Gohar Rehan","Overnight",IF($I$2:$I1619 = "Taufeeq Akhtar ","Overnight",IF($I$2:$I1619 = "Zeeshan Ali Malik","Audit",IF($I$2:$I1619 = "Ali Raza ","Receiving",IF($I$2:$I1619 = "Ali Ahmad","Full-In"))))))</f>
        <v>0</v>
      </c>
      <c r="K622" s="39" t="e">
        <f aca="false">IFERROR(VLOOKUP(D622,'Brand manager data '!A:B,2,0))</f>
        <v>#VALUE!</v>
      </c>
      <c r="L622" s="13" t="n">
        <v>0</v>
      </c>
      <c r="M622" s="13" t="str">
        <v>Yes</v>
      </c>
      <c r="N622" s="22"/>
      <c r="Q622" s="40"/>
      <c r="R622" s="13" t="b">
        <f aca="false">FALSE()</f>
        <v>0</v>
      </c>
      <c r="S622" s="13" t="n">
        <v>0</v>
      </c>
      <c r="T622" s="13" t="n">
        <f aca="false">S622*F622</f>
        <v>0</v>
      </c>
      <c r="U622" s="13" t="n">
        <v>0</v>
      </c>
      <c r="V622" s="13" t="n">
        <v>0</v>
      </c>
    </row>
    <row r="623" customFormat="false" ht="15.75" hidden="false" customHeight="false" outlineLevel="0" collapsed="false">
      <c r="A623" s="13" t="n">
        <v>0</v>
      </c>
      <c r="B623" s="13" t="str">
        <v/>
      </c>
      <c r="C623" s="13" t="n">
        <v>0</v>
      </c>
      <c r="D623" s="13" t="n">
        <v>0</v>
      </c>
      <c r="E623" s="13" t="str">
        <v/>
      </c>
      <c r="F623" s="13" t="n">
        <v>0</v>
      </c>
      <c r="G623" s="13" t="n">
        <v>0</v>
      </c>
      <c r="H623" s="13" t="n">
        <v>0</v>
      </c>
      <c r="I623" s="13" t="n">
        <v>0</v>
      </c>
      <c r="J623" s="13" t="b">
        <f aca="false">IF(ISBLANK(I623),"", IF($I$2:$I1620 = "Gohar Rehan","Overnight",IF($I$2:$I1620 = "Taufeeq Akhtar ","Overnight",IF($I$2:$I1620 = "Zeeshan Ali Malik","Audit",IF($I$2:$I1620 = "Ali Raza ","Receiving",IF($I$2:$I1620 = "Ali Ahmad","Full-In"))))))</f>
        <v>0</v>
      </c>
      <c r="K623" s="39" t="e">
        <f aca="false">IFERROR(VLOOKUP(D623,'Brand manager data '!A:B,2,0))</f>
        <v>#VALUE!</v>
      </c>
      <c r="L623" s="13" t="n">
        <v>0</v>
      </c>
      <c r="M623" s="13" t="str">
        <v>Yes</v>
      </c>
      <c r="N623" s="22"/>
      <c r="Q623" s="40"/>
      <c r="R623" s="13" t="b">
        <f aca="false">FALSE()</f>
        <v>0</v>
      </c>
      <c r="S623" s="13" t="n">
        <v>0</v>
      </c>
      <c r="T623" s="13" t="n">
        <f aca="false">S623*F623</f>
        <v>0</v>
      </c>
      <c r="U623" s="13" t="n">
        <v>0</v>
      </c>
      <c r="V623" s="13" t="n">
        <v>0</v>
      </c>
    </row>
    <row r="624" customFormat="false" ht="15.75" hidden="false" customHeight="false" outlineLevel="0" collapsed="false">
      <c r="A624" s="13" t="n">
        <v>0</v>
      </c>
      <c r="B624" s="13" t="str">
        <v/>
      </c>
      <c r="C624" s="13" t="n">
        <v>0</v>
      </c>
      <c r="D624" s="13" t="n">
        <v>0</v>
      </c>
      <c r="E624" s="13" t="str">
        <v/>
      </c>
      <c r="F624" s="13" t="n">
        <v>0</v>
      </c>
      <c r="G624" s="13" t="n">
        <v>0</v>
      </c>
      <c r="H624" s="13" t="n">
        <v>0</v>
      </c>
      <c r="I624" s="13" t="n">
        <v>0</v>
      </c>
      <c r="J624" s="13" t="b">
        <f aca="false">IF(ISBLANK(I624),"", IF($I$2:$I1621 = "Gohar Rehan","Overnight",IF($I$2:$I1621 = "Taufeeq Akhtar ","Overnight",IF($I$2:$I1621 = "Zeeshan Ali Malik","Audit",IF($I$2:$I1621 = "Ali Raza ","Receiving",IF($I$2:$I1621 = "Ali Ahmad","Full-In"))))))</f>
        <v>0</v>
      </c>
      <c r="K624" s="39" t="e">
        <f aca="false">IFERROR(VLOOKUP(D624,'Brand manager data '!A:B,2,0))</f>
        <v>#VALUE!</v>
      </c>
      <c r="L624" s="13" t="n">
        <v>0</v>
      </c>
      <c r="M624" s="13" t="str">
        <v>Yes</v>
      </c>
      <c r="N624" s="22"/>
      <c r="Q624" s="40"/>
      <c r="R624" s="13" t="b">
        <f aca="false">FALSE()</f>
        <v>0</v>
      </c>
      <c r="S624" s="13" t="n">
        <v>0</v>
      </c>
      <c r="T624" s="13" t="n">
        <f aca="false">S624*F624</f>
        <v>0</v>
      </c>
      <c r="U624" s="13" t="n">
        <v>0</v>
      </c>
      <c r="V624" s="13" t="n">
        <v>0</v>
      </c>
    </row>
    <row r="625" customFormat="false" ht="15.75" hidden="false" customHeight="false" outlineLevel="0" collapsed="false">
      <c r="A625" s="13" t="n">
        <v>0</v>
      </c>
      <c r="B625" s="13" t="str">
        <v/>
      </c>
      <c r="C625" s="13" t="n">
        <v>0</v>
      </c>
      <c r="D625" s="13" t="n">
        <v>0</v>
      </c>
      <c r="E625" s="13" t="str">
        <v/>
      </c>
      <c r="F625" s="13" t="n">
        <v>0</v>
      </c>
      <c r="G625" s="13" t="n">
        <v>0</v>
      </c>
      <c r="H625" s="13" t="n">
        <v>0</v>
      </c>
      <c r="I625" s="13" t="n">
        <v>0</v>
      </c>
      <c r="J625" s="13" t="b">
        <f aca="false">IF(ISBLANK(I625),"", IF($I$2:$I1622 = "Gohar Rehan","Overnight",IF($I$2:$I1622 = "Taufeeq Akhtar ","Overnight",IF($I$2:$I1622 = "Zeeshan Ali Malik","Audit",IF($I$2:$I1622 = "Ali Raza ","Receiving",IF($I$2:$I1622 = "Ali Ahmad","Full-In"))))))</f>
        <v>0</v>
      </c>
      <c r="K625" s="39" t="e">
        <f aca="false">IFERROR(VLOOKUP(D625,'Brand manager data '!A:B,2,0))</f>
        <v>#VALUE!</v>
      </c>
      <c r="L625" s="13" t="n">
        <v>0</v>
      </c>
      <c r="M625" s="13" t="str">
        <v>Yes</v>
      </c>
      <c r="N625" s="22"/>
      <c r="Q625" s="40"/>
      <c r="R625" s="13" t="b">
        <f aca="false">FALSE()</f>
        <v>0</v>
      </c>
      <c r="S625" s="13" t="n">
        <v>0</v>
      </c>
      <c r="T625" s="13" t="n">
        <f aca="false">S625*F625</f>
        <v>0</v>
      </c>
      <c r="U625" s="13" t="n">
        <v>0</v>
      </c>
      <c r="V625" s="13" t="n">
        <v>0</v>
      </c>
    </row>
    <row r="626" customFormat="false" ht="15.75" hidden="false" customHeight="false" outlineLevel="0" collapsed="false">
      <c r="A626" s="13" t="n">
        <v>0</v>
      </c>
      <c r="B626" s="13" t="str">
        <v/>
      </c>
      <c r="C626" s="13" t="n">
        <v>0</v>
      </c>
      <c r="D626" s="13" t="n">
        <v>0</v>
      </c>
      <c r="E626" s="13" t="str">
        <v/>
      </c>
      <c r="F626" s="13" t="n">
        <v>0</v>
      </c>
      <c r="G626" s="13" t="n">
        <v>0</v>
      </c>
      <c r="H626" s="13" t="n">
        <v>0</v>
      </c>
      <c r="I626" s="13" t="n">
        <v>0</v>
      </c>
      <c r="J626" s="13" t="b">
        <f aca="false">IF(ISBLANK(I626),"", IF($I$2:$I1623 = "Gohar Rehan","Overnight",IF($I$2:$I1623 = "Taufeeq Akhtar ","Overnight",IF($I$2:$I1623 = "Zeeshan Ali Malik","Audit",IF($I$2:$I1623 = "Ali Raza ","Receiving",IF($I$2:$I1623 = "Ali Ahmad","Full-In"))))))</f>
        <v>0</v>
      </c>
      <c r="K626" s="39" t="e">
        <f aca="false">IFERROR(VLOOKUP(D626,'Brand manager data '!A:B,2,0))</f>
        <v>#VALUE!</v>
      </c>
      <c r="L626" s="13" t="n">
        <v>0</v>
      </c>
      <c r="M626" s="13" t="str">
        <v>Yes</v>
      </c>
      <c r="N626" s="22"/>
      <c r="Q626" s="40"/>
      <c r="R626" s="13" t="b">
        <f aca="false">FALSE()</f>
        <v>0</v>
      </c>
      <c r="S626" s="13" t="n">
        <v>0</v>
      </c>
      <c r="T626" s="13" t="n">
        <f aca="false">S626*F626</f>
        <v>0</v>
      </c>
      <c r="U626" s="13" t="n">
        <v>0</v>
      </c>
      <c r="V626" s="13" t="n">
        <v>0</v>
      </c>
    </row>
    <row r="627" customFormat="false" ht="15.75" hidden="false" customHeight="false" outlineLevel="0" collapsed="false">
      <c r="A627" s="13" t="n">
        <v>0</v>
      </c>
      <c r="B627" s="13" t="str">
        <v/>
      </c>
      <c r="C627" s="13" t="n">
        <v>0</v>
      </c>
      <c r="D627" s="13" t="n">
        <v>0</v>
      </c>
      <c r="E627" s="13" t="str">
        <v/>
      </c>
      <c r="F627" s="13" t="n">
        <v>0</v>
      </c>
      <c r="G627" s="13" t="n">
        <v>0</v>
      </c>
      <c r="H627" s="13" t="n">
        <v>0</v>
      </c>
      <c r="I627" s="13" t="n">
        <v>0</v>
      </c>
      <c r="J627" s="13" t="b">
        <f aca="false">IF(ISBLANK(I627),"", IF($I$2:$I1624 = "Gohar Rehan","Overnight",IF($I$2:$I1624 = "Taufeeq Akhtar ","Overnight",IF($I$2:$I1624 = "Zeeshan Ali Malik","Audit",IF($I$2:$I1624 = "Ali Raza ","Receiving",IF($I$2:$I1624 = "Ali Ahmad","Full-In"))))))</f>
        <v>0</v>
      </c>
      <c r="K627" s="39" t="e">
        <f aca="false">IFERROR(VLOOKUP(D627,'Brand manager data '!A:B,2,0))</f>
        <v>#VALUE!</v>
      </c>
      <c r="L627" s="13" t="n">
        <v>0</v>
      </c>
      <c r="M627" s="13" t="str">
        <v>Yes</v>
      </c>
      <c r="N627" s="22"/>
      <c r="Q627" s="40"/>
      <c r="R627" s="13" t="b">
        <f aca="false">FALSE()</f>
        <v>0</v>
      </c>
      <c r="S627" s="13" t="n">
        <v>0</v>
      </c>
      <c r="T627" s="13" t="n">
        <f aca="false">S627*F627</f>
        <v>0</v>
      </c>
      <c r="U627" s="13" t="n">
        <v>0</v>
      </c>
      <c r="V627" s="13" t="n">
        <v>0</v>
      </c>
    </row>
    <row r="628" customFormat="false" ht="15.75" hidden="false" customHeight="false" outlineLevel="0" collapsed="false">
      <c r="A628" s="13" t="n">
        <v>0</v>
      </c>
      <c r="B628" s="13" t="str">
        <v/>
      </c>
      <c r="C628" s="13" t="n">
        <v>0</v>
      </c>
      <c r="D628" s="13" t="n">
        <v>0</v>
      </c>
      <c r="E628" s="13" t="str">
        <v/>
      </c>
      <c r="F628" s="13" t="n">
        <v>0</v>
      </c>
      <c r="G628" s="13" t="n">
        <v>0</v>
      </c>
      <c r="H628" s="13" t="n">
        <v>0</v>
      </c>
      <c r="I628" s="13" t="n">
        <v>0</v>
      </c>
      <c r="J628" s="13" t="b">
        <f aca="false">IF(ISBLANK(I628),"", IF($I$2:$I1625 = "Gohar Rehan","Overnight",IF($I$2:$I1625 = "Taufeeq Akhtar ","Overnight",IF($I$2:$I1625 = "Zeeshan Ali Malik","Audit",IF($I$2:$I1625 = "Ali Raza ","Receiving",IF($I$2:$I1625 = "Ali Ahmad","Full-In"))))))</f>
        <v>0</v>
      </c>
      <c r="K628" s="39" t="e">
        <f aca="false">IFERROR(VLOOKUP(D628,'Brand manager data '!A:B,2,0))</f>
        <v>#VALUE!</v>
      </c>
      <c r="L628" s="13" t="n">
        <v>0</v>
      </c>
      <c r="M628" s="13" t="str">
        <v>Yes</v>
      </c>
      <c r="N628" s="22"/>
      <c r="Q628" s="40"/>
      <c r="R628" s="13" t="b">
        <f aca="false">FALSE()</f>
        <v>0</v>
      </c>
      <c r="S628" s="13" t="n">
        <v>0</v>
      </c>
      <c r="T628" s="13" t="n">
        <f aca="false">S628*F628</f>
        <v>0</v>
      </c>
      <c r="U628" s="13" t="n">
        <v>0</v>
      </c>
      <c r="V628" s="13" t="n">
        <v>0</v>
      </c>
    </row>
    <row r="629" customFormat="false" ht="15.75" hidden="false" customHeight="false" outlineLevel="0" collapsed="false">
      <c r="A629" s="13" t="n">
        <v>0</v>
      </c>
      <c r="B629" s="13" t="str">
        <v/>
      </c>
      <c r="C629" s="13" t="n">
        <v>0</v>
      </c>
      <c r="D629" s="13" t="n">
        <v>0</v>
      </c>
      <c r="E629" s="13" t="str">
        <v/>
      </c>
      <c r="F629" s="13" t="n">
        <v>0</v>
      </c>
      <c r="G629" s="13" t="n">
        <v>0</v>
      </c>
      <c r="H629" s="13" t="n">
        <v>0</v>
      </c>
      <c r="I629" s="13" t="n">
        <v>0</v>
      </c>
      <c r="J629" s="13" t="b">
        <f aca="false">IF(ISBLANK(I629),"", IF($I$2:$I1626 = "Gohar Rehan","Overnight",IF($I$2:$I1626 = "Taufeeq Akhtar ","Overnight",IF($I$2:$I1626 = "Zeeshan Ali Malik","Audit",IF($I$2:$I1626 = "Ali Raza ","Receiving",IF($I$2:$I1626 = "Ali Ahmad","Full-In"))))))</f>
        <v>0</v>
      </c>
      <c r="K629" s="39" t="e">
        <f aca="false">IFERROR(VLOOKUP(D629,'Brand manager data '!A:B,2,0))</f>
        <v>#VALUE!</v>
      </c>
      <c r="L629" s="13" t="n">
        <v>0</v>
      </c>
      <c r="M629" s="13" t="str">
        <v>Yes</v>
      </c>
      <c r="N629" s="22"/>
      <c r="Q629" s="40"/>
      <c r="R629" s="13" t="b">
        <f aca="false">FALSE()</f>
        <v>0</v>
      </c>
      <c r="S629" s="13" t="n">
        <v>0</v>
      </c>
      <c r="T629" s="13" t="n">
        <f aca="false">S629*F629</f>
        <v>0</v>
      </c>
      <c r="U629" s="13" t="n">
        <v>0</v>
      </c>
      <c r="V629" s="13" t="n">
        <v>0</v>
      </c>
    </row>
    <row r="630" customFormat="false" ht="15.75" hidden="false" customHeight="false" outlineLevel="0" collapsed="false">
      <c r="A630" s="13" t="n">
        <v>0</v>
      </c>
      <c r="B630" s="13" t="str">
        <v/>
      </c>
      <c r="C630" s="13" t="n">
        <v>0</v>
      </c>
      <c r="D630" s="13" t="n">
        <v>0</v>
      </c>
      <c r="E630" s="13" t="str">
        <v/>
      </c>
      <c r="F630" s="13" t="n">
        <v>0</v>
      </c>
      <c r="G630" s="13" t="n">
        <v>0</v>
      </c>
      <c r="H630" s="13" t="n">
        <v>0</v>
      </c>
      <c r="I630" s="13" t="n">
        <v>0</v>
      </c>
      <c r="J630" s="13" t="b">
        <f aca="false">IF(ISBLANK(I630),"", IF($I$2:$I1627 = "Gohar Rehan","Overnight",IF($I$2:$I1627 = "Taufeeq Akhtar ","Overnight",IF($I$2:$I1627 = "Zeeshan Ali Malik","Audit",IF($I$2:$I1627 = "Ali Raza ","Receiving",IF($I$2:$I1627 = "Ali Ahmad","Full-In"))))))</f>
        <v>0</v>
      </c>
      <c r="K630" s="39" t="e">
        <f aca="false">IFERROR(VLOOKUP(D630,'Brand manager data '!A:B,2,0))</f>
        <v>#VALUE!</v>
      </c>
      <c r="L630" s="13" t="n">
        <v>0</v>
      </c>
      <c r="M630" s="13" t="str">
        <v>Yes</v>
      </c>
      <c r="N630" s="22"/>
      <c r="Q630" s="40"/>
      <c r="R630" s="13" t="b">
        <f aca="false">FALSE()</f>
        <v>0</v>
      </c>
      <c r="S630" s="13" t="n">
        <v>0</v>
      </c>
      <c r="T630" s="13" t="n">
        <f aca="false">S630*F630</f>
        <v>0</v>
      </c>
      <c r="U630" s="13" t="n">
        <v>0</v>
      </c>
      <c r="V630" s="13" t="n">
        <v>0</v>
      </c>
    </row>
    <row r="631" customFormat="false" ht="15.75" hidden="false" customHeight="false" outlineLevel="0" collapsed="false">
      <c r="A631" s="13" t="n">
        <v>0</v>
      </c>
      <c r="B631" s="13" t="str">
        <v/>
      </c>
      <c r="C631" s="13" t="n">
        <v>0</v>
      </c>
      <c r="D631" s="13" t="n">
        <v>0</v>
      </c>
      <c r="E631" s="13" t="str">
        <v/>
      </c>
      <c r="F631" s="13" t="n">
        <v>0</v>
      </c>
      <c r="G631" s="13" t="n">
        <v>0</v>
      </c>
      <c r="H631" s="13" t="n">
        <v>0</v>
      </c>
      <c r="I631" s="13" t="n">
        <v>0</v>
      </c>
      <c r="J631" s="13" t="b">
        <f aca="false">IF(ISBLANK(I631),"", IF($I$2:$I1628 = "Gohar Rehan","Overnight",IF($I$2:$I1628 = "Taufeeq Akhtar ","Overnight",IF($I$2:$I1628 = "Zeeshan Ali Malik","Audit",IF($I$2:$I1628 = "Ali Raza ","Receiving",IF($I$2:$I1628 = "Ali Ahmad","Full-In"))))))</f>
        <v>0</v>
      </c>
      <c r="K631" s="39" t="e">
        <f aca="false">IFERROR(VLOOKUP(D631,'Brand manager data '!A:B,2,0))</f>
        <v>#VALUE!</v>
      </c>
      <c r="L631" s="13" t="n">
        <v>0</v>
      </c>
      <c r="M631" s="13" t="str">
        <v>Yes</v>
      </c>
      <c r="N631" s="22"/>
      <c r="Q631" s="40"/>
      <c r="R631" s="13" t="b">
        <f aca="false">FALSE()</f>
        <v>0</v>
      </c>
      <c r="S631" s="13" t="n">
        <v>0</v>
      </c>
      <c r="T631" s="13" t="n">
        <f aca="false">S631*F631</f>
        <v>0</v>
      </c>
      <c r="U631" s="13" t="n">
        <v>0</v>
      </c>
      <c r="V631" s="13" t="n">
        <v>0</v>
      </c>
    </row>
    <row r="632" customFormat="false" ht="15.75" hidden="false" customHeight="false" outlineLevel="0" collapsed="false">
      <c r="A632" s="13" t="n">
        <v>0</v>
      </c>
      <c r="B632" s="13" t="str">
        <v/>
      </c>
      <c r="C632" s="13" t="n">
        <v>0</v>
      </c>
      <c r="D632" s="13" t="n">
        <v>0</v>
      </c>
      <c r="E632" s="13" t="str">
        <v/>
      </c>
      <c r="F632" s="13" t="n">
        <v>0</v>
      </c>
      <c r="G632" s="13" t="n">
        <v>0</v>
      </c>
      <c r="H632" s="13" t="n">
        <v>0</v>
      </c>
      <c r="I632" s="13" t="n">
        <v>0</v>
      </c>
      <c r="J632" s="13" t="b">
        <f aca="false">IF(ISBLANK(I632),"", IF($I$2:$I1629 = "Gohar Rehan","Overnight",IF($I$2:$I1629 = "Taufeeq Akhtar ","Overnight",IF($I$2:$I1629 = "Zeeshan Ali Malik","Audit",IF($I$2:$I1629 = "Ali Raza ","Receiving",IF($I$2:$I1629 = "Ali Ahmad","Full-In"))))))</f>
        <v>0</v>
      </c>
      <c r="K632" s="39" t="e">
        <f aca="false">IFERROR(VLOOKUP(D632,'Brand manager data '!A:B,2,0))</f>
        <v>#VALUE!</v>
      </c>
      <c r="L632" s="13" t="n">
        <v>0</v>
      </c>
      <c r="M632" s="13" t="str">
        <v>Yes</v>
      </c>
      <c r="N632" s="22"/>
      <c r="Q632" s="40"/>
      <c r="R632" s="13" t="b">
        <f aca="false">FALSE()</f>
        <v>0</v>
      </c>
      <c r="S632" s="13" t="n">
        <v>0</v>
      </c>
      <c r="T632" s="13" t="n">
        <f aca="false">S632*F632</f>
        <v>0</v>
      </c>
      <c r="U632" s="13" t="n">
        <v>0</v>
      </c>
      <c r="V632" s="13" t="n">
        <v>0</v>
      </c>
    </row>
    <row r="633" customFormat="false" ht="15.75" hidden="false" customHeight="false" outlineLevel="0" collapsed="false">
      <c r="A633" s="13" t="n">
        <v>0</v>
      </c>
      <c r="B633" s="13" t="str">
        <v/>
      </c>
      <c r="C633" s="13" t="n">
        <v>0</v>
      </c>
      <c r="D633" s="13" t="n">
        <v>0</v>
      </c>
      <c r="E633" s="13" t="str">
        <v/>
      </c>
      <c r="F633" s="13" t="n">
        <v>0</v>
      </c>
      <c r="G633" s="13" t="n">
        <v>0</v>
      </c>
      <c r="H633" s="13" t="n">
        <v>0</v>
      </c>
      <c r="I633" s="13" t="n">
        <v>0</v>
      </c>
      <c r="J633" s="13" t="b">
        <f aca="false">IF(ISBLANK(I633),"", IF($I$2:$I1630 = "Gohar Rehan","Overnight",IF($I$2:$I1630 = "Taufeeq Akhtar ","Overnight",IF($I$2:$I1630 = "Zeeshan Ali Malik","Audit",IF($I$2:$I1630 = "Ali Raza ","Receiving",IF($I$2:$I1630 = "Ali Ahmad","Full-In"))))))</f>
        <v>0</v>
      </c>
      <c r="K633" s="39" t="e">
        <f aca="false">IFERROR(VLOOKUP(D633,'Brand manager data '!A:B,2,0))</f>
        <v>#VALUE!</v>
      </c>
      <c r="L633" s="13" t="n">
        <v>0</v>
      </c>
      <c r="M633" s="13" t="str">
        <v>Yes</v>
      </c>
      <c r="N633" s="22"/>
      <c r="Q633" s="40"/>
      <c r="R633" s="13" t="b">
        <f aca="false">FALSE()</f>
        <v>0</v>
      </c>
      <c r="S633" s="13" t="n">
        <v>0</v>
      </c>
      <c r="T633" s="13" t="n">
        <f aca="false">S633*F633</f>
        <v>0</v>
      </c>
      <c r="U633" s="13" t="n">
        <v>0</v>
      </c>
      <c r="V633" s="13" t="n">
        <v>0</v>
      </c>
    </row>
    <row r="634" customFormat="false" ht="15.75" hidden="false" customHeight="false" outlineLevel="0" collapsed="false">
      <c r="A634" s="13" t="n">
        <v>0</v>
      </c>
      <c r="B634" s="13" t="str">
        <v/>
      </c>
      <c r="C634" s="13" t="n">
        <v>0</v>
      </c>
      <c r="D634" s="13" t="n">
        <v>0</v>
      </c>
      <c r="E634" s="13" t="str">
        <v/>
      </c>
      <c r="F634" s="13" t="n">
        <v>0</v>
      </c>
      <c r="G634" s="13" t="n">
        <v>0</v>
      </c>
      <c r="H634" s="13" t="n">
        <v>0</v>
      </c>
      <c r="I634" s="13" t="n">
        <v>0</v>
      </c>
      <c r="J634" s="13" t="b">
        <f aca="false">IF(ISBLANK(I634),"", IF($I$2:$I1631 = "Gohar Rehan","Overnight",IF($I$2:$I1631 = "Taufeeq Akhtar ","Overnight",IF($I$2:$I1631 = "Zeeshan Ali Malik","Audit",IF($I$2:$I1631 = "Ali Raza ","Receiving",IF($I$2:$I1631 = "Ali Ahmad","Full-In"))))))</f>
        <v>0</v>
      </c>
      <c r="K634" s="39" t="e">
        <f aca="false">IFERROR(VLOOKUP(D634,'Brand manager data '!A:B,2,0))</f>
        <v>#VALUE!</v>
      </c>
      <c r="L634" s="13" t="n">
        <v>0</v>
      </c>
      <c r="M634" s="13" t="str">
        <v>Yes</v>
      </c>
      <c r="N634" s="22"/>
      <c r="Q634" s="40"/>
      <c r="R634" s="13" t="b">
        <f aca="false">FALSE()</f>
        <v>0</v>
      </c>
      <c r="S634" s="13" t="n">
        <v>0</v>
      </c>
      <c r="T634" s="13" t="n">
        <f aca="false">S634*F634</f>
        <v>0</v>
      </c>
      <c r="U634" s="13" t="n">
        <v>0</v>
      </c>
      <c r="V634" s="13" t="n">
        <v>0</v>
      </c>
    </row>
    <row r="635" customFormat="false" ht="15.75" hidden="false" customHeight="false" outlineLevel="0" collapsed="false">
      <c r="A635" s="13" t="n">
        <v>0</v>
      </c>
      <c r="B635" s="13" t="str">
        <v/>
      </c>
      <c r="C635" s="13" t="n">
        <v>0</v>
      </c>
      <c r="D635" s="13" t="n">
        <v>0</v>
      </c>
      <c r="E635" s="13" t="str">
        <v/>
      </c>
      <c r="F635" s="13" t="n">
        <v>0</v>
      </c>
      <c r="G635" s="13" t="n">
        <v>0</v>
      </c>
      <c r="H635" s="13" t="n">
        <v>0</v>
      </c>
      <c r="I635" s="13" t="n">
        <v>0</v>
      </c>
      <c r="J635" s="13" t="b">
        <f aca="false">IF(ISBLANK(I635),"", IF($I$2:$I1632 = "Gohar Rehan","Overnight",IF($I$2:$I1632 = "Taufeeq Akhtar ","Overnight",IF($I$2:$I1632 = "Zeeshan Ali Malik","Audit",IF($I$2:$I1632 = "Ali Raza ","Receiving",IF($I$2:$I1632 = "Ali Ahmad","Full-In"))))))</f>
        <v>0</v>
      </c>
      <c r="K635" s="39" t="e">
        <f aca="false">IFERROR(VLOOKUP(D635,'Brand manager data '!A:B,2,0))</f>
        <v>#VALUE!</v>
      </c>
      <c r="L635" s="13" t="n">
        <v>0</v>
      </c>
      <c r="M635" s="13" t="str">
        <v>Yes</v>
      </c>
      <c r="N635" s="22"/>
      <c r="Q635" s="40"/>
      <c r="R635" s="13" t="b">
        <f aca="false">FALSE()</f>
        <v>0</v>
      </c>
      <c r="S635" s="13" t="n">
        <v>0</v>
      </c>
      <c r="T635" s="13" t="n">
        <f aca="false">S635*F635</f>
        <v>0</v>
      </c>
      <c r="U635" s="13" t="n">
        <v>0</v>
      </c>
      <c r="V635" s="13" t="n">
        <v>0</v>
      </c>
    </row>
    <row r="636" customFormat="false" ht="15.75" hidden="false" customHeight="false" outlineLevel="0" collapsed="false">
      <c r="A636" s="13" t="n">
        <v>0</v>
      </c>
      <c r="B636" s="13" t="str">
        <v/>
      </c>
      <c r="C636" s="13" t="n">
        <v>0</v>
      </c>
      <c r="D636" s="13" t="n">
        <v>0</v>
      </c>
      <c r="E636" s="13" t="str">
        <v/>
      </c>
      <c r="F636" s="13" t="n">
        <v>0</v>
      </c>
      <c r="G636" s="13" t="n">
        <v>0</v>
      </c>
      <c r="H636" s="13" t="n">
        <v>0</v>
      </c>
      <c r="I636" s="13" t="n">
        <v>0</v>
      </c>
      <c r="J636" s="13" t="b">
        <f aca="false">IF(ISBLANK(I636),"", IF($I$2:$I1633 = "Gohar Rehan","Overnight",IF($I$2:$I1633 = "Taufeeq Akhtar ","Overnight",IF($I$2:$I1633 = "Zeeshan Ali Malik","Audit",IF($I$2:$I1633 = "Ali Raza ","Receiving",IF($I$2:$I1633 = "Ali Ahmad","Full-In"))))))</f>
        <v>0</v>
      </c>
      <c r="K636" s="39" t="e">
        <f aca="false">IFERROR(VLOOKUP(D636,'Brand manager data '!A:B,2,0))</f>
        <v>#VALUE!</v>
      </c>
      <c r="L636" s="13" t="n">
        <v>0</v>
      </c>
      <c r="M636" s="13" t="str">
        <v>Yes</v>
      </c>
      <c r="N636" s="22"/>
      <c r="Q636" s="40"/>
      <c r="R636" s="13" t="b">
        <f aca="false">FALSE()</f>
        <v>0</v>
      </c>
      <c r="S636" s="13" t="n">
        <v>0</v>
      </c>
      <c r="T636" s="13" t="n">
        <f aca="false">S636*F636</f>
        <v>0</v>
      </c>
      <c r="U636" s="13" t="n">
        <v>0</v>
      </c>
      <c r="V636" s="13" t="n">
        <v>0</v>
      </c>
    </row>
    <row r="637" customFormat="false" ht="15.75" hidden="false" customHeight="false" outlineLevel="0" collapsed="false">
      <c r="A637" s="13" t="n">
        <v>0</v>
      </c>
      <c r="B637" s="13" t="str">
        <v/>
      </c>
      <c r="C637" s="13" t="n">
        <v>0</v>
      </c>
      <c r="D637" s="13" t="n">
        <v>0</v>
      </c>
      <c r="E637" s="13" t="str">
        <v/>
      </c>
      <c r="F637" s="13" t="n">
        <v>0</v>
      </c>
      <c r="G637" s="13" t="n">
        <v>0</v>
      </c>
      <c r="H637" s="13" t="n">
        <v>0</v>
      </c>
      <c r="I637" s="13" t="n">
        <v>0</v>
      </c>
      <c r="J637" s="13" t="b">
        <f aca="false">IF(ISBLANK(I637),"", IF($I$2:$I1634 = "Gohar Rehan","Overnight",IF($I$2:$I1634 = "Taufeeq Akhtar ","Overnight",IF($I$2:$I1634 = "Zeeshan Ali Malik","Audit",IF($I$2:$I1634 = "Ali Raza ","Receiving",IF($I$2:$I1634 = "Ali Ahmad","Full-In"))))))</f>
        <v>0</v>
      </c>
      <c r="K637" s="39" t="e">
        <f aca="false">IFERROR(VLOOKUP(D637,'Brand manager data '!A:B,2,0))</f>
        <v>#VALUE!</v>
      </c>
      <c r="L637" s="13" t="n">
        <v>0</v>
      </c>
      <c r="M637" s="13" t="str">
        <v>Yes</v>
      </c>
      <c r="N637" s="22"/>
      <c r="Q637" s="40"/>
      <c r="R637" s="13" t="b">
        <f aca="false">FALSE()</f>
        <v>0</v>
      </c>
      <c r="S637" s="13" t="n">
        <v>0</v>
      </c>
      <c r="T637" s="13" t="n">
        <f aca="false">S637*F637</f>
        <v>0</v>
      </c>
      <c r="U637" s="13" t="n">
        <v>0</v>
      </c>
      <c r="V637" s="13" t="n">
        <v>0</v>
      </c>
    </row>
    <row r="638" customFormat="false" ht="15.75" hidden="false" customHeight="false" outlineLevel="0" collapsed="false">
      <c r="A638" s="13" t="n">
        <v>0</v>
      </c>
      <c r="B638" s="13" t="str">
        <v/>
      </c>
      <c r="C638" s="13" t="n">
        <v>0</v>
      </c>
      <c r="D638" s="13" t="n">
        <v>0</v>
      </c>
      <c r="E638" s="13" t="str">
        <v/>
      </c>
      <c r="F638" s="13" t="n">
        <v>0</v>
      </c>
      <c r="G638" s="13" t="n">
        <v>0</v>
      </c>
      <c r="H638" s="13" t="n">
        <v>0</v>
      </c>
      <c r="I638" s="13" t="n">
        <v>0</v>
      </c>
      <c r="J638" s="13" t="b">
        <f aca="false">IF(ISBLANK(I638),"", IF($I$2:$I1635 = "Gohar Rehan","Overnight",IF($I$2:$I1635 = "Taufeeq Akhtar ","Overnight",IF($I$2:$I1635 = "Zeeshan Ali Malik","Audit",IF($I$2:$I1635 = "Ali Raza ","Receiving",IF($I$2:$I1635 = "Ali Ahmad","Full-In"))))))</f>
        <v>0</v>
      </c>
      <c r="K638" s="39" t="e">
        <f aca="false">IFERROR(VLOOKUP(D638,'Brand manager data '!A:B,2,0))</f>
        <v>#VALUE!</v>
      </c>
      <c r="L638" s="13" t="n">
        <v>0</v>
      </c>
      <c r="M638" s="13" t="str">
        <v>Yes</v>
      </c>
      <c r="N638" s="22"/>
      <c r="Q638" s="40"/>
      <c r="R638" s="13" t="b">
        <f aca="false">FALSE()</f>
        <v>0</v>
      </c>
      <c r="S638" s="13" t="n">
        <v>0</v>
      </c>
      <c r="T638" s="13" t="n">
        <f aca="false">S638*F638</f>
        <v>0</v>
      </c>
      <c r="U638" s="13" t="n">
        <v>0</v>
      </c>
      <c r="V638" s="13" t="n">
        <v>0</v>
      </c>
    </row>
    <row r="639" customFormat="false" ht="15.75" hidden="false" customHeight="false" outlineLevel="0" collapsed="false">
      <c r="A639" s="13" t="n">
        <v>0</v>
      </c>
      <c r="B639" s="13" t="str">
        <v/>
      </c>
      <c r="C639" s="13" t="n">
        <v>0</v>
      </c>
      <c r="D639" s="13" t="n">
        <v>0</v>
      </c>
      <c r="E639" s="13" t="str">
        <v/>
      </c>
      <c r="F639" s="13" t="n">
        <v>0</v>
      </c>
      <c r="G639" s="13" t="n">
        <v>0</v>
      </c>
      <c r="H639" s="13" t="n">
        <v>0</v>
      </c>
      <c r="I639" s="13" t="n">
        <v>0</v>
      </c>
      <c r="J639" s="13" t="b">
        <f aca="false">IF(ISBLANK(I639),"", IF($I$2:$I1636 = "Gohar Rehan","Overnight",IF($I$2:$I1636 = "Taufeeq Akhtar ","Overnight",IF($I$2:$I1636 = "Zeeshan Ali Malik","Audit",IF($I$2:$I1636 = "Ali Raza ","Receiving",IF($I$2:$I1636 = "Ali Ahmad","Full-In"))))))</f>
        <v>0</v>
      </c>
      <c r="K639" s="39" t="e">
        <f aca="false">IFERROR(VLOOKUP(D639,'Brand manager data '!A:B,2,0))</f>
        <v>#VALUE!</v>
      </c>
      <c r="L639" s="13" t="n">
        <v>0</v>
      </c>
      <c r="M639" s="13" t="str">
        <v>Yes</v>
      </c>
      <c r="N639" s="22"/>
      <c r="Q639" s="40"/>
      <c r="R639" s="13" t="b">
        <f aca="false">FALSE()</f>
        <v>0</v>
      </c>
      <c r="S639" s="13" t="n">
        <v>0</v>
      </c>
      <c r="T639" s="13" t="n">
        <f aca="false">S639*F639</f>
        <v>0</v>
      </c>
      <c r="U639" s="13" t="n">
        <v>0</v>
      </c>
      <c r="V639" s="13" t="n">
        <v>0</v>
      </c>
    </row>
    <row r="640" customFormat="false" ht="15.75" hidden="false" customHeight="false" outlineLevel="0" collapsed="false">
      <c r="A640" s="13" t="n">
        <v>0</v>
      </c>
      <c r="B640" s="13" t="str">
        <v/>
      </c>
      <c r="C640" s="13" t="n">
        <v>0</v>
      </c>
      <c r="D640" s="13" t="n">
        <v>0</v>
      </c>
      <c r="E640" s="13" t="str">
        <v/>
      </c>
      <c r="F640" s="13" t="n">
        <v>0</v>
      </c>
      <c r="G640" s="13" t="n">
        <v>0</v>
      </c>
      <c r="H640" s="13" t="n">
        <v>0</v>
      </c>
      <c r="I640" s="13" t="n">
        <v>0</v>
      </c>
      <c r="J640" s="13" t="b">
        <f aca="false">IF(ISBLANK(I640),"", IF($I$2:$I1637 = "Gohar Rehan","Overnight",IF($I$2:$I1637 = "Taufeeq Akhtar ","Overnight",IF($I$2:$I1637 = "Zeeshan Ali Malik","Audit",IF($I$2:$I1637 = "Ali Raza ","Receiving",IF($I$2:$I1637 = "Ali Ahmad","Full-In"))))))</f>
        <v>0</v>
      </c>
      <c r="K640" s="39" t="e">
        <f aca="false">IFERROR(VLOOKUP(D640,'Brand manager data '!A:B,2,0))</f>
        <v>#VALUE!</v>
      </c>
      <c r="L640" s="13" t="n">
        <v>0</v>
      </c>
      <c r="M640" s="13" t="str">
        <v>Yes</v>
      </c>
      <c r="N640" s="22"/>
      <c r="Q640" s="40"/>
      <c r="R640" s="13" t="b">
        <f aca="false">FALSE()</f>
        <v>0</v>
      </c>
      <c r="S640" s="13" t="n">
        <v>0</v>
      </c>
      <c r="T640" s="13" t="n">
        <f aca="false">S640*F640</f>
        <v>0</v>
      </c>
      <c r="U640" s="13" t="n">
        <v>0</v>
      </c>
      <c r="V640" s="13" t="n">
        <v>0</v>
      </c>
    </row>
    <row r="641" customFormat="false" ht="15.75" hidden="false" customHeight="false" outlineLevel="0" collapsed="false">
      <c r="A641" s="13" t="n">
        <v>0</v>
      </c>
      <c r="B641" s="13" t="str">
        <v/>
      </c>
      <c r="C641" s="13" t="n">
        <v>0</v>
      </c>
      <c r="D641" s="13" t="n">
        <v>0</v>
      </c>
      <c r="E641" s="13" t="str">
        <v/>
      </c>
      <c r="F641" s="13" t="n">
        <v>0</v>
      </c>
      <c r="G641" s="13" t="n">
        <v>0</v>
      </c>
      <c r="H641" s="13" t="n">
        <v>0</v>
      </c>
      <c r="I641" s="13" t="n">
        <v>0</v>
      </c>
      <c r="J641" s="13" t="b">
        <f aca="false">IF(ISBLANK(I641),"", IF($I$2:$I1638 = "Gohar Rehan","Overnight",IF($I$2:$I1638 = "Taufeeq Akhtar ","Overnight",IF($I$2:$I1638 = "Zeeshan Ali Malik","Audit",IF($I$2:$I1638 = "Ali Raza ","Receiving",IF($I$2:$I1638 = "Ali Ahmad","Full-In"))))))</f>
        <v>0</v>
      </c>
      <c r="K641" s="39" t="e">
        <f aca="false">IFERROR(VLOOKUP(D641,'Brand manager data '!A:B,2,0))</f>
        <v>#VALUE!</v>
      </c>
      <c r="L641" s="13" t="n">
        <v>0</v>
      </c>
      <c r="M641" s="13" t="str">
        <v>Yes</v>
      </c>
      <c r="N641" s="22"/>
      <c r="Q641" s="40"/>
      <c r="R641" s="13" t="b">
        <f aca="false">FALSE()</f>
        <v>0</v>
      </c>
      <c r="S641" s="13" t="n">
        <v>0</v>
      </c>
      <c r="T641" s="13" t="n">
        <f aca="false">S641*F641</f>
        <v>0</v>
      </c>
      <c r="U641" s="13" t="n">
        <v>0</v>
      </c>
      <c r="V641" s="13" t="n">
        <v>0</v>
      </c>
    </row>
    <row r="642" customFormat="false" ht="15.75" hidden="false" customHeight="false" outlineLevel="0" collapsed="false">
      <c r="A642" s="13" t="n">
        <v>0</v>
      </c>
      <c r="B642" s="13" t="str">
        <v/>
      </c>
      <c r="C642" s="13" t="n">
        <v>0</v>
      </c>
      <c r="D642" s="13" t="n">
        <v>0</v>
      </c>
      <c r="E642" s="13" t="str">
        <v/>
      </c>
      <c r="F642" s="13" t="n">
        <v>0</v>
      </c>
      <c r="G642" s="13" t="n">
        <v>0</v>
      </c>
      <c r="H642" s="13" t="n">
        <v>0</v>
      </c>
      <c r="I642" s="13" t="n">
        <v>0</v>
      </c>
      <c r="J642" s="13" t="b">
        <f aca="false">IF(ISBLANK(I642),"", IF($I$2:$I1639 = "Gohar Rehan","Overnight",IF($I$2:$I1639 = "Taufeeq Akhtar ","Overnight",IF($I$2:$I1639 = "Zeeshan Ali Malik","Audit",IF($I$2:$I1639 = "Ali Raza ","Receiving",IF($I$2:$I1639 = "Ali Ahmad","Full-In"))))))</f>
        <v>0</v>
      </c>
      <c r="K642" s="39" t="e">
        <f aca="false">IFERROR(VLOOKUP(D642,'Brand manager data '!A:B,2,0))</f>
        <v>#VALUE!</v>
      </c>
      <c r="L642" s="13" t="n">
        <v>0</v>
      </c>
      <c r="M642" s="13" t="str">
        <v>Yes</v>
      </c>
      <c r="N642" s="22"/>
      <c r="Q642" s="40"/>
      <c r="R642" s="13" t="b">
        <f aca="false">FALSE()</f>
        <v>0</v>
      </c>
      <c r="S642" s="13" t="n">
        <v>0</v>
      </c>
      <c r="T642" s="13" t="n">
        <f aca="false">S642*F642</f>
        <v>0</v>
      </c>
      <c r="U642" s="13" t="n">
        <v>0</v>
      </c>
      <c r="V642" s="13" t="n">
        <v>0</v>
      </c>
    </row>
    <row r="643" customFormat="false" ht="15.75" hidden="false" customHeight="false" outlineLevel="0" collapsed="false">
      <c r="A643" s="13" t="n">
        <v>0</v>
      </c>
      <c r="B643" s="13" t="str">
        <v/>
      </c>
      <c r="C643" s="13" t="n">
        <v>0</v>
      </c>
      <c r="D643" s="13" t="n">
        <v>0</v>
      </c>
      <c r="E643" s="13" t="str">
        <v/>
      </c>
      <c r="F643" s="13" t="n">
        <v>0</v>
      </c>
      <c r="G643" s="13" t="n">
        <v>0</v>
      </c>
      <c r="H643" s="13" t="n">
        <v>0</v>
      </c>
      <c r="I643" s="13" t="n">
        <v>0</v>
      </c>
      <c r="J643" s="13" t="b">
        <f aca="false">IF(ISBLANK(I643),"", IF($I$2:$I1640 = "Gohar Rehan","Overnight",IF($I$2:$I1640 = "Taufeeq Akhtar ","Overnight",IF($I$2:$I1640 = "Zeeshan Ali Malik","Audit",IF($I$2:$I1640 = "Ali Raza ","Receiving",IF($I$2:$I1640 = "Ali Ahmad","Full-In"))))))</f>
        <v>0</v>
      </c>
      <c r="K643" s="39" t="e">
        <f aca="false">IFERROR(VLOOKUP(D643,'Brand manager data '!A:B,2,0))</f>
        <v>#VALUE!</v>
      </c>
      <c r="L643" s="13" t="n">
        <v>0</v>
      </c>
      <c r="M643" s="13" t="str">
        <v>Yes</v>
      </c>
      <c r="N643" s="22"/>
      <c r="Q643" s="40"/>
      <c r="R643" s="13" t="b">
        <f aca="false">FALSE()</f>
        <v>0</v>
      </c>
      <c r="S643" s="13" t="n">
        <v>0</v>
      </c>
      <c r="T643" s="13" t="n">
        <f aca="false">S643*F643</f>
        <v>0</v>
      </c>
      <c r="U643" s="13" t="n">
        <v>0</v>
      </c>
      <c r="V643" s="13" t="n">
        <v>0</v>
      </c>
    </row>
    <row r="644" customFormat="false" ht="15.75" hidden="false" customHeight="false" outlineLevel="0" collapsed="false">
      <c r="A644" s="13" t="n">
        <v>0</v>
      </c>
      <c r="B644" s="13" t="str">
        <v/>
      </c>
      <c r="C644" s="13" t="n">
        <v>0</v>
      </c>
      <c r="D644" s="13" t="n">
        <v>0</v>
      </c>
      <c r="E644" s="13" t="str">
        <v/>
      </c>
      <c r="F644" s="13" t="n">
        <v>0</v>
      </c>
      <c r="G644" s="13" t="n">
        <v>0</v>
      </c>
      <c r="H644" s="13" t="n">
        <v>0</v>
      </c>
      <c r="I644" s="13" t="n">
        <v>0</v>
      </c>
      <c r="J644" s="13" t="b">
        <f aca="false">IF(ISBLANK(I644),"", IF($I$2:$I1641 = "Gohar Rehan","Overnight",IF($I$2:$I1641 = "Taufeeq Akhtar ","Overnight",IF($I$2:$I1641 = "Zeeshan Ali Malik","Audit",IF($I$2:$I1641 = "Ali Raza ","Receiving",IF($I$2:$I1641 = "Ali Ahmad","Full-In"))))))</f>
        <v>0</v>
      </c>
      <c r="K644" s="39" t="e">
        <f aca="false">IFERROR(VLOOKUP(D644,'Brand manager data '!A:B,2,0))</f>
        <v>#VALUE!</v>
      </c>
      <c r="L644" s="13" t="n">
        <v>0</v>
      </c>
      <c r="M644" s="13" t="str">
        <v>Yes</v>
      </c>
      <c r="N644" s="22"/>
      <c r="Q644" s="40"/>
      <c r="R644" s="13" t="b">
        <f aca="false">FALSE()</f>
        <v>0</v>
      </c>
      <c r="S644" s="13" t="n">
        <v>0</v>
      </c>
      <c r="T644" s="13" t="n">
        <f aca="false">S644*F644</f>
        <v>0</v>
      </c>
      <c r="U644" s="13" t="n">
        <v>0</v>
      </c>
      <c r="V644" s="13" t="n">
        <v>0</v>
      </c>
    </row>
    <row r="645" customFormat="false" ht="15.75" hidden="false" customHeight="false" outlineLevel="0" collapsed="false">
      <c r="A645" s="13" t="n">
        <v>0</v>
      </c>
      <c r="B645" s="13" t="str">
        <v/>
      </c>
      <c r="C645" s="13" t="n">
        <v>0</v>
      </c>
      <c r="D645" s="13" t="n">
        <v>0</v>
      </c>
      <c r="E645" s="13" t="str">
        <v/>
      </c>
      <c r="F645" s="13" t="n">
        <v>0</v>
      </c>
      <c r="G645" s="13" t="n">
        <v>0</v>
      </c>
      <c r="H645" s="13" t="n">
        <v>0</v>
      </c>
      <c r="I645" s="13" t="n">
        <v>0</v>
      </c>
      <c r="J645" s="13" t="b">
        <f aca="false">IF(ISBLANK(I645),"", IF($I$2:$I1642 = "Gohar Rehan","Overnight",IF($I$2:$I1642 = "Taufeeq Akhtar ","Overnight",IF($I$2:$I1642 = "Zeeshan Ali Malik","Audit",IF($I$2:$I1642 = "Ali Raza ","Receiving",IF($I$2:$I1642 = "Ali Ahmad","Full-In"))))))</f>
        <v>0</v>
      </c>
      <c r="K645" s="39" t="e">
        <f aca="false">IFERROR(VLOOKUP(D645,'Brand manager data '!A:B,2,0))</f>
        <v>#VALUE!</v>
      </c>
      <c r="L645" s="13" t="n">
        <v>0</v>
      </c>
      <c r="M645" s="13" t="str">
        <v>Yes</v>
      </c>
      <c r="N645" s="22"/>
      <c r="Q645" s="40"/>
      <c r="R645" s="13" t="b">
        <f aca="false">FALSE()</f>
        <v>0</v>
      </c>
      <c r="S645" s="13" t="n">
        <v>0</v>
      </c>
      <c r="T645" s="13" t="n">
        <f aca="false">S645*F645</f>
        <v>0</v>
      </c>
      <c r="U645" s="13" t="n">
        <v>0</v>
      </c>
      <c r="V645" s="13" t="n">
        <v>0</v>
      </c>
    </row>
    <row r="646" customFormat="false" ht="15.75" hidden="false" customHeight="false" outlineLevel="0" collapsed="false">
      <c r="A646" s="13" t="n">
        <v>0</v>
      </c>
      <c r="B646" s="13" t="str">
        <v/>
      </c>
      <c r="C646" s="13" t="n">
        <v>0</v>
      </c>
      <c r="D646" s="13" t="n">
        <v>0</v>
      </c>
      <c r="E646" s="13" t="str">
        <v/>
      </c>
      <c r="F646" s="13" t="n">
        <v>0</v>
      </c>
      <c r="G646" s="13" t="n">
        <v>0</v>
      </c>
      <c r="H646" s="13" t="n">
        <v>0</v>
      </c>
      <c r="I646" s="13" t="n">
        <v>0</v>
      </c>
      <c r="J646" s="13" t="b">
        <f aca="false">IF(ISBLANK(I646),"", IF($I$2:$I1643 = "Gohar Rehan","Overnight",IF($I$2:$I1643 = "Taufeeq Akhtar ","Overnight",IF($I$2:$I1643 = "Zeeshan Ali Malik","Audit",IF($I$2:$I1643 = "Ali Raza ","Receiving",IF($I$2:$I1643 = "Ali Ahmad","Full-In"))))))</f>
        <v>0</v>
      </c>
      <c r="K646" s="39" t="e">
        <f aca="false">IFERROR(VLOOKUP(D646,'Brand manager data '!A:B,2,0))</f>
        <v>#VALUE!</v>
      </c>
      <c r="L646" s="13" t="n">
        <v>0</v>
      </c>
      <c r="M646" s="13" t="str">
        <v>Yes</v>
      </c>
      <c r="N646" s="22"/>
      <c r="Q646" s="40"/>
      <c r="R646" s="13" t="b">
        <f aca="false">FALSE()</f>
        <v>0</v>
      </c>
      <c r="S646" s="13" t="n">
        <v>0</v>
      </c>
      <c r="T646" s="13" t="n">
        <f aca="false">S646*F646</f>
        <v>0</v>
      </c>
      <c r="U646" s="13" t="n">
        <v>0</v>
      </c>
      <c r="V646" s="13" t="n">
        <v>0</v>
      </c>
    </row>
    <row r="647" customFormat="false" ht="15.75" hidden="false" customHeight="false" outlineLevel="0" collapsed="false">
      <c r="A647" s="13" t="n">
        <v>0</v>
      </c>
      <c r="B647" s="13" t="str">
        <v/>
      </c>
      <c r="C647" s="13" t="n">
        <v>0</v>
      </c>
      <c r="D647" s="13" t="n">
        <v>0</v>
      </c>
      <c r="E647" s="13" t="str">
        <v/>
      </c>
      <c r="F647" s="13" t="n">
        <v>0</v>
      </c>
      <c r="G647" s="13" t="n">
        <v>0</v>
      </c>
      <c r="H647" s="13" t="n">
        <v>0</v>
      </c>
      <c r="I647" s="13" t="n">
        <v>0</v>
      </c>
      <c r="J647" s="13" t="b">
        <f aca="false">IF(ISBLANK(I647),"", IF($I$2:$I1644 = "Gohar Rehan","Overnight",IF($I$2:$I1644 = "Taufeeq Akhtar ","Overnight",IF($I$2:$I1644 = "Zeeshan Ali Malik","Audit",IF($I$2:$I1644 = "Ali Raza ","Receiving",IF($I$2:$I1644 = "Ali Ahmad","Full-In"))))))</f>
        <v>0</v>
      </c>
      <c r="K647" s="39" t="e">
        <f aca="false">IFERROR(VLOOKUP(D647,'Brand manager data '!A:B,2,0))</f>
        <v>#VALUE!</v>
      </c>
      <c r="L647" s="13" t="n">
        <v>0</v>
      </c>
      <c r="M647" s="13" t="str">
        <v>Yes</v>
      </c>
      <c r="N647" s="22"/>
      <c r="Q647" s="40"/>
      <c r="R647" s="13" t="b">
        <f aca="false">FALSE()</f>
        <v>0</v>
      </c>
      <c r="S647" s="13" t="n">
        <v>0</v>
      </c>
      <c r="T647" s="13" t="n">
        <f aca="false">S647*F647</f>
        <v>0</v>
      </c>
      <c r="U647" s="13" t="n">
        <v>0</v>
      </c>
      <c r="V647" s="13" t="n">
        <v>0</v>
      </c>
    </row>
    <row r="648" customFormat="false" ht="15.75" hidden="false" customHeight="false" outlineLevel="0" collapsed="false">
      <c r="A648" s="13" t="n">
        <v>0</v>
      </c>
      <c r="B648" s="13" t="str">
        <v/>
      </c>
      <c r="C648" s="13" t="n">
        <v>0</v>
      </c>
      <c r="D648" s="13" t="n">
        <v>0</v>
      </c>
      <c r="E648" s="13" t="str">
        <v/>
      </c>
      <c r="F648" s="13" t="n">
        <v>0</v>
      </c>
      <c r="G648" s="13" t="n">
        <v>0</v>
      </c>
      <c r="H648" s="13" t="n">
        <v>0</v>
      </c>
      <c r="I648" s="13" t="n">
        <v>0</v>
      </c>
      <c r="J648" s="13" t="b">
        <f aca="false">IF(ISBLANK(I648),"", IF($I$2:$I1645 = "Gohar Rehan","Overnight",IF($I$2:$I1645 = "Taufeeq Akhtar ","Overnight",IF($I$2:$I1645 = "Zeeshan Ali Malik","Audit",IF($I$2:$I1645 = "Ali Raza ","Receiving",IF($I$2:$I1645 = "Ali Ahmad","Full-In"))))))</f>
        <v>0</v>
      </c>
      <c r="K648" s="39" t="e">
        <f aca="false">IFERROR(VLOOKUP(D648,'Brand manager data '!A:B,2,0))</f>
        <v>#VALUE!</v>
      </c>
      <c r="L648" s="13" t="n">
        <v>0</v>
      </c>
      <c r="M648" s="13" t="str">
        <v>Yes</v>
      </c>
      <c r="N648" s="22"/>
      <c r="Q648" s="40"/>
      <c r="R648" s="13" t="b">
        <f aca="false">FALSE()</f>
        <v>0</v>
      </c>
      <c r="S648" s="13" t="n">
        <v>0</v>
      </c>
      <c r="T648" s="13" t="n">
        <f aca="false">S648*F648</f>
        <v>0</v>
      </c>
      <c r="U648" s="13" t="n">
        <v>0</v>
      </c>
      <c r="V648" s="13" t="n">
        <v>0</v>
      </c>
    </row>
    <row r="649" customFormat="false" ht="15.75" hidden="false" customHeight="false" outlineLevel="0" collapsed="false">
      <c r="A649" s="13" t="n">
        <v>0</v>
      </c>
      <c r="B649" s="13" t="str">
        <v/>
      </c>
      <c r="C649" s="13" t="n">
        <v>0</v>
      </c>
      <c r="D649" s="13" t="n">
        <v>0</v>
      </c>
      <c r="E649" s="13" t="str">
        <v/>
      </c>
      <c r="F649" s="13" t="n">
        <v>0</v>
      </c>
      <c r="G649" s="13" t="n">
        <v>0</v>
      </c>
      <c r="H649" s="13" t="n">
        <v>0</v>
      </c>
      <c r="I649" s="13" t="n">
        <v>0</v>
      </c>
      <c r="J649" s="13" t="b">
        <f aca="false">IF(ISBLANK(I649),"", IF($I$2:$I1646 = "Gohar Rehan","Overnight",IF($I$2:$I1646 = "Taufeeq Akhtar ","Overnight",IF($I$2:$I1646 = "Zeeshan Ali Malik","Audit",IF($I$2:$I1646 = "Ali Raza ","Receiving",IF($I$2:$I1646 = "Ali Ahmad","Full-In"))))))</f>
        <v>0</v>
      </c>
      <c r="K649" s="39" t="e">
        <f aca="false">IFERROR(VLOOKUP(D649,'Brand manager data '!A:B,2,0))</f>
        <v>#VALUE!</v>
      </c>
      <c r="L649" s="13" t="n">
        <v>0</v>
      </c>
      <c r="M649" s="13" t="str">
        <v>Yes</v>
      </c>
      <c r="N649" s="22"/>
      <c r="Q649" s="40"/>
      <c r="R649" s="13" t="b">
        <f aca="false">FALSE()</f>
        <v>0</v>
      </c>
      <c r="S649" s="13" t="n">
        <v>0</v>
      </c>
      <c r="T649" s="13" t="n">
        <f aca="false">S649*F649</f>
        <v>0</v>
      </c>
      <c r="U649" s="13" t="n">
        <v>0</v>
      </c>
      <c r="V649" s="13" t="n">
        <v>0</v>
      </c>
    </row>
    <row r="650" customFormat="false" ht="15.75" hidden="false" customHeight="false" outlineLevel="0" collapsed="false">
      <c r="A650" s="13" t="n">
        <v>0</v>
      </c>
      <c r="B650" s="13" t="str">
        <v/>
      </c>
      <c r="C650" s="13" t="n">
        <v>0</v>
      </c>
      <c r="D650" s="13" t="n">
        <v>0</v>
      </c>
      <c r="E650" s="13" t="str">
        <v/>
      </c>
      <c r="F650" s="13" t="n">
        <v>0</v>
      </c>
      <c r="G650" s="13" t="n">
        <v>0</v>
      </c>
      <c r="H650" s="13" t="n">
        <v>0</v>
      </c>
      <c r="I650" s="13" t="n">
        <v>0</v>
      </c>
      <c r="J650" s="13" t="b">
        <f aca="false">IF(ISBLANK(I650),"", IF($I$2:$I1647 = "Gohar Rehan","Overnight",IF($I$2:$I1647 = "Taufeeq Akhtar ","Overnight",IF($I$2:$I1647 = "Zeeshan Ali Malik","Audit",IF($I$2:$I1647 = "Ali Raza ","Receiving",IF($I$2:$I1647 = "Ali Ahmad","Full-In"))))))</f>
        <v>0</v>
      </c>
      <c r="K650" s="39" t="e">
        <f aca="false">IFERROR(VLOOKUP(D650,'Brand manager data '!A:B,2,0))</f>
        <v>#VALUE!</v>
      </c>
      <c r="L650" s="13" t="n">
        <v>0</v>
      </c>
      <c r="M650" s="13" t="str">
        <v>Yes</v>
      </c>
      <c r="N650" s="22"/>
      <c r="Q650" s="40"/>
      <c r="R650" s="13" t="b">
        <f aca="false">FALSE()</f>
        <v>0</v>
      </c>
      <c r="S650" s="13" t="n">
        <v>0</v>
      </c>
      <c r="T650" s="13" t="n">
        <f aca="false">S650*F650</f>
        <v>0</v>
      </c>
      <c r="U650" s="13" t="n">
        <v>0</v>
      </c>
      <c r="V650" s="13" t="n">
        <v>0</v>
      </c>
    </row>
    <row r="651" customFormat="false" ht="15.75" hidden="false" customHeight="false" outlineLevel="0" collapsed="false">
      <c r="A651" s="13" t="n">
        <v>0</v>
      </c>
      <c r="B651" s="13" t="str">
        <v/>
      </c>
      <c r="C651" s="13" t="n">
        <v>0</v>
      </c>
      <c r="D651" s="13" t="n">
        <v>0</v>
      </c>
      <c r="E651" s="13" t="str">
        <v/>
      </c>
      <c r="F651" s="13" t="n">
        <v>0</v>
      </c>
      <c r="G651" s="13" t="n">
        <v>0</v>
      </c>
      <c r="H651" s="13" t="n">
        <v>0</v>
      </c>
      <c r="I651" s="13" t="n">
        <v>0</v>
      </c>
      <c r="J651" s="13" t="b">
        <f aca="false">IF(ISBLANK(I651),"", IF($I$2:$I1648 = "Gohar Rehan","Overnight",IF($I$2:$I1648 = "Taufeeq Akhtar ","Overnight",IF($I$2:$I1648 = "Zeeshan Ali Malik","Audit",IF($I$2:$I1648 = "Ali Raza ","Receiving",IF($I$2:$I1648 = "Ali Ahmad","Full-In"))))))</f>
        <v>0</v>
      </c>
      <c r="K651" s="39" t="e">
        <f aca="false">IFERROR(VLOOKUP(D651,'Brand manager data '!A:B,2,0))</f>
        <v>#VALUE!</v>
      </c>
      <c r="L651" s="13" t="n">
        <v>0</v>
      </c>
      <c r="M651" s="13" t="str">
        <v>Yes</v>
      </c>
      <c r="N651" s="22"/>
      <c r="Q651" s="40"/>
      <c r="R651" s="13" t="b">
        <f aca="false">FALSE()</f>
        <v>0</v>
      </c>
      <c r="S651" s="13" t="n">
        <v>0</v>
      </c>
      <c r="T651" s="13" t="n">
        <f aca="false">S651*F651</f>
        <v>0</v>
      </c>
      <c r="U651" s="13" t="n">
        <v>0</v>
      </c>
      <c r="V651" s="13" t="n">
        <v>0</v>
      </c>
    </row>
    <row r="652" customFormat="false" ht="15.75" hidden="false" customHeight="false" outlineLevel="0" collapsed="false">
      <c r="A652" s="13" t="n">
        <v>0</v>
      </c>
      <c r="B652" s="13" t="str">
        <v/>
      </c>
      <c r="C652" s="13" t="n">
        <v>0</v>
      </c>
      <c r="D652" s="13" t="n">
        <v>0</v>
      </c>
      <c r="E652" s="13" t="str">
        <v/>
      </c>
      <c r="F652" s="13" t="n">
        <v>0</v>
      </c>
      <c r="G652" s="13" t="n">
        <v>0</v>
      </c>
      <c r="H652" s="13" t="n">
        <v>0</v>
      </c>
      <c r="I652" s="13" t="n">
        <v>0</v>
      </c>
      <c r="J652" s="13" t="b">
        <f aca="false">IF(ISBLANK(I652),"", IF($I$2:$I1649 = "Gohar Rehan","Overnight",IF($I$2:$I1649 = "Taufeeq Akhtar ","Overnight",IF($I$2:$I1649 = "Zeeshan Ali Malik","Audit",IF($I$2:$I1649 = "Ali Raza ","Receiving",IF($I$2:$I1649 = "Ali Ahmad","Full-In"))))))</f>
        <v>0</v>
      </c>
      <c r="K652" s="39" t="e">
        <f aca="false">IFERROR(VLOOKUP(D652,'Brand manager data '!A:B,2,0))</f>
        <v>#VALUE!</v>
      </c>
      <c r="L652" s="13" t="n">
        <v>0</v>
      </c>
      <c r="M652" s="13" t="str">
        <v>Yes</v>
      </c>
      <c r="N652" s="22"/>
      <c r="Q652" s="40"/>
      <c r="R652" s="13" t="b">
        <f aca="false">FALSE()</f>
        <v>0</v>
      </c>
      <c r="S652" s="13" t="n">
        <v>0</v>
      </c>
      <c r="T652" s="13" t="n">
        <f aca="false">S652*F652</f>
        <v>0</v>
      </c>
      <c r="U652" s="13" t="n">
        <v>0</v>
      </c>
      <c r="V652" s="13" t="n">
        <v>0</v>
      </c>
    </row>
    <row r="653" customFormat="false" ht="15.75" hidden="false" customHeight="false" outlineLevel="0" collapsed="false">
      <c r="A653" s="13" t="n">
        <v>0</v>
      </c>
      <c r="B653" s="13" t="str">
        <v/>
      </c>
      <c r="C653" s="13" t="n">
        <v>0</v>
      </c>
      <c r="D653" s="13" t="n">
        <v>0</v>
      </c>
      <c r="E653" s="13" t="str">
        <v/>
      </c>
      <c r="F653" s="13" t="n">
        <v>0</v>
      </c>
      <c r="G653" s="13" t="n">
        <v>0</v>
      </c>
      <c r="H653" s="13" t="n">
        <v>0</v>
      </c>
      <c r="I653" s="13" t="n">
        <v>0</v>
      </c>
      <c r="J653" s="13" t="b">
        <f aca="false">IF(ISBLANK(I653),"", IF($I$2:$I1650 = "Gohar Rehan","Overnight",IF($I$2:$I1650 = "Taufeeq Akhtar ","Overnight",IF($I$2:$I1650 = "Zeeshan Ali Malik","Audit",IF($I$2:$I1650 = "Ali Raza ","Receiving",IF($I$2:$I1650 = "Ali Ahmad","Full-In"))))))</f>
        <v>0</v>
      </c>
      <c r="K653" s="39" t="e">
        <f aca="false">IFERROR(VLOOKUP(D653,'Brand manager data '!A:B,2,0))</f>
        <v>#VALUE!</v>
      </c>
      <c r="L653" s="13" t="n">
        <v>0</v>
      </c>
      <c r="M653" s="13" t="str">
        <v>Yes</v>
      </c>
      <c r="N653" s="22"/>
      <c r="Q653" s="40"/>
      <c r="R653" s="13" t="b">
        <f aca="false">FALSE()</f>
        <v>0</v>
      </c>
      <c r="S653" s="13" t="n">
        <v>0</v>
      </c>
      <c r="T653" s="13" t="n">
        <f aca="false">S653*F653</f>
        <v>0</v>
      </c>
      <c r="U653" s="13" t="n">
        <v>0</v>
      </c>
      <c r="V653" s="13" t="n">
        <v>0</v>
      </c>
    </row>
    <row r="654" customFormat="false" ht="15.75" hidden="false" customHeight="false" outlineLevel="0" collapsed="false">
      <c r="A654" s="13" t="n">
        <v>0</v>
      </c>
      <c r="B654" s="13" t="str">
        <v/>
      </c>
      <c r="C654" s="13" t="n">
        <v>0</v>
      </c>
      <c r="D654" s="13" t="n">
        <v>0</v>
      </c>
      <c r="E654" s="13" t="str">
        <v/>
      </c>
      <c r="F654" s="13" t="n">
        <v>0</v>
      </c>
      <c r="G654" s="13" t="n">
        <v>0</v>
      </c>
      <c r="H654" s="13" t="n">
        <v>0</v>
      </c>
      <c r="I654" s="13" t="n">
        <v>0</v>
      </c>
      <c r="J654" s="13" t="b">
        <f aca="false">IF(ISBLANK(I654),"", IF($I$2:$I1651 = "Gohar Rehan","Overnight",IF($I$2:$I1651 = "Taufeeq Akhtar ","Overnight",IF($I$2:$I1651 = "Zeeshan Ali Malik","Audit",IF($I$2:$I1651 = "Ali Raza ","Receiving",IF($I$2:$I1651 = "Ali Ahmad","Full-In"))))))</f>
        <v>0</v>
      </c>
      <c r="K654" s="39" t="e">
        <f aca="false">IFERROR(VLOOKUP(D654,'Brand manager data '!A:B,2,0))</f>
        <v>#VALUE!</v>
      </c>
      <c r="L654" s="13" t="n">
        <v>0</v>
      </c>
      <c r="M654" s="13" t="str">
        <v>Yes</v>
      </c>
      <c r="N654" s="22"/>
      <c r="Q654" s="40"/>
      <c r="R654" s="13" t="b">
        <f aca="false">FALSE()</f>
        <v>0</v>
      </c>
      <c r="S654" s="13" t="n">
        <v>0</v>
      </c>
      <c r="T654" s="13" t="n">
        <f aca="false">S654*F654</f>
        <v>0</v>
      </c>
      <c r="U654" s="13" t="n">
        <v>0</v>
      </c>
      <c r="V654" s="13" t="n">
        <v>0</v>
      </c>
    </row>
    <row r="655" customFormat="false" ht="15.75" hidden="false" customHeight="false" outlineLevel="0" collapsed="false">
      <c r="A655" s="13" t="n">
        <v>0</v>
      </c>
      <c r="B655" s="13" t="str">
        <v/>
      </c>
      <c r="C655" s="13" t="n">
        <v>0</v>
      </c>
      <c r="D655" s="13" t="n">
        <v>0</v>
      </c>
      <c r="E655" s="13" t="str">
        <v/>
      </c>
      <c r="F655" s="13" t="n">
        <v>0</v>
      </c>
      <c r="G655" s="13" t="n">
        <v>0</v>
      </c>
      <c r="H655" s="13" t="n">
        <v>0</v>
      </c>
      <c r="I655" s="13" t="n">
        <v>0</v>
      </c>
      <c r="J655" s="13" t="b">
        <f aca="false">IF(ISBLANK(I655),"", IF($I$2:$I1652 = "Gohar Rehan","Overnight",IF($I$2:$I1652 = "Taufeeq Akhtar ","Overnight",IF($I$2:$I1652 = "Zeeshan Ali Malik","Audit",IF($I$2:$I1652 = "Ali Raza ","Receiving",IF($I$2:$I1652 = "Ali Ahmad","Full-In"))))))</f>
        <v>0</v>
      </c>
      <c r="K655" s="39" t="e">
        <f aca="false">IFERROR(VLOOKUP(D655,'Brand manager data '!A:B,2,0))</f>
        <v>#VALUE!</v>
      </c>
      <c r="L655" s="13" t="n">
        <v>0</v>
      </c>
      <c r="M655" s="13" t="str">
        <v>Yes</v>
      </c>
      <c r="N655" s="22"/>
      <c r="Q655" s="40"/>
      <c r="R655" s="13" t="b">
        <f aca="false">FALSE()</f>
        <v>0</v>
      </c>
      <c r="S655" s="13" t="n">
        <v>0</v>
      </c>
      <c r="T655" s="13" t="n">
        <f aca="false">S655*F655</f>
        <v>0</v>
      </c>
      <c r="U655" s="13" t="n">
        <v>0</v>
      </c>
      <c r="V655" s="13" t="n">
        <v>0</v>
      </c>
    </row>
    <row r="656" customFormat="false" ht="15.75" hidden="false" customHeight="false" outlineLevel="0" collapsed="false">
      <c r="A656" s="13" t="n">
        <v>0</v>
      </c>
      <c r="B656" s="13" t="str">
        <v/>
      </c>
      <c r="C656" s="13" t="n">
        <v>0</v>
      </c>
      <c r="D656" s="13" t="n">
        <v>0</v>
      </c>
      <c r="E656" s="13" t="str">
        <v/>
      </c>
      <c r="F656" s="13" t="n">
        <v>0</v>
      </c>
      <c r="G656" s="13" t="n">
        <v>0</v>
      </c>
      <c r="H656" s="13" t="n">
        <v>0</v>
      </c>
      <c r="I656" s="13" t="n">
        <v>0</v>
      </c>
      <c r="J656" s="13" t="b">
        <f aca="false">IF(ISBLANK(I656),"", IF($I$2:$I1653 = "Gohar Rehan","Overnight",IF($I$2:$I1653 = "Taufeeq Akhtar ","Overnight",IF($I$2:$I1653 = "Zeeshan Ali Malik","Audit",IF($I$2:$I1653 = "Ali Raza ","Receiving",IF($I$2:$I1653 = "Ali Ahmad","Full-In"))))))</f>
        <v>0</v>
      </c>
      <c r="K656" s="39" t="e">
        <f aca="false">IFERROR(VLOOKUP(D656,'Brand manager data '!A:B,2,0))</f>
        <v>#VALUE!</v>
      </c>
      <c r="L656" s="13" t="n">
        <v>0</v>
      </c>
      <c r="M656" s="13" t="str">
        <v>Yes</v>
      </c>
      <c r="N656" s="22"/>
      <c r="Q656" s="40"/>
      <c r="R656" s="13" t="b">
        <f aca="false">FALSE()</f>
        <v>0</v>
      </c>
      <c r="S656" s="13" t="n">
        <v>0</v>
      </c>
      <c r="T656" s="13" t="n">
        <f aca="false">S656*F656</f>
        <v>0</v>
      </c>
      <c r="U656" s="13" t="n">
        <v>0</v>
      </c>
      <c r="V656" s="13" t="n">
        <v>0</v>
      </c>
    </row>
    <row r="657" customFormat="false" ht="15.75" hidden="false" customHeight="false" outlineLevel="0" collapsed="false">
      <c r="A657" s="13" t="n">
        <v>0</v>
      </c>
      <c r="B657" s="13" t="str">
        <v/>
      </c>
      <c r="C657" s="13" t="n">
        <v>0</v>
      </c>
      <c r="D657" s="13" t="n">
        <v>0</v>
      </c>
      <c r="E657" s="13" t="str">
        <v/>
      </c>
      <c r="F657" s="13" t="n">
        <v>0</v>
      </c>
      <c r="G657" s="13" t="n">
        <v>0</v>
      </c>
      <c r="H657" s="13" t="n">
        <v>0</v>
      </c>
      <c r="I657" s="13" t="n">
        <v>0</v>
      </c>
      <c r="J657" s="13" t="b">
        <f aca="false">IF(ISBLANK(I657),"", IF($I$2:$I1654 = "Gohar Rehan","Overnight",IF($I$2:$I1654 = "Taufeeq Akhtar ","Overnight",IF($I$2:$I1654 = "Zeeshan Ali Malik","Audit",IF($I$2:$I1654 = "Ali Raza ","Receiving",IF($I$2:$I1654 = "Ali Ahmad","Full-In"))))))</f>
        <v>0</v>
      </c>
      <c r="K657" s="39" t="e">
        <f aca="false">IFERROR(VLOOKUP(D657,'Brand manager data '!A:B,2,0))</f>
        <v>#VALUE!</v>
      </c>
      <c r="L657" s="13" t="n">
        <v>0</v>
      </c>
      <c r="M657" s="13" t="str">
        <v>Yes</v>
      </c>
      <c r="N657" s="22"/>
      <c r="Q657" s="40"/>
      <c r="R657" s="13" t="b">
        <f aca="false">FALSE()</f>
        <v>0</v>
      </c>
      <c r="S657" s="13" t="n">
        <v>0</v>
      </c>
      <c r="T657" s="13" t="n">
        <f aca="false">S657*F657</f>
        <v>0</v>
      </c>
      <c r="U657" s="13" t="n">
        <v>0</v>
      </c>
      <c r="V657" s="13" t="n">
        <v>0</v>
      </c>
    </row>
    <row r="658" customFormat="false" ht="15.75" hidden="false" customHeight="false" outlineLevel="0" collapsed="false">
      <c r="A658" s="13" t="n">
        <v>0</v>
      </c>
      <c r="B658" s="13" t="str">
        <v/>
      </c>
      <c r="C658" s="13" t="n">
        <v>0</v>
      </c>
      <c r="D658" s="13" t="n">
        <v>0</v>
      </c>
      <c r="E658" s="13" t="str">
        <v/>
      </c>
      <c r="F658" s="13" t="n">
        <v>0</v>
      </c>
      <c r="G658" s="13" t="n">
        <v>0</v>
      </c>
      <c r="H658" s="13" t="n">
        <v>0</v>
      </c>
      <c r="I658" s="13" t="n">
        <v>0</v>
      </c>
      <c r="J658" s="13" t="b">
        <f aca="false">IF(ISBLANK(I658),"", IF($I$2:$I1655 = "Gohar Rehan","Overnight",IF($I$2:$I1655 = "Taufeeq Akhtar ","Overnight",IF($I$2:$I1655 = "Zeeshan Ali Malik","Audit",IF($I$2:$I1655 = "Ali Raza ","Receiving",IF($I$2:$I1655 = "Ali Ahmad","Full-In"))))))</f>
        <v>0</v>
      </c>
      <c r="K658" s="39" t="e">
        <f aca="false">IFERROR(VLOOKUP(D658,'Brand manager data '!A:B,2,0))</f>
        <v>#VALUE!</v>
      </c>
      <c r="L658" s="13" t="n">
        <v>0</v>
      </c>
      <c r="M658" s="13" t="str">
        <v>Yes</v>
      </c>
      <c r="N658" s="22"/>
      <c r="Q658" s="40"/>
      <c r="R658" s="13" t="b">
        <f aca="false">FALSE()</f>
        <v>0</v>
      </c>
      <c r="S658" s="13" t="n">
        <v>0</v>
      </c>
      <c r="T658" s="13" t="n">
        <f aca="false">S658*F658</f>
        <v>0</v>
      </c>
      <c r="U658" s="13" t="n">
        <v>0</v>
      </c>
      <c r="V658" s="13" t="n">
        <v>0</v>
      </c>
    </row>
    <row r="659" customFormat="false" ht="15.75" hidden="false" customHeight="false" outlineLevel="0" collapsed="false">
      <c r="A659" s="13" t="n">
        <v>0</v>
      </c>
      <c r="B659" s="13" t="str">
        <v/>
      </c>
      <c r="C659" s="13" t="n">
        <v>0</v>
      </c>
      <c r="D659" s="13" t="n">
        <v>0</v>
      </c>
      <c r="E659" s="13" t="str">
        <v/>
      </c>
      <c r="F659" s="13" t="n">
        <v>0</v>
      </c>
      <c r="G659" s="13" t="n">
        <v>0</v>
      </c>
      <c r="H659" s="13" t="n">
        <v>0</v>
      </c>
      <c r="I659" s="13" t="n">
        <v>0</v>
      </c>
      <c r="J659" s="13" t="b">
        <f aca="false">IF(ISBLANK(I659),"", IF($I$2:$I1656 = "Gohar Rehan","Overnight",IF($I$2:$I1656 = "Taufeeq Akhtar ","Overnight",IF($I$2:$I1656 = "Zeeshan Ali Malik","Audit",IF($I$2:$I1656 = "Ali Raza ","Receiving",IF($I$2:$I1656 = "Ali Ahmad","Full-In"))))))</f>
        <v>0</v>
      </c>
      <c r="K659" s="39" t="e">
        <f aca="false">IFERROR(VLOOKUP(D659,'Brand manager data '!A:B,2,0))</f>
        <v>#VALUE!</v>
      </c>
      <c r="L659" s="13" t="n">
        <v>0</v>
      </c>
      <c r="M659" s="13" t="str">
        <v>Yes</v>
      </c>
      <c r="N659" s="22"/>
      <c r="Q659" s="40"/>
      <c r="R659" s="13" t="b">
        <f aca="false">FALSE()</f>
        <v>0</v>
      </c>
      <c r="S659" s="13" t="n">
        <v>0</v>
      </c>
      <c r="T659" s="13" t="n">
        <f aca="false">S659*F659</f>
        <v>0</v>
      </c>
      <c r="U659" s="13" t="n">
        <v>0</v>
      </c>
      <c r="V659" s="13" t="n">
        <v>0</v>
      </c>
    </row>
    <row r="660" customFormat="false" ht="15.75" hidden="false" customHeight="false" outlineLevel="0" collapsed="false">
      <c r="A660" s="13" t="n">
        <v>0</v>
      </c>
      <c r="B660" s="13" t="str">
        <v/>
      </c>
      <c r="C660" s="13" t="n">
        <v>0</v>
      </c>
      <c r="D660" s="13" t="n">
        <v>0</v>
      </c>
      <c r="E660" s="13" t="str">
        <v/>
      </c>
      <c r="F660" s="13" t="n">
        <v>0</v>
      </c>
      <c r="G660" s="13" t="n">
        <v>0</v>
      </c>
      <c r="H660" s="13" t="n">
        <v>0</v>
      </c>
      <c r="I660" s="13" t="n">
        <v>0</v>
      </c>
      <c r="J660" s="13" t="b">
        <f aca="false">IF(ISBLANK(I660),"", IF($I$2:$I1657 = "Gohar Rehan","Overnight",IF($I$2:$I1657 = "Taufeeq Akhtar ","Overnight",IF($I$2:$I1657 = "Zeeshan Ali Malik","Audit",IF($I$2:$I1657 = "Ali Raza ","Receiving",IF($I$2:$I1657 = "Ali Ahmad","Full-In"))))))</f>
        <v>0</v>
      </c>
      <c r="K660" s="39" t="e">
        <f aca="false">IFERROR(VLOOKUP(D660,'Brand manager data '!A:B,2,0))</f>
        <v>#VALUE!</v>
      </c>
      <c r="L660" s="13" t="n">
        <v>0</v>
      </c>
      <c r="M660" s="13" t="str">
        <v>Yes</v>
      </c>
      <c r="N660" s="22"/>
      <c r="Q660" s="40"/>
      <c r="R660" s="13" t="b">
        <f aca="false">FALSE()</f>
        <v>0</v>
      </c>
      <c r="S660" s="13" t="n">
        <v>0</v>
      </c>
      <c r="T660" s="13" t="n">
        <f aca="false">S660*F660</f>
        <v>0</v>
      </c>
      <c r="U660" s="13" t="n">
        <v>0</v>
      </c>
      <c r="V660" s="13" t="n">
        <v>0</v>
      </c>
    </row>
    <row r="661" customFormat="false" ht="15.75" hidden="false" customHeight="false" outlineLevel="0" collapsed="false">
      <c r="A661" s="13" t="n">
        <v>0</v>
      </c>
      <c r="B661" s="13" t="str">
        <v/>
      </c>
      <c r="C661" s="13" t="n">
        <v>0</v>
      </c>
      <c r="D661" s="13" t="n">
        <v>0</v>
      </c>
      <c r="E661" s="13" t="str">
        <v/>
      </c>
      <c r="F661" s="13" t="n">
        <v>0</v>
      </c>
      <c r="G661" s="13" t="n">
        <v>0</v>
      </c>
      <c r="H661" s="13" t="n">
        <v>0</v>
      </c>
      <c r="I661" s="13" t="n">
        <v>0</v>
      </c>
      <c r="J661" s="13" t="b">
        <f aca="false">IF(ISBLANK(I661),"", IF($I$2:$I1658 = "Gohar Rehan","Overnight",IF($I$2:$I1658 = "Taufeeq Akhtar ","Overnight",IF($I$2:$I1658 = "Zeeshan Ali Malik","Audit",IF($I$2:$I1658 = "Ali Raza ","Receiving",IF($I$2:$I1658 = "Ali Ahmad","Full-In"))))))</f>
        <v>0</v>
      </c>
      <c r="K661" s="39" t="e">
        <f aca="false">IFERROR(VLOOKUP(D661,'Brand manager data '!A:B,2,0))</f>
        <v>#VALUE!</v>
      </c>
      <c r="L661" s="13" t="n">
        <v>0</v>
      </c>
      <c r="M661" s="13" t="str">
        <v>Yes</v>
      </c>
      <c r="N661" s="22"/>
      <c r="Q661" s="40"/>
      <c r="R661" s="13" t="b">
        <f aca="false">FALSE()</f>
        <v>0</v>
      </c>
      <c r="S661" s="13" t="n">
        <v>0</v>
      </c>
      <c r="T661" s="13" t="n">
        <f aca="false">S661*F661</f>
        <v>0</v>
      </c>
      <c r="U661" s="13" t="n">
        <v>0</v>
      </c>
      <c r="V661" s="13" t="n">
        <v>0</v>
      </c>
    </row>
    <row r="662" customFormat="false" ht="15.75" hidden="false" customHeight="false" outlineLevel="0" collapsed="false">
      <c r="A662" s="13" t="n">
        <v>0</v>
      </c>
      <c r="B662" s="13" t="str">
        <v/>
      </c>
      <c r="C662" s="13" t="n">
        <v>0</v>
      </c>
      <c r="D662" s="13" t="n">
        <v>0</v>
      </c>
      <c r="E662" s="13" t="str">
        <v/>
      </c>
      <c r="F662" s="13" t="n">
        <v>0</v>
      </c>
      <c r="G662" s="13" t="n">
        <v>0</v>
      </c>
      <c r="H662" s="13" t="n">
        <v>0</v>
      </c>
      <c r="I662" s="13" t="n">
        <v>0</v>
      </c>
      <c r="J662" s="13" t="b">
        <f aca="false">IF(ISBLANK(I662),"", IF($I$2:$I1659 = "Gohar Rehan","Overnight",IF($I$2:$I1659 = "Taufeeq Akhtar ","Overnight",IF($I$2:$I1659 = "Zeeshan Ali Malik","Audit",IF($I$2:$I1659 = "Ali Raza ","Receiving",IF($I$2:$I1659 = "Ali Ahmad","Full-In"))))))</f>
        <v>0</v>
      </c>
      <c r="K662" s="39" t="e">
        <f aca="false">IFERROR(VLOOKUP(D662,'Brand manager data '!A:B,2,0))</f>
        <v>#VALUE!</v>
      </c>
      <c r="L662" s="13" t="n">
        <v>0</v>
      </c>
      <c r="M662" s="13" t="str">
        <v>Yes</v>
      </c>
      <c r="N662" s="22"/>
      <c r="Q662" s="40"/>
      <c r="R662" s="13" t="b">
        <f aca="false">FALSE()</f>
        <v>0</v>
      </c>
      <c r="S662" s="13" t="n">
        <v>0</v>
      </c>
      <c r="T662" s="13" t="n">
        <f aca="false">S662*F662</f>
        <v>0</v>
      </c>
      <c r="U662" s="13" t="n">
        <v>0</v>
      </c>
      <c r="V662" s="13" t="n">
        <v>0</v>
      </c>
    </row>
    <row r="663" customFormat="false" ht="15.75" hidden="false" customHeight="false" outlineLevel="0" collapsed="false">
      <c r="A663" s="13" t="n">
        <v>0</v>
      </c>
      <c r="B663" s="13" t="str">
        <v/>
      </c>
      <c r="C663" s="13" t="n">
        <v>0</v>
      </c>
      <c r="D663" s="13" t="n">
        <v>0</v>
      </c>
      <c r="E663" s="13" t="str">
        <v/>
      </c>
      <c r="F663" s="13" t="n">
        <v>0</v>
      </c>
      <c r="G663" s="13" t="n">
        <v>0</v>
      </c>
      <c r="H663" s="13" t="n">
        <v>0</v>
      </c>
      <c r="I663" s="13" t="n">
        <v>0</v>
      </c>
      <c r="J663" s="13" t="b">
        <f aca="false">IF(ISBLANK(I663),"", IF($I$2:$I1660 = "Gohar Rehan","Overnight",IF($I$2:$I1660 = "Taufeeq Akhtar ","Overnight",IF($I$2:$I1660 = "Zeeshan Ali Malik","Audit",IF($I$2:$I1660 = "Ali Raza ","Receiving",IF($I$2:$I1660 = "Ali Ahmad","Full-In"))))))</f>
        <v>0</v>
      </c>
      <c r="K663" s="39" t="e">
        <f aca="false">IFERROR(VLOOKUP(D663,'Brand manager data '!A:B,2,0))</f>
        <v>#VALUE!</v>
      </c>
      <c r="L663" s="13" t="n">
        <v>0</v>
      </c>
      <c r="M663" s="13" t="str">
        <v>Yes</v>
      </c>
      <c r="N663" s="22"/>
      <c r="Q663" s="40"/>
      <c r="R663" s="13" t="b">
        <f aca="false">FALSE()</f>
        <v>0</v>
      </c>
      <c r="S663" s="13" t="n">
        <v>0</v>
      </c>
      <c r="T663" s="13" t="n">
        <f aca="false">S663*F663</f>
        <v>0</v>
      </c>
      <c r="U663" s="13" t="n">
        <v>0</v>
      </c>
      <c r="V663" s="13" t="n">
        <v>0</v>
      </c>
    </row>
    <row r="664" customFormat="false" ht="15.75" hidden="false" customHeight="false" outlineLevel="0" collapsed="false">
      <c r="A664" s="13" t="n">
        <v>0</v>
      </c>
      <c r="B664" s="13" t="str">
        <v/>
      </c>
      <c r="C664" s="13" t="n">
        <v>0</v>
      </c>
      <c r="D664" s="13" t="n">
        <v>0</v>
      </c>
      <c r="E664" s="13" t="str">
        <v/>
      </c>
      <c r="F664" s="13" t="n">
        <v>0</v>
      </c>
      <c r="G664" s="13" t="n">
        <v>0</v>
      </c>
      <c r="H664" s="13" t="n">
        <v>0</v>
      </c>
      <c r="I664" s="13" t="n">
        <v>0</v>
      </c>
      <c r="J664" s="13" t="b">
        <f aca="false">IF(ISBLANK(I664),"", IF($I$2:$I1661 = "Gohar Rehan","Overnight",IF($I$2:$I1661 = "Taufeeq Akhtar ","Overnight",IF($I$2:$I1661 = "Zeeshan Ali Malik","Audit",IF($I$2:$I1661 = "Ali Raza ","Receiving",IF($I$2:$I1661 = "Ali Ahmad","Full-In"))))))</f>
        <v>0</v>
      </c>
      <c r="K664" s="39" t="e">
        <f aca="false">IFERROR(VLOOKUP(D664,'Brand manager data '!A:B,2,0))</f>
        <v>#VALUE!</v>
      </c>
      <c r="L664" s="13" t="n">
        <v>0</v>
      </c>
      <c r="M664" s="13" t="str">
        <v>Yes</v>
      </c>
      <c r="N664" s="22"/>
      <c r="Q664" s="40"/>
      <c r="R664" s="13" t="b">
        <f aca="false">FALSE()</f>
        <v>0</v>
      </c>
      <c r="S664" s="13" t="n">
        <v>0</v>
      </c>
      <c r="T664" s="13" t="n">
        <f aca="false">S664*F664</f>
        <v>0</v>
      </c>
      <c r="U664" s="13" t="n">
        <v>0</v>
      </c>
      <c r="V664" s="13" t="n">
        <v>0</v>
      </c>
    </row>
    <row r="665" customFormat="false" ht="15.75" hidden="false" customHeight="false" outlineLevel="0" collapsed="false">
      <c r="A665" s="13" t="n">
        <v>0</v>
      </c>
      <c r="B665" s="13" t="str">
        <v/>
      </c>
      <c r="C665" s="13" t="n">
        <v>0</v>
      </c>
      <c r="D665" s="13" t="n">
        <v>0</v>
      </c>
      <c r="E665" s="13" t="str">
        <v/>
      </c>
      <c r="F665" s="13" t="n">
        <v>0</v>
      </c>
      <c r="G665" s="13" t="n">
        <v>0</v>
      </c>
      <c r="H665" s="13" t="n">
        <v>0</v>
      </c>
      <c r="I665" s="13" t="n">
        <v>0</v>
      </c>
      <c r="J665" s="13" t="b">
        <f aca="false">IF(ISBLANK(I665),"", IF($I$2:$I1662 = "Gohar Rehan","Overnight",IF($I$2:$I1662 = "Taufeeq Akhtar ","Overnight",IF($I$2:$I1662 = "Zeeshan Ali Malik","Audit",IF($I$2:$I1662 = "Ali Raza ","Receiving",IF($I$2:$I1662 = "Ali Ahmad","Full-In"))))))</f>
        <v>0</v>
      </c>
      <c r="K665" s="39" t="e">
        <f aca="false">IFERROR(VLOOKUP(D665,'Brand manager data '!A:B,2,0))</f>
        <v>#VALUE!</v>
      </c>
      <c r="L665" s="13" t="n">
        <v>0</v>
      </c>
      <c r="M665" s="13" t="str">
        <v>Yes</v>
      </c>
      <c r="N665" s="22"/>
      <c r="Q665" s="40"/>
      <c r="R665" s="13" t="b">
        <f aca="false">FALSE()</f>
        <v>0</v>
      </c>
      <c r="S665" s="13" t="n">
        <v>0</v>
      </c>
      <c r="T665" s="13" t="n">
        <f aca="false">S665*F665</f>
        <v>0</v>
      </c>
      <c r="U665" s="13" t="n">
        <v>0</v>
      </c>
      <c r="V665" s="13" t="n">
        <v>0</v>
      </c>
    </row>
    <row r="666" customFormat="false" ht="15.75" hidden="false" customHeight="false" outlineLevel="0" collapsed="false">
      <c r="A666" s="13" t="n">
        <v>0</v>
      </c>
      <c r="B666" s="13" t="str">
        <v/>
      </c>
      <c r="C666" s="13" t="n">
        <v>0</v>
      </c>
      <c r="D666" s="13" t="n">
        <v>0</v>
      </c>
      <c r="E666" s="13" t="str">
        <v/>
      </c>
      <c r="F666" s="13" t="n">
        <v>0</v>
      </c>
      <c r="G666" s="13" t="n">
        <v>0</v>
      </c>
      <c r="H666" s="13" t="n">
        <v>0</v>
      </c>
      <c r="I666" s="13" t="n">
        <v>0</v>
      </c>
      <c r="J666" s="13" t="b">
        <f aca="false">IF(ISBLANK(I666),"", IF($I$2:$I1663 = "Gohar Rehan","Overnight",IF($I$2:$I1663 = "Taufeeq Akhtar ","Overnight",IF($I$2:$I1663 = "Zeeshan Ali Malik","Audit",IF($I$2:$I1663 = "Ali Raza ","Receiving",IF($I$2:$I1663 = "Ali Ahmad","Full-In"))))))</f>
        <v>0</v>
      </c>
      <c r="K666" s="39" t="e">
        <f aca="false">IFERROR(VLOOKUP(D666,'Brand manager data '!A:B,2,0))</f>
        <v>#VALUE!</v>
      </c>
      <c r="L666" s="13" t="n">
        <v>0</v>
      </c>
      <c r="M666" s="13" t="str">
        <v>Yes</v>
      </c>
      <c r="N666" s="22"/>
      <c r="Q666" s="40"/>
      <c r="R666" s="13" t="b">
        <f aca="false">FALSE()</f>
        <v>0</v>
      </c>
      <c r="S666" s="13" t="n">
        <v>0</v>
      </c>
      <c r="T666" s="13" t="n">
        <f aca="false">S666*F666</f>
        <v>0</v>
      </c>
      <c r="U666" s="13" t="n">
        <v>0</v>
      </c>
      <c r="V666" s="13" t="n">
        <v>0</v>
      </c>
    </row>
    <row r="667" customFormat="false" ht="15.75" hidden="false" customHeight="false" outlineLevel="0" collapsed="false">
      <c r="A667" s="13" t="n">
        <v>0</v>
      </c>
      <c r="B667" s="13" t="str">
        <v/>
      </c>
      <c r="C667" s="13" t="n">
        <v>0</v>
      </c>
      <c r="D667" s="13" t="n">
        <v>0</v>
      </c>
      <c r="E667" s="13" t="str">
        <v/>
      </c>
      <c r="F667" s="13" t="n">
        <v>0</v>
      </c>
      <c r="G667" s="13" t="n">
        <v>0</v>
      </c>
      <c r="H667" s="13" t="n">
        <v>0</v>
      </c>
      <c r="I667" s="13" t="n">
        <v>0</v>
      </c>
      <c r="J667" s="13" t="b">
        <f aca="false">IF(ISBLANK(I667),"", IF($I$2:$I1664 = "Gohar Rehan","Overnight",IF($I$2:$I1664 = "Taufeeq Akhtar ","Overnight",IF($I$2:$I1664 = "Zeeshan Ali Malik","Audit",IF($I$2:$I1664 = "Ali Raza ","Receiving",IF($I$2:$I1664 = "Ali Ahmad","Full-In"))))))</f>
        <v>0</v>
      </c>
      <c r="K667" s="39" t="e">
        <f aca="false">IFERROR(VLOOKUP(D667,'Brand manager data '!A:B,2,0))</f>
        <v>#VALUE!</v>
      </c>
      <c r="L667" s="13" t="n">
        <v>0</v>
      </c>
      <c r="M667" s="13" t="str">
        <v>Yes</v>
      </c>
      <c r="N667" s="22"/>
      <c r="Q667" s="40"/>
      <c r="R667" s="13" t="b">
        <f aca="false">FALSE()</f>
        <v>0</v>
      </c>
      <c r="S667" s="13" t="n">
        <v>0</v>
      </c>
      <c r="T667" s="13" t="n">
        <f aca="false">S667*F667</f>
        <v>0</v>
      </c>
      <c r="U667" s="13" t="n">
        <v>0</v>
      </c>
      <c r="V667" s="13" t="n">
        <v>0</v>
      </c>
    </row>
    <row r="668" customFormat="false" ht="15.75" hidden="false" customHeight="false" outlineLevel="0" collapsed="false">
      <c r="A668" s="13" t="n">
        <v>0</v>
      </c>
      <c r="B668" s="13" t="str">
        <v/>
      </c>
      <c r="C668" s="13" t="n">
        <v>0</v>
      </c>
      <c r="D668" s="13" t="n">
        <v>0</v>
      </c>
      <c r="E668" s="13" t="str">
        <v/>
      </c>
      <c r="F668" s="13" t="n">
        <v>0</v>
      </c>
      <c r="G668" s="13" t="n">
        <v>0</v>
      </c>
      <c r="H668" s="13" t="n">
        <v>0</v>
      </c>
      <c r="I668" s="13" t="n">
        <v>0</v>
      </c>
      <c r="J668" s="13" t="b">
        <f aca="false">IF(ISBLANK(I668),"", IF($I$2:$I1665 = "Gohar Rehan","Overnight",IF($I$2:$I1665 = "Taufeeq Akhtar ","Overnight",IF($I$2:$I1665 = "Zeeshan Ali Malik","Audit",IF($I$2:$I1665 = "Ali Raza ","Receiving",IF($I$2:$I1665 = "Ali Ahmad","Full-In"))))))</f>
        <v>0</v>
      </c>
      <c r="K668" s="39" t="e">
        <f aca="false">IFERROR(VLOOKUP(D668,'Brand manager data '!A:B,2,0))</f>
        <v>#VALUE!</v>
      </c>
      <c r="L668" s="13" t="n">
        <v>0</v>
      </c>
      <c r="M668" s="13" t="str">
        <v>Yes</v>
      </c>
      <c r="N668" s="22"/>
      <c r="Q668" s="40"/>
      <c r="R668" s="13" t="b">
        <f aca="false">FALSE()</f>
        <v>0</v>
      </c>
      <c r="S668" s="13" t="n">
        <v>0</v>
      </c>
      <c r="T668" s="13" t="n">
        <f aca="false">S668*F668</f>
        <v>0</v>
      </c>
      <c r="U668" s="13" t="n">
        <v>0</v>
      </c>
      <c r="V668" s="13" t="n">
        <v>0</v>
      </c>
    </row>
    <row r="669" customFormat="false" ht="15.75" hidden="false" customHeight="false" outlineLevel="0" collapsed="false">
      <c r="A669" s="13" t="n">
        <v>0</v>
      </c>
      <c r="B669" s="13" t="str">
        <v/>
      </c>
      <c r="C669" s="13" t="n">
        <v>0</v>
      </c>
      <c r="D669" s="13" t="n">
        <v>0</v>
      </c>
      <c r="E669" s="13" t="str">
        <v/>
      </c>
      <c r="F669" s="13" t="n">
        <v>0</v>
      </c>
      <c r="G669" s="13" t="n">
        <v>0</v>
      </c>
      <c r="H669" s="13" t="n">
        <v>0</v>
      </c>
      <c r="I669" s="13" t="n">
        <v>0</v>
      </c>
      <c r="J669" s="13" t="b">
        <f aca="false">IF(ISBLANK(I669),"", IF($I$2:$I1666 = "Gohar Rehan","Overnight",IF($I$2:$I1666 = "Taufeeq Akhtar ","Overnight",IF($I$2:$I1666 = "Zeeshan Ali Malik","Audit",IF($I$2:$I1666 = "Ali Raza ","Receiving",IF($I$2:$I1666 = "Ali Ahmad","Full-In"))))))</f>
        <v>0</v>
      </c>
      <c r="K669" s="39" t="e">
        <f aca="false">IFERROR(VLOOKUP(D669,'Brand manager data '!A:B,2,0))</f>
        <v>#VALUE!</v>
      </c>
      <c r="L669" s="13" t="n">
        <v>0</v>
      </c>
      <c r="M669" s="13" t="str">
        <v>Yes</v>
      </c>
      <c r="N669" s="22"/>
      <c r="Q669" s="40"/>
      <c r="R669" s="13" t="b">
        <f aca="false">FALSE()</f>
        <v>0</v>
      </c>
      <c r="S669" s="13" t="n">
        <v>0</v>
      </c>
      <c r="T669" s="13" t="n">
        <f aca="false">S669*F669</f>
        <v>0</v>
      </c>
      <c r="U669" s="13" t="n">
        <v>0</v>
      </c>
      <c r="V669" s="13" t="n">
        <v>0</v>
      </c>
    </row>
    <row r="670" customFormat="false" ht="15.75" hidden="false" customHeight="false" outlineLevel="0" collapsed="false">
      <c r="A670" s="13" t="n">
        <v>0</v>
      </c>
      <c r="B670" s="13" t="str">
        <v/>
      </c>
      <c r="C670" s="13" t="n">
        <v>0</v>
      </c>
      <c r="D670" s="13" t="n">
        <v>0</v>
      </c>
      <c r="E670" s="13" t="str">
        <v/>
      </c>
      <c r="F670" s="13" t="n">
        <v>0</v>
      </c>
      <c r="G670" s="13" t="n">
        <v>0</v>
      </c>
      <c r="H670" s="13" t="n">
        <v>0</v>
      </c>
      <c r="I670" s="13" t="n">
        <v>0</v>
      </c>
      <c r="J670" s="13" t="b">
        <f aca="false">IF(ISBLANK(I670),"", IF($I$2:$I1667 = "Gohar Rehan","Overnight",IF($I$2:$I1667 = "Taufeeq Akhtar ","Overnight",IF($I$2:$I1667 = "Zeeshan Ali Malik","Audit",IF($I$2:$I1667 = "Ali Raza ","Receiving",IF($I$2:$I1667 = "Ali Ahmad","Full-In"))))))</f>
        <v>0</v>
      </c>
      <c r="K670" s="39" t="e">
        <f aca="false">IFERROR(VLOOKUP(D670,'Brand manager data '!A:B,2,0))</f>
        <v>#VALUE!</v>
      </c>
      <c r="L670" s="13" t="n">
        <v>0</v>
      </c>
      <c r="M670" s="13" t="str">
        <v>Yes</v>
      </c>
      <c r="N670" s="22"/>
      <c r="Q670" s="40"/>
      <c r="R670" s="13" t="b">
        <f aca="false">FALSE()</f>
        <v>0</v>
      </c>
      <c r="S670" s="13" t="n">
        <v>0</v>
      </c>
      <c r="T670" s="13" t="n">
        <f aca="false">S670*F670</f>
        <v>0</v>
      </c>
      <c r="U670" s="13" t="n">
        <v>0</v>
      </c>
      <c r="V670" s="13" t="n">
        <v>0</v>
      </c>
    </row>
    <row r="671" customFormat="false" ht="15.75" hidden="false" customHeight="false" outlineLevel="0" collapsed="false">
      <c r="A671" s="13" t="n">
        <v>0</v>
      </c>
      <c r="B671" s="13" t="str">
        <v/>
      </c>
      <c r="C671" s="13" t="n">
        <v>0</v>
      </c>
      <c r="D671" s="13" t="n">
        <v>0</v>
      </c>
      <c r="E671" s="13" t="str">
        <v/>
      </c>
      <c r="F671" s="13" t="n">
        <v>0</v>
      </c>
      <c r="G671" s="13" t="n">
        <v>0</v>
      </c>
      <c r="H671" s="13" t="n">
        <v>0</v>
      </c>
      <c r="I671" s="13" t="n">
        <v>0</v>
      </c>
      <c r="J671" s="13" t="b">
        <f aca="false">IF(ISBLANK(I671),"", IF($I$2:$I1668 = "Gohar Rehan","Overnight",IF($I$2:$I1668 = "Taufeeq Akhtar ","Overnight",IF($I$2:$I1668 = "Zeeshan Ali Malik","Audit",IF($I$2:$I1668 = "Ali Raza ","Receiving",IF($I$2:$I1668 = "Ali Ahmad","Full-In"))))))</f>
        <v>0</v>
      </c>
      <c r="K671" s="39" t="e">
        <f aca="false">IFERROR(VLOOKUP(D671,'Brand manager data '!A:B,2,0))</f>
        <v>#VALUE!</v>
      </c>
      <c r="L671" s="13" t="n">
        <v>0</v>
      </c>
      <c r="M671" s="13" t="str">
        <v>Yes</v>
      </c>
      <c r="N671" s="22"/>
      <c r="Q671" s="40"/>
      <c r="R671" s="13" t="b">
        <f aca="false">FALSE()</f>
        <v>0</v>
      </c>
      <c r="S671" s="13" t="n">
        <v>0</v>
      </c>
      <c r="T671" s="13" t="n">
        <f aca="false">S671*F671</f>
        <v>0</v>
      </c>
      <c r="U671" s="13" t="n">
        <v>0</v>
      </c>
      <c r="V671" s="13" t="n">
        <v>0</v>
      </c>
    </row>
    <row r="672" customFormat="false" ht="15.75" hidden="false" customHeight="false" outlineLevel="0" collapsed="false">
      <c r="A672" s="13" t="n">
        <v>0</v>
      </c>
      <c r="B672" s="13" t="str">
        <v/>
      </c>
      <c r="C672" s="13" t="n">
        <v>0</v>
      </c>
      <c r="D672" s="13" t="n">
        <v>0</v>
      </c>
      <c r="E672" s="13" t="str">
        <v/>
      </c>
      <c r="F672" s="13" t="n">
        <v>0</v>
      </c>
      <c r="G672" s="13" t="n">
        <v>0</v>
      </c>
      <c r="H672" s="13" t="n">
        <v>0</v>
      </c>
      <c r="I672" s="13" t="n">
        <v>0</v>
      </c>
      <c r="J672" s="13" t="b">
        <f aca="false">IF(ISBLANK(I672),"", IF($I$2:$I1669 = "Gohar Rehan","Overnight",IF($I$2:$I1669 = "Taufeeq Akhtar ","Overnight",IF($I$2:$I1669 = "Zeeshan Ali Malik","Audit",IF($I$2:$I1669 = "Ali Raza ","Receiving",IF($I$2:$I1669 = "Ali Ahmad","Full-In"))))))</f>
        <v>0</v>
      </c>
      <c r="K672" s="39" t="e">
        <f aca="false">IFERROR(VLOOKUP(D672,'Brand manager data '!A:B,2,0))</f>
        <v>#VALUE!</v>
      </c>
      <c r="L672" s="13" t="n">
        <v>0</v>
      </c>
      <c r="M672" s="13" t="str">
        <v>Yes</v>
      </c>
      <c r="N672" s="22"/>
      <c r="Q672" s="40"/>
      <c r="R672" s="13" t="b">
        <f aca="false">FALSE()</f>
        <v>0</v>
      </c>
      <c r="S672" s="13" t="n">
        <v>0</v>
      </c>
      <c r="T672" s="13" t="n">
        <f aca="false">S672*F672</f>
        <v>0</v>
      </c>
      <c r="U672" s="13" t="n">
        <v>0</v>
      </c>
      <c r="V672" s="13" t="n">
        <v>0</v>
      </c>
    </row>
    <row r="673" customFormat="false" ht="15.75" hidden="false" customHeight="false" outlineLevel="0" collapsed="false">
      <c r="A673" s="13" t="n">
        <v>0</v>
      </c>
      <c r="B673" s="13" t="str">
        <v/>
      </c>
      <c r="C673" s="13" t="n">
        <v>0</v>
      </c>
      <c r="D673" s="13" t="n">
        <v>0</v>
      </c>
      <c r="E673" s="13" t="str">
        <v/>
      </c>
      <c r="F673" s="13" t="n">
        <v>0</v>
      </c>
      <c r="G673" s="13" t="n">
        <v>0</v>
      </c>
      <c r="H673" s="13" t="n">
        <v>0</v>
      </c>
      <c r="I673" s="13" t="n">
        <v>0</v>
      </c>
      <c r="J673" s="13" t="b">
        <f aca="false">IF(ISBLANK(I673),"", IF($I$2:$I1670 = "Gohar Rehan","Overnight",IF($I$2:$I1670 = "Taufeeq Akhtar ","Overnight",IF($I$2:$I1670 = "Zeeshan Ali Malik","Audit",IF($I$2:$I1670 = "Ali Raza ","Receiving",IF($I$2:$I1670 = "Ali Ahmad","Full-In"))))))</f>
        <v>0</v>
      </c>
      <c r="K673" s="39" t="e">
        <f aca="false">IFERROR(VLOOKUP(D673,'Brand manager data '!A:B,2,0))</f>
        <v>#VALUE!</v>
      </c>
      <c r="L673" s="13" t="n">
        <v>0</v>
      </c>
      <c r="M673" s="13" t="str">
        <v>Yes</v>
      </c>
      <c r="N673" s="22"/>
      <c r="Q673" s="40"/>
      <c r="R673" s="13" t="b">
        <f aca="false">FALSE()</f>
        <v>0</v>
      </c>
      <c r="S673" s="13" t="n">
        <v>0</v>
      </c>
      <c r="T673" s="13" t="n">
        <f aca="false">S673*F673</f>
        <v>0</v>
      </c>
      <c r="U673" s="13" t="n">
        <v>0</v>
      </c>
      <c r="V673" s="13" t="n">
        <v>0</v>
      </c>
    </row>
    <row r="674" customFormat="false" ht="15.75" hidden="false" customHeight="false" outlineLevel="0" collapsed="false">
      <c r="A674" s="13" t="n">
        <v>0</v>
      </c>
      <c r="B674" s="13" t="str">
        <v/>
      </c>
      <c r="C674" s="13" t="n">
        <v>0</v>
      </c>
      <c r="D674" s="13" t="n">
        <v>0</v>
      </c>
      <c r="E674" s="13" t="str">
        <v/>
      </c>
      <c r="F674" s="13" t="n">
        <v>0</v>
      </c>
      <c r="G674" s="13" t="n">
        <v>0</v>
      </c>
      <c r="H674" s="13" t="n">
        <v>0</v>
      </c>
      <c r="I674" s="13" t="n">
        <v>0</v>
      </c>
      <c r="J674" s="13" t="b">
        <f aca="false">IF(ISBLANK(I674),"", IF($I$2:$I1671 = "Gohar Rehan","Overnight",IF($I$2:$I1671 = "Taufeeq Akhtar ","Overnight",IF($I$2:$I1671 = "Zeeshan Ali Malik","Audit",IF($I$2:$I1671 = "Ali Raza ","Receiving",IF($I$2:$I1671 = "Ali Ahmad","Full-In"))))))</f>
        <v>0</v>
      </c>
      <c r="K674" s="39" t="e">
        <f aca="false">IFERROR(VLOOKUP(D674,'Brand manager data '!A:B,2,0))</f>
        <v>#VALUE!</v>
      </c>
      <c r="L674" s="13" t="n">
        <v>0</v>
      </c>
      <c r="M674" s="13" t="str">
        <v>Yes</v>
      </c>
      <c r="N674" s="22"/>
      <c r="Q674" s="40"/>
      <c r="R674" s="13" t="b">
        <f aca="false">FALSE()</f>
        <v>0</v>
      </c>
      <c r="S674" s="13" t="n">
        <v>0</v>
      </c>
      <c r="T674" s="13" t="n">
        <f aca="false">S674*F674</f>
        <v>0</v>
      </c>
      <c r="U674" s="13" t="n">
        <v>0</v>
      </c>
      <c r="V674" s="13" t="n">
        <v>0</v>
      </c>
    </row>
    <row r="675" customFormat="false" ht="15.75" hidden="false" customHeight="false" outlineLevel="0" collapsed="false">
      <c r="A675" s="13" t="n">
        <v>0</v>
      </c>
      <c r="B675" s="13" t="str">
        <v/>
      </c>
      <c r="C675" s="13" t="n">
        <v>0</v>
      </c>
      <c r="D675" s="13" t="n">
        <v>0</v>
      </c>
      <c r="E675" s="13" t="str">
        <v/>
      </c>
      <c r="F675" s="13" t="n">
        <v>0</v>
      </c>
      <c r="G675" s="13" t="n">
        <v>0</v>
      </c>
      <c r="H675" s="13" t="n">
        <v>0</v>
      </c>
      <c r="I675" s="13" t="n">
        <v>0</v>
      </c>
      <c r="J675" s="13" t="b">
        <f aca="false">IF(ISBLANK(I675),"", IF($I$2:$I1672 = "Gohar Rehan","Overnight",IF($I$2:$I1672 = "Taufeeq Akhtar ","Overnight",IF($I$2:$I1672 = "Zeeshan Ali Malik","Audit",IF($I$2:$I1672 = "Ali Raza ","Receiving",IF($I$2:$I1672 = "Ali Ahmad","Full-In"))))))</f>
        <v>0</v>
      </c>
      <c r="K675" s="39" t="e">
        <f aca="false">IFERROR(VLOOKUP(D675,'Brand manager data '!A:B,2,0))</f>
        <v>#VALUE!</v>
      </c>
      <c r="L675" s="13" t="n">
        <v>0</v>
      </c>
      <c r="M675" s="13" t="str">
        <v>Yes</v>
      </c>
      <c r="N675" s="22"/>
      <c r="Q675" s="40"/>
      <c r="R675" s="13" t="b">
        <f aca="false">FALSE()</f>
        <v>0</v>
      </c>
      <c r="S675" s="13" t="n">
        <v>0</v>
      </c>
      <c r="T675" s="13" t="n">
        <f aca="false">S675*F675</f>
        <v>0</v>
      </c>
      <c r="U675" s="13" t="n">
        <v>0</v>
      </c>
      <c r="V675" s="13" t="n">
        <v>0</v>
      </c>
    </row>
    <row r="676" customFormat="false" ht="15.75" hidden="false" customHeight="false" outlineLevel="0" collapsed="false">
      <c r="A676" s="13" t="n">
        <v>0</v>
      </c>
      <c r="B676" s="13" t="str">
        <v/>
      </c>
      <c r="C676" s="13" t="n">
        <v>0</v>
      </c>
      <c r="D676" s="13" t="n">
        <v>0</v>
      </c>
      <c r="E676" s="13" t="str">
        <v/>
      </c>
      <c r="F676" s="13" t="n">
        <v>0</v>
      </c>
      <c r="G676" s="13" t="n">
        <v>0</v>
      </c>
      <c r="H676" s="13" t="n">
        <v>0</v>
      </c>
      <c r="I676" s="13" t="n">
        <v>0</v>
      </c>
      <c r="J676" s="13" t="b">
        <f aca="false">IF(ISBLANK(I676),"", IF($I$2:$I1673 = "Gohar Rehan","Overnight",IF($I$2:$I1673 = "Taufeeq Akhtar ","Overnight",IF($I$2:$I1673 = "Zeeshan Ali Malik","Audit",IF($I$2:$I1673 = "Ali Raza ","Receiving",IF($I$2:$I1673 = "Ali Ahmad","Full-In"))))))</f>
        <v>0</v>
      </c>
      <c r="K676" s="39" t="e">
        <f aca="false">IFERROR(VLOOKUP(D676,'Brand manager data '!A:B,2,0))</f>
        <v>#VALUE!</v>
      </c>
      <c r="L676" s="13" t="n">
        <v>0</v>
      </c>
      <c r="M676" s="13" t="str">
        <v>Yes</v>
      </c>
      <c r="N676" s="22"/>
      <c r="Q676" s="40"/>
      <c r="R676" s="13" t="b">
        <f aca="false">FALSE()</f>
        <v>0</v>
      </c>
      <c r="S676" s="13" t="n">
        <v>0</v>
      </c>
      <c r="T676" s="13" t="n">
        <f aca="false">S676*F676</f>
        <v>0</v>
      </c>
      <c r="U676" s="13" t="n">
        <v>0</v>
      </c>
      <c r="V676" s="13" t="n">
        <v>0</v>
      </c>
    </row>
    <row r="677" customFormat="false" ht="15.75" hidden="false" customHeight="false" outlineLevel="0" collapsed="false">
      <c r="A677" s="13" t="n">
        <v>0</v>
      </c>
      <c r="B677" s="13" t="str">
        <v/>
      </c>
      <c r="C677" s="13" t="n">
        <v>0</v>
      </c>
      <c r="D677" s="13" t="n">
        <v>0</v>
      </c>
      <c r="E677" s="13" t="str">
        <v/>
      </c>
      <c r="F677" s="13" t="n">
        <v>0</v>
      </c>
      <c r="G677" s="13" t="n">
        <v>0</v>
      </c>
      <c r="H677" s="13" t="n">
        <v>0</v>
      </c>
      <c r="I677" s="13" t="n">
        <v>0</v>
      </c>
      <c r="J677" s="13" t="b">
        <f aca="false">IF(ISBLANK(I677),"", IF($I$2:$I1674 = "Gohar Rehan","Overnight",IF($I$2:$I1674 = "Taufeeq Akhtar ","Overnight",IF($I$2:$I1674 = "Zeeshan Ali Malik","Audit",IF($I$2:$I1674 = "Ali Raza ","Receiving",IF($I$2:$I1674 = "Ali Ahmad","Full-In"))))))</f>
        <v>0</v>
      </c>
      <c r="K677" s="39" t="e">
        <f aca="false">IFERROR(VLOOKUP(D677,'Brand manager data '!A:B,2,0))</f>
        <v>#VALUE!</v>
      </c>
      <c r="L677" s="13" t="n">
        <v>0</v>
      </c>
      <c r="M677" s="13" t="str">
        <v>Yes</v>
      </c>
      <c r="N677" s="22"/>
      <c r="Q677" s="40"/>
      <c r="R677" s="13" t="b">
        <f aca="false">FALSE()</f>
        <v>0</v>
      </c>
      <c r="S677" s="13" t="n">
        <v>0</v>
      </c>
      <c r="T677" s="13" t="n">
        <f aca="false">S677*F677</f>
        <v>0</v>
      </c>
      <c r="U677" s="13" t="n">
        <v>0</v>
      </c>
      <c r="V677" s="13" t="n">
        <v>0</v>
      </c>
    </row>
    <row r="678" customFormat="false" ht="15.75" hidden="false" customHeight="false" outlineLevel="0" collapsed="false">
      <c r="A678" s="13" t="n">
        <v>0</v>
      </c>
      <c r="B678" s="13" t="str">
        <v/>
      </c>
      <c r="C678" s="13" t="n">
        <v>0</v>
      </c>
      <c r="D678" s="13" t="n">
        <v>0</v>
      </c>
      <c r="E678" s="13" t="str">
        <v/>
      </c>
      <c r="F678" s="13" t="n">
        <v>0</v>
      </c>
      <c r="G678" s="13" t="n">
        <v>0</v>
      </c>
      <c r="H678" s="13" t="n">
        <v>0</v>
      </c>
      <c r="I678" s="13" t="n">
        <v>0</v>
      </c>
      <c r="J678" s="13" t="b">
        <f aca="false">IF(ISBLANK(I678),"", IF($I$2:$I1675 = "Gohar Rehan","Overnight",IF($I$2:$I1675 = "Taufeeq Akhtar ","Overnight",IF($I$2:$I1675 = "Zeeshan Ali Malik","Audit",IF($I$2:$I1675 = "Ali Raza ","Receiving",IF($I$2:$I1675 = "Ali Ahmad","Full-In"))))))</f>
        <v>0</v>
      </c>
      <c r="K678" s="39" t="e">
        <f aca="false">IFERROR(VLOOKUP(D678,'Brand manager data '!A:B,2,0))</f>
        <v>#VALUE!</v>
      </c>
      <c r="L678" s="13" t="n">
        <v>0</v>
      </c>
      <c r="M678" s="13" t="str">
        <v>Yes</v>
      </c>
      <c r="N678" s="22"/>
      <c r="Q678" s="40"/>
      <c r="R678" s="13" t="b">
        <f aca="false">FALSE()</f>
        <v>0</v>
      </c>
      <c r="S678" s="13" t="n">
        <v>0</v>
      </c>
      <c r="T678" s="13" t="n">
        <f aca="false">S678*F678</f>
        <v>0</v>
      </c>
      <c r="U678" s="13" t="n">
        <v>0</v>
      </c>
      <c r="V678" s="13" t="n">
        <v>0</v>
      </c>
    </row>
    <row r="679" customFormat="false" ht="15.75" hidden="false" customHeight="false" outlineLevel="0" collapsed="false">
      <c r="A679" s="13" t="n">
        <v>0</v>
      </c>
      <c r="B679" s="13" t="str">
        <v/>
      </c>
      <c r="C679" s="13" t="n">
        <v>0</v>
      </c>
      <c r="D679" s="13" t="n">
        <v>0</v>
      </c>
      <c r="E679" s="13" t="str">
        <v/>
      </c>
      <c r="F679" s="13" t="n">
        <v>0</v>
      </c>
      <c r="G679" s="13" t="n">
        <v>0</v>
      </c>
      <c r="H679" s="13" t="n">
        <v>0</v>
      </c>
      <c r="I679" s="13" t="n">
        <v>0</v>
      </c>
      <c r="J679" s="13" t="b">
        <f aca="false">IF(ISBLANK(I679),"", IF($I$2:$I1676 = "Gohar Rehan","Overnight",IF($I$2:$I1676 = "Taufeeq Akhtar ","Overnight",IF($I$2:$I1676 = "Zeeshan Ali Malik","Audit",IF($I$2:$I1676 = "Ali Raza ","Receiving",IF($I$2:$I1676 = "Ali Ahmad","Full-In"))))))</f>
        <v>0</v>
      </c>
      <c r="K679" s="39" t="e">
        <f aca="false">IFERROR(VLOOKUP(D679,'Brand manager data '!A:B,2,0))</f>
        <v>#VALUE!</v>
      </c>
      <c r="L679" s="13" t="n">
        <v>0</v>
      </c>
      <c r="M679" s="13" t="str">
        <v>Yes</v>
      </c>
      <c r="N679" s="22"/>
      <c r="Q679" s="40"/>
      <c r="R679" s="13" t="b">
        <f aca="false">FALSE()</f>
        <v>0</v>
      </c>
      <c r="S679" s="13" t="n">
        <v>0</v>
      </c>
      <c r="T679" s="13" t="n">
        <f aca="false">S679*F679</f>
        <v>0</v>
      </c>
      <c r="U679" s="13" t="n">
        <v>0</v>
      </c>
      <c r="V679" s="13" t="n">
        <v>0</v>
      </c>
    </row>
    <row r="680" customFormat="false" ht="15.75" hidden="false" customHeight="false" outlineLevel="0" collapsed="false">
      <c r="A680" s="13" t="n">
        <v>0</v>
      </c>
      <c r="B680" s="13" t="str">
        <v/>
      </c>
      <c r="C680" s="13" t="n">
        <v>0</v>
      </c>
      <c r="D680" s="13" t="n">
        <v>0</v>
      </c>
      <c r="E680" s="13" t="str">
        <v/>
      </c>
      <c r="F680" s="13" t="n">
        <v>0</v>
      </c>
      <c r="G680" s="13" t="n">
        <v>0</v>
      </c>
      <c r="H680" s="13" t="n">
        <v>0</v>
      </c>
      <c r="I680" s="13" t="n">
        <v>0</v>
      </c>
      <c r="J680" s="13" t="b">
        <f aca="false">IF(ISBLANK(I680),"", IF($I$2:$I1677 = "Gohar Rehan","Overnight",IF($I$2:$I1677 = "Taufeeq Akhtar ","Overnight",IF($I$2:$I1677 = "Zeeshan Ali Malik","Audit",IF($I$2:$I1677 = "Ali Raza ","Receiving",IF($I$2:$I1677 = "Ali Ahmad","Full-In"))))))</f>
        <v>0</v>
      </c>
      <c r="K680" s="39" t="e">
        <f aca="false">IFERROR(VLOOKUP(D680,'Brand manager data '!A:B,2,0))</f>
        <v>#VALUE!</v>
      </c>
      <c r="L680" s="13" t="n">
        <v>0</v>
      </c>
      <c r="M680" s="13" t="str">
        <v>Yes</v>
      </c>
      <c r="N680" s="22"/>
      <c r="Q680" s="40"/>
      <c r="R680" s="13" t="b">
        <f aca="false">FALSE()</f>
        <v>0</v>
      </c>
      <c r="S680" s="13" t="n">
        <v>0</v>
      </c>
      <c r="T680" s="13" t="n">
        <f aca="false">S680*F680</f>
        <v>0</v>
      </c>
      <c r="U680" s="13" t="n">
        <v>0</v>
      </c>
      <c r="V680" s="13" t="n">
        <v>0</v>
      </c>
    </row>
    <row r="681" customFormat="false" ht="15.75" hidden="false" customHeight="false" outlineLevel="0" collapsed="false">
      <c r="A681" s="13" t="n">
        <v>0</v>
      </c>
      <c r="B681" s="13" t="str">
        <v/>
      </c>
      <c r="C681" s="13" t="n">
        <v>0</v>
      </c>
      <c r="D681" s="13" t="n">
        <v>0</v>
      </c>
      <c r="E681" s="13" t="str">
        <v/>
      </c>
      <c r="F681" s="13" t="n">
        <v>0</v>
      </c>
      <c r="G681" s="13" t="n">
        <v>0</v>
      </c>
      <c r="H681" s="13" t="n">
        <v>0</v>
      </c>
      <c r="I681" s="13" t="n">
        <v>0</v>
      </c>
      <c r="J681" s="13" t="b">
        <f aca="false">IF(ISBLANK(I681),"", IF($I$2:$I1678 = "Gohar Rehan","Overnight",IF($I$2:$I1678 = "Taufeeq Akhtar ","Overnight",IF($I$2:$I1678 = "Zeeshan Ali Malik","Audit",IF($I$2:$I1678 = "Ali Raza ","Receiving",IF($I$2:$I1678 = "Ali Ahmad","Full-In"))))))</f>
        <v>0</v>
      </c>
      <c r="K681" s="39" t="e">
        <f aca="false">IFERROR(VLOOKUP(D681,'Brand manager data '!A:B,2,0))</f>
        <v>#VALUE!</v>
      </c>
      <c r="L681" s="13" t="n">
        <v>0</v>
      </c>
      <c r="M681" s="13" t="str">
        <v>Yes</v>
      </c>
      <c r="N681" s="22"/>
      <c r="Q681" s="40"/>
      <c r="R681" s="13" t="b">
        <f aca="false">FALSE()</f>
        <v>0</v>
      </c>
      <c r="S681" s="13" t="n">
        <v>0</v>
      </c>
      <c r="T681" s="13" t="n">
        <f aca="false">S681*F681</f>
        <v>0</v>
      </c>
      <c r="U681" s="13" t="n">
        <v>0</v>
      </c>
      <c r="V681" s="13" t="n">
        <v>0</v>
      </c>
    </row>
    <row r="682" customFormat="false" ht="15.75" hidden="false" customHeight="false" outlineLevel="0" collapsed="false">
      <c r="A682" s="13" t="n">
        <v>0</v>
      </c>
      <c r="B682" s="13" t="str">
        <v/>
      </c>
      <c r="C682" s="13" t="n">
        <v>0</v>
      </c>
      <c r="D682" s="13" t="n">
        <v>0</v>
      </c>
      <c r="E682" s="13" t="str">
        <v/>
      </c>
      <c r="F682" s="13" t="n">
        <v>0</v>
      </c>
      <c r="G682" s="13" t="n">
        <v>0</v>
      </c>
      <c r="H682" s="13" t="n">
        <v>0</v>
      </c>
      <c r="I682" s="13" t="n">
        <v>0</v>
      </c>
      <c r="J682" s="13" t="b">
        <f aca="false">IF(ISBLANK(I682),"", IF($I$2:$I1679 = "Gohar Rehan","Overnight",IF($I$2:$I1679 = "Taufeeq Akhtar ","Overnight",IF($I$2:$I1679 = "Zeeshan Ali Malik","Audit",IF($I$2:$I1679 = "Ali Raza ","Receiving",IF($I$2:$I1679 = "Ali Ahmad","Full-In"))))))</f>
        <v>0</v>
      </c>
      <c r="K682" s="39" t="e">
        <f aca="false">IFERROR(VLOOKUP(D682,'Brand manager data '!A:B,2,0))</f>
        <v>#VALUE!</v>
      </c>
      <c r="L682" s="13" t="n">
        <v>0</v>
      </c>
      <c r="M682" s="13" t="str">
        <v>Yes</v>
      </c>
      <c r="N682" s="22"/>
      <c r="Q682" s="40"/>
      <c r="R682" s="13" t="b">
        <f aca="false">FALSE()</f>
        <v>0</v>
      </c>
      <c r="S682" s="13" t="n">
        <v>0</v>
      </c>
      <c r="T682" s="13" t="n">
        <f aca="false">S682*F682</f>
        <v>0</v>
      </c>
      <c r="U682" s="13" t="n">
        <v>0</v>
      </c>
      <c r="V682" s="13" t="n">
        <v>0</v>
      </c>
    </row>
    <row r="683" customFormat="false" ht="15.75" hidden="false" customHeight="false" outlineLevel="0" collapsed="false">
      <c r="A683" s="13" t="n">
        <v>0</v>
      </c>
      <c r="B683" s="13" t="str">
        <v/>
      </c>
      <c r="C683" s="13" t="n">
        <v>0</v>
      </c>
      <c r="D683" s="13" t="n">
        <v>0</v>
      </c>
      <c r="E683" s="13" t="str">
        <v/>
      </c>
      <c r="F683" s="13" t="n">
        <v>0</v>
      </c>
      <c r="G683" s="13" t="n">
        <v>0</v>
      </c>
      <c r="H683" s="13" t="n">
        <v>0</v>
      </c>
      <c r="I683" s="13" t="n">
        <v>0</v>
      </c>
      <c r="J683" s="13" t="b">
        <f aca="false">IF(ISBLANK(I683),"", IF($I$2:$I1680 = "Gohar Rehan","Overnight",IF($I$2:$I1680 = "Taufeeq Akhtar ","Overnight",IF($I$2:$I1680 = "Zeeshan Ali Malik","Audit",IF($I$2:$I1680 = "Ali Raza ","Receiving",IF($I$2:$I1680 = "Ali Ahmad","Full-In"))))))</f>
        <v>0</v>
      </c>
      <c r="K683" s="39" t="e">
        <f aca="false">IFERROR(VLOOKUP(D683,'Brand manager data '!A:B,2,0))</f>
        <v>#VALUE!</v>
      </c>
      <c r="L683" s="13" t="n">
        <v>0</v>
      </c>
      <c r="M683" s="13" t="str">
        <v>Yes</v>
      </c>
      <c r="N683" s="22"/>
      <c r="Q683" s="40"/>
      <c r="R683" s="13" t="b">
        <f aca="false">FALSE()</f>
        <v>0</v>
      </c>
      <c r="S683" s="13" t="n">
        <v>0</v>
      </c>
      <c r="T683" s="13" t="n">
        <f aca="false">S683*F683</f>
        <v>0</v>
      </c>
      <c r="U683" s="13" t="n">
        <v>0</v>
      </c>
      <c r="V683" s="13" t="n">
        <v>0</v>
      </c>
    </row>
    <row r="684" customFormat="false" ht="15.75" hidden="false" customHeight="false" outlineLevel="0" collapsed="false">
      <c r="A684" s="13" t="n">
        <v>0</v>
      </c>
      <c r="B684" s="13" t="str">
        <v/>
      </c>
      <c r="C684" s="13" t="n">
        <v>0</v>
      </c>
      <c r="D684" s="13" t="n">
        <v>0</v>
      </c>
      <c r="E684" s="13" t="str">
        <v/>
      </c>
      <c r="F684" s="13" t="n">
        <v>0</v>
      </c>
      <c r="G684" s="13" t="n">
        <v>0</v>
      </c>
      <c r="H684" s="13" t="n">
        <v>0</v>
      </c>
      <c r="I684" s="13" t="n">
        <v>0</v>
      </c>
      <c r="J684" s="13" t="b">
        <f aca="false">IF(ISBLANK(I684),"", IF($I$2:$I1681 = "Gohar Rehan","Overnight",IF($I$2:$I1681 = "Taufeeq Akhtar ","Overnight",IF($I$2:$I1681 = "Zeeshan Ali Malik","Audit",IF($I$2:$I1681 = "Ali Raza ","Receiving",IF($I$2:$I1681 = "Ali Ahmad","Full-In"))))))</f>
        <v>0</v>
      </c>
      <c r="K684" s="39" t="e">
        <f aca="false">IFERROR(VLOOKUP(D684,'Brand manager data '!A:B,2,0))</f>
        <v>#VALUE!</v>
      </c>
      <c r="L684" s="13" t="n">
        <v>0</v>
      </c>
      <c r="M684" s="13" t="str">
        <v>Yes</v>
      </c>
      <c r="N684" s="22"/>
      <c r="Q684" s="40"/>
      <c r="R684" s="13" t="b">
        <f aca="false">FALSE()</f>
        <v>0</v>
      </c>
      <c r="S684" s="13" t="n">
        <v>0</v>
      </c>
      <c r="T684" s="13" t="n">
        <f aca="false">S684*F684</f>
        <v>0</v>
      </c>
      <c r="U684" s="13" t="n">
        <v>0</v>
      </c>
      <c r="V684" s="13" t="n">
        <v>0</v>
      </c>
    </row>
    <row r="685" customFormat="false" ht="15.75" hidden="false" customHeight="false" outlineLevel="0" collapsed="false">
      <c r="A685" s="13" t="n">
        <v>0</v>
      </c>
      <c r="B685" s="13" t="str">
        <v/>
      </c>
      <c r="C685" s="13" t="n">
        <v>0</v>
      </c>
      <c r="D685" s="13" t="n">
        <v>0</v>
      </c>
      <c r="E685" s="13" t="str">
        <v/>
      </c>
      <c r="F685" s="13" t="n">
        <v>0</v>
      </c>
      <c r="G685" s="13" t="n">
        <v>0</v>
      </c>
      <c r="H685" s="13" t="n">
        <v>0</v>
      </c>
      <c r="I685" s="13" t="n">
        <v>0</v>
      </c>
      <c r="J685" s="13" t="b">
        <f aca="false">IF(ISBLANK(I685),"", IF($I$2:$I1682 = "Gohar Rehan","Overnight",IF($I$2:$I1682 = "Taufeeq Akhtar ","Overnight",IF($I$2:$I1682 = "Zeeshan Ali Malik","Audit",IF($I$2:$I1682 = "Ali Raza ","Receiving",IF($I$2:$I1682 = "Ali Ahmad","Full-In"))))))</f>
        <v>0</v>
      </c>
      <c r="K685" s="39" t="e">
        <f aca="false">IFERROR(VLOOKUP(D685,'Brand manager data '!A:B,2,0))</f>
        <v>#VALUE!</v>
      </c>
      <c r="L685" s="13" t="n">
        <v>0</v>
      </c>
      <c r="M685" s="13" t="str">
        <v>Yes</v>
      </c>
      <c r="N685" s="22"/>
      <c r="Q685" s="40"/>
      <c r="R685" s="13" t="b">
        <f aca="false">FALSE()</f>
        <v>0</v>
      </c>
      <c r="S685" s="13" t="n">
        <v>0</v>
      </c>
      <c r="T685" s="13" t="n">
        <f aca="false">S685*F685</f>
        <v>0</v>
      </c>
      <c r="U685" s="13" t="n">
        <v>0</v>
      </c>
      <c r="V685" s="13" t="n">
        <v>0</v>
      </c>
    </row>
    <row r="686" customFormat="false" ht="15.75" hidden="false" customHeight="false" outlineLevel="0" collapsed="false">
      <c r="A686" s="13" t="n">
        <v>0</v>
      </c>
      <c r="B686" s="13" t="str">
        <v/>
      </c>
      <c r="C686" s="13" t="n">
        <v>0</v>
      </c>
      <c r="D686" s="13" t="n">
        <v>0</v>
      </c>
      <c r="E686" s="13" t="str">
        <v/>
      </c>
      <c r="F686" s="13" t="n">
        <v>0</v>
      </c>
      <c r="G686" s="13" t="n">
        <v>0</v>
      </c>
      <c r="H686" s="13" t="n">
        <v>0</v>
      </c>
      <c r="I686" s="13" t="n">
        <v>0</v>
      </c>
      <c r="J686" s="13" t="b">
        <f aca="false">IF(ISBLANK(I686),"", IF($I$2:$I1683 = "Gohar Rehan","Overnight",IF($I$2:$I1683 = "Taufeeq Akhtar ","Overnight",IF($I$2:$I1683 = "Zeeshan Ali Malik","Audit",IF($I$2:$I1683 = "Ali Raza ","Receiving",IF($I$2:$I1683 = "Ali Ahmad","Full-In"))))))</f>
        <v>0</v>
      </c>
      <c r="K686" s="39" t="e">
        <f aca="false">IFERROR(VLOOKUP(D686,'Brand manager data '!A:B,2,0))</f>
        <v>#VALUE!</v>
      </c>
      <c r="L686" s="13" t="n">
        <v>0</v>
      </c>
      <c r="M686" s="13" t="str">
        <v>Yes</v>
      </c>
      <c r="N686" s="22"/>
      <c r="Q686" s="40"/>
      <c r="R686" s="13" t="b">
        <f aca="false">FALSE()</f>
        <v>0</v>
      </c>
      <c r="S686" s="13" t="n">
        <v>0</v>
      </c>
      <c r="T686" s="13" t="n">
        <f aca="false">S686*F686</f>
        <v>0</v>
      </c>
      <c r="U686" s="13" t="n">
        <v>0</v>
      </c>
      <c r="V686" s="13" t="n">
        <v>0</v>
      </c>
    </row>
    <row r="687" customFormat="false" ht="15.75" hidden="false" customHeight="false" outlineLevel="0" collapsed="false">
      <c r="A687" s="13" t="n">
        <v>0</v>
      </c>
      <c r="B687" s="13" t="str">
        <v/>
      </c>
      <c r="C687" s="13" t="n">
        <v>0</v>
      </c>
      <c r="D687" s="13" t="n">
        <v>0</v>
      </c>
      <c r="E687" s="13" t="str">
        <v/>
      </c>
      <c r="F687" s="13" t="n">
        <v>0</v>
      </c>
      <c r="G687" s="13" t="n">
        <v>0</v>
      </c>
      <c r="H687" s="13" t="n">
        <v>0</v>
      </c>
      <c r="I687" s="13" t="n">
        <v>0</v>
      </c>
      <c r="J687" s="13" t="b">
        <f aca="false">IF(ISBLANK(I687),"", IF($I$2:$I1684 = "Gohar Rehan","Overnight",IF($I$2:$I1684 = "Taufeeq Akhtar ","Overnight",IF($I$2:$I1684 = "Zeeshan Ali Malik","Audit",IF($I$2:$I1684 = "Ali Raza ","Receiving",IF($I$2:$I1684 = "Ali Ahmad","Full-In"))))))</f>
        <v>0</v>
      </c>
      <c r="K687" s="39" t="e">
        <f aca="false">IFERROR(VLOOKUP(D687,'Brand manager data '!A:B,2,0))</f>
        <v>#VALUE!</v>
      </c>
      <c r="L687" s="13" t="n">
        <v>0</v>
      </c>
      <c r="M687" s="13" t="str">
        <v>Yes</v>
      </c>
      <c r="N687" s="22"/>
      <c r="Q687" s="40"/>
      <c r="R687" s="13" t="b">
        <f aca="false">FALSE()</f>
        <v>0</v>
      </c>
      <c r="S687" s="13" t="n">
        <v>0</v>
      </c>
      <c r="T687" s="13" t="n">
        <f aca="false">S687*F687</f>
        <v>0</v>
      </c>
      <c r="U687" s="13" t="n">
        <v>0</v>
      </c>
      <c r="V687" s="13" t="n">
        <v>0</v>
      </c>
    </row>
    <row r="688" customFormat="false" ht="15.75" hidden="false" customHeight="false" outlineLevel="0" collapsed="false">
      <c r="A688" s="13" t="n">
        <v>0</v>
      </c>
      <c r="B688" s="13" t="str">
        <v/>
      </c>
      <c r="C688" s="13" t="n">
        <v>0</v>
      </c>
      <c r="D688" s="13" t="n">
        <v>0</v>
      </c>
      <c r="E688" s="13" t="str">
        <v/>
      </c>
      <c r="F688" s="13" t="n">
        <v>0</v>
      </c>
      <c r="G688" s="13" t="n">
        <v>0</v>
      </c>
      <c r="H688" s="13" t="n">
        <v>0</v>
      </c>
      <c r="I688" s="13" t="n">
        <v>0</v>
      </c>
      <c r="J688" s="13" t="b">
        <f aca="false">IF(ISBLANK(I688),"", IF($I$2:$I1685 = "Gohar Rehan","Overnight",IF($I$2:$I1685 = "Taufeeq Akhtar ","Overnight",IF($I$2:$I1685 = "Zeeshan Ali Malik","Audit",IF($I$2:$I1685 = "Ali Raza ","Receiving",IF($I$2:$I1685 = "Ali Ahmad","Full-In"))))))</f>
        <v>0</v>
      </c>
      <c r="K688" s="39" t="e">
        <f aca="false">IFERROR(VLOOKUP(D688,'Brand manager data '!A:B,2,0))</f>
        <v>#VALUE!</v>
      </c>
      <c r="L688" s="13" t="n">
        <v>0</v>
      </c>
      <c r="M688" s="13" t="str">
        <v>Yes</v>
      </c>
      <c r="N688" s="22"/>
      <c r="Q688" s="40"/>
      <c r="R688" s="13" t="b">
        <f aca="false">FALSE()</f>
        <v>0</v>
      </c>
      <c r="S688" s="13" t="n">
        <v>0</v>
      </c>
      <c r="T688" s="13" t="n">
        <f aca="false">S688*F688</f>
        <v>0</v>
      </c>
      <c r="U688" s="13" t="n">
        <v>0</v>
      </c>
      <c r="V688" s="13" t="n">
        <v>0</v>
      </c>
    </row>
    <row r="689" customFormat="false" ht="15.75" hidden="false" customHeight="false" outlineLevel="0" collapsed="false">
      <c r="A689" s="13" t="n">
        <v>0</v>
      </c>
      <c r="B689" s="13" t="str">
        <v/>
      </c>
      <c r="C689" s="13" t="n">
        <v>0</v>
      </c>
      <c r="D689" s="13" t="n">
        <v>0</v>
      </c>
      <c r="E689" s="13" t="str">
        <v/>
      </c>
      <c r="F689" s="13" t="n">
        <v>0</v>
      </c>
      <c r="G689" s="13" t="n">
        <v>0</v>
      </c>
      <c r="H689" s="13" t="n">
        <v>0</v>
      </c>
      <c r="I689" s="13" t="n">
        <v>0</v>
      </c>
      <c r="J689" s="13" t="b">
        <f aca="false">IF(ISBLANK(I689),"", IF($I$2:$I1686 = "Gohar Rehan","Overnight",IF($I$2:$I1686 = "Taufeeq Akhtar ","Overnight",IF($I$2:$I1686 = "Zeeshan Ali Malik","Audit",IF($I$2:$I1686 = "Ali Raza ","Receiving",IF($I$2:$I1686 = "Ali Ahmad","Full-In"))))))</f>
        <v>0</v>
      </c>
      <c r="K689" s="39" t="e">
        <f aca="false">IFERROR(VLOOKUP(D689,'Brand manager data '!A:B,2,0))</f>
        <v>#VALUE!</v>
      </c>
      <c r="L689" s="13" t="n">
        <v>0</v>
      </c>
      <c r="M689" s="13" t="str">
        <v>Yes</v>
      </c>
      <c r="N689" s="22"/>
      <c r="Q689" s="40"/>
      <c r="R689" s="13" t="b">
        <f aca="false">FALSE()</f>
        <v>0</v>
      </c>
      <c r="S689" s="13" t="n">
        <v>0</v>
      </c>
      <c r="T689" s="13" t="n">
        <f aca="false">S689*F689</f>
        <v>0</v>
      </c>
      <c r="U689" s="13" t="n">
        <v>0</v>
      </c>
      <c r="V689" s="13" t="n">
        <v>0</v>
      </c>
    </row>
    <row r="690" customFormat="false" ht="15.75" hidden="false" customHeight="false" outlineLevel="0" collapsed="false">
      <c r="A690" s="13" t="n">
        <v>0</v>
      </c>
      <c r="B690" s="13" t="str">
        <v/>
      </c>
      <c r="C690" s="13" t="n">
        <v>0</v>
      </c>
      <c r="D690" s="13" t="n">
        <v>0</v>
      </c>
      <c r="E690" s="13" t="str">
        <v/>
      </c>
      <c r="F690" s="13" t="n">
        <v>0</v>
      </c>
      <c r="G690" s="13" t="n">
        <v>0</v>
      </c>
      <c r="H690" s="13" t="n">
        <v>0</v>
      </c>
      <c r="I690" s="13" t="n">
        <v>0</v>
      </c>
      <c r="J690" s="13" t="b">
        <f aca="false">IF(ISBLANK(I690),"", IF($I$2:$I1687 = "Gohar Rehan","Overnight",IF($I$2:$I1687 = "Taufeeq Akhtar ","Overnight",IF($I$2:$I1687 = "Zeeshan Ali Malik","Audit",IF($I$2:$I1687 = "Ali Raza ","Receiving",IF($I$2:$I1687 = "Ali Ahmad","Full-In"))))))</f>
        <v>0</v>
      </c>
      <c r="K690" s="39" t="e">
        <f aca="false">IFERROR(VLOOKUP(D690,'Brand manager data '!A:B,2,0))</f>
        <v>#VALUE!</v>
      </c>
      <c r="L690" s="13" t="n">
        <v>0</v>
      </c>
      <c r="M690" s="13" t="str">
        <v>Yes</v>
      </c>
      <c r="N690" s="22"/>
      <c r="Q690" s="40"/>
      <c r="R690" s="13" t="b">
        <f aca="false">FALSE()</f>
        <v>0</v>
      </c>
      <c r="S690" s="13" t="n">
        <v>0</v>
      </c>
      <c r="T690" s="13" t="n">
        <f aca="false">S690*F690</f>
        <v>0</v>
      </c>
      <c r="U690" s="13" t="n">
        <v>0</v>
      </c>
      <c r="V690" s="13" t="n">
        <v>0</v>
      </c>
    </row>
    <row r="691" customFormat="false" ht="15.75" hidden="false" customHeight="false" outlineLevel="0" collapsed="false">
      <c r="A691" s="13" t="n">
        <v>0</v>
      </c>
      <c r="B691" s="13" t="str">
        <v/>
      </c>
      <c r="C691" s="13" t="n">
        <v>0</v>
      </c>
      <c r="D691" s="13" t="n">
        <v>0</v>
      </c>
      <c r="E691" s="13" t="str">
        <v/>
      </c>
      <c r="F691" s="13" t="n">
        <v>0</v>
      </c>
      <c r="G691" s="13" t="n">
        <v>0</v>
      </c>
      <c r="H691" s="13" t="n">
        <v>0</v>
      </c>
      <c r="I691" s="13" t="n">
        <v>0</v>
      </c>
      <c r="J691" s="13" t="b">
        <f aca="false">IF(ISBLANK(I691),"", IF($I$2:$I1688 = "Gohar Rehan","Overnight",IF($I$2:$I1688 = "Taufeeq Akhtar ","Overnight",IF($I$2:$I1688 = "Zeeshan Ali Malik","Audit",IF($I$2:$I1688 = "Ali Raza ","Receiving",IF($I$2:$I1688 = "Ali Ahmad","Full-In"))))))</f>
        <v>0</v>
      </c>
      <c r="K691" s="39" t="e">
        <f aca="false">IFERROR(VLOOKUP(D691,'Brand manager data '!A:B,2,0))</f>
        <v>#VALUE!</v>
      </c>
      <c r="L691" s="13" t="n">
        <v>0</v>
      </c>
      <c r="M691" s="13" t="str">
        <v>Yes</v>
      </c>
      <c r="N691" s="22"/>
      <c r="Q691" s="40"/>
      <c r="R691" s="13" t="b">
        <f aca="false">FALSE()</f>
        <v>0</v>
      </c>
      <c r="S691" s="13" t="n">
        <v>0</v>
      </c>
      <c r="T691" s="13" t="n">
        <f aca="false">S691*F691</f>
        <v>0</v>
      </c>
      <c r="U691" s="13" t="n">
        <v>0</v>
      </c>
      <c r="V691" s="13" t="n">
        <v>0</v>
      </c>
    </row>
    <row r="692" customFormat="false" ht="15.75" hidden="false" customHeight="false" outlineLevel="0" collapsed="false">
      <c r="A692" s="13" t="n">
        <v>0</v>
      </c>
      <c r="B692" s="13" t="str">
        <v/>
      </c>
      <c r="C692" s="13" t="n">
        <v>0</v>
      </c>
      <c r="D692" s="13" t="n">
        <v>0</v>
      </c>
      <c r="E692" s="13" t="str">
        <v/>
      </c>
      <c r="F692" s="13" t="n">
        <v>0</v>
      </c>
      <c r="G692" s="13" t="n">
        <v>0</v>
      </c>
      <c r="H692" s="13" t="n">
        <v>0</v>
      </c>
      <c r="I692" s="13" t="n">
        <v>0</v>
      </c>
      <c r="J692" s="13" t="b">
        <f aca="false">IF(ISBLANK(I692),"", IF($I$2:$I1689 = "Gohar Rehan","Overnight",IF($I$2:$I1689 = "Taufeeq Akhtar ","Overnight",IF($I$2:$I1689 = "Zeeshan Ali Malik","Audit",IF($I$2:$I1689 = "Ali Raza ","Receiving",IF($I$2:$I1689 = "Ali Ahmad","Full-In"))))))</f>
        <v>0</v>
      </c>
      <c r="K692" s="39" t="e">
        <f aca="false">IFERROR(VLOOKUP(D692,'Brand manager data '!A:B,2,0))</f>
        <v>#VALUE!</v>
      </c>
      <c r="L692" s="13" t="n">
        <v>0</v>
      </c>
      <c r="M692" s="13" t="str">
        <v>Yes</v>
      </c>
      <c r="N692" s="22"/>
      <c r="Q692" s="40"/>
      <c r="R692" s="13" t="b">
        <f aca="false">FALSE()</f>
        <v>0</v>
      </c>
      <c r="S692" s="13" t="n">
        <v>0</v>
      </c>
      <c r="T692" s="13" t="n">
        <f aca="false">S692*F692</f>
        <v>0</v>
      </c>
      <c r="U692" s="13" t="n">
        <v>0</v>
      </c>
      <c r="V692" s="13" t="n">
        <v>0</v>
      </c>
    </row>
    <row r="693" customFormat="false" ht="15.75" hidden="false" customHeight="false" outlineLevel="0" collapsed="false">
      <c r="A693" s="13" t="n">
        <v>0</v>
      </c>
      <c r="B693" s="13" t="str">
        <v/>
      </c>
      <c r="C693" s="13" t="n">
        <v>0</v>
      </c>
      <c r="D693" s="13" t="n">
        <v>0</v>
      </c>
      <c r="E693" s="13" t="str">
        <v/>
      </c>
      <c r="F693" s="13" t="n">
        <v>0</v>
      </c>
      <c r="G693" s="13" t="n">
        <v>0</v>
      </c>
      <c r="H693" s="13" t="n">
        <v>0</v>
      </c>
      <c r="I693" s="13" t="n">
        <v>0</v>
      </c>
      <c r="J693" s="13" t="b">
        <f aca="false">IF(ISBLANK(I693),"", IF($I$2:$I1690 = "Gohar Rehan","Overnight",IF($I$2:$I1690 = "Taufeeq Akhtar ","Overnight",IF($I$2:$I1690 = "Zeeshan Ali Malik","Audit",IF($I$2:$I1690 = "Ali Raza ","Receiving",IF($I$2:$I1690 = "Ali Ahmad","Full-In"))))))</f>
        <v>0</v>
      </c>
      <c r="K693" s="39" t="e">
        <f aca="false">IFERROR(VLOOKUP(D693,'Brand manager data '!A:B,2,0))</f>
        <v>#VALUE!</v>
      </c>
      <c r="L693" s="13" t="n">
        <v>0</v>
      </c>
      <c r="M693" s="13" t="str">
        <v>Yes</v>
      </c>
      <c r="N693" s="22"/>
      <c r="Q693" s="40"/>
      <c r="R693" s="13" t="b">
        <f aca="false">FALSE()</f>
        <v>0</v>
      </c>
      <c r="S693" s="13" t="n">
        <v>0</v>
      </c>
      <c r="T693" s="13" t="n">
        <f aca="false">S693*F693</f>
        <v>0</v>
      </c>
      <c r="U693" s="13" t="n">
        <v>0</v>
      </c>
      <c r="V693" s="13" t="n">
        <v>0</v>
      </c>
    </row>
    <row r="694" customFormat="false" ht="15.75" hidden="false" customHeight="false" outlineLevel="0" collapsed="false">
      <c r="A694" s="13" t="n">
        <v>0</v>
      </c>
      <c r="B694" s="13" t="str">
        <v/>
      </c>
      <c r="C694" s="13" t="n">
        <v>0</v>
      </c>
      <c r="D694" s="13" t="n">
        <v>0</v>
      </c>
      <c r="E694" s="13" t="str">
        <v/>
      </c>
      <c r="F694" s="13" t="n">
        <v>0</v>
      </c>
      <c r="G694" s="13" t="n">
        <v>0</v>
      </c>
      <c r="H694" s="13" t="n">
        <v>0</v>
      </c>
      <c r="I694" s="13" t="n">
        <v>0</v>
      </c>
      <c r="J694" s="13" t="b">
        <f aca="false">IF(ISBLANK(I694),"", IF($I$2:$I1691 = "Gohar Rehan","Overnight",IF($I$2:$I1691 = "Taufeeq Akhtar ","Overnight",IF($I$2:$I1691 = "Zeeshan Ali Malik","Audit",IF($I$2:$I1691 = "Ali Raza ","Receiving",IF($I$2:$I1691 = "Ali Ahmad","Full-In"))))))</f>
        <v>0</v>
      </c>
      <c r="K694" s="39" t="e">
        <f aca="false">IFERROR(VLOOKUP(D694,'Brand manager data '!A:B,2,0))</f>
        <v>#VALUE!</v>
      </c>
      <c r="L694" s="13" t="n">
        <v>0</v>
      </c>
      <c r="M694" s="13" t="str">
        <v>Yes</v>
      </c>
      <c r="N694" s="22"/>
      <c r="Q694" s="40"/>
      <c r="R694" s="13" t="b">
        <f aca="false">FALSE()</f>
        <v>0</v>
      </c>
      <c r="S694" s="13" t="n">
        <v>0</v>
      </c>
      <c r="T694" s="13" t="n">
        <f aca="false">S694*F694</f>
        <v>0</v>
      </c>
      <c r="U694" s="13" t="n">
        <v>0</v>
      </c>
      <c r="V694" s="13" t="n">
        <v>0</v>
      </c>
    </row>
    <row r="695" customFormat="false" ht="15.75" hidden="false" customHeight="false" outlineLevel="0" collapsed="false">
      <c r="A695" s="13" t="n">
        <v>0</v>
      </c>
      <c r="B695" s="13" t="str">
        <v/>
      </c>
      <c r="C695" s="13" t="n">
        <v>0</v>
      </c>
      <c r="D695" s="13" t="n">
        <v>0</v>
      </c>
      <c r="E695" s="13" t="str">
        <v/>
      </c>
      <c r="F695" s="13" t="n">
        <v>0</v>
      </c>
      <c r="G695" s="13" t="n">
        <v>0</v>
      </c>
      <c r="H695" s="13" t="n">
        <v>0</v>
      </c>
      <c r="I695" s="13" t="n">
        <v>0</v>
      </c>
      <c r="J695" s="13" t="b">
        <f aca="false">IF(ISBLANK(I695),"", IF($I$2:$I1692 = "Gohar Rehan","Overnight",IF($I$2:$I1692 = "Taufeeq Akhtar ","Overnight",IF($I$2:$I1692 = "Zeeshan Ali Malik","Audit",IF($I$2:$I1692 = "Ali Raza ","Receiving",IF($I$2:$I1692 = "Ali Ahmad","Full-In"))))))</f>
        <v>0</v>
      </c>
      <c r="K695" s="39" t="e">
        <f aca="false">IFERROR(VLOOKUP(D695,'Brand manager data '!A:B,2,0))</f>
        <v>#VALUE!</v>
      </c>
      <c r="L695" s="13" t="n">
        <v>0</v>
      </c>
      <c r="M695" s="13" t="str">
        <v>Yes</v>
      </c>
      <c r="N695" s="22"/>
      <c r="Q695" s="40"/>
      <c r="R695" s="13" t="b">
        <f aca="false">FALSE()</f>
        <v>0</v>
      </c>
      <c r="S695" s="13" t="n">
        <v>0</v>
      </c>
      <c r="T695" s="13" t="n">
        <f aca="false">S695*F695</f>
        <v>0</v>
      </c>
      <c r="U695" s="13" t="n">
        <v>0</v>
      </c>
      <c r="V695" s="13" t="n">
        <v>0</v>
      </c>
    </row>
    <row r="696" customFormat="false" ht="15.75" hidden="false" customHeight="false" outlineLevel="0" collapsed="false">
      <c r="A696" s="13" t="n">
        <v>0</v>
      </c>
      <c r="B696" s="13" t="str">
        <v/>
      </c>
      <c r="C696" s="13" t="n">
        <v>0</v>
      </c>
      <c r="D696" s="13" t="n">
        <v>0</v>
      </c>
      <c r="E696" s="13" t="str">
        <v/>
      </c>
      <c r="F696" s="13" t="n">
        <v>0</v>
      </c>
      <c r="G696" s="13" t="n">
        <v>0</v>
      </c>
      <c r="H696" s="13" t="n">
        <v>0</v>
      </c>
      <c r="I696" s="13" t="n">
        <v>0</v>
      </c>
      <c r="J696" s="13" t="b">
        <f aca="false">IF(ISBLANK(I696),"", IF($I$2:$I1693 = "Gohar Rehan","Overnight",IF($I$2:$I1693 = "Taufeeq Akhtar ","Overnight",IF($I$2:$I1693 = "Zeeshan Ali Malik","Audit",IF($I$2:$I1693 = "Ali Raza ","Receiving",IF($I$2:$I1693 = "Ali Ahmad","Full-In"))))))</f>
        <v>0</v>
      </c>
      <c r="K696" s="39" t="e">
        <f aca="false">IFERROR(VLOOKUP(D696,'Brand manager data '!A:B,2,0))</f>
        <v>#VALUE!</v>
      </c>
      <c r="L696" s="13" t="n">
        <v>0</v>
      </c>
      <c r="M696" s="13" t="str">
        <v>Yes</v>
      </c>
      <c r="N696" s="22"/>
      <c r="Q696" s="40"/>
      <c r="R696" s="13" t="b">
        <f aca="false">FALSE()</f>
        <v>0</v>
      </c>
      <c r="S696" s="13" t="n">
        <v>0</v>
      </c>
      <c r="T696" s="13" t="n">
        <f aca="false">S696*F696</f>
        <v>0</v>
      </c>
      <c r="U696" s="13" t="n">
        <v>0</v>
      </c>
      <c r="V696" s="13" t="n">
        <v>0</v>
      </c>
    </row>
    <row r="697" customFormat="false" ht="15.75" hidden="false" customHeight="false" outlineLevel="0" collapsed="false">
      <c r="A697" s="13" t="n">
        <v>0</v>
      </c>
      <c r="B697" s="13" t="str">
        <v/>
      </c>
      <c r="C697" s="13" t="n">
        <v>0</v>
      </c>
      <c r="D697" s="13" t="n">
        <v>0</v>
      </c>
      <c r="E697" s="13" t="str">
        <v/>
      </c>
      <c r="F697" s="13" t="n">
        <v>0</v>
      </c>
      <c r="G697" s="13" t="n">
        <v>0</v>
      </c>
      <c r="H697" s="13" t="n">
        <v>0</v>
      </c>
      <c r="I697" s="13" t="n">
        <v>0</v>
      </c>
      <c r="J697" s="13" t="b">
        <f aca="false">IF(ISBLANK(I697),"", IF($I$2:$I1694 = "Gohar Rehan","Overnight",IF($I$2:$I1694 = "Taufeeq Akhtar ","Overnight",IF($I$2:$I1694 = "Zeeshan Ali Malik","Audit",IF($I$2:$I1694 = "Ali Raza ","Receiving",IF($I$2:$I1694 = "Ali Ahmad","Full-In"))))))</f>
        <v>0</v>
      </c>
      <c r="K697" s="39" t="e">
        <f aca="false">IFERROR(VLOOKUP(D697,'Brand manager data '!A:B,2,0))</f>
        <v>#VALUE!</v>
      </c>
      <c r="L697" s="13" t="n">
        <v>0</v>
      </c>
      <c r="M697" s="13" t="str">
        <v>Yes</v>
      </c>
      <c r="N697" s="22"/>
      <c r="Q697" s="40"/>
      <c r="R697" s="13" t="b">
        <f aca="false">FALSE()</f>
        <v>0</v>
      </c>
      <c r="S697" s="13" t="n">
        <v>0</v>
      </c>
      <c r="T697" s="13" t="n">
        <f aca="false">S697*F697</f>
        <v>0</v>
      </c>
      <c r="U697" s="13" t="n">
        <v>0</v>
      </c>
      <c r="V697" s="13" t="n">
        <v>0</v>
      </c>
    </row>
    <row r="698" customFormat="false" ht="15.75" hidden="false" customHeight="false" outlineLevel="0" collapsed="false">
      <c r="A698" s="13" t="n">
        <v>0</v>
      </c>
      <c r="B698" s="13" t="str">
        <v/>
      </c>
      <c r="C698" s="13" t="n">
        <v>0</v>
      </c>
      <c r="D698" s="13" t="n">
        <v>0</v>
      </c>
      <c r="E698" s="13" t="str">
        <v/>
      </c>
      <c r="F698" s="13" t="n">
        <v>0</v>
      </c>
      <c r="G698" s="13" t="n">
        <v>0</v>
      </c>
      <c r="H698" s="13" t="n">
        <v>0</v>
      </c>
      <c r="I698" s="13" t="n">
        <v>0</v>
      </c>
      <c r="J698" s="13" t="b">
        <f aca="false">IF(ISBLANK(I698),"", IF($I$2:$I1695 = "Gohar Rehan","Overnight",IF($I$2:$I1695 = "Taufeeq Akhtar ","Overnight",IF($I$2:$I1695 = "Zeeshan Ali Malik","Audit",IF($I$2:$I1695 = "Ali Raza ","Receiving",IF($I$2:$I1695 = "Ali Ahmad","Full-In"))))))</f>
        <v>0</v>
      </c>
      <c r="K698" s="39" t="e">
        <f aca="false">IFERROR(VLOOKUP(D698,'Brand manager data '!A:B,2,0))</f>
        <v>#VALUE!</v>
      </c>
      <c r="L698" s="13" t="n">
        <v>0</v>
      </c>
      <c r="M698" s="13" t="str">
        <v>Yes</v>
      </c>
      <c r="N698" s="22"/>
      <c r="Q698" s="40"/>
      <c r="R698" s="13" t="b">
        <f aca="false">FALSE()</f>
        <v>0</v>
      </c>
      <c r="S698" s="13" t="n">
        <v>0</v>
      </c>
      <c r="T698" s="13" t="n">
        <f aca="false">S698*F698</f>
        <v>0</v>
      </c>
      <c r="U698" s="13" t="n">
        <v>0</v>
      </c>
      <c r="V698" s="13" t="n">
        <v>0</v>
      </c>
    </row>
    <row r="699" customFormat="false" ht="15.75" hidden="false" customHeight="false" outlineLevel="0" collapsed="false">
      <c r="A699" s="13" t="n">
        <v>0</v>
      </c>
      <c r="B699" s="13" t="str">
        <v/>
      </c>
      <c r="C699" s="13" t="n">
        <v>0</v>
      </c>
      <c r="D699" s="13" t="n">
        <v>0</v>
      </c>
      <c r="E699" s="13" t="str">
        <v/>
      </c>
      <c r="F699" s="13" t="n">
        <v>0</v>
      </c>
      <c r="G699" s="13" t="n">
        <v>0</v>
      </c>
      <c r="H699" s="13" t="n">
        <v>0</v>
      </c>
      <c r="I699" s="13" t="n">
        <v>0</v>
      </c>
      <c r="J699" s="13" t="b">
        <f aca="false">IF(ISBLANK(I699),"", IF($I$2:$I1696 = "Gohar Rehan","Overnight",IF($I$2:$I1696 = "Taufeeq Akhtar ","Overnight",IF($I$2:$I1696 = "Zeeshan Ali Malik","Audit",IF($I$2:$I1696 = "Ali Raza ","Receiving",IF($I$2:$I1696 = "Ali Ahmad","Full-In"))))))</f>
        <v>0</v>
      </c>
      <c r="K699" s="39" t="e">
        <f aca="false">IFERROR(VLOOKUP(D699,'Brand manager data '!A:B,2,0))</f>
        <v>#VALUE!</v>
      </c>
      <c r="L699" s="13" t="n">
        <v>0</v>
      </c>
      <c r="M699" s="13" t="str">
        <v>Yes</v>
      </c>
      <c r="N699" s="22"/>
      <c r="Q699" s="40"/>
      <c r="R699" s="13" t="b">
        <f aca="false">FALSE()</f>
        <v>0</v>
      </c>
      <c r="S699" s="13" t="n">
        <v>0</v>
      </c>
      <c r="T699" s="13" t="n">
        <f aca="false">S699*F699</f>
        <v>0</v>
      </c>
      <c r="U699" s="13" t="n">
        <v>0</v>
      </c>
      <c r="V699" s="13" t="n">
        <v>0</v>
      </c>
    </row>
    <row r="700" customFormat="false" ht="15.75" hidden="false" customHeight="false" outlineLevel="0" collapsed="false">
      <c r="A700" s="13" t="n">
        <v>0</v>
      </c>
      <c r="B700" s="13" t="str">
        <v/>
      </c>
      <c r="C700" s="13" t="n">
        <v>0</v>
      </c>
      <c r="D700" s="13" t="n">
        <v>0</v>
      </c>
      <c r="E700" s="13" t="str">
        <v/>
      </c>
      <c r="F700" s="13" t="n">
        <v>0</v>
      </c>
      <c r="G700" s="13" t="n">
        <v>0</v>
      </c>
      <c r="H700" s="13" t="n">
        <v>0</v>
      </c>
      <c r="I700" s="13" t="n">
        <v>0</v>
      </c>
      <c r="J700" s="13" t="b">
        <f aca="false">IF(ISBLANK(I700),"", IF($I$2:$I1697 = "Gohar Rehan","Overnight",IF($I$2:$I1697 = "Taufeeq Akhtar ","Overnight",IF($I$2:$I1697 = "Zeeshan Ali Malik","Audit",IF($I$2:$I1697 = "Ali Raza ","Receiving",IF($I$2:$I1697 = "Ali Ahmad","Full-In"))))))</f>
        <v>0</v>
      </c>
      <c r="K700" s="39" t="e">
        <f aca="false">IFERROR(VLOOKUP(D700,'Brand manager data '!A:B,2,0))</f>
        <v>#VALUE!</v>
      </c>
      <c r="L700" s="13" t="n">
        <v>0</v>
      </c>
      <c r="M700" s="13" t="str">
        <v>Yes</v>
      </c>
      <c r="N700" s="22"/>
      <c r="Q700" s="40"/>
      <c r="R700" s="13" t="b">
        <f aca="false">FALSE()</f>
        <v>0</v>
      </c>
      <c r="S700" s="13" t="n">
        <v>0</v>
      </c>
      <c r="T700" s="13" t="n">
        <f aca="false">S700*F700</f>
        <v>0</v>
      </c>
      <c r="U700" s="13" t="n">
        <v>0</v>
      </c>
      <c r="V700" s="13" t="n">
        <v>0</v>
      </c>
    </row>
    <row r="701" customFormat="false" ht="15.75" hidden="false" customHeight="false" outlineLevel="0" collapsed="false">
      <c r="A701" s="13" t="n">
        <v>0</v>
      </c>
      <c r="B701" s="13" t="str">
        <v/>
      </c>
      <c r="C701" s="13" t="n">
        <v>0</v>
      </c>
      <c r="D701" s="13" t="n">
        <v>0</v>
      </c>
      <c r="E701" s="13" t="str">
        <v/>
      </c>
      <c r="F701" s="13" t="n">
        <v>0</v>
      </c>
      <c r="G701" s="13" t="n">
        <v>0</v>
      </c>
      <c r="H701" s="13" t="n">
        <v>0</v>
      </c>
      <c r="I701" s="13" t="n">
        <v>0</v>
      </c>
      <c r="J701" s="13" t="b">
        <f aca="false">IF(ISBLANK(I701),"", IF($I$2:$I1698 = "Gohar Rehan","Overnight",IF($I$2:$I1698 = "Taufeeq Akhtar ","Overnight",IF($I$2:$I1698 = "Zeeshan Ali Malik","Audit",IF($I$2:$I1698 = "Ali Raza ","Receiving",IF($I$2:$I1698 = "Ali Ahmad","Full-In"))))))</f>
        <v>0</v>
      </c>
      <c r="K701" s="39" t="e">
        <f aca="false">IFERROR(VLOOKUP(D701,'Brand manager data '!A:B,2,0))</f>
        <v>#VALUE!</v>
      </c>
      <c r="L701" s="13" t="n">
        <v>0</v>
      </c>
      <c r="M701" s="13" t="str">
        <v>Yes</v>
      </c>
      <c r="N701" s="22"/>
      <c r="Q701" s="40"/>
      <c r="R701" s="13" t="b">
        <f aca="false">FALSE()</f>
        <v>0</v>
      </c>
      <c r="S701" s="13" t="n">
        <v>0</v>
      </c>
      <c r="T701" s="13" t="n">
        <f aca="false">S701*F701</f>
        <v>0</v>
      </c>
      <c r="U701" s="13" t="n">
        <v>0</v>
      </c>
      <c r="V701" s="13" t="n">
        <v>0</v>
      </c>
    </row>
    <row r="702" customFormat="false" ht="15.75" hidden="false" customHeight="false" outlineLevel="0" collapsed="false">
      <c r="A702" s="13" t="n">
        <v>0</v>
      </c>
      <c r="B702" s="13" t="str">
        <v/>
      </c>
      <c r="C702" s="13" t="n">
        <v>0</v>
      </c>
      <c r="D702" s="13" t="n">
        <v>0</v>
      </c>
      <c r="E702" s="13" t="str">
        <v/>
      </c>
      <c r="F702" s="13" t="n">
        <v>0</v>
      </c>
      <c r="G702" s="13" t="n">
        <v>0</v>
      </c>
      <c r="H702" s="13" t="n">
        <v>0</v>
      </c>
      <c r="I702" s="13" t="n">
        <v>0</v>
      </c>
      <c r="J702" s="13" t="b">
        <f aca="false">IF(ISBLANK(I702),"", IF($I$2:$I1699 = "Gohar Rehan","Overnight",IF($I$2:$I1699 = "Taufeeq Akhtar ","Overnight",IF($I$2:$I1699 = "Zeeshan Ali Malik","Audit",IF($I$2:$I1699 = "Ali Raza ","Receiving",IF($I$2:$I1699 = "Ali Ahmad","Full-In"))))))</f>
        <v>0</v>
      </c>
      <c r="K702" s="39" t="e">
        <f aca="false">IFERROR(VLOOKUP(D702,'Brand manager data '!A:B,2,0))</f>
        <v>#VALUE!</v>
      </c>
      <c r="L702" s="13" t="n">
        <v>0</v>
      </c>
      <c r="M702" s="13" t="str">
        <v>Yes</v>
      </c>
      <c r="N702" s="22"/>
      <c r="Q702" s="40"/>
      <c r="R702" s="13" t="b">
        <f aca="false">FALSE()</f>
        <v>0</v>
      </c>
      <c r="S702" s="13" t="n">
        <v>0</v>
      </c>
      <c r="T702" s="13" t="n">
        <f aca="false">S702*F702</f>
        <v>0</v>
      </c>
      <c r="U702" s="13" t="n">
        <v>0</v>
      </c>
      <c r="V702" s="13" t="n">
        <v>0</v>
      </c>
    </row>
    <row r="703" customFormat="false" ht="15.75" hidden="false" customHeight="false" outlineLevel="0" collapsed="false">
      <c r="A703" s="13" t="n">
        <v>0</v>
      </c>
      <c r="B703" s="13" t="str">
        <v/>
      </c>
      <c r="C703" s="13" t="n">
        <v>0</v>
      </c>
      <c r="D703" s="13" t="n">
        <v>0</v>
      </c>
      <c r="E703" s="13" t="str">
        <v/>
      </c>
      <c r="F703" s="13" t="n">
        <v>0</v>
      </c>
      <c r="G703" s="13" t="n">
        <v>0</v>
      </c>
      <c r="H703" s="13" t="n">
        <v>0</v>
      </c>
      <c r="I703" s="13" t="n">
        <v>0</v>
      </c>
      <c r="J703" s="13" t="b">
        <f aca="false">IF(ISBLANK(I703),"", IF($I$2:$I1700 = "Gohar Rehan","Overnight",IF($I$2:$I1700 = "Taufeeq Akhtar ","Overnight",IF($I$2:$I1700 = "Zeeshan Ali Malik","Audit",IF($I$2:$I1700 = "Ali Raza ","Receiving",IF($I$2:$I1700 = "Ali Ahmad","Full-In"))))))</f>
        <v>0</v>
      </c>
      <c r="K703" s="39" t="e">
        <f aca="false">IFERROR(VLOOKUP(D703,'Brand manager data '!A:B,2,0))</f>
        <v>#VALUE!</v>
      </c>
      <c r="L703" s="13" t="n">
        <v>0</v>
      </c>
      <c r="M703" s="13" t="str">
        <v>Yes</v>
      </c>
      <c r="N703" s="22"/>
      <c r="Q703" s="40"/>
      <c r="R703" s="13" t="b">
        <f aca="false">FALSE()</f>
        <v>0</v>
      </c>
      <c r="S703" s="13" t="n">
        <v>0</v>
      </c>
      <c r="T703" s="13" t="n">
        <f aca="false">S703*F703</f>
        <v>0</v>
      </c>
      <c r="U703" s="13" t="n">
        <v>0</v>
      </c>
      <c r="V703" s="13" t="n">
        <v>0</v>
      </c>
    </row>
    <row r="704" customFormat="false" ht="15.75" hidden="false" customHeight="false" outlineLevel="0" collapsed="false">
      <c r="A704" s="13" t="n">
        <v>0</v>
      </c>
      <c r="B704" s="13" t="str">
        <v/>
      </c>
      <c r="C704" s="13" t="n">
        <v>0</v>
      </c>
      <c r="D704" s="13" t="n">
        <v>0</v>
      </c>
      <c r="E704" s="13" t="str">
        <v/>
      </c>
      <c r="F704" s="13" t="n">
        <v>0</v>
      </c>
      <c r="G704" s="13" t="n">
        <v>0</v>
      </c>
      <c r="H704" s="13" t="n">
        <v>0</v>
      </c>
      <c r="I704" s="13" t="n">
        <v>0</v>
      </c>
      <c r="J704" s="13" t="b">
        <f aca="false">IF(ISBLANK(I704),"", IF($I$2:$I1701 = "Gohar Rehan","Overnight",IF($I$2:$I1701 = "Taufeeq Akhtar ","Overnight",IF($I$2:$I1701 = "Zeeshan Ali Malik","Audit",IF($I$2:$I1701 = "Ali Raza ","Receiving",IF($I$2:$I1701 = "Ali Ahmad","Full-In"))))))</f>
        <v>0</v>
      </c>
      <c r="K704" s="39" t="e">
        <f aca="false">IFERROR(VLOOKUP(D704,'Brand manager data '!A:B,2,0))</f>
        <v>#VALUE!</v>
      </c>
      <c r="L704" s="13" t="n">
        <v>0</v>
      </c>
      <c r="M704" s="13" t="str">
        <v>Yes</v>
      </c>
      <c r="N704" s="22"/>
      <c r="Q704" s="40"/>
      <c r="R704" s="13" t="b">
        <f aca="false">FALSE()</f>
        <v>0</v>
      </c>
      <c r="S704" s="13" t="n">
        <v>0</v>
      </c>
      <c r="T704" s="13" t="n">
        <f aca="false">S704*F704</f>
        <v>0</v>
      </c>
      <c r="U704" s="13" t="n">
        <v>0</v>
      </c>
      <c r="V704" s="13" t="n">
        <v>0</v>
      </c>
    </row>
    <row r="705" customFormat="false" ht="15.75" hidden="false" customHeight="false" outlineLevel="0" collapsed="false">
      <c r="A705" s="13" t="n">
        <v>0</v>
      </c>
      <c r="B705" s="13" t="str">
        <v/>
      </c>
      <c r="C705" s="13" t="n">
        <v>0</v>
      </c>
      <c r="D705" s="13" t="n">
        <v>0</v>
      </c>
      <c r="E705" s="13" t="str">
        <v/>
      </c>
      <c r="F705" s="13" t="n">
        <v>0</v>
      </c>
      <c r="G705" s="13" t="n">
        <v>0</v>
      </c>
      <c r="H705" s="13" t="n">
        <v>0</v>
      </c>
      <c r="I705" s="13" t="n">
        <v>0</v>
      </c>
      <c r="J705" s="13" t="b">
        <f aca="false">IF(ISBLANK(I705),"", IF($I$2:$I1702 = "Gohar Rehan","Overnight",IF($I$2:$I1702 = "Taufeeq Akhtar ","Overnight",IF($I$2:$I1702 = "Zeeshan Ali Malik","Audit",IF($I$2:$I1702 = "Ali Raza ","Receiving",IF($I$2:$I1702 = "Ali Ahmad","Full-In"))))))</f>
        <v>0</v>
      </c>
      <c r="K705" s="39" t="e">
        <f aca="false">IFERROR(VLOOKUP(D705,'Brand manager data '!A:B,2,0))</f>
        <v>#VALUE!</v>
      </c>
      <c r="L705" s="13" t="n">
        <v>0</v>
      </c>
      <c r="M705" s="13" t="str">
        <v>Yes</v>
      </c>
      <c r="N705" s="22"/>
      <c r="Q705" s="40"/>
      <c r="R705" s="13" t="b">
        <f aca="false">FALSE()</f>
        <v>0</v>
      </c>
      <c r="S705" s="13" t="n">
        <v>0</v>
      </c>
      <c r="T705" s="13" t="n">
        <f aca="false">S705*F705</f>
        <v>0</v>
      </c>
      <c r="U705" s="13" t="n">
        <v>0</v>
      </c>
      <c r="V705" s="13" t="n">
        <v>0</v>
      </c>
    </row>
    <row r="706" customFormat="false" ht="15.75" hidden="false" customHeight="false" outlineLevel="0" collapsed="false">
      <c r="A706" s="13" t="n">
        <v>0</v>
      </c>
      <c r="B706" s="13" t="str">
        <v/>
      </c>
      <c r="C706" s="13" t="n">
        <v>0</v>
      </c>
      <c r="D706" s="13" t="n">
        <v>0</v>
      </c>
      <c r="E706" s="13" t="str">
        <v/>
      </c>
      <c r="F706" s="13" t="n">
        <v>0</v>
      </c>
      <c r="G706" s="13" t="n">
        <v>0</v>
      </c>
      <c r="H706" s="13" t="n">
        <v>0</v>
      </c>
      <c r="I706" s="13" t="n">
        <v>0</v>
      </c>
      <c r="J706" s="13" t="b">
        <f aca="false">IF(ISBLANK(I706),"", IF($I$2:$I1703 = "Gohar Rehan","Overnight",IF($I$2:$I1703 = "Taufeeq Akhtar ","Overnight",IF($I$2:$I1703 = "Zeeshan Ali Malik","Audit",IF($I$2:$I1703 = "Ali Raza ","Receiving",IF($I$2:$I1703 = "Ali Ahmad","Full-In"))))))</f>
        <v>0</v>
      </c>
      <c r="K706" s="39" t="e">
        <f aca="false">IFERROR(VLOOKUP(D706,'Brand manager data '!A:B,2,0))</f>
        <v>#VALUE!</v>
      </c>
      <c r="L706" s="13" t="n">
        <v>0</v>
      </c>
      <c r="M706" s="13" t="str">
        <v>Yes</v>
      </c>
      <c r="N706" s="22"/>
      <c r="Q706" s="40"/>
      <c r="R706" s="13" t="b">
        <f aca="false">FALSE()</f>
        <v>0</v>
      </c>
      <c r="S706" s="13" t="n">
        <v>0</v>
      </c>
      <c r="T706" s="13" t="n">
        <f aca="false">S706*F706</f>
        <v>0</v>
      </c>
      <c r="U706" s="13" t="n">
        <v>0</v>
      </c>
      <c r="V706" s="13" t="n">
        <v>0</v>
      </c>
    </row>
    <row r="707" customFormat="false" ht="15.75" hidden="false" customHeight="false" outlineLevel="0" collapsed="false">
      <c r="A707" s="13" t="n">
        <v>0</v>
      </c>
      <c r="B707" s="13" t="str">
        <v/>
      </c>
      <c r="C707" s="13" t="n">
        <v>0</v>
      </c>
      <c r="D707" s="13" t="n">
        <v>0</v>
      </c>
      <c r="E707" s="13" t="str">
        <v/>
      </c>
      <c r="F707" s="13" t="n">
        <v>0</v>
      </c>
      <c r="G707" s="13" t="n">
        <v>0</v>
      </c>
      <c r="H707" s="13" t="n">
        <v>0</v>
      </c>
      <c r="I707" s="13" t="n">
        <v>0</v>
      </c>
      <c r="J707" s="13" t="b">
        <f aca="false">IF(ISBLANK(I707),"", IF($I$2:$I1704 = "Gohar Rehan","Overnight",IF($I$2:$I1704 = "Taufeeq Akhtar ","Overnight",IF($I$2:$I1704 = "Zeeshan Ali Malik","Audit",IF($I$2:$I1704 = "Ali Raza ","Receiving",IF($I$2:$I1704 = "Ali Ahmad","Full-In"))))))</f>
        <v>0</v>
      </c>
      <c r="K707" s="39" t="e">
        <f aca="false">IFERROR(VLOOKUP(D707,'Brand manager data '!A:B,2,0))</f>
        <v>#VALUE!</v>
      </c>
      <c r="L707" s="13" t="n">
        <v>0</v>
      </c>
      <c r="M707" s="13" t="str">
        <v>Yes</v>
      </c>
      <c r="N707" s="22"/>
      <c r="Q707" s="40"/>
      <c r="R707" s="13" t="b">
        <f aca="false">FALSE()</f>
        <v>0</v>
      </c>
      <c r="S707" s="13" t="n">
        <v>0</v>
      </c>
      <c r="T707" s="13" t="n">
        <f aca="false">S707*F707</f>
        <v>0</v>
      </c>
      <c r="U707" s="13" t="n">
        <v>0</v>
      </c>
      <c r="V707" s="13" t="n">
        <v>0</v>
      </c>
    </row>
    <row r="708" customFormat="false" ht="15.75" hidden="false" customHeight="false" outlineLevel="0" collapsed="false">
      <c r="A708" s="13" t="n">
        <v>0</v>
      </c>
      <c r="B708" s="13" t="str">
        <v/>
      </c>
      <c r="C708" s="13" t="n">
        <v>0</v>
      </c>
      <c r="D708" s="13" t="n">
        <v>0</v>
      </c>
      <c r="E708" s="13" t="str">
        <v/>
      </c>
      <c r="F708" s="13" t="n">
        <v>0</v>
      </c>
      <c r="G708" s="13" t="n">
        <v>0</v>
      </c>
      <c r="H708" s="13" t="n">
        <v>0</v>
      </c>
      <c r="I708" s="13" t="n">
        <v>0</v>
      </c>
      <c r="J708" s="13" t="b">
        <f aca="false">IF(ISBLANK(I708),"", IF($I$2:$I1705 = "Gohar Rehan","Overnight",IF($I$2:$I1705 = "Taufeeq Akhtar ","Overnight",IF($I$2:$I1705 = "Zeeshan Ali Malik","Audit",IF($I$2:$I1705 = "Ali Raza ","Receiving",IF($I$2:$I1705 = "Ali Ahmad","Full-In"))))))</f>
        <v>0</v>
      </c>
      <c r="K708" s="39" t="e">
        <f aca="false">IFERROR(VLOOKUP(D708,'Brand manager data '!A:B,2,0))</f>
        <v>#VALUE!</v>
      </c>
      <c r="L708" s="13" t="n">
        <v>0</v>
      </c>
      <c r="M708" s="13" t="str">
        <v>Yes</v>
      </c>
      <c r="N708" s="22"/>
      <c r="Q708" s="40"/>
      <c r="R708" s="13" t="b">
        <f aca="false">FALSE()</f>
        <v>0</v>
      </c>
      <c r="S708" s="13" t="n">
        <v>0</v>
      </c>
      <c r="T708" s="13" t="n">
        <f aca="false">S708*F708</f>
        <v>0</v>
      </c>
      <c r="U708" s="13" t="n">
        <v>0</v>
      </c>
      <c r="V708" s="13" t="n">
        <v>0</v>
      </c>
    </row>
    <row r="709" customFormat="false" ht="15.75" hidden="false" customHeight="false" outlineLevel="0" collapsed="false">
      <c r="A709" s="13" t="n">
        <v>0</v>
      </c>
      <c r="B709" s="13" t="str">
        <v/>
      </c>
      <c r="C709" s="13" t="n">
        <v>0</v>
      </c>
      <c r="D709" s="13" t="n">
        <v>0</v>
      </c>
      <c r="E709" s="13" t="str">
        <v/>
      </c>
      <c r="F709" s="13" t="n">
        <v>0</v>
      </c>
      <c r="G709" s="13" t="n">
        <v>0</v>
      </c>
      <c r="H709" s="13" t="n">
        <v>0</v>
      </c>
      <c r="I709" s="13" t="n">
        <v>0</v>
      </c>
      <c r="J709" s="13" t="b">
        <f aca="false">IF(ISBLANK(I709),"", IF($I$2:$I1706 = "Gohar Rehan","Overnight",IF($I$2:$I1706 = "Taufeeq Akhtar ","Overnight",IF($I$2:$I1706 = "Zeeshan Ali Malik","Audit",IF($I$2:$I1706 = "Ali Raza ","Receiving",IF($I$2:$I1706 = "Ali Ahmad","Full-In"))))))</f>
        <v>0</v>
      </c>
      <c r="K709" s="39" t="e">
        <f aca="false">IFERROR(VLOOKUP(D709,'Brand manager data '!A:B,2,0))</f>
        <v>#VALUE!</v>
      </c>
      <c r="L709" s="13" t="n">
        <v>0</v>
      </c>
      <c r="M709" s="13" t="str">
        <v>Yes</v>
      </c>
      <c r="N709" s="22"/>
      <c r="Q709" s="40"/>
      <c r="R709" s="13" t="b">
        <f aca="false">FALSE()</f>
        <v>0</v>
      </c>
      <c r="S709" s="13" t="n">
        <v>0</v>
      </c>
      <c r="T709" s="13" t="n">
        <f aca="false">S709*F709</f>
        <v>0</v>
      </c>
      <c r="U709" s="13" t="n">
        <v>0</v>
      </c>
      <c r="V709" s="13" t="n">
        <v>0</v>
      </c>
    </row>
    <row r="710" customFormat="false" ht="15.75" hidden="false" customHeight="false" outlineLevel="0" collapsed="false">
      <c r="A710" s="13" t="n">
        <v>0</v>
      </c>
      <c r="B710" s="13" t="str">
        <v/>
      </c>
      <c r="C710" s="13" t="n">
        <v>0</v>
      </c>
      <c r="D710" s="13" t="n">
        <v>0</v>
      </c>
      <c r="E710" s="13" t="str">
        <v/>
      </c>
      <c r="F710" s="13" t="n">
        <v>0</v>
      </c>
      <c r="G710" s="13" t="n">
        <v>0</v>
      </c>
      <c r="H710" s="13" t="n">
        <v>0</v>
      </c>
      <c r="I710" s="13" t="n">
        <v>0</v>
      </c>
      <c r="J710" s="13" t="b">
        <f aca="false">IF(ISBLANK(I710),"", IF($I$2:$I1707 = "Gohar Rehan","Overnight",IF($I$2:$I1707 = "Taufeeq Akhtar ","Overnight",IF($I$2:$I1707 = "Zeeshan Ali Malik","Audit",IF($I$2:$I1707 = "Ali Raza ","Receiving",IF($I$2:$I1707 = "Ali Ahmad","Full-In"))))))</f>
        <v>0</v>
      </c>
      <c r="K710" s="39" t="e">
        <f aca="false">IFERROR(VLOOKUP(D710,'Brand manager data '!A:B,2,0))</f>
        <v>#VALUE!</v>
      </c>
      <c r="L710" s="13" t="n">
        <v>0</v>
      </c>
      <c r="M710" s="13" t="str">
        <v>Yes</v>
      </c>
      <c r="N710" s="22"/>
      <c r="Q710" s="40"/>
      <c r="R710" s="13" t="b">
        <f aca="false">FALSE()</f>
        <v>0</v>
      </c>
      <c r="S710" s="13" t="n">
        <v>0</v>
      </c>
      <c r="T710" s="13" t="n">
        <f aca="false">S710*F710</f>
        <v>0</v>
      </c>
      <c r="U710" s="13" t="n">
        <v>0</v>
      </c>
      <c r="V710" s="13" t="n">
        <v>0</v>
      </c>
    </row>
    <row r="711" customFormat="false" ht="15.75" hidden="false" customHeight="false" outlineLevel="0" collapsed="false">
      <c r="A711" s="13" t="n">
        <v>0</v>
      </c>
      <c r="B711" s="13" t="str">
        <v/>
      </c>
      <c r="C711" s="13" t="n">
        <v>0</v>
      </c>
      <c r="D711" s="13" t="n">
        <v>0</v>
      </c>
      <c r="E711" s="13" t="str">
        <v/>
      </c>
      <c r="F711" s="13" t="n">
        <v>0</v>
      </c>
      <c r="G711" s="13" t="n">
        <v>0</v>
      </c>
      <c r="H711" s="13" t="n">
        <v>0</v>
      </c>
      <c r="I711" s="13" t="n">
        <v>0</v>
      </c>
      <c r="J711" s="13" t="b">
        <f aca="false">IF(ISBLANK(I711),"", IF($I$2:$I1708 = "Gohar Rehan","Overnight",IF($I$2:$I1708 = "Taufeeq Akhtar ","Overnight",IF($I$2:$I1708 = "Zeeshan Ali Malik","Audit",IF($I$2:$I1708 = "Ali Raza ","Receiving",IF($I$2:$I1708 = "Ali Ahmad","Full-In"))))))</f>
        <v>0</v>
      </c>
      <c r="K711" s="39" t="e">
        <f aca="false">IFERROR(VLOOKUP(D711,'Brand manager data '!A:B,2,0))</f>
        <v>#VALUE!</v>
      </c>
      <c r="L711" s="13" t="n">
        <v>0</v>
      </c>
      <c r="M711" s="13" t="str">
        <v>Yes</v>
      </c>
      <c r="N711" s="22"/>
      <c r="Q711" s="40"/>
      <c r="R711" s="13" t="b">
        <f aca="false">FALSE()</f>
        <v>0</v>
      </c>
      <c r="S711" s="13" t="n">
        <v>0</v>
      </c>
      <c r="T711" s="13" t="n">
        <f aca="false">S711*F711</f>
        <v>0</v>
      </c>
      <c r="U711" s="13" t="n">
        <v>0</v>
      </c>
      <c r="V711" s="13" t="n">
        <v>0</v>
      </c>
    </row>
    <row r="712" customFormat="false" ht="15.75" hidden="false" customHeight="false" outlineLevel="0" collapsed="false">
      <c r="A712" s="13" t="n">
        <v>0</v>
      </c>
      <c r="B712" s="13" t="str">
        <v/>
      </c>
      <c r="C712" s="13" t="n">
        <v>0</v>
      </c>
      <c r="D712" s="13" t="n">
        <v>0</v>
      </c>
      <c r="E712" s="13" t="str">
        <v/>
      </c>
      <c r="F712" s="13" t="n">
        <v>0</v>
      </c>
      <c r="G712" s="13" t="n">
        <v>0</v>
      </c>
      <c r="H712" s="13" t="n">
        <v>0</v>
      </c>
      <c r="I712" s="13" t="n">
        <v>0</v>
      </c>
      <c r="J712" s="13" t="b">
        <f aca="false">IF(ISBLANK(I712),"", IF($I$2:$I1709 = "Gohar Rehan","Overnight",IF($I$2:$I1709 = "Taufeeq Akhtar ","Overnight",IF($I$2:$I1709 = "Zeeshan Ali Malik","Audit",IF($I$2:$I1709 = "Ali Raza ","Receiving",IF($I$2:$I1709 = "Ali Ahmad","Full-In"))))))</f>
        <v>0</v>
      </c>
      <c r="K712" s="39" t="e">
        <f aca="false">IFERROR(VLOOKUP(D712,'Brand manager data '!A:B,2,0))</f>
        <v>#VALUE!</v>
      </c>
      <c r="L712" s="13" t="n">
        <v>0</v>
      </c>
      <c r="M712" s="13" t="str">
        <v>Yes</v>
      </c>
      <c r="N712" s="22"/>
      <c r="Q712" s="40"/>
      <c r="R712" s="13" t="b">
        <f aca="false">FALSE()</f>
        <v>0</v>
      </c>
      <c r="S712" s="13" t="n">
        <v>0</v>
      </c>
      <c r="T712" s="13" t="n">
        <f aca="false">S712*F712</f>
        <v>0</v>
      </c>
      <c r="U712" s="13" t="n">
        <v>0</v>
      </c>
      <c r="V712" s="13" t="n">
        <v>0</v>
      </c>
    </row>
    <row r="713" customFormat="false" ht="15.75" hidden="false" customHeight="false" outlineLevel="0" collapsed="false">
      <c r="A713" s="13" t="n">
        <v>0</v>
      </c>
      <c r="B713" s="13" t="str">
        <v/>
      </c>
      <c r="C713" s="13" t="n">
        <v>0</v>
      </c>
      <c r="D713" s="13" t="n">
        <v>0</v>
      </c>
      <c r="E713" s="13" t="str">
        <v/>
      </c>
      <c r="F713" s="13" t="n">
        <v>0</v>
      </c>
      <c r="G713" s="13" t="n">
        <v>0</v>
      </c>
      <c r="H713" s="13" t="n">
        <v>0</v>
      </c>
      <c r="I713" s="13" t="n">
        <v>0</v>
      </c>
      <c r="J713" s="13" t="b">
        <f aca="false">IF(ISBLANK(I713),"", IF($I$2:$I1710 = "Gohar Rehan","Overnight",IF($I$2:$I1710 = "Taufeeq Akhtar ","Overnight",IF($I$2:$I1710 = "Zeeshan Ali Malik","Audit",IF($I$2:$I1710 = "Ali Raza ","Receiving",IF($I$2:$I1710 = "Ali Ahmad","Full-In"))))))</f>
        <v>0</v>
      </c>
      <c r="K713" s="39" t="e">
        <f aca="false">IFERROR(VLOOKUP(D713,'Brand manager data '!A:B,2,0))</f>
        <v>#VALUE!</v>
      </c>
      <c r="L713" s="13" t="n">
        <v>0</v>
      </c>
      <c r="M713" s="13" t="str">
        <v>Yes</v>
      </c>
      <c r="N713" s="22"/>
      <c r="Q713" s="40"/>
      <c r="R713" s="13" t="b">
        <f aca="false">FALSE()</f>
        <v>0</v>
      </c>
      <c r="S713" s="13" t="n">
        <v>0</v>
      </c>
      <c r="T713" s="13" t="n">
        <f aca="false">S713*F713</f>
        <v>0</v>
      </c>
      <c r="U713" s="13" t="n">
        <v>0</v>
      </c>
      <c r="V713" s="13" t="n">
        <v>0</v>
      </c>
    </row>
    <row r="714" customFormat="false" ht="15.75" hidden="false" customHeight="false" outlineLevel="0" collapsed="false">
      <c r="A714" s="13" t="n">
        <v>0</v>
      </c>
      <c r="B714" s="13" t="str">
        <v/>
      </c>
      <c r="C714" s="13" t="n">
        <v>0</v>
      </c>
      <c r="D714" s="13" t="n">
        <v>0</v>
      </c>
      <c r="E714" s="13" t="str">
        <v/>
      </c>
      <c r="F714" s="13" t="n">
        <v>0</v>
      </c>
      <c r="G714" s="13" t="n">
        <v>0</v>
      </c>
      <c r="H714" s="13" t="n">
        <v>0</v>
      </c>
      <c r="I714" s="13" t="n">
        <v>0</v>
      </c>
      <c r="J714" s="13" t="b">
        <f aca="false">IF(ISBLANK(I714),"", IF($I$2:$I1711 = "Gohar Rehan","Overnight",IF($I$2:$I1711 = "Taufeeq Akhtar ","Overnight",IF($I$2:$I1711 = "Zeeshan Ali Malik","Audit",IF($I$2:$I1711 = "Ali Raza ","Receiving",IF($I$2:$I1711 = "Ali Ahmad","Full-In"))))))</f>
        <v>0</v>
      </c>
      <c r="K714" s="39" t="e">
        <f aca="false">IFERROR(VLOOKUP(D714,'Brand manager data '!A:B,2,0))</f>
        <v>#VALUE!</v>
      </c>
      <c r="L714" s="13" t="n">
        <v>0</v>
      </c>
      <c r="M714" s="13" t="str">
        <v>Yes</v>
      </c>
      <c r="N714" s="22"/>
      <c r="Q714" s="40"/>
      <c r="R714" s="13" t="b">
        <f aca="false">FALSE()</f>
        <v>0</v>
      </c>
      <c r="S714" s="13" t="n">
        <v>0</v>
      </c>
      <c r="T714" s="13" t="n">
        <f aca="false">S714*F714</f>
        <v>0</v>
      </c>
      <c r="U714" s="13" t="n">
        <v>0</v>
      </c>
      <c r="V714" s="13" t="n">
        <v>0</v>
      </c>
    </row>
    <row r="715" customFormat="false" ht="15.75" hidden="false" customHeight="false" outlineLevel="0" collapsed="false">
      <c r="A715" s="13" t="n">
        <v>0</v>
      </c>
      <c r="B715" s="13" t="str">
        <v/>
      </c>
      <c r="C715" s="13" t="n">
        <v>0</v>
      </c>
      <c r="D715" s="13" t="n">
        <v>0</v>
      </c>
      <c r="E715" s="13" t="str">
        <v/>
      </c>
      <c r="F715" s="13" t="n">
        <v>0</v>
      </c>
      <c r="G715" s="13" t="n">
        <v>0</v>
      </c>
      <c r="H715" s="13" t="n">
        <v>0</v>
      </c>
      <c r="I715" s="13" t="n">
        <v>0</v>
      </c>
      <c r="J715" s="13" t="b">
        <f aca="false">IF(ISBLANK(I715),"", IF($I$2:$I1712 = "Gohar Rehan","Overnight",IF($I$2:$I1712 = "Taufeeq Akhtar ","Overnight",IF($I$2:$I1712 = "Zeeshan Ali Malik","Audit",IF($I$2:$I1712 = "Ali Raza ","Receiving",IF($I$2:$I1712 = "Ali Ahmad","Full-In"))))))</f>
        <v>0</v>
      </c>
      <c r="K715" s="39" t="e">
        <f aca="false">IFERROR(VLOOKUP(D715,'Brand manager data '!A:B,2,0))</f>
        <v>#VALUE!</v>
      </c>
      <c r="L715" s="13" t="n">
        <v>0</v>
      </c>
      <c r="M715" s="13" t="str">
        <v>Yes</v>
      </c>
      <c r="N715" s="22"/>
      <c r="Q715" s="40"/>
      <c r="R715" s="13" t="b">
        <f aca="false">FALSE()</f>
        <v>0</v>
      </c>
      <c r="S715" s="13" t="n">
        <v>0</v>
      </c>
      <c r="T715" s="13" t="n">
        <f aca="false">S715*F715</f>
        <v>0</v>
      </c>
      <c r="U715" s="13" t="n">
        <v>0</v>
      </c>
      <c r="V715" s="13" t="n">
        <v>0</v>
      </c>
    </row>
    <row r="716" customFormat="false" ht="15.75" hidden="false" customHeight="false" outlineLevel="0" collapsed="false">
      <c r="A716" s="13" t="n">
        <v>0</v>
      </c>
      <c r="B716" s="13" t="str">
        <v/>
      </c>
      <c r="C716" s="13" t="n">
        <v>0</v>
      </c>
      <c r="D716" s="13" t="n">
        <v>0</v>
      </c>
      <c r="E716" s="13" t="str">
        <v/>
      </c>
      <c r="F716" s="13" t="n">
        <v>0</v>
      </c>
      <c r="G716" s="13" t="n">
        <v>0</v>
      </c>
      <c r="H716" s="13" t="n">
        <v>0</v>
      </c>
      <c r="I716" s="13" t="n">
        <v>0</v>
      </c>
      <c r="J716" s="13" t="b">
        <f aca="false">IF(ISBLANK(I716),"", IF($I$2:$I1713 = "Gohar Rehan","Overnight",IF($I$2:$I1713 = "Taufeeq Akhtar ","Overnight",IF($I$2:$I1713 = "Zeeshan Ali Malik","Audit",IF($I$2:$I1713 = "Ali Raza ","Receiving",IF($I$2:$I1713 = "Ali Ahmad","Full-In"))))))</f>
        <v>0</v>
      </c>
      <c r="K716" s="39" t="e">
        <f aca="false">IFERROR(VLOOKUP(D716,'Brand manager data '!A:B,2,0))</f>
        <v>#VALUE!</v>
      </c>
      <c r="L716" s="13" t="n">
        <v>0</v>
      </c>
      <c r="M716" s="13" t="str">
        <v>Yes</v>
      </c>
      <c r="N716" s="22"/>
      <c r="Q716" s="40"/>
      <c r="R716" s="13" t="b">
        <f aca="false">FALSE()</f>
        <v>0</v>
      </c>
      <c r="S716" s="13" t="n">
        <v>0</v>
      </c>
      <c r="T716" s="13" t="n">
        <f aca="false">S716*F716</f>
        <v>0</v>
      </c>
      <c r="U716" s="13" t="n">
        <v>0</v>
      </c>
      <c r="V716" s="13" t="n">
        <v>0</v>
      </c>
    </row>
    <row r="717" customFormat="false" ht="15.75" hidden="false" customHeight="false" outlineLevel="0" collapsed="false">
      <c r="A717" s="13" t="n">
        <v>0</v>
      </c>
      <c r="B717" s="13" t="str">
        <v/>
      </c>
      <c r="C717" s="13" t="n">
        <v>0</v>
      </c>
      <c r="D717" s="13" t="n">
        <v>0</v>
      </c>
      <c r="E717" s="13" t="str">
        <v/>
      </c>
      <c r="F717" s="13" t="n">
        <v>0</v>
      </c>
      <c r="G717" s="13" t="n">
        <v>0</v>
      </c>
      <c r="H717" s="13" t="n">
        <v>0</v>
      </c>
      <c r="I717" s="13" t="n">
        <v>0</v>
      </c>
      <c r="J717" s="13" t="b">
        <f aca="false">IF(ISBLANK(I717),"", IF($I$2:$I1714 = "Gohar Rehan","Overnight",IF($I$2:$I1714 = "Taufeeq Akhtar ","Overnight",IF($I$2:$I1714 = "Zeeshan Ali Malik","Audit",IF($I$2:$I1714 = "Ali Raza ","Receiving",IF($I$2:$I1714 = "Ali Ahmad","Full-In"))))))</f>
        <v>0</v>
      </c>
      <c r="K717" s="39" t="e">
        <f aca="false">IFERROR(VLOOKUP(D717,'Brand manager data '!A:B,2,0))</f>
        <v>#VALUE!</v>
      </c>
      <c r="L717" s="13" t="n">
        <v>0</v>
      </c>
      <c r="M717" s="13" t="str">
        <v>Yes</v>
      </c>
      <c r="N717" s="22"/>
      <c r="Q717" s="40"/>
      <c r="R717" s="13" t="b">
        <f aca="false">FALSE()</f>
        <v>0</v>
      </c>
      <c r="S717" s="13" t="n">
        <v>0</v>
      </c>
      <c r="T717" s="13" t="n">
        <f aca="false">S717*F717</f>
        <v>0</v>
      </c>
      <c r="U717" s="13" t="n">
        <v>0</v>
      </c>
      <c r="V717" s="13" t="n">
        <v>0</v>
      </c>
    </row>
    <row r="718" customFormat="false" ht="15.75" hidden="false" customHeight="false" outlineLevel="0" collapsed="false">
      <c r="A718" s="13" t="n">
        <v>0</v>
      </c>
      <c r="B718" s="13" t="str">
        <v/>
      </c>
      <c r="C718" s="13" t="n">
        <v>0</v>
      </c>
      <c r="D718" s="13" t="n">
        <v>0</v>
      </c>
      <c r="E718" s="13" t="str">
        <v/>
      </c>
      <c r="F718" s="13" t="n">
        <v>0</v>
      </c>
      <c r="G718" s="13" t="n">
        <v>0</v>
      </c>
      <c r="H718" s="13" t="n">
        <v>0</v>
      </c>
      <c r="I718" s="13" t="n">
        <v>0</v>
      </c>
      <c r="J718" s="13" t="b">
        <f aca="false">IF(ISBLANK(I718),"", IF($I$2:$I1715 = "Gohar Rehan","Overnight",IF($I$2:$I1715 = "Taufeeq Akhtar ","Overnight",IF($I$2:$I1715 = "Zeeshan Ali Malik","Audit",IF($I$2:$I1715 = "Ali Raza ","Receiving",IF($I$2:$I1715 = "Ali Ahmad","Full-In"))))))</f>
        <v>0</v>
      </c>
      <c r="K718" s="39" t="e">
        <f aca="false">IFERROR(VLOOKUP(D718,'Brand manager data '!A:B,2,0))</f>
        <v>#VALUE!</v>
      </c>
      <c r="L718" s="13" t="n">
        <v>0</v>
      </c>
      <c r="M718" s="13" t="str">
        <v>Yes</v>
      </c>
      <c r="N718" s="22"/>
      <c r="Q718" s="40"/>
      <c r="R718" s="13" t="b">
        <f aca="false">FALSE()</f>
        <v>0</v>
      </c>
      <c r="S718" s="13" t="n">
        <v>0</v>
      </c>
      <c r="T718" s="13" t="n">
        <f aca="false">S718*F718</f>
        <v>0</v>
      </c>
      <c r="U718" s="13" t="n">
        <v>0</v>
      </c>
      <c r="V718" s="13" t="n">
        <v>0</v>
      </c>
    </row>
    <row r="719" customFormat="false" ht="15.75" hidden="false" customHeight="false" outlineLevel="0" collapsed="false">
      <c r="A719" s="13" t="n">
        <v>0</v>
      </c>
      <c r="B719" s="13" t="str">
        <v/>
      </c>
      <c r="C719" s="13" t="n">
        <v>0</v>
      </c>
      <c r="D719" s="13" t="n">
        <v>0</v>
      </c>
      <c r="E719" s="13" t="str">
        <v/>
      </c>
      <c r="F719" s="13" t="n">
        <v>0</v>
      </c>
      <c r="G719" s="13" t="n">
        <v>0</v>
      </c>
      <c r="H719" s="13" t="n">
        <v>0</v>
      </c>
      <c r="I719" s="13" t="n">
        <v>0</v>
      </c>
      <c r="J719" s="13" t="b">
        <f aca="false">IF(ISBLANK(I719),"", IF($I$2:$I1716 = "Gohar Rehan","Overnight",IF($I$2:$I1716 = "Taufeeq Akhtar ","Overnight",IF($I$2:$I1716 = "Zeeshan Ali Malik","Audit",IF($I$2:$I1716 = "Ali Raza ","Receiving",IF($I$2:$I1716 = "Ali Ahmad","Full-In"))))))</f>
        <v>0</v>
      </c>
      <c r="K719" s="39" t="e">
        <f aca="false">IFERROR(VLOOKUP(D719,'Brand manager data '!A:B,2,0))</f>
        <v>#VALUE!</v>
      </c>
      <c r="L719" s="13" t="n">
        <v>0</v>
      </c>
      <c r="M719" s="13" t="str">
        <v>Yes</v>
      </c>
      <c r="N719" s="22"/>
      <c r="Q719" s="40"/>
      <c r="R719" s="13" t="b">
        <f aca="false">FALSE()</f>
        <v>0</v>
      </c>
      <c r="S719" s="13" t="n">
        <v>0</v>
      </c>
      <c r="T719" s="13" t="n">
        <f aca="false">S719*F719</f>
        <v>0</v>
      </c>
      <c r="U719" s="13" t="n">
        <v>0</v>
      </c>
      <c r="V719" s="13" t="n">
        <v>0</v>
      </c>
    </row>
    <row r="720" customFormat="false" ht="15.75" hidden="false" customHeight="false" outlineLevel="0" collapsed="false">
      <c r="A720" s="13" t="n">
        <v>0</v>
      </c>
      <c r="B720" s="13" t="str">
        <v/>
      </c>
      <c r="C720" s="13" t="n">
        <v>0</v>
      </c>
      <c r="D720" s="13" t="n">
        <v>0</v>
      </c>
      <c r="E720" s="13" t="str">
        <v/>
      </c>
      <c r="F720" s="13" t="n">
        <v>0</v>
      </c>
      <c r="G720" s="13" t="n">
        <v>0</v>
      </c>
      <c r="H720" s="13" t="n">
        <v>0</v>
      </c>
      <c r="I720" s="13" t="n">
        <v>0</v>
      </c>
      <c r="J720" s="13" t="b">
        <f aca="false">IF(ISBLANK(I720),"", IF($I$2:$I1717 = "Gohar Rehan","Overnight",IF($I$2:$I1717 = "Taufeeq Akhtar ","Overnight",IF($I$2:$I1717 = "Zeeshan Ali Malik","Audit",IF($I$2:$I1717 = "Ali Raza ","Receiving",IF($I$2:$I1717 = "Ali Ahmad","Full-In"))))))</f>
        <v>0</v>
      </c>
      <c r="K720" s="39" t="e">
        <f aca="false">IFERROR(VLOOKUP(D720,'Brand manager data '!A:B,2,0))</f>
        <v>#VALUE!</v>
      </c>
      <c r="L720" s="13" t="n">
        <v>0</v>
      </c>
      <c r="M720" s="13" t="str">
        <v>Yes</v>
      </c>
      <c r="N720" s="22"/>
      <c r="Q720" s="40"/>
      <c r="R720" s="13" t="b">
        <f aca="false">FALSE()</f>
        <v>0</v>
      </c>
      <c r="S720" s="13" t="n">
        <v>0</v>
      </c>
      <c r="T720" s="13" t="n">
        <f aca="false">S720*F720</f>
        <v>0</v>
      </c>
      <c r="U720" s="13" t="n">
        <v>0</v>
      </c>
      <c r="V720" s="13" t="n">
        <v>0</v>
      </c>
    </row>
    <row r="721" customFormat="false" ht="15.75" hidden="false" customHeight="false" outlineLevel="0" collapsed="false">
      <c r="A721" s="13" t="n">
        <v>0</v>
      </c>
      <c r="B721" s="13" t="str">
        <v/>
      </c>
      <c r="C721" s="13" t="n">
        <v>0</v>
      </c>
      <c r="D721" s="13" t="n">
        <v>0</v>
      </c>
      <c r="E721" s="13" t="str">
        <v/>
      </c>
      <c r="F721" s="13" t="n">
        <v>0</v>
      </c>
      <c r="G721" s="13" t="n">
        <v>0</v>
      </c>
      <c r="H721" s="13" t="n">
        <v>0</v>
      </c>
      <c r="I721" s="13" t="n">
        <v>0</v>
      </c>
      <c r="J721" s="13" t="b">
        <f aca="false">IF(ISBLANK(I721),"", IF($I$2:$I1718 = "Gohar Rehan","Overnight",IF($I$2:$I1718 = "Taufeeq Akhtar ","Overnight",IF($I$2:$I1718 = "Zeeshan Ali Malik","Audit",IF($I$2:$I1718 = "Ali Raza ","Receiving",IF($I$2:$I1718 = "Ali Ahmad","Full-In"))))))</f>
        <v>0</v>
      </c>
      <c r="K721" s="39" t="e">
        <f aca="false">IFERROR(VLOOKUP(D721,'Brand manager data '!A:B,2,0))</f>
        <v>#VALUE!</v>
      </c>
      <c r="L721" s="13" t="n">
        <v>0</v>
      </c>
      <c r="M721" s="13" t="str">
        <v>Yes</v>
      </c>
      <c r="N721" s="22"/>
      <c r="Q721" s="40"/>
      <c r="R721" s="13" t="b">
        <f aca="false">FALSE()</f>
        <v>0</v>
      </c>
      <c r="S721" s="13" t="n">
        <v>0</v>
      </c>
      <c r="T721" s="13" t="n">
        <f aca="false">S721*F721</f>
        <v>0</v>
      </c>
      <c r="U721" s="13" t="n">
        <v>0</v>
      </c>
      <c r="V721" s="13" t="n">
        <v>0</v>
      </c>
    </row>
    <row r="722" customFormat="false" ht="15.75" hidden="false" customHeight="false" outlineLevel="0" collapsed="false">
      <c r="A722" s="13" t="n">
        <v>0</v>
      </c>
      <c r="B722" s="13" t="str">
        <v/>
      </c>
      <c r="C722" s="13" t="n">
        <v>0</v>
      </c>
      <c r="D722" s="13" t="n">
        <v>0</v>
      </c>
      <c r="E722" s="13" t="str">
        <v/>
      </c>
      <c r="F722" s="13" t="n">
        <v>0</v>
      </c>
      <c r="G722" s="13" t="n">
        <v>0</v>
      </c>
      <c r="H722" s="13" t="n">
        <v>0</v>
      </c>
      <c r="I722" s="13" t="n">
        <v>0</v>
      </c>
      <c r="J722" s="13" t="b">
        <f aca="false">IF(ISBLANK(I722),"", IF($I$2:$I1719 = "Gohar Rehan","Overnight",IF($I$2:$I1719 = "Taufeeq Akhtar ","Overnight",IF($I$2:$I1719 = "Zeeshan Ali Malik","Audit",IF($I$2:$I1719 = "Ali Raza ","Receiving",IF($I$2:$I1719 = "Ali Ahmad","Full-In"))))))</f>
        <v>0</v>
      </c>
      <c r="K722" s="39" t="e">
        <f aca="false">IFERROR(VLOOKUP(D722,'Brand manager data '!A:B,2,0))</f>
        <v>#VALUE!</v>
      </c>
      <c r="L722" s="13" t="n">
        <v>0</v>
      </c>
      <c r="M722" s="13" t="str">
        <v>Yes</v>
      </c>
      <c r="N722" s="22"/>
      <c r="Q722" s="40"/>
      <c r="R722" s="13" t="b">
        <f aca="false">FALSE()</f>
        <v>0</v>
      </c>
      <c r="S722" s="13" t="n">
        <v>0</v>
      </c>
      <c r="T722" s="13" t="n">
        <f aca="false">S722*F722</f>
        <v>0</v>
      </c>
      <c r="U722" s="13" t="n">
        <v>0</v>
      </c>
      <c r="V722" s="13" t="n">
        <v>0</v>
      </c>
    </row>
    <row r="723" customFormat="false" ht="15.75" hidden="false" customHeight="false" outlineLevel="0" collapsed="false">
      <c r="A723" s="13" t="n">
        <v>0</v>
      </c>
      <c r="B723" s="13" t="str">
        <v/>
      </c>
      <c r="C723" s="13" t="n">
        <v>0</v>
      </c>
      <c r="D723" s="13" t="n">
        <v>0</v>
      </c>
      <c r="E723" s="13" t="str">
        <v/>
      </c>
      <c r="F723" s="13" t="n">
        <v>0</v>
      </c>
      <c r="G723" s="13" t="n">
        <v>0</v>
      </c>
      <c r="H723" s="13" t="n">
        <v>0</v>
      </c>
      <c r="I723" s="13" t="n">
        <v>0</v>
      </c>
      <c r="J723" s="13" t="b">
        <f aca="false">IF(ISBLANK(I723),"", IF($I$2:$I1720 = "Gohar Rehan","Overnight",IF($I$2:$I1720 = "Taufeeq Akhtar ","Overnight",IF($I$2:$I1720 = "Zeeshan Ali Malik","Audit",IF($I$2:$I1720 = "Ali Raza ","Receiving",IF($I$2:$I1720 = "Ali Ahmad","Full-In"))))))</f>
        <v>0</v>
      </c>
      <c r="K723" s="39" t="e">
        <f aca="false">IFERROR(VLOOKUP(D723,'Brand manager data '!A:B,2,0))</f>
        <v>#VALUE!</v>
      </c>
      <c r="L723" s="13" t="n">
        <v>0</v>
      </c>
      <c r="M723" s="13" t="str">
        <v>Yes</v>
      </c>
      <c r="N723" s="22"/>
      <c r="Q723" s="40"/>
      <c r="R723" s="13" t="b">
        <f aca="false">FALSE()</f>
        <v>0</v>
      </c>
      <c r="S723" s="13" t="n">
        <v>0</v>
      </c>
      <c r="T723" s="13" t="n">
        <f aca="false">S723*F723</f>
        <v>0</v>
      </c>
      <c r="U723" s="13" t="n">
        <v>0</v>
      </c>
      <c r="V723" s="13" t="n">
        <v>0</v>
      </c>
    </row>
    <row r="724" customFormat="false" ht="15.75" hidden="false" customHeight="false" outlineLevel="0" collapsed="false">
      <c r="A724" s="13" t="n">
        <v>0</v>
      </c>
      <c r="B724" s="13" t="str">
        <v/>
      </c>
      <c r="C724" s="13" t="n">
        <v>0</v>
      </c>
      <c r="D724" s="13" t="n">
        <v>0</v>
      </c>
      <c r="E724" s="13" t="str">
        <v/>
      </c>
      <c r="F724" s="13" t="n">
        <v>0</v>
      </c>
      <c r="G724" s="13" t="n">
        <v>0</v>
      </c>
      <c r="H724" s="13" t="n">
        <v>0</v>
      </c>
      <c r="I724" s="13" t="n">
        <v>0</v>
      </c>
      <c r="J724" s="13" t="b">
        <f aca="false">IF(ISBLANK(I724),"", IF($I$2:$I1721 = "Gohar Rehan","Overnight",IF($I$2:$I1721 = "Taufeeq Akhtar ","Overnight",IF($I$2:$I1721 = "Zeeshan Ali Malik","Audit",IF($I$2:$I1721 = "Ali Raza ","Receiving",IF($I$2:$I1721 = "Ali Ahmad","Full-In"))))))</f>
        <v>0</v>
      </c>
      <c r="K724" s="39" t="e">
        <f aca="false">IFERROR(VLOOKUP(D724,'Brand manager data '!A:B,2,0))</f>
        <v>#VALUE!</v>
      </c>
      <c r="L724" s="13" t="n">
        <v>0</v>
      </c>
      <c r="M724" s="13" t="str">
        <v>Yes</v>
      </c>
      <c r="N724" s="22"/>
      <c r="Q724" s="40"/>
      <c r="R724" s="13" t="b">
        <f aca="false">FALSE()</f>
        <v>0</v>
      </c>
      <c r="S724" s="13" t="n">
        <v>0</v>
      </c>
      <c r="T724" s="13" t="n">
        <f aca="false">S724*F724</f>
        <v>0</v>
      </c>
      <c r="U724" s="13" t="n">
        <v>0</v>
      </c>
      <c r="V724" s="13" t="n">
        <v>0</v>
      </c>
    </row>
    <row r="725" customFormat="false" ht="15.75" hidden="false" customHeight="false" outlineLevel="0" collapsed="false">
      <c r="A725" s="13" t="n">
        <v>0</v>
      </c>
      <c r="B725" s="13" t="str">
        <v/>
      </c>
      <c r="C725" s="13" t="n">
        <v>0</v>
      </c>
      <c r="D725" s="13" t="n">
        <v>0</v>
      </c>
      <c r="E725" s="13" t="str">
        <v/>
      </c>
      <c r="F725" s="13" t="n">
        <v>0</v>
      </c>
      <c r="G725" s="13" t="n">
        <v>0</v>
      </c>
      <c r="H725" s="13" t="n">
        <v>0</v>
      </c>
      <c r="I725" s="13" t="n">
        <v>0</v>
      </c>
      <c r="J725" s="13" t="b">
        <f aca="false">IF(ISBLANK(I725),"", IF($I$2:$I1722 = "Gohar Rehan","Overnight",IF($I$2:$I1722 = "Taufeeq Akhtar ","Overnight",IF($I$2:$I1722 = "Zeeshan Ali Malik","Audit",IF($I$2:$I1722 = "Ali Raza ","Receiving",IF($I$2:$I1722 = "Ali Ahmad","Full-In"))))))</f>
        <v>0</v>
      </c>
      <c r="K725" s="39" t="e">
        <f aca="false">IFERROR(VLOOKUP(D725,'Brand manager data '!A:B,2,0))</f>
        <v>#VALUE!</v>
      </c>
      <c r="L725" s="13" t="n">
        <v>0</v>
      </c>
      <c r="M725" s="13" t="str">
        <v>Yes</v>
      </c>
      <c r="N725" s="22"/>
      <c r="Q725" s="40"/>
      <c r="R725" s="13" t="b">
        <f aca="false">FALSE()</f>
        <v>0</v>
      </c>
      <c r="S725" s="13" t="n">
        <v>0</v>
      </c>
      <c r="T725" s="13" t="n">
        <f aca="false">S725*F725</f>
        <v>0</v>
      </c>
      <c r="U725" s="13" t="n">
        <v>0</v>
      </c>
      <c r="V725" s="13" t="n">
        <v>0</v>
      </c>
    </row>
    <row r="726" customFormat="false" ht="15.75" hidden="false" customHeight="false" outlineLevel="0" collapsed="false">
      <c r="A726" s="13" t="n">
        <v>0</v>
      </c>
      <c r="B726" s="13" t="str">
        <v/>
      </c>
      <c r="C726" s="13" t="n">
        <v>0</v>
      </c>
      <c r="D726" s="13" t="n">
        <v>0</v>
      </c>
      <c r="E726" s="13" t="str">
        <v/>
      </c>
      <c r="F726" s="13" t="n">
        <v>0</v>
      </c>
      <c r="G726" s="13" t="n">
        <v>0</v>
      </c>
      <c r="H726" s="13" t="n">
        <v>0</v>
      </c>
      <c r="I726" s="13" t="n">
        <v>0</v>
      </c>
      <c r="J726" s="13" t="b">
        <f aca="false">IF(ISBLANK(I726),"", IF($I$2:$I1723 = "Gohar Rehan","Overnight",IF($I$2:$I1723 = "Taufeeq Akhtar ","Overnight",IF($I$2:$I1723 = "Zeeshan Ali Malik","Audit",IF($I$2:$I1723 = "Ali Raza ","Receiving",IF($I$2:$I1723 = "Ali Ahmad","Full-In"))))))</f>
        <v>0</v>
      </c>
      <c r="K726" s="39" t="e">
        <f aca="false">IFERROR(VLOOKUP(D726,'Brand manager data '!A:B,2,0))</f>
        <v>#VALUE!</v>
      </c>
      <c r="L726" s="13" t="n">
        <v>0</v>
      </c>
      <c r="M726" s="13" t="str">
        <v>Yes</v>
      </c>
      <c r="N726" s="22"/>
      <c r="Q726" s="40"/>
      <c r="R726" s="13" t="b">
        <f aca="false">FALSE()</f>
        <v>0</v>
      </c>
      <c r="S726" s="13" t="n">
        <v>0</v>
      </c>
      <c r="T726" s="13" t="n">
        <f aca="false">S726*F726</f>
        <v>0</v>
      </c>
      <c r="U726" s="13" t="n">
        <v>0</v>
      </c>
      <c r="V726" s="13" t="n">
        <v>0</v>
      </c>
    </row>
    <row r="727" customFormat="false" ht="15.75" hidden="false" customHeight="false" outlineLevel="0" collapsed="false">
      <c r="A727" s="13" t="n">
        <v>0</v>
      </c>
      <c r="B727" s="13" t="str">
        <v/>
      </c>
      <c r="C727" s="13" t="n">
        <v>0</v>
      </c>
      <c r="D727" s="13" t="n">
        <v>0</v>
      </c>
      <c r="E727" s="13" t="str">
        <v/>
      </c>
      <c r="F727" s="13" t="n">
        <v>0</v>
      </c>
      <c r="G727" s="13" t="n">
        <v>0</v>
      </c>
      <c r="H727" s="13" t="n">
        <v>0</v>
      </c>
      <c r="I727" s="13" t="n">
        <v>0</v>
      </c>
      <c r="J727" s="13" t="b">
        <f aca="false">IF(ISBLANK(I727),"", IF($I$2:$I1724 = "Gohar Rehan","Overnight",IF($I$2:$I1724 = "Taufeeq Akhtar ","Overnight",IF($I$2:$I1724 = "Zeeshan Ali Malik","Audit",IF($I$2:$I1724 = "Ali Raza ","Receiving",IF($I$2:$I1724 = "Ali Ahmad","Full-In"))))))</f>
        <v>0</v>
      </c>
      <c r="K727" s="39" t="e">
        <f aca="false">IFERROR(VLOOKUP(D727,'Brand manager data '!A:B,2,0))</f>
        <v>#VALUE!</v>
      </c>
      <c r="L727" s="13" t="n">
        <v>0</v>
      </c>
      <c r="M727" s="13" t="str">
        <v>Yes</v>
      </c>
      <c r="N727" s="22"/>
      <c r="Q727" s="40"/>
      <c r="R727" s="13" t="b">
        <f aca="false">FALSE()</f>
        <v>0</v>
      </c>
      <c r="S727" s="13" t="n">
        <v>0</v>
      </c>
      <c r="T727" s="13" t="n">
        <f aca="false">S727*F727</f>
        <v>0</v>
      </c>
      <c r="U727" s="13" t="n">
        <v>0</v>
      </c>
      <c r="V727" s="13" t="n">
        <v>0</v>
      </c>
    </row>
    <row r="728" customFormat="false" ht="15.75" hidden="false" customHeight="false" outlineLevel="0" collapsed="false">
      <c r="A728" s="13" t="n">
        <v>0</v>
      </c>
      <c r="B728" s="13" t="str">
        <v/>
      </c>
      <c r="C728" s="13" t="n">
        <v>0</v>
      </c>
      <c r="D728" s="13" t="n">
        <v>0</v>
      </c>
      <c r="E728" s="13" t="str">
        <v/>
      </c>
      <c r="F728" s="13" t="n">
        <v>0</v>
      </c>
      <c r="G728" s="13" t="n">
        <v>0</v>
      </c>
      <c r="H728" s="13" t="n">
        <v>0</v>
      </c>
      <c r="I728" s="13" t="n">
        <v>0</v>
      </c>
      <c r="J728" s="13" t="b">
        <f aca="false">IF(ISBLANK(I728),"", IF($I$2:$I1725 = "Gohar Rehan","Overnight",IF($I$2:$I1725 = "Taufeeq Akhtar ","Overnight",IF($I$2:$I1725 = "Zeeshan Ali Malik","Audit",IF($I$2:$I1725 = "Ali Raza ","Receiving",IF($I$2:$I1725 = "Ali Ahmad","Full-In"))))))</f>
        <v>0</v>
      </c>
      <c r="K728" s="39" t="e">
        <f aca="false">IFERROR(VLOOKUP(D728,'Brand manager data '!A:B,2,0))</f>
        <v>#VALUE!</v>
      </c>
      <c r="L728" s="13" t="n">
        <v>0</v>
      </c>
      <c r="M728" s="13" t="str">
        <v>Yes</v>
      </c>
      <c r="N728" s="22"/>
      <c r="Q728" s="40"/>
      <c r="R728" s="13" t="b">
        <f aca="false">FALSE()</f>
        <v>0</v>
      </c>
      <c r="S728" s="13" t="n">
        <v>0</v>
      </c>
      <c r="T728" s="13" t="n">
        <f aca="false">S728*F728</f>
        <v>0</v>
      </c>
      <c r="U728" s="13" t="n">
        <v>0</v>
      </c>
      <c r="V728" s="13" t="n">
        <v>0</v>
      </c>
    </row>
    <row r="729" customFormat="false" ht="15.75" hidden="false" customHeight="false" outlineLevel="0" collapsed="false">
      <c r="A729" s="13" t="n">
        <v>0</v>
      </c>
      <c r="B729" s="13" t="str">
        <v/>
      </c>
      <c r="C729" s="13" t="n">
        <v>0</v>
      </c>
      <c r="D729" s="13" t="n">
        <v>0</v>
      </c>
      <c r="E729" s="13" t="str">
        <v/>
      </c>
      <c r="F729" s="13" t="n">
        <v>0</v>
      </c>
      <c r="G729" s="13" t="n">
        <v>0</v>
      </c>
      <c r="H729" s="13" t="n">
        <v>0</v>
      </c>
      <c r="I729" s="13" t="n">
        <v>0</v>
      </c>
      <c r="J729" s="13" t="b">
        <f aca="false">IF(ISBLANK(I729),"", IF($I$2:$I1726 = "Gohar Rehan","Overnight",IF($I$2:$I1726 = "Taufeeq Akhtar ","Overnight",IF($I$2:$I1726 = "Zeeshan Ali Malik","Audit",IF($I$2:$I1726 = "Ali Raza ","Receiving",IF($I$2:$I1726 = "Ali Ahmad","Full-In"))))))</f>
        <v>0</v>
      </c>
      <c r="K729" s="39" t="e">
        <f aca="false">IFERROR(VLOOKUP(D729,'Brand manager data '!A:B,2,0))</f>
        <v>#VALUE!</v>
      </c>
      <c r="L729" s="13" t="n">
        <v>0</v>
      </c>
      <c r="M729" s="13" t="str">
        <v>Yes</v>
      </c>
      <c r="N729" s="22"/>
      <c r="Q729" s="40"/>
      <c r="R729" s="13" t="b">
        <f aca="false">FALSE()</f>
        <v>0</v>
      </c>
      <c r="S729" s="13" t="n">
        <v>0</v>
      </c>
      <c r="T729" s="13" t="n">
        <f aca="false">S729*F729</f>
        <v>0</v>
      </c>
      <c r="U729" s="13" t="n">
        <v>0</v>
      </c>
      <c r="V729" s="13" t="n">
        <v>0</v>
      </c>
    </row>
    <row r="730" customFormat="false" ht="15.75" hidden="false" customHeight="false" outlineLevel="0" collapsed="false">
      <c r="A730" s="13" t="n">
        <v>0</v>
      </c>
      <c r="B730" s="13" t="str">
        <v/>
      </c>
      <c r="C730" s="13" t="n">
        <v>0</v>
      </c>
      <c r="D730" s="13" t="n">
        <v>0</v>
      </c>
      <c r="E730" s="13" t="str">
        <v/>
      </c>
      <c r="F730" s="13" t="n">
        <v>0</v>
      </c>
      <c r="G730" s="13" t="n">
        <v>0</v>
      </c>
      <c r="H730" s="13" t="n">
        <v>0</v>
      </c>
      <c r="I730" s="13" t="n">
        <v>0</v>
      </c>
      <c r="J730" s="13" t="b">
        <f aca="false">IF(ISBLANK(I730),"", IF($I$2:$I1727 = "Gohar Rehan","Overnight",IF($I$2:$I1727 = "Taufeeq Akhtar ","Overnight",IF($I$2:$I1727 = "Zeeshan Ali Malik","Audit",IF($I$2:$I1727 = "Ali Raza ","Receiving",IF($I$2:$I1727 = "Ali Ahmad","Full-In"))))))</f>
        <v>0</v>
      </c>
      <c r="K730" s="39" t="e">
        <f aca="false">IFERROR(VLOOKUP(D730,'Brand manager data '!A:B,2,0))</f>
        <v>#VALUE!</v>
      </c>
      <c r="L730" s="13" t="n">
        <v>0</v>
      </c>
      <c r="M730" s="13" t="str">
        <v>Yes</v>
      </c>
      <c r="N730" s="22"/>
      <c r="Q730" s="40"/>
      <c r="R730" s="13" t="b">
        <f aca="false">FALSE()</f>
        <v>0</v>
      </c>
      <c r="S730" s="13" t="n">
        <v>0</v>
      </c>
      <c r="T730" s="13" t="n">
        <f aca="false">S730*F730</f>
        <v>0</v>
      </c>
      <c r="U730" s="13" t="n">
        <v>0</v>
      </c>
      <c r="V730" s="13" t="n">
        <v>0</v>
      </c>
    </row>
    <row r="731" customFormat="false" ht="15.75" hidden="false" customHeight="false" outlineLevel="0" collapsed="false">
      <c r="A731" s="13" t="n">
        <v>0</v>
      </c>
      <c r="B731" s="13" t="str">
        <v/>
      </c>
      <c r="C731" s="13" t="n">
        <v>0</v>
      </c>
      <c r="D731" s="13" t="n">
        <v>0</v>
      </c>
      <c r="E731" s="13" t="str">
        <v/>
      </c>
      <c r="F731" s="13" t="n">
        <v>0</v>
      </c>
      <c r="G731" s="13" t="n">
        <v>0</v>
      </c>
      <c r="H731" s="13" t="n">
        <v>0</v>
      </c>
      <c r="I731" s="13" t="n">
        <v>0</v>
      </c>
      <c r="J731" s="13" t="b">
        <f aca="false">IF(ISBLANK(I731),"", IF($I$2:$I1728 = "Gohar Rehan","Overnight",IF($I$2:$I1728 = "Taufeeq Akhtar ","Overnight",IF($I$2:$I1728 = "Zeeshan Ali Malik","Audit",IF($I$2:$I1728 = "Ali Raza ","Receiving",IF($I$2:$I1728 = "Ali Ahmad","Full-In"))))))</f>
        <v>0</v>
      </c>
      <c r="K731" s="39" t="e">
        <f aca="false">IFERROR(VLOOKUP(D731,'Brand manager data '!A:B,2,0))</f>
        <v>#VALUE!</v>
      </c>
      <c r="L731" s="13" t="n">
        <v>0</v>
      </c>
      <c r="M731" s="13" t="str">
        <v>Yes</v>
      </c>
      <c r="N731" s="22"/>
      <c r="Q731" s="40"/>
      <c r="R731" s="13" t="b">
        <f aca="false">FALSE()</f>
        <v>0</v>
      </c>
      <c r="S731" s="13" t="n">
        <v>0</v>
      </c>
      <c r="T731" s="13" t="n">
        <f aca="false">S731*F731</f>
        <v>0</v>
      </c>
      <c r="U731" s="13" t="n">
        <v>0</v>
      </c>
      <c r="V731" s="13" t="n">
        <v>0</v>
      </c>
    </row>
    <row r="732" customFormat="false" ht="15.75" hidden="false" customHeight="false" outlineLevel="0" collapsed="false">
      <c r="A732" s="13" t="n">
        <v>0</v>
      </c>
      <c r="B732" s="13" t="str">
        <v/>
      </c>
      <c r="C732" s="13" t="n">
        <v>0</v>
      </c>
      <c r="D732" s="13" t="n">
        <v>0</v>
      </c>
      <c r="E732" s="13" t="str">
        <v/>
      </c>
      <c r="F732" s="13" t="n">
        <v>0</v>
      </c>
      <c r="G732" s="13" t="n">
        <v>0</v>
      </c>
      <c r="H732" s="13" t="n">
        <v>0</v>
      </c>
      <c r="I732" s="13" t="n">
        <v>0</v>
      </c>
      <c r="J732" s="13" t="b">
        <f aca="false">IF(ISBLANK(I732),"", IF($I$2:$I1729 = "Gohar Rehan","Overnight",IF($I$2:$I1729 = "Taufeeq Akhtar ","Overnight",IF($I$2:$I1729 = "Zeeshan Ali Malik","Audit",IF($I$2:$I1729 = "Ali Raza ","Receiving",IF($I$2:$I1729 = "Ali Ahmad","Full-In"))))))</f>
        <v>0</v>
      </c>
      <c r="K732" s="39" t="e">
        <f aca="false">IFERROR(VLOOKUP(D732,'Brand manager data '!A:B,2,0))</f>
        <v>#VALUE!</v>
      </c>
      <c r="L732" s="13" t="n">
        <v>0</v>
      </c>
      <c r="M732" s="13" t="str">
        <v>Yes</v>
      </c>
      <c r="N732" s="22"/>
      <c r="Q732" s="40"/>
      <c r="R732" s="13" t="b">
        <f aca="false">FALSE()</f>
        <v>0</v>
      </c>
      <c r="S732" s="13" t="n">
        <v>0</v>
      </c>
      <c r="T732" s="13" t="n">
        <f aca="false">S732*F732</f>
        <v>0</v>
      </c>
      <c r="U732" s="13" t="n">
        <v>0</v>
      </c>
      <c r="V732" s="13" t="n">
        <v>0</v>
      </c>
    </row>
    <row r="733" customFormat="false" ht="15.75" hidden="false" customHeight="false" outlineLevel="0" collapsed="false">
      <c r="A733" s="13" t="n">
        <v>0</v>
      </c>
      <c r="B733" s="13" t="str">
        <v/>
      </c>
      <c r="C733" s="13" t="n">
        <v>0</v>
      </c>
      <c r="D733" s="13" t="n">
        <v>0</v>
      </c>
      <c r="E733" s="13" t="str">
        <v/>
      </c>
      <c r="F733" s="13" t="n">
        <v>0</v>
      </c>
      <c r="G733" s="13" t="n">
        <v>0</v>
      </c>
      <c r="H733" s="13" t="n">
        <v>0</v>
      </c>
      <c r="I733" s="13" t="n">
        <v>0</v>
      </c>
      <c r="J733" s="13" t="b">
        <f aca="false">IF(ISBLANK(I733),"", IF($I$2:$I1730 = "Gohar Rehan","Overnight",IF($I$2:$I1730 = "Taufeeq Akhtar ","Overnight",IF($I$2:$I1730 = "Zeeshan Ali Malik","Audit",IF($I$2:$I1730 = "Ali Raza ","Receiving",IF($I$2:$I1730 = "Ali Ahmad","Full-In"))))))</f>
        <v>0</v>
      </c>
      <c r="K733" s="39" t="e">
        <f aca="false">IFERROR(VLOOKUP(D733,'Brand manager data '!A:B,2,0))</f>
        <v>#VALUE!</v>
      </c>
      <c r="L733" s="13" t="n">
        <v>0</v>
      </c>
      <c r="M733" s="13" t="str">
        <v>Yes</v>
      </c>
      <c r="N733" s="22"/>
      <c r="Q733" s="40"/>
      <c r="R733" s="13" t="b">
        <f aca="false">FALSE()</f>
        <v>0</v>
      </c>
      <c r="S733" s="13" t="n">
        <v>0</v>
      </c>
      <c r="T733" s="13" t="n">
        <f aca="false">S733*F733</f>
        <v>0</v>
      </c>
      <c r="U733" s="13" t="n">
        <v>0</v>
      </c>
      <c r="V733" s="13" t="n">
        <v>0</v>
      </c>
    </row>
    <row r="734" customFormat="false" ht="15.75" hidden="false" customHeight="false" outlineLevel="0" collapsed="false">
      <c r="A734" s="13" t="n">
        <v>0</v>
      </c>
      <c r="B734" s="13" t="str">
        <v/>
      </c>
      <c r="C734" s="13" t="n">
        <v>0</v>
      </c>
      <c r="D734" s="13" t="n">
        <v>0</v>
      </c>
      <c r="E734" s="13" t="str">
        <v/>
      </c>
      <c r="F734" s="13" t="n">
        <v>0</v>
      </c>
      <c r="G734" s="13" t="n">
        <v>0</v>
      </c>
      <c r="H734" s="13" t="n">
        <v>0</v>
      </c>
      <c r="I734" s="13" t="n">
        <v>0</v>
      </c>
      <c r="J734" s="13" t="b">
        <f aca="false">IF(ISBLANK(I734),"", IF($I$2:$I1731 = "Gohar Rehan","Overnight",IF($I$2:$I1731 = "Taufeeq Akhtar ","Overnight",IF($I$2:$I1731 = "Zeeshan Ali Malik","Audit",IF($I$2:$I1731 = "Ali Raza ","Receiving",IF($I$2:$I1731 = "Ali Ahmad","Full-In"))))))</f>
        <v>0</v>
      </c>
      <c r="K734" s="39" t="e">
        <f aca="false">IFERROR(VLOOKUP(D734,'Brand manager data '!A:B,2,0))</f>
        <v>#VALUE!</v>
      </c>
      <c r="L734" s="13" t="n">
        <v>0</v>
      </c>
      <c r="M734" s="13" t="str">
        <v>Yes</v>
      </c>
      <c r="N734" s="22"/>
      <c r="Q734" s="40"/>
      <c r="R734" s="13" t="b">
        <f aca="false">FALSE()</f>
        <v>0</v>
      </c>
      <c r="S734" s="13" t="n">
        <v>0</v>
      </c>
      <c r="T734" s="13" t="n">
        <f aca="false">S734*F734</f>
        <v>0</v>
      </c>
      <c r="U734" s="13" t="n">
        <v>0</v>
      </c>
      <c r="V734" s="13" t="n">
        <v>0</v>
      </c>
    </row>
    <row r="735" customFormat="false" ht="15.75" hidden="false" customHeight="false" outlineLevel="0" collapsed="false">
      <c r="A735" s="13" t="n">
        <v>0</v>
      </c>
      <c r="B735" s="13" t="str">
        <v/>
      </c>
      <c r="C735" s="13" t="n">
        <v>0</v>
      </c>
      <c r="D735" s="13" t="n">
        <v>0</v>
      </c>
      <c r="E735" s="13" t="str">
        <v/>
      </c>
      <c r="F735" s="13" t="n">
        <v>0</v>
      </c>
      <c r="G735" s="13" t="n">
        <v>0</v>
      </c>
      <c r="H735" s="13" t="n">
        <v>0</v>
      </c>
      <c r="I735" s="13" t="n">
        <v>0</v>
      </c>
      <c r="J735" s="13" t="b">
        <f aca="false">IF(ISBLANK(I735),"", IF($I$2:$I1732 = "Gohar Rehan","Overnight",IF($I$2:$I1732 = "Taufeeq Akhtar ","Overnight",IF($I$2:$I1732 = "Zeeshan Ali Malik","Audit",IF($I$2:$I1732 = "Ali Raza ","Receiving",IF($I$2:$I1732 = "Ali Ahmad","Full-In"))))))</f>
        <v>0</v>
      </c>
      <c r="K735" s="39" t="e">
        <f aca="false">IFERROR(VLOOKUP(D735,'Brand manager data '!A:B,2,0))</f>
        <v>#VALUE!</v>
      </c>
      <c r="L735" s="13" t="n">
        <v>0</v>
      </c>
      <c r="M735" s="13" t="str">
        <v>Yes</v>
      </c>
      <c r="N735" s="22"/>
      <c r="Q735" s="40"/>
      <c r="R735" s="13" t="b">
        <f aca="false">FALSE()</f>
        <v>0</v>
      </c>
      <c r="S735" s="13" t="n">
        <v>0</v>
      </c>
      <c r="T735" s="13" t="n">
        <f aca="false">S735*F735</f>
        <v>0</v>
      </c>
      <c r="U735" s="13" t="n">
        <v>0</v>
      </c>
      <c r="V735" s="13" t="n">
        <v>0</v>
      </c>
    </row>
    <row r="736" customFormat="false" ht="15.75" hidden="false" customHeight="false" outlineLevel="0" collapsed="false">
      <c r="A736" s="13" t="n">
        <v>0</v>
      </c>
      <c r="B736" s="13" t="str">
        <v/>
      </c>
      <c r="C736" s="13" t="n">
        <v>0</v>
      </c>
      <c r="D736" s="13" t="n">
        <v>0</v>
      </c>
      <c r="E736" s="13" t="str">
        <v/>
      </c>
      <c r="F736" s="13" t="n">
        <v>0</v>
      </c>
      <c r="G736" s="13" t="n">
        <v>0</v>
      </c>
      <c r="H736" s="13" t="n">
        <v>0</v>
      </c>
      <c r="I736" s="13" t="n">
        <v>0</v>
      </c>
      <c r="J736" s="13" t="b">
        <f aca="false">IF(ISBLANK(I736),"", IF($I$2:$I1733 = "Gohar Rehan","Overnight",IF($I$2:$I1733 = "Taufeeq Akhtar ","Overnight",IF($I$2:$I1733 = "Zeeshan Ali Malik","Audit",IF($I$2:$I1733 = "Ali Raza ","Receiving",IF($I$2:$I1733 = "Ali Ahmad","Full-In"))))))</f>
        <v>0</v>
      </c>
      <c r="K736" s="39" t="e">
        <f aca="false">IFERROR(VLOOKUP(D736,'Brand manager data '!A:B,2,0))</f>
        <v>#VALUE!</v>
      </c>
      <c r="L736" s="13" t="n">
        <v>0</v>
      </c>
      <c r="M736" s="13" t="str">
        <v>Yes</v>
      </c>
      <c r="N736" s="22"/>
      <c r="Q736" s="40"/>
      <c r="R736" s="13" t="b">
        <f aca="false">FALSE()</f>
        <v>0</v>
      </c>
      <c r="S736" s="13" t="n">
        <v>0</v>
      </c>
      <c r="T736" s="13" t="n">
        <f aca="false">S736*F736</f>
        <v>0</v>
      </c>
      <c r="U736" s="13" t="n">
        <v>0</v>
      </c>
      <c r="V736" s="13" t="n">
        <v>0</v>
      </c>
    </row>
    <row r="737" customFormat="false" ht="15.75" hidden="false" customHeight="false" outlineLevel="0" collapsed="false">
      <c r="A737" s="13" t="n">
        <v>0</v>
      </c>
      <c r="B737" s="13" t="str">
        <v/>
      </c>
      <c r="C737" s="13" t="n">
        <v>0</v>
      </c>
      <c r="D737" s="13" t="n">
        <v>0</v>
      </c>
      <c r="E737" s="13" t="str">
        <v/>
      </c>
      <c r="F737" s="13" t="n">
        <v>0</v>
      </c>
      <c r="G737" s="13" t="n">
        <v>0</v>
      </c>
      <c r="H737" s="13" t="n">
        <v>0</v>
      </c>
      <c r="I737" s="13" t="n">
        <v>0</v>
      </c>
      <c r="J737" s="13" t="b">
        <f aca="false">IF(ISBLANK(I737),"", IF($I$2:$I1734 = "Gohar Rehan","Overnight",IF($I$2:$I1734 = "Taufeeq Akhtar ","Overnight",IF($I$2:$I1734 = "Zeeshan Ali Malik","Audit",IF($I$2:$I1734 = "Ali Raza ","Receiving",IF($I$2:$I1734 = "Ali Ahmad","Full-In"))))))</f>
        <v>0</v>
      </c>
      <c r="K737" s="39" t="e">
        <f aca="false">IFERROR(VLOOKUP(D737,'Brand manager data '!A:B,2,0))</f>
        <v>#VALUE!</v>
      </c>
      <c r="L737" s="13" t="n">
        <v>0</v>
      </c>
      <c r="M737" s="13" t="str">
        <v>Yes</v>
      </c>
      <c r="N737" s="22"/>
      <c r="Q737" s="40"/>
      <c r="R737" s="13" t="b">
        <f aca="false">FALSE()</f>
        <v>0</v>
      </c>
      <c r="S737" s="13" t="n">
        <v>0</v>
      </c>
      <c r="T737" s="13" t="n">
        <f aca="false">S737*F737</f>
        <v>0</v>
      </c>
      <c r="U737" s="13" t="n">
        <v>0</v>
      </c>
      <c r="V737" s="13" t="n">
        <v>0</v>
      </c>
    </row>
    <row r="738" customFormat="false" ht="15.75" hidden="false" customHeight="false" outlineLevel="0" collapsed="false">
      <c r="A738" s="13" t="n">
        <v>0</v>
      </c>
      <c r="B738" s="13" t="str">
        <v/>
      </c>
      <c r="C738" s="13" t="n">
        <v>0</v>
      </c>
      <c r="D738" s="13" t="n">
        <v>0</v>
      </c>
      <c r="E738" s="13" t="str">
        <v/>
      </c>
      <c r="F738" s="13" t="n">
        <v>0</v>
      </c>
      <c r="G738" s="13" t="n">
        <v>0</v>
      </c>
      <c r="H738" s="13" t="n">
        <v>0</v>
      </c>
      <c r="I738" s="13" t="n">
        <v>0</v>
      </c>
      <c r="J738" s="13" t="b">
        <f aca="false">IF(ISBLANK(I738),"", IF($I$2:$I1735 = "Gohar Rehan","Overnight",IF($I$2:$I1735 = "Taufeeq Akhtar ","Overnight",IF($I$2:$I1735 = "Zeeshan Ali Malik","Audit",IF($I$2:$I1735 = "Ali Raza ","Receiving",IF($I$2:$I1735 = "Ali Ahmad","Full-In"))))))</f>
        <v>0</v>
      </c>
      <c r="K738" s="39" t="e">
        <f aca="false">IFERROR(VLOOKUP(D738,'Brand manager data '!A:B,2,0))</f>
        <v>#VALUE!</v>
      </c>
      <c r="L738" s="13" t="n">
        <v>0</v>
      </c>
      <c r="M738" s="13" t="str">
        <v>Yes</v>
      </c>
      <c r="N738" s="22"/>
      <c r="Q738" s="40"/>
      <c r="R738" s="13" t="b">
        <f aca="false">FALSE()</f>
        <v>0</v>
      </c>
      <c r="S738" s="13" t="n">
        <v>0</v>
      </c>
      <c r="T738" s="13" t="n">
        <f aca="false">S738*F738</f>
        <v>0</v>
      </c>
      <c r="U738" s="13" t="n">
        <v>0</v>
      </c>
      <c r="V738" s="13" t="n">
        <v>0</v>
      </c>
    </row>
    <row r="739" customFormat="false" ht="15.75" hidden="false" customHeight="false" outlineLevel="0" collapsed="false">
      <c r="A739" s="13" t="n">
        <v>0</v>
      </c>
      <c r="B739" s="13" t="str">
        <v/>
      </c>
      <c r="C739" s="13" t="n">
        <v>0</v>
      </c>
      <c r="D739" s="13" t="n">
        <v>0</v>
      </c>
      <c r="E739" s="13" t="str">
        <v/>
      </c>
      <c r="F739" s="13" t="n">
        <v>0</v>
      </c>
      <c r="G739" s="13" t="n">
        <v>0</v>
      </c>
      <c r="H739" s="13" t="n">
        <v>0</v>
      </c>
      <c r="I739" s="13" t="n">
        <v>0</v>
      </c>
      <c r="J739" s="13" t="b">
        <f aca="false">IF(ISBLANK(I739),"", IF($I$2:$I1736 = "Gohar Rehan","Overnight",IF($I$2:$I1736 = "Taufeeq Akhtar ","Overnight",IF($I$2:$I1736 = "Zeeshan Ali Malik","Audit",IF($I$2:$I1736 = "Ali Raza ","Receiving",IF($I$2:$I1736 = "Ali Ahmad","Full-In"))))))</f>
        <v>0</v>
      </c>
      <c r="K739" s="39" t="e">
        <f aca="false">IFERROR(VLOOKUP(D739,'Brand manager data '!A:B,2,0))</f>
        <v>#VALUE!</v>
      </c>
      <c r="L739" s="13" t="n">
        <v>0</v>
      </c>
      <c r="M739" s="13" t="str">
        <v>Yes</v>
      </c>
      <c r="N739" s="22"/>
      <c r="Q739" s="40"/>
      <c r="R739" s="13" t="b">
        <f aca="false">FALSE()</f>
        <v>0</v>
      </c>
      <c r="S739" s="13" t="n">
        <v>0</v>
      </c>
      <c r="T739" s="13" t="n">
        <f aca="false">S739*F739</f>
        <v>0</v>
      </c>
      <c r="U739" s="13" t="n">
        <v>0</v>
      </c>
      <c r="V739" s="13" t="n">
        <v>0</v>
      </c>
    </row>
    <row r="740" customFormat="false" ht="15.75" hidden="false" customHeight="false" outlineLevel="0" collapsed="false">
      <c r="A740" s="13" t="n">
        <v>0</v>
      </c>
      <c r="B740" s="13" t="str">
        <v/>
      </c>
      <c r="C740" s="13" t="n">
        <v>0</v>
      </c>
      <c r="D740" s="13" t="n">
        <v>0</v>
      </c>
      <c r="E740" s="13" t="str">
        <v/>
      </c>
      <c r="F740" s="13" t="n">
        <v>0</v>
      </c>
      <c r="G740" s="13" t="n">
        <v>0</v>
      </c>
      <c r="H740" s="13" t="n">
        <v>0</v>
      </c>
      <c r="I740" s="13" t="n">
        <v>0</v>
      </c>
      <c r="J740" s="13" t="b">
        <f aca="false">IF(ISBLANK(I740),"", IF($I$2:$I1737 = "Gohar Rehan","Overnight",IF($I$2:$I1737 = "Taufeeq Akhtar ","Overnight",IF($I$2:$I1737 = "Zeeshan Ali Malik","Audit",IF($I$2:$I1737 = "Ali Raza ","Receiving",IF($I$2:$I1737 = "Ali Ahmad","Full-In"))))))</f>
        <v>0</v>
      </c>
      <c r="K740" s="39" t="e">
        <f aca="false">IFERROR(VLOOKUP(D740,'Brand manager data '!A:B,2,0))</f>
        <v>#VALUE!</v>
      </c>
      <c r="L740" s="13" t="n">
        <v>0</v>
      </c>
      <c r="M740" s="13" t="str">
        <v>Yes</v>
      </c>
      <c r="N740" s="22"/>
      <c r="Q740" s="40"/>
      <c r="R740" s="13" t="b">
        <f aca="false">FALSE()</f>
        <v>0</v>
      </c>
      <c r="S740" s="13" t="n">
        <v>0</v>
      </c>
      <c r="T740" s="13" t="n">
        <f aca="false">S740*F740</f>
        <v>0</v>
      </c>
      <c r="U740" s="13" t="n">
        <v>0</v>
      </c>
      <c r="V740" s="13" t="n">
        <v>0</v>
      </c>
    </row>
    <row r="741" customFormat="false" ht="15.75" hidden="false" customHeight="false" outlineLevel="0" collapsed="false">
      <c r="A741" s="13" t="n">
        <v>0</v>
      </c>
      <c r="B741" s="13" t="str">
        <v/>
      </c>
      <c r="C741" s="13" t="n">
        <v>0</v>
      </c>
      <c r="D741" s="13" t="n">
        <v>0</v>
      </c>
      <c r="E741" s="13" t="str">
        <v/>
      </c>
      <c r="F741" s="13" t="n">
        <v>0</v>
      </c>
      <c r="G741" s="13" t="n">
        <v>0</v>
      </c>
      <c r="H741" s="13" t="n">
        <v>0</v>
      </c>
      <c r="I741" s="13" t="n">
        <v>0</v>
      </c>
      <c r="J741" s="13" t="b">
        <f aca="false">IF(ISBLANK(I741),"", IF($I$2:$I1738 = "Gohar Rehan","Overnight",IF($I$2:$I1738 = "Taufeeq Akhtar ","Overnight",IF($I$2:$I1738 = "Zeeshan Ali Malik","Audit",IF($I$2:$I1738 = "Ali Raza ","Receiving",IF($I$2:$I1738 = "Ali Ahmad","Full-In"))))))</f>
        <v>0</v>
      </c>
      <c r="K741" s="39" t="e">
        <f aca="false">IFERROR(VLOOKUP(D741,'Brand manager data '!A:B,2,0))</f>
        <v>#VALUE!</v>
      </c>
      <c r="L741" s="13" t="n">
        <v>0</v>
      </c>
      <c r="M741" s="13" t="str">
        <v>Yes</v>
      </c>
      <c r="N741" s="22"/>
      <c r="Q741" s="40"/>
      <c r="R741" s="13" t="b">
        <f aca="false">FALSE()</f>
        <v>0</v>
      </c>
      <c r="S741" s="13" t="n">
        <v>0</v>
      </c>
      <c r="T741" s="13" t="n">
        <f aca="false">S741*F741</f>
        <v>0</v>
      </c>
      <c r="U741" s="13" t="n">
        <v>0</v>
      </c>
      <c r="V741" s="13" t="n">
        <v>0</v>
      </c>
    </row>
    <row r="742" customFormat="false" ht="15.75" hidden="false" customHeight="false" outlineLevel="0" collapsed="false">
      <c r="A742" s="13" t="n">
        <v>0</v>
      </c>
      <c r="B742" s="13" t="str">
        <v/>
      </c>
      <c r="C742" s="13" t="n">
        <v>0</v>
      </c>
      <c r="D742" s="13" t="n">
        <v>0</v>
      </c>
      <c r="E742" s="13" t="str">
        <v/>
      </c>
      <c r="F742" s="13" t="n">
        <v>0</v>
      </c>
      <c r="G742" s="13" t="n">
        <v>0</v>
      </c>
      <c r="H742" s="13" t="n">
        <v>0</v>
      </c>
      <c r="I742" s="13" t="n">
        <v>0</v>
      </c>
      <c r="J742" s="13" t="b">
        <f aca="false">IF(ISBLANK(I742),"", IF($I$2:$I1739 = "Gohar Rehan","Overnight",IF($I$2:$I1739 = "Taufeeq Akhtar ","Overnight",IF($I$2:$I1739 = "Zeeshan Ali Malik","Audit",IF($I$2:$I1739 = "Ali Raza ","Receiving",IF($I$2:$I1739 = "Ali Ahmad","Full-In"))))))</f>
        <v>0</v>
      </c>
      <c r="K742" s="39" t="e">
        <f aca="false">IFERROR(VLOOKUP(D742,'Brand manager data '!A:B,2,0))</f>
        <v>#VALUE!</v>
      </c>
      <c r="L742" s="13" t="n">
        <v>0</v>
      </c>
      <c r="M742" s="13" t="str">
        <v>Yes</v>
      </c>
      <c r="N742" s="22"/>
      <c r="Q742" s="40"/>
      <c r="R742" s="13" t="b">
        <f aca="false">FALSE()</f>
        <v>0</v>
      </c>
      <c r="S742" s="13" t="n">
        <v>0</v>
      </c>
      <c r="T742" s="13" t="n">
        <f aca="false">S742*F742</f>
        <v>0</v>
      </c>
      <c r="U742" s="13" t="n">
        <v>0</v>
      </c>
      <c r="V742" s="13" t="n">
        <v>0</v>
      </c>
    </row>
    <row r="743" customFormat="false" ht="15.75" hidden="false" customHeight="false" outlineLevel="0" collapsed="false">
      <c r="A743" s="13" t="n">
        <v>0</v>
      </c>
      <c r="B743" s="13" t="str">
        <v/>
      </c>
      <c r="C743" s="13" t="n">
        <v>0</v>
      </c>
      <c r="D743" s="13" t="n">
        <v>0</v>
      </c>
      <c r="E743" s="13" t="str">
        <v/>
      </c>
      <c r="F743" s="13" t="n">
        <v>0</v>
      </c>
      <c r="G743" s="13" t="n">
        <v>0</v>
      </c>
      <c r="H743" s="13" t="n">
        <v>0</v>
      </c>
      <c r="I743" s="13" t="n">
        <v>0</v>
      </c>
      <c r="J743" s="13" t="b">
        <f aca="false">IF(ISBLANK(I743),"", IF($I$2:$I1740 = "Gohar Rehan","Overnight",IF($I$2:$I1740 = "Taufeeq Akhtar ","Overnight",IF($I$2:$I1740 = "Zeeshan Ali Malik","Audit",IF($I$2:$I1740 = "Ali Raza ","Receiving",IF($I$2:$I1740 = "Ali Ahmad","Full-In"))))))</f>
        <v>0</v>
      </c>
      <c r="K743" s="39" t="e">
        <f aca="false">IFERROR(VLOOKUP(D743,'Brand manager data '!A:B,2,0))</f>
        <v>#VALUE!</v>
      </c>
      <c r="L743" s="13" t="n">
        <v>0</v>
      </c>
      <c r="M743" s="13" t="str">
        <v>Yes</v>
      </c>
      <c r="N743" s="22"/>
      <c r="Q743" s="40"/>
      <c r="R743" s="13" t="b">
        <f aca="false">FALSE()</f>
        <v>0</v>
      </c>
      <c r="S743" s="13" t="n">
        <v>0</v>
      </c>
      <c r="T743" s="13" t="n">
        <f aca="false">S743*F743</f>
        <v>0</v>
      </c>
      <c r="U743" s="13" t="n">
        <v>0</v>
      </c>
      <c r="V743" s="13" t="n">
        <v>0</v>
      </c>
    </row>
    <row r="744" customFormat="false" ht="15.75" hidden="false" customHeight="false" outlineLevel="0" collapsed="false">
      <c r="A744" s="13" t="n">
        <v>0</v>
      </c>
      <c r="B744" s="13" t="str">
        <v/>
      </c>
      <c r="C744" s="13" t="n">
        <v>0</v>
      </c>
      <c r="D744" s="13" t="n">
        <v>0</v>
      </c>
      <c r="E744" s="13" t="str">
        <v/>
      </c>
      <c r="F744" s="13" t="n">
        <v>0</v>
      </c>
      <c r="G744" s="13" t="n">
        <v>0</v>
      </c>
      <c r="H744" s="13" t="n">
        <v>0</v>
      </c>
      <c r="I744" s="13" t="n">
        <v>0</v>
      </c>
      <c r="J744" s="13" t="b">
        <f aca="false">IF(ISBLANK(I744),"", IF($I$2:$I1741 = "Gohar Rehan","Overnight",IF($I$2:$I1741 = "Taufeeq Akhtar ","Overnight",IF($I$2:$I1741 = "Zeeshan Ali Malik","Audit",IF($I$2:$I1741 = "Ali Raza ","Receiving",IF($I$2:$I1741 = "Ali Ahmad","Full-In"))))))</f>
        <v>0</v>
      </c>
      <c r="K744" s="39" t="e">
        <f aca="false">IFERROR(VLOOKUP(D744,'Brand manager data '!A:B,2,0))</f>
        <v>#VALUE!</v>
      </c>
      <c r="L744" s="13" t="n">
        <v>0</v>
      </c>
      <c r="M744" s="13" t="str">
        <v>Yes</v>
      </c>
      <c r="N744" s="22"/>
      <c r="Q744" s="40"/>
      <c r="R744" s="13" t="b">
        <f aca="false">FALSE()</f>
        <v>0</v>
      </c>
      <c r="S744" s="13" t="n">
        <v>0</v>
      </c>
      <c r="T744" s="13" t="n">
        <f aca="false">S744*F744</f>
        <v>0</v>
      </c>
      <c r="U744" s="13" t="n">
        <v>0</v>
      </c>
      <c r="V744" s="13" t="n">
        <v>0</v>
      </c>
    </row>
    <row r="745" customFormat="false" ht="15.75" hidden="false" customHeight="false" outlineLevel="0" collapsed="false">
      <c r="A745" s="13" t="n">
        <v>0</v>
      </c>
      <c r="B745" s="13" t="str">
        <v/>
      </c>
      <c r="C745" s="13" t="n">
        <v>0</v>
      </c>
      <c r="D745" s="13" t="n">
        <v>0</v>
      </c>
      <c r="E745" s="13" t="str">
        <v/>
      </c>
      <c r="F745" s="13" t="n">
        <v>0</v>
      </c>
      <c r="G745" s="13" t="n">
        <v>0</v>
      </c>
      <c r="H745" s="13" t="n">
        <v>0</v>
      </c>
      <c r="I745" s="13" t="n">
        <v>0</v>
      </c>
      <c r="J745" s="13" t="b">
        <f aca="false">IF(ISBLANK(I745),"", IF($I$2:$I1742 = "Gohar Rehan","Overnight",IF($I$2:$I1742 = "Taufeeq Akhtar ","Overnight",IF($I$2:$I1742 = "Zeeshan Ali Malik","Audit",IF($I$2:$I1742 = "Ali Raza ","Receiving",IF($I$2:$I1742 = "Ali Ahmad","Full-In"))))))</f>
        <v>0</v>
      </c>
      <c r="K745" s="39" t="e">
        <f aca="false">IFERROR(VLOOKUP(D745,'Brand manager data '!A:B,2,0))</f>
        <v>#VALUE!</v>
      </c>
      <c r="L745" s="13" t="n">
        <v>0</v>
      </c>
      <c r="M745" s="13" t="str">
        <v>Yes</v>
      </c>
      <c r="N745" s="22"/>
      <c r="Q745" s="40"/>
      <c r="R745" s="13" t="b">
        <f aca="false">FALSE()</f>
        <v>0</v>
      </c>
      <c r="S745" s="13" t="n">
        <v>0</v>
      </c>
      <c r="T745" s="13" t="n">
        <f aca="false">S745*F745</f>
        <v>0</v>
      </c>
      <c r="U745" s="13" t="n">
        <v>0</v>
      </c>
      <c r="V745" s="13" t="n">
        <v>0</v>
      </c>
    </row>
    <row r="746" customFormat="false" ht="15.75" hidden="false" customHeight="false" outlineLevel="0" collapsed="false">
      <c r="A746" s="13" t="n">
        <v>0</v>
      </c>
      <c r="B746" s="13" t="str">
        <v/>
      </c>
      <c r="C746" s="13" t="n">
        <v>0</v>
      </c>
      <c r="D746" s="13" t="n">
        <v>0</v>
      </c>
      <c r="E746" s="13" t="str">
        <v/>
      </c>
      <c r="F746" s="13" t="n">
        <v>0</v>
      </c>
      <c r="G746" s="13" t="n">
        <v>0</v>
      </c>
      <c r="H746" s="13" t="n">
        <v>0</v>
      </c>
      <c r="I746" s="13" t="n">
        <v>0</v>
      </c>
      <c r="J746" s="13" t="b">
        <f aca="false">IF(ISBLANK(I746),"", IF($I$2:$I1743 = "Gohar Rehan","Overnight",IF($I$2:$I1743 = "Taufeeq Akhtar ","Overnight",IF($I$2:$I1743 = "Zeeshan Ali Malik","Audit",IF($I$2:$I1743 = "Ali Raza ","Receiving",IF($I$2:$I1743 = "Ali Ahmad","Full-In"))))))</f>
        <v>0</v>
      </c>
      <c r="K746" s="39" t="e">
        <f aca="false">IFERROR(VLOOKUP(D746,'Brand manager data '!A:B,2,0))</f>
        <v>#VALUE!</v>
      </c>
      <c r="L746" s="13" t="n">
        <v>0</v>
      </c>
      <c r="M746" s="13" t="str">
        <v>Yes</v>
      </c>
      <c r="N746" s="22"/>
      <c r="Q746" s="40"/>
      <c r="R746" s="13" t="b">
        <f aca="false">FALSE()</f>
        <v>0</v>
      </c>
      <c r="S746" s="13" t="n">
        <v>0</v>
      </c>
      <c r="T746" s="13" t="n">
        <f aca="false">S746*F746</f>
        <v>0</v>
      </c>
      <c r="U746" s="13" t="n">
        <v>0</v>
      </c>
      <c r="V746" s="13" t="n">
        <v>0</v>
      </c>
    </row>
    <row r="747" customFormat="false" ht="15.75" hidden="false" customHeight="false" outlineLevel="0" collapsed="false">
      <c r="A747" s="13" t="n">
        <v>0</v>
      </c>
      <c r="B747" s="13" t="str">
        <v/>
      </c>
      <c r="C747" s="13" t="n">
        <v>0</v>
      </c>
      <c r="D747" s="13" t="n">
        <v>0</v>
      </c>
      <c r="E747" s="13" t="str">
        <v/>
      </c>
      <c r="F747" s="13" t="n">
        <v>0</v>
      </c>
      <c r="G747" s="13" t="n">
        <v>0</v>
      </c>
      <c r="H747" s="13" t="n">
        <v>0</v>
      </c>
      <c r="I747" s="13" t="n">
        <v>0</v>
      </c>
      <c r="J747" s="13" t="b">
        <f aca="false">IF(ISBLANK(I747),"", IF($I$2:$I1744 = "Gohar Rehan","Overnight",IF($I$2:$I1744 = "Taufeeq Akhtar ","Overnight",IF($I$2:$I1744 = "Zeeshan Ali Malik","Audit",IF($I$2:$I1744 = "Ali Raza ","Receiving",IF($I$2:$I1744 = "Ali Ahmad","Full-In"))))))</f>
        <v>0</v>
      </c>
      <c r="K747" s="39" t="e">
        <f aca="false">IFERROR(VLOOKUP(D747,'Brand manager data '!A:B,2,0))</f>
        <v>#VALUE!</v>
      </c>
      <c r="L747" s="13" t="n">
        <v>0</v>
      </c>
      <c r="M747" s="13" t="str">
        <v>Yes</v>
      </c>
      <c r="N747" s="22"/>
      <c r="Q747" s="40"/>
      <c r="R747" s="13" t="b">
        <f aca="false">FALSE()</f>
        <v>0</v>
      </c>
      <c r="S747" s="13" t="n">
        <v>0</v>
      </c>
      <c r="T747" s="13" t="n">
        <f aca="false">S747*F747</f>
        <v>0</v>
      </c>
      <c r="U747" s="13" t="n">
        <v>0</v>
      </c>
      <c r="V747" s="13" t="n">
        <v>0</v>
      </c>
    </row>
    <row r="748" customFormat="false" ht="15.75" hidden="false" customHeight="false" outlineLevel="0" collapsed="false">
      <c r="A748" s="13" t="n">
        <v>0</v>
      </c>
      <c r="B748" s="13" t="str">
        <v/>
      </c>
      <c r="C748" s="13" t="n">
        <v>0</v>
      </c>
      <c r="D748" s="13" t="n">
        <v>0</v>
      </c>
      <c r="E748" s="13" t="str">
        <v/>
      </c>
      <c r="F748" s="13" t="n">
        <v>0</v>
      </c>
      <c r="G748" s="13" t="n">
        <v>0</v>
      </c>
      <c r="H748" s="13" t="n">
        <v>0</v>
      </c>
      <c r="I748" s="13" t="n">
        <v>0</v>
      </c>
      <c r="J748" s="13" t="b">
        <f aca="false">IF(ISBLANK(I748),"", IF($I$2:$I1745 = "Gohar Rehan","Overnight",IF($I$2:$I1745 = "Taufeeq Akhtar ","Overnight",IF($I$2:$I1745 = "Zeeshan Ali Malik","Audit",IF($I$2:$I1745 = "Ali Raza ","Receiving",IF($I$2:$I1745 = "Ali Ahmad","Full-In"))))))</f>
        <v>0</v>
      </c>
      <c r="K748" s="39" t="e">
        <f aca="false">IFERROR(VLOOKUP(D748,'Brand manager data '!A:B,2,0))</f>
        <v>#VALUE!</v>
      </c>
      <c r="L748" s="13" t="n">
        <v>0</v>
      </c>
      <c r="M748" s="13" t="str">
        <v>Yes</v>
      </c>
      <c r="N748" s="22"/>
      <c r="Q748" s="40"/>
      <c r="R748" s="13" t="b">
        <f aca="false">FALSE()</f>
        <v>0</v>
      </c>
      <c r="S748" s="13" t="n">
        <v>0</v>
      </c>
      <c r="T748" s="13" t="n">
        <f aca="false">S748*F748</f>
        <v>0</v>
      </c>
      <c r="U748" s="13" t="n">
        <v>0</v>
      </c>
      <c r="V748" s="13" t="n">
        <v>0</v>
      </c>
    </row>
    <row r="749" customFormat="false" ht="15.75" hidden="false" customHeight="false" outlineLevel="0" collapsed="false">
      <c r="A749" s="13" t="n">
        <v>0</v>
      </c>
      <c r="B749" s="13" t="str">
        <v/>
      </c>
      <c r="C749" s="13" t="n">
        <v>0</v>
      </c>
      <c r="D749" s="13" t="n">
        <v>0</v>
      </c>
      <c r="E749" s="13" t="str">
        <v/>
      </c>
      <c r="F749" s="13" t="n">
        <v>0</v>
      </c>
      <c r="G749" s="13" t="n">
        <v>0</v>
      </c>
      <c r="H749" s="13" t="n">
        <v>0</v>
      </c>
      <c r="I749" s="13" t="n">
        <v>0</v>
      </c>
      <c r="J749" s="13" t="b">
        <f aca="false">IF(ISBLANK(I749),"", IF($I$2:$I1746 = "Gohar Rehan","Overnight",IF($I$2:$I1746 = "Taufeeq Akhtar ","Overnight",IF($I$2:$I1746 = "Zeeshan Ali Malik","Audit",IF($I$2:$I1746 = "Ali Raza ","Receiving",IF($I$2:$I1746 = "Ali Ahmad","Full-In"))))))</f>
        <v>0</v>
      </c>
      <c r="K749" s="39" t="e">
        <f aca="false">IFERROR(VLOOKUP(D749,'Brand manager data '!A:B,2,0))</f>
        <v>#VALUE!</v>
      </c>
      <c r="L749" s="13" t="n">
        <v>0</v>
      </c>
      <c r="M749" s="13" t="str">
        <v>Yes</v>
      </c>
      <c r="N749" s="22"/>
      <c r="Q749" s="40"/>
      <c r="R749" s="13" t="b">
        <f aca="false">FALSE()</f>
        <v>0</v>
      </c>
      <c r="S749" s="13" t="n">
        <v>0</v>
      </c>
      <c r="T749" s="13" t="n">
        <f aca="false">S749*F749</f>
        <v>0</v>
      </c>
      <c r="U749" s="13" t="n">
        <v>0</v>
      </c>
      <c r="V749" s="13" t="n">
        <v>0</v>
      </c>
    </row>
    <row r="750" customFormat="false" ht="15.75" hidden="false" customHeight="false" outlineLevel="0" collapsed="false">
      <c r="A750" s="13" t="n">
        <v>0</v>
      </c>
      <c r="B750" s="13" t="str">
        <v/>
      </c>
      <c r="C750" s="13" t="n">
        <v>0</v>
      </c>
      <c r="D750" s="13" t="n">
        <v>0</v>
      </c>
      <c r="E750" s="13" t="str">
        <v/>
      </c>
      <c r="F750" s="13" t="n">
        <v>0</v>
      </c>
      <c r="G750" s="13" t="n">
        <v>0</v>
      </c>
      <c r="H750" s="13" t="n">
        <v>0</v>
      </c>
      <c r="I750" s="13" t="n">
        <v>0</v>
      </c>
      <c r="J750" s="13" t="b">
        <f aca="false">IF(ISBLANK(I750),"", IF($I$2:$I1747 = "Gohar Rehan","Overnight",IF($I$2:$I1747 = "Taufeeq Akhtar ","Overnight",IF($I$2:$I1747 = "Zeeshan Ali Malik","Audit",IF($I$2:$I1747 = "Ali Raza ","Receiving",IF($I$2:$I1747 = "Ali Ahmad","Full-In"))))))</f>
        <v>0</v>
      </c>
      <c r="K750" s="39" t="e">
        <f aca="false">IFERROR(VLOOKUP(D750,'Brand manager data '!A:B,2,0))</f>
        <v>#VALUE!</v>
      </c>
      <c r="L750" s="13" t="n">
        <v>0</v>
      </c>
      <c r="M750" s="13" t="str">
        <v>Yes</v>
      </c>
      <c r="N750" s="22"/>
      <c r="Q750" s="40"/>
      <c r="R750" s="13" t="b">
        <f aca="false">FALSE()</f>
        <v>0</v>
      </c>
      <c r="S750" s="13" t="n">
        <v>0</v>
      </c>
      <c r="T750" s="13" t="n">
        <f aca="false">S750*F750</f>
        <v>0</v>
      </c>
      <c r="U750" s="13" t="n">
        <v>0</v>
      </c>
      <c r="V750" s="13" t="n">
        <v>0</v>
      </c>
    </row>
    <row r="751" customFormat="false" ht="15.75" hidden="false" customHeight="false" outlineLevel="0" collapsed="false">
      <c r="A751" s="13" t="n">
        <v>0</v>
      </c>
      <c r="B751" s="13" t="str">
        <v/>
      </c>
      <c r="C751" s="13" t="n">
        <v>0</v>
      </c>
      <c r="D751" s="13" t="n">
        <v>0</v>
      </c>
      <c r="E751" s="13" t="str">
        <v/>
      </c>
      <c r="F751" s="13" t="n">
        <v>0</v>
      </c>
      <c r="G751" s="13" t="n">
        <v>0</v>
      </c>
      <c r="H751" s="13" t="n">
        <v>0</v>
      </c>
      <c r="I751" s="13" t="n">
        <v>0</v>
      </c>
      <c r="J751" s="13" t="b">
        <f aca="false">IF(ISBLANK(I751),"", IF($I$2:$I1748 = "Gohar Rehan","Overnight",IF($I$2:$I1748 = "Taufeeq Akhtar ","Overnight",IF($I$2:$I1748 = "Zeeshan Ali Malik","Audit",IF($I$2:$I1748 = "Ali Raza ","Receiving",IF($I$2:$I1748 = "Ali Ahmad","Full-In"))))))</f>
        <v>0</v>
      </c>
      <c r="K751" s="39" t="e">
        <f aca="false">IFERROR(VLOOKUP(D751,'Brand manager data '!A:B,2,0))</f>
        <v>#VALUE!</v>
      </c>
      <c r="L751" s="13" t="n">
        <v>0</v>
      </c>
      <c r="M751" s="13" t="str">
        <v>Yes</v>
      </c>
      <c r="N751" s="22"/>
      <c r="Q751" s="40"/>
      <c r="R751" s="13" t="b">
        <f aca="false">FALSE()</f>
        <v>0</v>
      </c>
      <c r="S751" s="13" t="n">
        <v>0</v>
      </c>
      <c r="T751" s="13" t="n">
        <f aca="false">S751*F751</f>
        <v>0</v>
      </c>
      <c r="U751" s="13" t="n">
        <v>0</v>
      </c>
      <c r="V751" s="13" t="n">
        <v>0</v>
      </c>
    </row>
    <row r="752" customFormat="false" ht="15.75" hidden="false" customHeight="false" outlineLevel="0" collapsed="false">
      <c r="A752" s="13" t="n">
        <v>0</v>
      </c>
      <c r="B752" s="13" t="str">
        <v/>
      </c>
      <c r="C752" s="13" t="n">
        <v>0</v>
      </c>
      <c r="D752" s="13" t="n">
        <v>0</v>
      </c>
      <c r="E752" s="13" t="str">
        <v/>
      </c>
      <c r="F752" s="13" t="n">
        <v>0</v>
      </c>
      <c r="G752" s="13" t="n">
        <v>0</v>
      </c>
      <c r="H752" s="13" t="n">
        <v>0</v>
      </c>
      <c r="I752" s="13" t="n">
        <v>0</v>
      </c>
      <c r="J752" s="13" t="b">
        <f aca="false">IF(ISBLANK(I752),"", IF($I$2:$I1749 = "Gohar Rehan","Overnight",IF($I$2:$I1749 = "Taufeeq Akhtar ","Overnight",IF($I$2:$I1749 = "Zeeshan Ali Malik","Audit",IF($I$2:$I1749 = "Ali Raza ","Receiving",IF($I$2:$I1749 = "Ali Ahmad","Full-In"))))))</f>
        <v>0</v>
      </c>
      <c r="K752" s="39" t="e">
        <f aca="false">IFERROR(VLOOKUP(D752,'Brand manager data '!A:B,2,0))</f>
        <v>#VALUE!</v>
      </c>
      <c r="L752" s="13" t="n">
        <v>0</v>
      </c>
      <c r="M752" s="13" t="str">
        <v>Yes</v>
      </c>
      <c r="N752" s="22"/>
      <c r="Q752" s="40"/>
      <c r="R752" s="13" t="b">
        <f aca="false">FALSE()</f>
        <v>0</v>
      </c>
      <c r="S752" s="13" t="n">
        <v>0</v>
      </c>
      <c r="T752" s="13" t="n">
        <f aca="false">S752*F752</f>
        <v>0</v>
      </c>
      <c r="U752" s="13" t="n">
        <v>0</v>
      </c>
      <c r="V752" s="13" t="n">
        <v>0</v>
      </c>
    </row>
    <row r="753" customFormat="false" ht="15.75" hidden="false" customHeight="false" outlineLevel="0" collapsed="false">
      <c r="A753" s="13" t="n">
        <v>0</v>
      </c>
      <c r="B753" s="13" t="str">
        <v/>
      </c>
      <c r="C753" s="13" t="n">
        <v>0</v>
      </c>
      <c r="D753" s="13" t="n">
        <v>0</v>
      </c>
      <c r="E753" s="13" t="str">
        <v/>
      </c>
      <c r="F753" s="13" t="n">
        <v>0</v>
      </c>
      <c r="G753" s="13" t="n">
        <v>0</v>
      </c>
      <c r="H753" s="13" t="n">
        <v>0</v>
      </c>
      <c r="I753" s="13" t="n">
        <v>0</v>
      </c>
      <c r="J753" s="13" t="b">
        <f aca="false">IF(ISBLANK(I753),"", IF($I$2:$I1750 = "Gohar Rehan","Overnight",IF($I$2:$I1750 = "Taufeeq Akhtar ","Overnight",IF($I$2:$I1750 = "Zeeshan Ali Malik","Audit",IF($I$2:$I1750 = "Ali Raza ","Receiving",IF($I$2:$I1750 = "Ali Ahmad","Full-In"))))))</f>
        <v>0</v>
      </c>
      <c r="K753" s="39" t="e">
        <f aca="false">IFERROR(VLOOKUP(D753,'Brand manager data '!A:B,2,0))</f>
        <v>#VALUE!</v>
      </c>
      <c r="L753" s="13" t="n">
        <v>0</v>
      </c>
      <c r="M753" s="13" t="str">
        <v>Yes</v>
      </c>
      <c r="N753" s="22"/>
      <c r="Q753" s="40"/>
      <c r="R753" s="13" t="b">
        <f aca="false">FALSE()</f>
        <v>0</v>
      </c>
      <c r="S753" s="13" t="n">
        <v>0</v>
      </c>
      <c r="T753" s="13" t="n">
        <f aca="false">S753*F753</f>
        <v>0</v>
      </c>
      <c r="U753" s="13" t="n">
        <v>0</v>
      </c>
      <c r="V753" s="13" t="n">
        <v>0</v>
      </c>
    </row>
    <row r="754" customFormat="false" ht="15.75" hidden="false" customHeight="false" outlineLevel="0" collapsed="false">
      <c r="A754" s="13" t="n">
        <v>0</v>
      </c>
      <c r="B754" s="13" t="str">
        <v/>
      </c>
      <c r="C754" s="13" t="n">
        <v>0</v>
      </c>
      <c r="D754" s="13" t="n">
        <v>0</v>
      </c>
      <c r="E754" s="13" t="str">
        <v/>
      </c>
      <c r="F754" s="13" t="n">
        <v>0</v>
      </c>
      <c r="G754" s="13" t="n">
        <v>0</v>
      </c>
      <c r="H754" s="13" t="n">
        <v>0</v>
      </c>
      <c r="I754" s="13" t="n">
        <v>0</v>
      </c>
      <c r="J754" s="13" t="b">
        <f aca="false">IF(ISBLANK(I754),"", IF($I$2:$I1751 = "Gohar Rehan","Overnight",IF($I$2:$I1751 = "Taufeeq Akhtar ","Overnight",IF($I$2:$I1751 = "Zeeshan Ali Malik","Audit",IF($I$2:$I1751 = "Ali Raza ","Receiving",IF($I$2:$I1751 = "Ali Ahmad","Full-In"))))))</f>
        <v>0</v>
      </c>
      <c r="K754" s="39" t="e">
        <f aca="false">IFERROR(VLOOKUP(D754,'Brand manager data '!A:B,2,0))</f>
        <v>#VALUE!</v>
      </c>
      <c r="L754" s="13" t="n">
        <v>0</v>
      </c>
      <c r="M754" s="13" t="str">
        <v>Yes</v>
      </c>
      <c r="N754" s="22"/>
      <c r="Q754" s="40"/>
      <c r="R754" s="13" t="b">
        <f aca="false">FALSE()</f>
        <v>0</v>
      </c>
      <c r="S754" s="13" t="n">
        <v>0</v>
      </c>
      <c r="T754" s="13" t="n">
        <f aca="false">S754*F754</f>
        <v>0</v>
      </c>
      <c r="U754" s="13" t="n">
        <v>0</v>
      </c>
      <c r="V754" s="13" t="n">
        <v>0</v>
      </c>
    </row>
    <row r="755" customFormat="false" ht="15.75" hidden="false" customHeight="false" outlineLevel="0" collapsed="false">
      <c r="A755" s="13" t="n">
        <v>0</v>
      </c>
      <c r="B755" s="13" t="str">
        <v/>
      </c>
      <c r="C755" s="13" t="n">
        <v>0</v>
      </c>
      <c r="D755" s="13" t="n">
        <v>0</v>
      </c>
      <c r="E755" s="13" t="str">
        <v/>
      </c>
      <c r="F755" s="13" t="n">
        <v>0</v>
      </c>
      <c r="G755" s="13" t="n">
        <v>0</v>
      </c>
      <c r="H755" s="13" t="n">
        <v>0</v>
      </c>
      <c r="I755" s="13" t="n">
        <v>0</v>
      </c>
      <c r="J755" s="13" t="b">
        <f aca="false">IF(ISBLANK(I755),"", IF($I$2:$I1752 = "Gohar Rehan","Overnight",IF($I$2:$I1752 = "Taufeeq Akhtar ","Overnight",IF($I$2:$I1752 = "Zeeshan Ali Malik","Audit",IF($I$2:$I1752 = "Ali Raza ","Receiving",IF($I$2:$I1752 = "Ali Ahmad","Full-In"))))))</f>
        <v>0</v>
      </c>
      <c r="K755" s="39" t="e">
        <f aca="false">IFERROR(VLOOKUP(D755,'Brand manager data '!A:B,2,0))</f>
        <v>#VALUE!</v>
      </c>
      <c r="L755" s="13" t="n">
        <v>0</v>
      </c>
      <c r="M755" s="13" t="str">
        <v>Yes</v>
      </c>
      <c r="N755" s="22"/>
      <c r="Q755" s="40"/>
      <c r="R755" s="13" t="b">
        <f aca="false">FALSE()</f>
        <v>0</v>
      </c>
      <c r="S755" s="13" t="n">
        <v>0</v>
      </c>
      <c r="T755" s="13" t="n">
        <f aca="false">S755*F755</f>
        <v>0</v>
      </c>
      <c r="U755" s="13" t="n">
        <v>0</v>
      </c>
      <c r="V755" s="13" t="n">
        <v>0</v>
      </c>
    </row>
    <row r="756" customFormat="false" ht="15.75" hidden="false" customHeight="false" outlineLevel="0" collapsed="false">
      <c r="A756" s="13" t="n">
        <v>0</v>
      </c>
      <c r="B756" s="13" t="str">
        <v/>
      </c>
      <c r="C756" s="13" t="n">
        <v>0</v>
      </c>
      <c r="D756" s="13" t="n">
        <v>0</v>
      </c>
      <c r="E756" s="13" t="str">
        <v/>
      </c>
      <c r="F756" s="13" t="n">
        <v>0</v>
      </c>
      <c r="G756" s="13" t="n">
        <v>0</v>
      </c>
      <c r="H756" s="13" t="n">
        <v>0</v>
      </c>
      <c r="I756" s="13" t="n">
        <v>0</v>
      </c>
      <c r="J756" s="13" t="b">
        <f aca="false">IF(ISBLANK(I756),"", IF($I$2:$I1753 = "Gohar Rehan","Overnight",IF($I$2:$I1753 = "Taufeeq Akhtar ","Overnight",IF($I$2:$I1753 = "Zeeshan Ali Malik","Audit",IF($I$2:$I1753 = "Ali Raza ","Receiving",IF($I$2:$I1753 = "Ali Ahmad","Full-In"))))))</f>
        <v>0</v>
      </c>
      <c r="K756" s="39" t="e">
        <f aca="false">IFERROR(VLOOKUP(D756,'Brand manager data '!A:B,2,0))</f>
        <v>#VALUE!</v>
      </c>
      <c r="L756" s="13" t="n">
        <v>0</v>
      </c>
      <c r="M756" s="13" t="str">
        <v>Yes</v>
      </c>
      <c r="N756" s="22"/>
      <c r="Q756" s="40"/>
      <c r="R756" s="13" t="b">
        <f aca="false">FALSE()</f>
        <v>0</v>
      </c>
      <c r="S756" s="13" t="n">
        <v>0</v>
      </c>
      <c r="T756" s="13" t="n">
        <f aca="false">S756*F756</f>
        <v>0</v>
      </c>
      <c r="U756" s="13" t="n">
        <v>0</v>
      </c>
      <c r="V756" s="13" t="n">
        <v>0</v>
      </c>
    </row>
    <row r="757" customFormat="false" ht="15.75" hidden="false" customHeight="false" outlineLevel="0" collapsed="false">
      <c r="A757" s="13" t="n">
        <v>0</v>
      </c>
      <c r="B757" s="13" t="str">
        <v/>
      </c>
      <c r="C757" s="13" t="n">
        <v>0</v>
      </c>
      <c r="D757" s="13" t="n">
        <v>0</v>
      </c>
      <c r="E757" s="13" t="str">
        <v/>
      </c>
      <c r="F757" s="13" t="n">
        <v>0</v>
      </c>
      <c r="G757" s="13" t="n">
        <v>0</v>
      </c>
      <c r="H757" s="13" t="n">
        <v>0</v>
      </c>
      <c r="I757" s="13" t="n">
        <v>0</v>
      </c>
      <c r="J757" s="13" t="b">
        <f aca="false">IF(ISBLANK(I757),"", IF($I$2:$I1754 = "Gohar Rehan","Overnight",IF($I$2:$I1754 = "Taufeeq Akhtar ","Overnight",IF($I$2:$I1754 = "Zeeshan Ali Malik","Audit",IF($I$2:$I1754 = "Ali Raza ","Receiving",IF($I$2:$I1754 = "Ali Ahmad","Full-In"))))))</f>
        <v>0</v>
      </c>
      <c r="K757" s="39" t="e">
        <f aca="false">IFERROR(VLOOKUP(D757,'Brand manager data '!A:B,2,0))</f>
        <v>#VALUE!</v>
      </c>
      <c r="L757" s="13" t="n">
        <v>0</v>
      </c>
      <c r="M757" s="13" t="str">
        <v>Yes</v>
      </c>
      <c r="N757" s="22"/>
      <c r="Q757" s="40"/>
      <c r="R757" s="13" t="b">
        <f aca="false">FALSE()</f>
        <v>0</v>
      </c>
      <c r="S757" s="13" t="n">
        <v>0</v>
      </c>
      <c r="T757" s="13" t="n">
        <f aca="false">S757*F757</f>
        <v>0</v>
      </c>
      <c r="U757" s="13" t="n">
        <v>0</v>
      </c>
      <c r="V757" s="13" t="n">
        <v>0</v>
      </c>
    </row>
    <row r="758" customFormat="false" ht="15.75" hidden="false" customHeight="false" outlineLevel="0" collapsed="false">
      <c r="A758" s="13" t="n">
        <v>0</v>
      </c>
      <c r="B758" s="13" t="str">
        <v/>
      </c>
      <c r="C758" s="13" t="n">
        <v>0</v>
      </c>
      <c r="D758" s="13" t="n">
        <v>0</v>
      </c>
      <c r="E758" s="13" t="str">
        <v/>
      </c>
      <c r="F758" s="13" t="n">
        <v>0</v>
      </c>
      <c r="G758" s="13" t="n">
        <v>0</v>
      </c>
      <c r="H758" s="13" t="n">
        <v>0</v>
      </c>
      <c r="I758" s="13" t="n">
        <v>0</v>
      </c>
      <c r="J758" s="13" t="b">
        <f aca="false">IF(ISBLANK(I758),"", IF($I$2:$I1755 = "Gohar Rehan","Overnight",IF($I$2:$I1755 = "Taufeeq Akhtar ","Overnight",IF($I$2:$I1755 = "Zeeshan Ali Malik","Audit",IF($I$2:$I1755 = "Ali Raza ","Receiving",IF($I$2:$I1755 = "Ali Ahmad","Full-In"))))))</f>
        <v>0</v>
      </c>
      <c r="K758" s="39" t="e">
        <f aca="false">IFERROR(VLOOKUP(D758,'Brand manager data '!A:B,2,0))</f>
        <v>#VALUE!</v>
      </c>
      <c r="L758" s="13" t="n">
        <v>0</v>
      </c>
      <c r="M758" s="13" t="str">
        <v>Yes</v>
      </c>
      <c r="N758" s="22"/>
      <c r="Q758" s="40"/>
      <c r="R758" s="13" t="b">
        <f aca="false">FALSE()</f>
        <v>0</v>
      </c>
      <c r="S758" s="13" t="n">
        <v>0</v>
      </c>
      <c r="T758" s="13" t="n">
        <f aca="false">S758*F758</f>
        <v>0</v>
      </c>
      <c r="U758" s="13" t="n">
        <v>0</v>
      </c>
      <c r="V758" s="13" t="n">
        <v>0</v>
      </c>
    </row>
    <row r="759" customFormat="false" ht="15.75" hidden="false" customHeight="false" outlineLevel="0" collapsed="false">
      <c r="A759" s="13" t="n">
        <v>0</v>
      </c>
      <c r="B759" s="13" t="str">
        <v/>
      </c>
      <c r="C759" s="13" t="n">
        <v>0</v>
      </c>
      <c r="D759" s="13" t="n">
        <v>0</v>
      </c>
      <c r="E759" s="13" t="str">
        <v/>
      </c>
      <c r="F759" s="13" t="n">
        <v>0</v>
      </c>
      <c r="G759" s="13" t="n">
        <v>0</v>
      </c>
      <c r="H759" s="13" t="n">
        <v>0</v>
      </c>
      <c r="I759" s="13" t="n">
        <v>0</v>
      </c>
      <c r="J759" s="13" t="b">
        <f aca="false">IF(ISBLANK(I759),"", IF($I$2:$I1756 = "Gohar Rehan","Overnight",IF($I$2:$I1756 = "Taufeeq Akhtar ","Overnight",IF($I$2:$I1756 = "Zeeshan Ali Malik","Audit",IF($I$2:$I1756 = "Ali Raza ","Receiving",IF($I$2:$I1756 = "Ali Ahmad","Full-In"))))))</f>
        <v>0</v>
      </c>
      <c r="K759" s="39" t="e">
        <f aca="false">IFERROR(VLOOKUP(D759,'Brand manager data '!A:B,2,0))</f>
        <v>#VALUE!</v>
      </c>
      <c r="L759" s="13" t="n">
        <v>0</v>
      </c>
      <c r="M759" s="13" t="str">
        <v>Yes</v>
      </c>
      <c r="N759" s="22"/>
      <c r="Q759" s="40"/>
      <c r="R759" s="13" t="b">
        <f aca="false">FALSE()</f>
        <v>0</v>
      </c>
      <c r="S759" s="13" t="n">
        <v>0</v>
      </c>
      <c r="T759" s="13" t="n">
        <f aca="false">S759*F759</f>
        <v>0</v>
      </c>
      <c r="U759" s="13" t="n">
        <v>0</v>
      </c>
      <c r="V759" s="13" t="n">
        <v>0</v>
      </c>
    </row>
    <row r="760" customFormat="false" ht="15.75" hidden="false" customHeight="false" outlineLevel="0" collapsed="false">
      <c r="A760" s="13" t="n">
        <v>0</v>
      </c>
      <c r="B760" s="13" t="str">
        <v/>
      </c>
      <c r="C760" s="13" t="n">
        <v>0</v>
      </c>
      <c r="D760" s="13" t="n">
        <v>0</v>
      </c>
      <c r="E760" s="13" t="str">
        <v/>
      </c>
      <c r="F760" s="13" t="n">
        <v>0</v>
      </c>
      <c r="G760" s="13" t="n">
        <v>0</v>
      </c>
      <c r="H760" s="13" t="n">
        <v>0</v>
      </c>
      <c r="I760" s="13" t="n">
        <v>0</v>
      </c>
      <c r="J760" s="13" t="b">
        <f aca="false">IF(ISBLANK(I760),"", IF($I$2:$I1757 = "Gohar Rehan","Overnight",IF($I$2:$I1757 = "Taufeeq Akhtar ","Overnight",IF($I$2:$I1757 = "Zeeshan Ali Malik","Audit",IF($I$2:$I1757 = "Ali Raza ","Receiving",IF($I$2:$I1757 = "Ali Ahmad","Full-In"))))))</f>
        <v>0</v>
      </c>
      <c r="K760" s="39" t="e">
        <f aca="false">IFERROR(VLOOKUP(D760,'Brand manager data '!A:B,2,0))</f>
        <v>#VALUE!</v>
      </c>
      <c r="L760" s="13" t="n">
        <v>0</v>
      </c>
      <c r="M760" s="13" t="str">
        <v>Yes</v>
      </c>
      <c r="N760" s="22"/>
      <c r="Q760" s="40"/>
      <c r="R760" s="13" t="b">
        <f aca="false">FALSE()</f>
        <v>0</v>
      </c>
      <c r="S760" s="13" t="n">
        <v>0</v>
      </c>
      <c r="T760" s="13" t="n">
        <f aca="false">S760*F760</f>
        <v>0</v>
      </c>
      <c r="U760" s="13" t="n">
        <v>0</v>
      </c>
      <c r="V760" s="13" t="n">
        <v>0</v>
      </c>
    </row>
    <row r="761" customFormat="false" ht="15.75" hidden="false" customHeight="false" outlineLevel="0" collapsed="false">
      <c r="A761" s="13" t="n">
        <v>0</v>
      </c>
      <c r="B761" s="13" t="str">
        <v/>
      </c>
      <c r="C761" s="13" t="n">
        <v>0</v>
      </c>
      <c r="D761" s="13" t="n">
        <v>0</v>
      </c>
      <c r="E761" s="13" t="str">
        <v/>
      </c>
      <c r="F761" s="13" t="n">
        <v>0</v>
      </c>
      <c r="G761" s="13" t="n">
        <v>0</v>
      </c>
      <c r="H761" s="13" t="n">
        <v>0</v>
      </c>
      <c r="I761" s="13" t="n">
        <v>0</v>
      </c>
      <c r="J761" s="13" t="b">
        <f aca="false">IF(ISBLANK(I761),"", IF($I$2:$I1758 = "Gohar Rehan","Overnight",IF($I$2:$I1758 = "Taufeeq Akhtar ","Overnight",IF($I$2:$I1758 = "Zeeshan Ali Malik","Audit",IF($I$2:$I1758 = "Ali Raza ","Receiving",IF($I$2:$I1758 = "Ali Ahmad","Full-In"))))))</f>
        <v>0</v>
      </c>
      <c r="K761" s="39" t="e">
        <f aca="false">IFERROR(VLOOKUP(D761,'Brand manager data '!A:B,2,0))</f>
        <v>#VALUE!</v>
      </c>
      <c r="L761" s="13" t="n">
        <v>0</v>
      </c>
      <c r="M761" s="13" t="str">
        <v>Yes</v>
      </c>
      <c r="N761" s="22"/>
      <c r="Q761" s="40"/>
      <c r="R761" s="13" t="b">
        <f aca="false">FALSE()</f>
        <v>0</v>
      </c>
      <c r="S761" s="13" t="n">
        <v>0</v>
      </c>
      <c r="T761" s="13" t="n">
        <f aca="false">S761*F761</f>
        <v>0</v>
      </c>
      <c r="U761" s="13" t="n">
        <v>0</v>
      </c>
      <c r="V761" s="13" t="n">
        <v>0</v>
      </c>
    </row>
    <row r="762" customFormat="false" ht="15.75" hidden="false" customHeight="false" outlineLevel="0" collapsed="false">
      <c r="A762" s="13" t="n">
        <v>0</v>
      </c>
      <c r="B762" s="13" t="str">
        <v/>
      </c>
      <c r="C762" s="13" t="n">
        <v>0</v>
      </c>
      <c r="D762" s="13" t="n">
        <v>0</v>
      </c>
      <c r="E762" s="13" t="str">
        <v/>
      </c>
      <c r="F762" s="13" t="n">
        <v>0</v>
      </c>
      <c r="G762" s="13" t="n">
        <v>0</v>
      </c>
      <c r="H762" s="13" t="n">
        <v>0</v>
      </c>
      <c r="I762" s="13" t="n">
        <v>0</v>
      </c>
      <c r="J762" s="13" t="b">
        <f aca="false">IF(ISBLANK(I762),"", IF($I$2:$I1759 = "Gohar Rehan","Overnight",IF($I$2:$I1759 = "Taufeeq Akhtar ","Overnight",IF($I$2:$I1759 = "Zeeshan Ali Malik","Audit",IF($I$2:$I1759 = "Ali Raza ","Receiving",IF($I$2:$I1759 = "Ali Ahmad","Full-In"))))))</f>
        <v>0</v>
      </c>
      <c r="K762" s="39" t="e">
        <f aca="false">IFERROR(VLOOKUP(D762,'Brand manager data '!A:B,2,0))</f>
        <v>#VALUE!</v>
      </c>
      <c r="L762" s="13" t="n">
        <v>0</v>
      </c>
      <c r="M762" s="13" t="str">
        <v>Yes</v>
      </c>
      <c r="N762" s="22"/>
      <c r="Q762" s="40"/>
      <c r="R762" s="13" t="b">
        <f aca="false">FALSE()</f>
        <v>0</v>
      </c>
      <c r="S762" s="13" t="n">
        <v>0</v>
      </c>
      <c r="T762" s="13" t="n">
        <f aca="false">S762*F762</f>
        <v>0</v>
      </c>
      <c r="U762" s="13" t="n">
        <v>0</v>
      </c>
      <c r="V762" s="13" t="n">
        <v>0</v>
      </c>
    </row>
    <row r="763" customFormat="false" ht="15.75" hidden="false" customHeight="false" outlineLevel="0" collapsed="false">
      <c r="A763" s="13" t="n">
        <v>0</v>
      </c>
      <c r="B763" s="13" t="str">
        <v/>
      </c>
      <c r="C763" s="13" t="n">
        <v>0</v>
      </c>
      <c r="D763" s="13" t="n">
        <v>0</v>
      </c>
      <c r="E763" s="13" t="str">
        <v/>
      </c>
      <c r="F763" s="13" t="n">
        <v>0</v>
      </c>
      <c r="G763" s="13" t="n">
        <v>0</v>
      </c>
      <c r="H763" s="13" t="n">
        <v>0</v>
      </c>
      <c r="I763" s="13" t="n">
        <v>0</v>
      </c>
      <c r="J763" s="13" t="b">
        <f aca="false">IF(ISBLANK(I763),"", IF($I$2:$I1760 = "Gohar Rehan","Overnight",IF($I$2:$I1760 = "Taufeeq Akhtar ","Overnight",IF($I$2:$I1760 = "Zeeshan Ali Malik","Audit",IF($I$2:$I1760 = "Ali Raza ","Receiving",IF($I$2:$I1760 = "Ali Ahmad","Full-In"))))))</f>
        <v>0</v>
      </c>
      <c r="K763" s="39" t="e">
        <f aca="false">IFERROR(VLOOKUP(D763,'Brand manager data '!A:B,2,0))</f>
        <v>#VALUE!</v>
      </c>
      <c r="L763" s="13" t="n">
        <v>0</v>
      </c>
      <c r="M763" s="13" t="str">
        <v>Yes</v>
      </c>
      <c r="N763" s="22"/>
      <c r="Q763" s="40"/>
      <c r="R763" s="13" t="b">
        <f aca="false">FALSE()</f>
        <v>0</v>
      </c>
      <c r="S763" s="13" t="n">
        <v>0</v>
      </c>
      <c r="T763" s="13" t="n">
        <f aca="false">S763*F763</f>
        <v>0</v>
      </c>
      <c r="U763" s="13" t="n">
        <v>0</v>
      </c>
      <c r="V763" s="13" t="n">
        <v>0</v>
      </c>
    </row>
    <row r="764" customFormat="false" ht="15.75" hidden="false" customHeight="false" outlineLevel="0" collapsed="false">
      <c r="A764" s="13" t="n">
        <v>0</v>
      </c>
      <c r="B764" s="13" t="str">
        <v/>
      </c>
      <c r="C764" s="13" t="n">
        <v>0</v>
      </c>
      <c r="D764" s="13" t="n">
        <v>0</v>
      </c>
      <c r="E764" s="13" t="str">
        <v/>
      </c>
      <c r="F764" s="13" t="n">
        <v>0</v>
      </c>
      <c r="G764" s="13" t="n">
        <v>0</v>
      </c>
      <c r="H764" s="13" t="n">
        <v>0</v>
      </c>
      <c r="I764" s="13" t="n">
        <v>0</v>
      </c>
      <c r="J764" s="13" t="b">
        <f aca="false">IF(ISBLANK(I764),"", IF($I$2:$I1761 = "Gohar Rehan","Overnight",IF($I$2:$I1761 = "Taufeeq Akhtar ","Overnight",IF($I$2:$I1761 = "Zeeshan Ali Malik","Audit",IF($I$2:$I1761 = "Ali Raza ","Receiving",IF($I$2:$I1761 = "Ali Ahmad","Full-In"))))))</f>
        <v>0</v>
      </c>
      <c r="K764" s="39" t="e">
        <f aca="false">IFERROR(VLOOKUP(D764,'Brand manager data '!A:B,2,0))</f>
        <v>#VALUE!</v>
      </c>
      <c r="L764" s="13" t="n">
        <v>0</v>
      </c>
      <c r="M764" s="13" t="str">
        <v>Yes</v>
      </c>
      <c r="N764" s="22"/>
      <c r="Q764" s="40"/>
      <c r="R764" s="13" t="b">
        <f aca="false">FALSE()</f>
        <v>0</v>
      </c>
      <c r="S764" s="13" t="n">
        <v>0</v>
      </c>
      <c r="T764" s="13" t="n">
        <f aca="false">S764*F764</f>
        <v>0</v>
      </c>
      <c r="U764" s="13" t="n">
        <v>0</v>
      </c>
      <c r="V764" s="13" t="n">
        <v>0</v>
      </c>
    </row>
    <row r="765" customFormat="false" ht="15.75" hidden="false" customHeight="false" outlineLevel="0" collapsed="false">
      <c r="A765" s="13" t="n">
        <v>0</v>
      </c>
      <c r="B765" s="13" t="str">
        <v/>
      </c>
      <c r="C765" s="13" t="n">
        <v>0</v>
      </c>
      <c r="D765" s="13" t="n">
        <v>0</v>
      </c>
      <c r="E765" s="13" t="str">
        <v/>
      </c>
      <c r="F765" s="13" t="n">
        <v>0</v>
      </c>
      <c r="G765" s="13" t="n">
        <v>0</v>
      </c>
      <c r="H765" s="13" t="n">
        <v>0</v>
      </c>
      <c r="I765" s="13" t="n">
        <v>0</v>
      </c>
      <c r="J765" s="13" t="b">
        <f aca="false">IF(ISBLANK(I765),"", IF($I$2:$I1762 = "Gohar Rehan","Overnight",IF($I$2:$I1762 = "Taufeeq Akhtar ","Overnight",IF($I$2:$I1762 = "Zeeshan Ali Malik","Audit",IF($I$2:$I1762 = "Ali Raza ","Receiving",IF($I$2:$I1762 = "Ali Ahmad","Full-In"))))))</f>
        <v>0</v>
      </c>
      <c r="K765" s="39" t="e">
        <f aca="false">IFERROR(VLOOKUP(D765,'Brand manager data '!A:B,2,0))</f>
        <v>#VALUE!</v>
      </c>
      <c r="L765" s="13" t="n">
        <v>0</v>
      </c>
      <c r="M765" s="13" t="str">
        <v>Yes</v>
      </c>
      <c r="N765" s="22"/>
      <c r="Q765" s="40"/>
      <c r="R765" s="13" t="b">
        <f aca="false">FALSE()</f>
        <v>0</v>
      </c>
      <c r="S765" s="13" t="n">
        <v>0</v>
      </c>
      <c r="T765" s="13" t="n">
        <f aca="false">S765*F765</f>
        <v>0</v>
      </c>
      <c r="U765" s="13" t="n">
        <v>0</v>
      </c>
      <c r="V765" s="13" t="n">
        <v>0</v>
      </c>
    </row>
    <row r="766" customFormat="false" ht="15.75" hidden="false" customHeight="false" outlineLevel="0" collapsed="false">
      <c r="A766" s="13" t="n">
        <v>0</v>
      </c>
      <c r="B766" s="13" t="str">
        <v/>
      </c>
      <c r="C766" s="13" t="n">
        <v>0</v>
      </c>
      <c r="D766" s="13" t="n">
        <v>0</v>
      </c>
      <c r="E766" s="13" t="str">
        <v/>
      </c>
      <c r="F766" s="13" t="n">
        <v>0</v>
      </c>
      <c r="G766" s="13" t="n">
        <v>0</v>
      </c>
      <c r="H766" s="13" t="n">
        <v>0</v>
      </c>
      <c r="I766" s="13" t="n">
        <v>0</v>
      </c>
      <c r="J766" s="13" t="b">
        <f aca="false">IF(ISBLANK(I766),"", IF($I$2:$I1763 = "Gohar Rehan","Overnight",IF($I$2:$I1763 = "Taufeeq Akhtar ","Overnight",IF($I$2:$I1763 = "Zeeshan Ali Malik","Audit",IF($I$2:$I1763 = "Ali Raza ","Receiving",IF($I$2:$I1763 = "Ali Ahmad","Full-In"))))))</f>
        <v>0</v>
      </c>
      <c r="K766" s="39" t="e">
        <f aca="false">IFERROR(VLOOKUP(D766,'Brand manager data '!A:B,2,0))</f>
        <v>#VALUE!</v>
      </c>
      <c r="L766" s="13" t="n">
        <v>0</v>
      </c>
      <c r="M766" s="13" t="str">
        <v>Yes</v>
      </c>
      <c r="N766" s="22"/>
      <c r="Q766" s="40"/>
      <c r="R766" s="13" t="b">
        <f aca="false">FALSE()</f>
        <v>0</v>
      </c>
      <c r="S766" s="13" t="n">
        <v>0</v>
      </c>
      <c r="T766" s="13" t="n">
        <f aca="false">S766*F766</f>
        <v>0</v>
      </c>
      <c r="U766" s="13" t="n">
        <v>0</v>
      </c>
      <c r="V766" s="13" t="n">
        <v>0</v>
      </c>
    </row>
    <row r="767" customFormat="false" ht="15.75" hidden="false" customHeight="false" outlineLevel="0" collapsed="false">
      <c r="A767" s="13" t="n">
        <v>0</v>
      </c>
      <c r="B767" s="13" t="str">
        <v/>
      </c>
      <c r="C767" s="13" t="n">
        <v>0</v>
      </c>
      <c r="D767" s="13" t="n">
        <v>0</v>
      </c>
      <c r="E767" s="13" t="str">
        <v/>
      </c>
      <c r="F767" s="13" t="n">
        <v>0</v>
      </c>
      <c r="G767" s="13" t="n">
        <v>0</v>
      </c>
      <c r="H767" s="13" t="n">
        <v>0</v>
      </c>
      <c r="I767" s="13" t="n">
        <v>0</v>
      </c>
      <c r="J767" s="13" t="b">
        <f aca="false">IF(ISBLANK(I767),"", IF($I$2:$I1764 = "Gohar Rehan","Overnight",IF($I$2:$I1764 = "Taufeeq Akhtar ","Overnight",IF($I$2:$I1764 = "Zeeshan Ali Malik","Audit",IF($I$2:$I1764 = "Ali Raza ","Receiving",IF($I$2:$I1764 = "Ali Ahmad","Full-In"))))))</f>
        <v>0</v>
      </c>
      <c r="K767" s="39" t="e">
        <f aca="false">IFERROR(VLOOKUP(D767,'Brand manager data '!A:B,2,0))</f>
        <v>#VALUE!</v>
      </c>
      <c r="L767" s="13" t="n">
        <v>0</v>
      </c>
      <c r="M767" s="13" t="str">
        <v>Yes</v>
      </c>
      <c r="N767" s="22"/>
      <c r="Q767" s="40"/>
      <c r="R767" s="13" t="b">
        <f aca="false">FALSE()</f>
        <v>0</v>
      </c>
      <c r="S767" s="13" t="n">
        <v>0</v>
      </c>
      <c r="T767" s="13" t="n">
        <f aca="false">S767*F767</f>
        <v>0</v>
      </c>
      <c r="U767" s="13" t="n">
        <v>0</v>
      </c>
      <c r="V767" s="13" t="n">
        <v>0</v>
      </c>
    </row>
    <row r="768" customFormat="false" ht="15.75" hidden="false" customHeight="false" outlineLevel="0" collapsed="false">
      <c r="A768" s="13" t="n">
        <v>0</v>
      </c>
      <c r="B768" s="13" t="str">
        <v/>
      </c>
      <c r="C768" s="13" t="n">
        <v>0</v>
      </c>
      <c r="D768" s="13" t="n">
        <v>0</v>
      </c>
      <c r="E768" s="13" t="str">
        <v/>
      </c>
      <c r="F768" s="13" t="n">
        <v>0</v>
      </c>
      <c r="G768" s="13" t="n">
        <v>0</v>
      </c>
      <c r="H768" s="13" t="n">
        <v>0</v>
      </c>
      <c r="I768" s="13" t="n">
        <v>0</v>
      </c>
      <c r="J768" s="13" t="b">
        <f aca="false">IF(ISBLANK(I768),"", IF($I$2:$I1765 = "Gohar Rehan","Overnight",IF($I$2:$I1765 = "Taufeeq Akhtar ","Overnight",IF($I$2:$I1765 = "Zeeshan Ali Malik","Audit",IF($I$2:$I1765 = "Ali Raza ","Receiving",IF($I$2:$I1765 = "Ali Ahmad","Full-In"))))))</f>
        <v>0</v>
      </c>
      <c r="K768" s="39" t="e">
        <f aca="false">IFERROR(VLOOKUP(D768,'Brand manager data '!A:B,2,0))</f>
        <v>#VALUE!</v>
      </c>
      <c r="L768" s="13" t="n">
        <v>0</v>
      </c>
      <c r="M768" s="13" t="str">
        <v>Yes</v>
      </c>
      <c r="N768" s="22"/>
      <c r="Q768" s="40"/>
      <c r="R768" s="13" t="b">
        <f aca="false">FALSE()</f>
        <v>0</v>
      </c>
      <c r="S768" s="13" t="n">
        <v>0</v>
      </c>
      <c r="T768" s="13" t="n">
        <f aca="false">S768*F768</f>
        <v>0</v>
      </c>
      <c r="U768" s="13" t="n">
        <v>0</v>
      </c>
      <c r="V768" s="13" t="n">
        <v>0</v>
      </c>
    </row>
    <row r="769" customFormat="false" ht="15.75" hidden="false" customHeight="false" outlineLevel="0" collapsed="false">
      <c r="A769" s="13" t="n">
        <v>0</v>
      </c>
      <c r="B769" s="13" t="str">
        <v/>
      </c>
      <c r="C769" s="13" t="n">
        <v>0</v>
      </c>
      <c r="D769" s="13" t="n">
        <v>0</v>
      </c>
      <c r="E769" s="13" t="str">
        <v/>
      </c>
      <c r="F769" s="13" t="n">
        <v>0</v>
      </c>
      <c r="G769" s="13" t="n">
        <v>0</v>
      </c>
      <c r="H769" s="13" t="n">
        <v>0</v>
      </c>
      <c r="I769" s="13" t="n">
        <v>0</v>
      </c>
      <c r="J769" s="13" t="b">
        <f aca="false">IF(ISBLANK(I769),"", IF($I$2:$I1766 = "Gohar Rehan","Overnight",IF($I$2:$I1766 = "Taufeeq Akhtar ","Overnight",IF($I$2:$I1766 = "Zeeshan Ali Malik","Audit",IF($I$2:$I1766 = "Ali Raza ","Receiving",IF($I$2:$I1766 = "Ali Ahmad","Full-In"))))))</f>
        <v>0</v>
      </c>
      <c r="K769" s="39" t="e">
        <f aca="false">IFERROR(VLOOKUP(D769,'Brand manager data '!A:B,2,0))</f>
        <v>#VALUE!</v>
      </c>
      <c r="L769" s="13" t="n">
        <v>0</v>
      </c>
      <c r="M769" s="13" t="str">
        <v>Yes</v>
      </c>
      <c r="N769" s="22"/>
      <c r="Q769" s="40"/>
      <c r="R769" s="13" t="b">
        <f aca="false">FALSE()</f>
        <v>0</v>
      </c>
      <c r="S769" s="13" t="n">
        <v>0</v>
      </c>
      <c r="T769" s="13" t="n">
        <f aca="false">S769*F769</f>
        <v>0</v>
      </c>
      <c r="U769" s="13" t="n">
        <v>0</v>
      </c>
      <c r="V769" s="13" t="n">
        <v>0</v>
      </c>
    </row>
    <row r="770" customFormat="false" ht="15.75" hidden="false" customHeight="false" outlineLevel="0" collapsed="false">
      <c r="A770" s="13" t="n">
        <v>0</v>
      </c>
      <c r="B770" s="13" t="str">
        <v/>
      </c>
      <c r="C770" s="13" t="n">
        <v>0</v>
      </c>
      <c r="D770" s="13" t="n">
        <v>0</v>
      </c>
      <c r="E770" s="13" t="str">
        <v/>
      </c>
      <c r="F770" s="13" t="n">
        <v>0</v>
      </c>
      <c r="G770" s="13" t="n">
        <v>0</v>
      </c>
      <c r="H770" s="13" t="n">
        <v>0</v>
      </c>
      <c r="I770" s="13" t="n">
        <v>0</v>
      </c>
      <c r="J770" s="13" t="b">
        <f aca="false">IF(ISBLANK(I770),"", IF($I$2:$I1767 = "Gohar Rehan","Overnight",IF($I$2:$I1767 = "Taufeeq Akhtar ","Overnight",IF($I$2:$I1767 = "Zeeshan Ali Malik","Audit",IF($I$2:$I1767 = "Ali Raza ","Receiving",IF($I$2:$I1767 = "Ali Ahmad","Full-In"))))))</f>
        <v>0</v>
      </c>
      <c r="K770" s="39" t="e">
        <f aca="false">IFERROR(VLOOKUP(D770,'Brand manager data '!A:B,2,0))</f>
        <v>#VALUE!</v>
      </c>
      <c r="L770" s="13" t="n">
        <v>0</v>
      </c>
      <c r="M770" s="13" t="str">
        <v>Yes</v>
      </c>
      <c r="N770" s="22"/>
      <c r="Q770" s="40"/>
      <c r="R770" s="13" t="b">
        <f aca="false">FALSE()</f>
        <v>0</v>
      </c>
      <c r="S770" s="13" t="n">
        <v>0</v>
      </c>
      <c r="T770" s="13" t="n">
        <f aca="false">S770*F770</f>
        <v>0</v>
      </c>
      <c r="U770" s="13" t="n">
        <v>0</v>
      </c>
      <c r="V770" s="13" t="n">
        <v>0</v>
      </c>
    </row>
    <row r="771" customFormat="false" ht="15.75" hidden="false" customHeight="false" outlineLevel="0" collapsed="false">
      <c r="A771" s="13" t="n">
        <v>0</v>
      </c>
      <c r="B771" s="13" t="str">
        <v/>
      </c>
      <c r="C771" s="13" t="n">
        <v>0</v>
      </c>
      <c r="D771" s="13" t="n">
        <v>0</v>
      </c>
      <c r="E771" s="13" t="str">
        <v/>
      </c>
      <c r="F771" s="13" t="n">
        <v>0</v>
      </c>
      <c r="G771" s="13" t="n">
        <v>0</v>
      </c>
      <c r="H771" s="13" t="n">
        <v>0</v>
      </c>
      <c r="I771" s="13" t="n">
        <v>0</v>
      </c>
      <c r="J771" s="13" t="b">
        <f aca="false">IF(ISBLANK(I771),"", IF($I$2:$I1768 = "Gohar Rehan","Overnight",IF($I$2:$I1768 = "Taufeeq Akhtar ","Overnight",IF($I$2:$I1768 = "Zeeshan Ali Malik","Audit",IF($I$2:$I1768 = "Ali Raza ","Receiving",IF($I$2:$I1768 = "Ali Ahmad","Full-In"))))))</f>
        <v>0</v>
      </c>
      <c r="K771" s="39" t="e">
        <f aca="false">IFERROR(VLOOKUP(D771,'Brand manager data '!A:B,2,0))</f>
        <v>#VALUE!</v>
      </c>
      <c r="L771" s="13" t="n">
        <v>0</v>
      </c>
      <c r="M771" s="13" t="str">
        <v>Yes</v>
      </c>
      <c r="N771" s="22"/>
      <c r="Q771" s="40"/>
      <c r="R771" s="13" t="b">
        <f aca="false">FALSE()</f>
        <v>0</v>
      </c>
      <c r="S771" s="13" t="n">
        <v>0</v>
      </c>
      <c r="T771" s="13" t="n">
        <f aca="false">S771*F771</f>
        <v>0</v>
      </c>
      <c r="U771" s="13" t="n">
        <v>0</v>
      </c>
      <c r="V771" s="13" t="n">
        <v>0</v>
      </c>
    </row>
    <row r="772" customFormat="false" ht="15.75" hidden="false" customHeight="false" outlineLevel="0" collapsed="false">
      <c r="A772" s="13" t="n">
        <v>0</v>
      </c>
      <c r="B772" s="13" t="str">
        <v/>
      </c>
      <c r="C772" s="13" t="n">
        <v>0</v>
      </c>
      <c r="D772" s="13" t="n">
        <v>0</v>
      </c>
      <c r="E772" s="13" t="str">
        <v/>
      </c>
      <c r="F772" s="13" t="n">
        <v>0</v>
      </c>
      <c r="G772" s="13" t="n">
        <v>0</v>
      </c>
      <c r="H772" s="13" t="n">
        <v>0</v>
      </c>
      <c r="I772" s="13" t="n">
        <v>0</v>
      </c>
      <c r="J772" s="13" t="b">
        <f aca="false">IF(ISBLANK(I772),"", IF($I$2:$I1769 = "Gohar Rehan","Overnight",IF($I$2:$I1769 = "Taufeeq Akhtar ","Overnight",IF($I$2:$I1769 = "Zeeshan Ali Malik","Audit",IF($I$2:$I1769 = "Ali Raza ","Receiving",IF($I$2:$I1769 = "Ali Ahmad","Full-In"))))))</f>
        <v>0</v>
      </c>
      <c r="K772" s="39" t="e">
        <f aca="false">IFERROR(VLOOKUP(D772,'Brand manager data '!A:B,2,0))</f>
        <v>#VALUE!</v>
      </c>
      <c r="L772" s="13" t="n">
        <v>0</v>
      </c>
      <c r="M772" s="13" t="str">
        <v>Yes</v>
      </c>
      <c r="N772" s="22"/>
      <c r="Q772" s="40"/>
      <c r="R772" s="13" t="b">
        <f aca="false">FALSE()</f>
        <v>0</v>
      </c>
      <c r="S772" s="13" t="n">
        <v>0</v>
      </c>
      <c r="T772" s="13" t="n">
        <f aca="false">S772*F772</f>
        <v>0</v>
      </c>
      <c r="U772" s="13" t="n">
        <v>0</v>
      </c>
      <c r="V772" s="13" t="n">
        <v>0</v>
      </c>
    </row>
    <row r="773" customFormat="false" ht="15.75" hidden="false" customHeight="false" outlineLevel="0" collapsed="false">
      <c r="A773" s="13" t="n">
        <v>0</v>
      </c>
      <c r="B773" s="13" t="str">
        <v/>
      </c>
      <c r="C773" s="13" t="n">
        <v>0</v>
      </c>
      <c r="D773" s="13" t="n">
        <v>0</v>
      </c>
      <c r="E773" s="13" t="str">
        <v/>
      </c>
      <c r="F773" s="13" t="n">
        <v>0</v>
      </c>
      <c r="G773" s="13" t="n">
        <v>0</v>
      </c>
      <c r="H773" s="13" t="n">
        <v>0</v>
      </c>
      <c r="I773" s="13" t="n">
        <v>0</v>
      </c>
      <c r="J773" s="13" t="b">
        <f aca="false">IF(ISBLANK(I773),"", IF($I$2:$I1770 = "Gohar Rehan","Overnight",IF($I$2:$I1770 = "Taufeeq Akhtar ","Overnight",IF($I$2:$I1770 = "Zeeshan Ali Malik","Audit",IF($I$2:$I1770 = "Ali Raza ","Receiving",IF($I$2:$I1770 = "Ali Ahmad","Full-In"))))))</f>
        <v>0</v>
      </c>
      <c r="K773" s="39" t="e">
        <f aca="false">IFERROR(VLOOKUP(D773,'Brand manager data '!A:B,2,0))</f>
        <v>#VALUE!</v>
      </c>
      <c r="L773" s="13" t="n">
        <v>0</v>
      </c>
      <c r="M773" s="13" t="str">
        <v>Yes</v>
      </c>
      <c r="N773" s="22"/>
      <c r="Q773" s="40"/>
      <c r="R773" s="13" t="b">
        <f aca="false">FALSE()</f>
        <v>0</v>
      </c>
      <c r="S773" s="13" t="n">
        <v>0</v>
      </c>
      <c r="T773" s="13" t="n">
        <f aca="false">S773*F773</f>
        <v>0</v>
      </c>
      <c r="U773" s="13" t="n">
        <v>0</v>
      </c>
      <c r="V773" s="13" t="n">
        <v>0</v>
      </c>
    </row>
    <row r="774" customFormat="false" ht="15.75" hidden="false" customHeight="false" outlineLevel="0" collapsed="false">
      <c r="A774" s="13" t="n">
        <v>0</v>
      </c>
      <c r="B774" s="13" t="str">
        <v/>
      </c>
      <c r="C774" s="13" t="n">
        <v>0</v>
      </c>
      <c r="D774" s="13" t="n">
        <v>0</v>
      </c>
      <c r="E774" s="13" t="str">
        <v/>
      </c>
      <c r="F774" s="13" t="n">
        <v>0</v>
      </c>
      <c r="G774" s="13" t="n">
        <v>0</v>
      </c>
      <c r="H774" s="13" t="n">
        <v>0</v>
      </c>
      <c r="I774" s="13" t="n">
        <v>0</v>
      </c>
      <c r="J774" s="13" t="b">
        <f aca="false">IF(ISBLANK(I774),"", IF($I$2:$I1771 = "Gohar Rehan","Overnight",IF($I$2:$I1771 = "Taufeeq Akhtar ","Overnight",IF($I$2:$I1771 = "Zeeshan Ali Malik","Audit",IF($I$2:$I1771 = "Ali Raza ","Receiving",IF($I$2:$I1771 = "Ali Ahmad","Full-In"))))))</f>
        <v>0</v>
      </c>
      <c r="K774" s="39" t="e">
        <f aca="false">IFERROR(VLOOKUP(D774,'Brand manager data '!A:B,2,0))</f>
        <v>#VALUE!</v>
      </c>
      <c r="L774" s="13" t="n">
        <v>0</v>
      </c>
      <c r="M774" s="13" t="str">
        <v>Yes</v>
      </c>
      <c r="N774" s="22"/>
      <c r="Q774" s="40"/>
      <c r="R774" s="13" t="b">
        <f aca="false">FALSE()</f>
        <v>0</v>
      </c>
      <c r="S774" s="13" t="n">
        <v>0</v>
      </c>
      <c r="T774" s="13" t="n">
        <f aca="false">S774*F774</f>
        <v>0</v>
      </c>
      <c r="U774" s="13" t="n">
        <v>0</v>
      </c>
      <c r="V774" s="13" t="n">
        <v>0</v>
      </c>
    </row>
    <row r="775" customFormat="false" ht="15.75" hidden="false" customHeight="false" outlineLevel="0" collapsed="false">
      <c r="A775" s="13" t="n">
        <v>0</v>
      </c>
      <c r="B775" s="13" t="str">
        <v/>
      </c>
      <c r="C775" s="13" t="n">
        <v>0</v>
      </c>
      <c r="D775" s="13" t="n">
        <v>0</v>
      </c>
      <c r="E775" s="13" t="str">
        <v/>
      </c>
      <c r="F775" s="13" t="n">
        <v>0</v>
      </c>
      <c r="G775" s="13" t="n">
        <v>0</v>
      </c>
      <c r="H775" s="13" t="n">
        <v>0</v>
      </c>
      <c r="I775" s="13" t="n">
        <v>0</v>
      </c>
      <c r="J775" s="13" t="b">
        <f aca="false">IF(ISBLANK(I775),"", IF($I$2:$I1772 = "Gohar Rehan","Overnight",IF($I$2:$I1772 = "Taufeeq Akhtar ","Overnight",IF($I$2:$I1772 = "Zeeshan Ali Malik","Audit",IF($I$2:$I1772 = "Ali Raza ","Receiving",IF($I$2:$I1772 = "Ali Ahmad","Full-In"))))))</f>
        <v>0</v>
      </c>
      <c r="K775" s="39" t="e">
        <f aca="false">IFERROR(VLOOKUP(D775,'Brand manager data '!A:B,2,0))</f>
        <v>#VALUE!</v>
      </c>
      <c r="L775" s="13" t="n">
        <v>0</v>
      </c>
      <c r="M775" s="13" t="str">
        <v>Yes</v>
      </c>
      <c r="N775" s="22"/>
      <c r="Q775" s="40"/>
      <c r="R775" s="13" t="b">
        <f aca="false">FALSE()</f>
        <v>0</v>
      </c>
      <c r="S775" s="13" t="n">
        <v>0</v>
      </c>
      <c r="T775" s="13" t="n">
        <f aca="false">S775*F775</f>
        <v>0</v>
      </c>
      <c r="U775" s="13" t="n">
        <v>0</v>
      </c>
      <c r="V775" s="13" t="n">
        <v>0</v>
      </c>
    </row>
    <row r="776" customFormat="false" ht="15.75" hidden="false" customHeight="false" outlineLevel="0" collapsed="false">
      <c r="A776" s="13" t="n">
        <v>0</v>
      </c>
      <c r="B776" s="13" t="str">
        <v/>
      </c>
      <c r="C776" s="13" t="n">
        <v>0</v>
      </c>
      <c r="D776" s="13" t="n">
        <v>0</v>
      </c>
      <c r="E776" s="13" t="str">
        <v/>
      </c>
      <c r="F776" s="13" t="n">
        <v>0</v>
      </c>
      <c r="G776" s="13" t="n">
        <v>0</v>
      </c>
      <c r="H776" s="13" t="n">
        <v>0</v>
      </c>
      <c r="I776" s="13" t="n">
        <v>0</v>
      </c>
      <c r="J776" s="13" t="b">
        <f aca="false">IF(ISBLANK(I776),"", IF($I$2:$I1773 = "Gohar Rehan","Overnight",IF($I$2:$I1773 = "Taufeeq Akhtar ","Overnight",IF($I$2:$I1773 = "Zeeshan Ali Malik","Audit",IF($I$2:$I1773 = "Ali Raza ","Receiving",IF($I$2:$I1773 = "Ali Ahmad","Full-In"))))))</f>
        <v>0</v>
      </c>
      <c r="K776" s="39" t="e">
        <f aca="false">IFERROR(VLOOKUP(D776,'Brand manager data '!A:B,2,0))</f>
        <v>#VALUE!</v>
      </c>
      <c r="L776" s="13" t="n">
        <v>0</v>
      </c>
      <c r="M776" s="13" t="str">
        <v>Yes</v>
      </c>
      <c r="N776" s="22"/>
      <c r="Q776" s="40"/>
      <c r="R776" s="13" t="b">
        <f aca="false">FALSE()</f>
        <v>0</v>
      </c>
      <c r="S776" s="13" t="n">
        <v>0</v>
      </c>
      <c r="T776" s="13" t="n">
        <f aca="false">S776*F776</f>
        <v>0</v>
      </c>
      <c r="U776" s="13" t="n">
        <v>0</v>
      </c>
      <c r="V776" s="13" t="n">
        <v>0</v>
      </c>
    </row>
    <row r="777" customFormat="false" ht="15.75" hidden="false" customHeight="false" outlineLevel="0" collapsed="false">
      <c r="A777" s="13" t="n">
        <v>0</v>
      </c>
      <c r="B777" s="13" t="str">
        <v/>
      </c>
      <c r="C777" s="13" t="n">
        <v>0</v>
      </c>
      <c r="D777" s="13" t="n">
        <v>0</v>
      </c>
      <c r="E777" s="13" t="str">
        <v/>
      </c>
      <c r="F777" s="13" t="n">
        <v>0</v>
      </c>
      <c r="G777" s="13" t="n">
        <v>0</v>
      </c>
      <c r="H777" s="13" t="n">
        <v>0</v>
      </c>
      <c r="I777" s="13" t="n">
        <v>0</v>
      </c>
      <c r="J777" s="13" t="b">
        <f aca="false">IF(ISBLANK(I777),"", IF($I$2:$I1774 = "Gohar Rehan","Overnight",IF($I$2:$I1774 = "Taufeeq Akhtar ","Overnight",IF($I$2:$I1774 = "Zeeshan Ali Malik","Audit",IF($I$2:$I1774 = "Ali Raza ","Receiving",IF($I$2:$I1774 = "Ali Ahmad","Full-In"))))))</f>
        <v>0</v>
      </c>
      <c r="K777" s="39" t="e">
        <f aca="false">IFERROR(VLOOKUP(D777,'Brand manager data '!A:B,2,0))</f>
        <v>#VALUE!</v>
      </c>
      <c r="L777" s="13" t="n">
        <v>0</v>
      </c>
      <c r="M777" s="13" t="str">
        <v>Yes</v>
      </c>
      <c r="N777" s="22"/>
      <c r="Q777" s="40"/>
      <c r="R777" s="13" t="b">
        <f aca="false">FALSE()</f>
        <v>0</v>
      </c>
      <c r="S777" s="13" t="n">
        <v>0</v>
      </c>
      <c r="T777" s="13" t="n">
        <f aca="false">S777*F777</f>
        <v>0</v>
      </c>
      <c r="U777" s="13" t="n">
        <v>0</v>
      </c>
      <c r="V777" s="13" t="n">
        <v>0</v>
      </c>
    </row>
    <row r="778" customFormat="false" ht="15.75" hidden="false" customHeight="false" outlineLevel="0" collapsed="false">
      <c r="A778" s="13" t="n">
        <v>0</v>
      </c>
      <c r="B778" s="13" t="str">
        <v/>
      </c>
      <c r="C778" s="13" t="n">
        <v>0</v>
      </c>
      <c r="D778" s="13" t="n">
        <v>0</v>
      </c>
      <c r="E778" s="13" t="str">
        <v/>
      </c>
      <c r="F778" s="13" t="n">
        <v>0</v>
      </c>
      <c r="G778" s="13" t="n">
        <v>0</v>
      </c>
      <c r="H778" s="13" t="n">
        <v>0</v>
      </c>
      <c r="I778" s="13" t="n">
        <v>0</v>
      </c>
      <c r="J778" s="13" t="b">
        <f aca="false">IF(ISBLANK(I778),"", IF($I$2:$I1775 = "Gohar Rehan","Overnight",IF($I$2:$I1775 = "Taufeeq Akhtar ","Overnight",IF($I$2:$I1775 = "Zeeshan Ali Malik","Audit",IF($I$2:$I1775 = "Ali Raza ","Receiving",IF($I$2:$I1775 = "Ali Ahmad","Full-In"))))))</f>
        <v>0</v>
      </c>
      <c r="K778" s="39" t="e">
        <f aca="false">IFERROR(VLOOKUP(D778,'Brand manager data '!A:B,2,0))</f>
        <v>#VALUE!</v>
      </c>
      <c r="L778" s="13" t="n">
        <v>0</v>
      </c>
      <c r="M778" s="13" t="str">
        <v>Yes</v>
      </c>
      <c r="N778" s="22"/>
      <c r="Q778" s="40"/>
      <c r="R778" s="13" t="b">
        <f aca="false">FALSE()</f>
        <v>0</v>
      </c>
      <c r="S778" s="13" t="n">
        <v>0</v>
      </c>
      <c r="T778" s="13" t="n">
        <f aca="false">S778*F778</f>
        <v>0</v>
      </c>
      <c r="U778" s="13" t="n">
        <v>0</v>
      </c>
      <c r="V778" s="13" t="n">
        <v>0</v>
      </c>
    </row>
    <row r="779" customFormat="false" ht="15.75" hidden="false" customHeight="false" outlineLevel="0" collapsed="false">
      <c r="A779" s="13" t="n">
        <v>0</v>
      </c>
      <c r="B779" s="13" t="str">
        <v/>
      </c>
      <c r="C779" s="13" t="n">
        <v>0</v>
      </c>
      <c r="D779" s="13" t="n">
        <v>0</v>
      </c>
      <c r="E779" s="13" t="str">
        <v/>
      </c>
      <c r="F779" s="13" t="n">
        <v>0</v>
      </c>
      <c r="G779" s="13" t="n">
        <v>0</v>
      </c>
      <c r="H779" s="13" t="n">
        <v>0</v>
      </c>
      <c r="I779" s="13" t="n">
        <v>0</v>
      </c>
      <c r="J779" s="13" t="b">
        <f aca="false">IF(ISBLANK(I779),"", IF($I$2:$I1776 = "Gohar Rehan","Overnight",IF($I$2:$I1776 = "Taufeeq Akhtar ","Overnight",IF($I$2:$I1776 = "Zeeshan Ali Malik","Audit",IF($I$2:$I1776 = "Ali Raza ","Receiving",IF($I$2:$I1776 = "Ali Ahmad","Full-In"))))))</f>
        <v>0</v>
      </c>
      <c r="K779" s="39" t="e">
        <f aca="false">IFERROR(VLOOKUP(D779,'Brand manager data '!A:B,2,0))</f>
        <v>#VALUE!</v>
      </c>
      <c r="L779" s="13" t="n">
        <v>0</v>
      </c>
      <c r="M779" s="13" t="str">
        <v>Yes</v>
      </c>
      <c r="N779" s="22"/>
      <c r="Q779" s="40"/>
      <c r="R779" s="13" t="b">
        <f aca="false">FALSE()</f>
        <v>0</v>
      </c>
      <c r="S779" s="13" t="n">
        <v>0</v>
      </c>
      <c r="T779" s="13" t="n">
        <f aca="false">S779*F779</f>
        <v>0</v>
      </c>
      <c r="U779" s="13" t="n">
        <v>0</v>
      </c>
      <c r="V779" s="13" t="n">
        <v>0</v>
      </c>
    </row>
    <row r="780" customFormat="false" ht="15.75" hidden="false" customHeight="false" outlineLevel="0" collapsed="false">
      <c r="A780" s="13" t="n">
        <v>0</v>
      </c>
      <c r="B780" s="13" t="str">
        <v/>
      </c>
      <c r="C780" s="13" t="n">
        <v>0</v>
      </c>
      <c r="D780" s="13" t="n">
        <v>0</v>
      </c>
      <c r="E780" s="13" t="str">
        <v/>
      </c>
      <c r="F780" s="13" t="n">
        <v>0</v>
      </c>
      <c r="G780" s="13" t="n">
        <v>0</v>
      </c>
      <c r="H780" s="13" t="n">
        <v>0</v>
      </c>
      <c r="I780" s="13" t="n">
        <v>0</v>
      </c>
      <c r="J780" s="13" t="b">
        <f aca="false">IF(ISBLANK(I780),"", IF($I$2:$I1777 = "Gohar Rehan","Overnight",IF($I$2:$I1777 = "Taufeeq Akhtar ","Overnight",IF($I$2:$I1777 = "Zeeshan Ali Malik","Audit",IF($I$2:$I1777 = "Ali Raza ","Receiving",IF($I$2:$I1777 = "Ali Ahmad","Full-In"))))))</f>
        <v>0</v>
      </c>
      <c r="K780" s="39" t="e">
        <f aca="false">IFERROR(VLOOKUP(D780,'Brand manager data '!A:B,2,0))</f>
        <v>#VALUE!</v>
      </c>
      <c r="L780" s="13" t="n">
        <v>0</v>
      </c>
      <c r="M780" s="13" t="str">
        <v>Yes</v>
      </c>
      <c r="N780" s="22"/>
      <c r="Q780" s="40"/>
      <c r="R780" s="13" t="b">
        <f aca="false">FALSE()</f>
        <v>0</v>
      </c>
      <c r="S780" s="13" t="n">
        <v>0</v>
      </c>
      <c r="T780" s="13" t="n">
        <f aca="false">S780*F780</f>
        <v>0</v>
      </c>
      <c r="U780" s="13" t="n">
        <v>0</v>
      </c>
      <c r="V780" s="13" t="n">
        <v>0</v>
      </c>
    </row>
    <row r="781" customFormat="false" ht="15.75" hidden="false" customHeight="false" outlineLevel="0" collapsed="false">
      <c r="A781" s="13" t="n">
        <v>0</v>
      </c>
      <c r="B781" s="13" t="str">
        <v/>
      </c>
      <c r="C781" s="13" t="n">
        <v>0</v>
      </c>
      <c r="D781" s="13" t="n">
        <v>0</v>
      </c>
      <c r="E781" s="13" t="str">
        <v/>
      </c>
      <c r="F781" s="13" t="n">
        <v>0</v>
      </c>
      <c r="G781" s="13" t="n">
        <v>0</v>
      </c>
      <c r="H781" s="13" t="n">
        <v>0</v>
      </c>
      <c r="I781" s="13" t="n">
        <v>0</v>
      </c>
      <c r="J781" s="13" t="b">
        <f aca="false">IF(ISBLANK(I781),"", IF($I$2:$I1778 = "Gohar Rehan","Overnight",IF($I$2:$I1778 = "Taufeeq Akhtar ","Overnight",IF($I$2:$I1778 = "Zeeshan Ali Malik","Audit",IF($I$2:$I1778 = "Ali Raza ","Receiving",IF($I$2:$I1778 = "Ali Ahmad","Full-In"))))))</f>
        <v>0</v>
      </c>
      <c r="K781" s="39" t="e">
        <f aca="false">IFERROR(VLOOKUP(D781,'Brand manager data '!A:B,2,0))</f>
        <v>#VALUE!</v>
      </c>
      <c r="L781" s="13" t="n">
        <v>0</v>
      </c>
      <c r="M781" s="13" t="str">
        <v>Yes</v>
      </c>
      <c r="N781" s="22"/>
      <c r="Q781" s="40"/>
      <c r="R781" s="13" t="b">
        <f aca="false">FALSE()</f>
        <v>0</v>
      </c>
      <c r="S781" s="13" t="n">
        <v>0</v>
      </c>
      <c r="T781" s="13" t="n">
        <f aca="false">S781*F781</f>
        <v>0</v>
      </c>
      <c r="U781" s="13" t="n">
        <v>0</v>
      </c>
      <c r="V781" s="13" t="n">
        <v>0</v>
      </c>
    </row>
    <row r="782" customFormat="false" ht="15.75" hidden="false" customHeight="false" outlineLevel="0" collapsed="false">
      <c r="A782" s="13" t="n">
        <v>0</v>
      </c>
      <c r="B782" s="13" t="str">
        <v/>
      </c>
      <c r="C782" s="13" t="n">
        <v>0</v>
      </c>
      <c r="D782" s="13" t="n">
        <v>0</v>
      </c>
      <c r="E782" s="13" t="str">
        <v/>
      </c>
      <c r="F782" s="13" t="n">
        <v>0</v>
      </c>
      <c r="G782" s="13" t="n">
        <v>0</v>
      </c>
      <c r="H782" s="13" t="n">
        <v>0</v>
      </c>
      <c r="I782" s="13" t="n">
        <v>0</v>
      </c>
      <c r="J782" s="13" t="b">
        <f aca="false">IF(ISBLANK(I782),"", IF($I$2:$I1779 = "Gohar Rehan","Overnight",IF($I$2:$I1779 = "Taufeeq Akhtar ","Overnight",IF($I$2:$I1779 = "Zeeshan Ali Malik","Audit",IF($I$2:$I1779 = "Ali Raza ","Receiving",IF($I$2:$I1779 = "Ali Ahmad","Full-In"))))))</f>
        <v>0</v>
      </c>
      <c r="K782" s="39" t="e">
        <f aca="false">IFERROR(VLOOKUP(D782,'Brand manager data '!A:B,2,0))</f>
        <v>#VALUE!</v>
      </c>
      <c r="L782" s="13" t="n">
        <v>0</v>
      </c>
      <c r="M782" s="13" t="str">
        <v>Yes</v>
      </c>
      <c r="N782" s="22"/>
      <c r="Q782" s="40"/>
      <c r="R782" s="13" t="b">
        <f aca="false">FALSE()</f>
        <v>0</v>
      </c>
      <c r="S782" s="13" t="n">
        <v>0</v>
      </c>
      <c r="T782" s="13" t="n">
        <f aca="false">S782*F782</f>
        <v>0</v>
      </c>
      <c r="U782" s="13" t="n">
        <v>0</v>
      </c>
      <c r="V782" s="13" t="n">
        <v>0</v>
      </c>
    </row>
    <row r="783" customFormat="false" ht="15.75" hidden="false" customHeight="false" outlineLevel="0" collapsed="false">
      <c r="A783" s="13" t="n">
        <v>0</v>
      </c>
      <c r="B783" s="13" t="str">
        <v/>
      </c>
      <c r="C783" s="13" t="n">
        <v>0</v>
      </c>
      <c r="D783" s="13" t="n">
        <v>0</v>
      </c>
      <c r="E783" s="13" t="str">
        <v/>
      </c>
      <c r="F783" s="13" t="n">
        <v>0</v>
      </c>
      <c r="G783" s="13" t="n">
        <v>0</v>
      </c>
      <c r="H783" s="13" t="n">
        <v>0</v>
      </c>
      <c r="I783" s="13" t="n">
        <v>0</v>
      </c>
      <c r="J783" s="13" t="b">
        <f aca="false">IF(ISBLANK(I783),"", IF($I$2:$I1780 = "Gohar Rehan","Overnight",IF($I$2:$I1780 = "Taufeeq Akhtar ","Overnight",IF($I$2:$I1780 = "Zeeshan Ali Malik","Audit",IF($I$2:$I1780 = "Ali Raza ","Receiving",IF($I$2:$I1780 = "Ali Ahmad","Full-In"))))))</f>
        <v>0</v>
      </c>
      <c r="K783" s="39" t="e">
        <f aca="false">IFERROR(VLOOKUP(D783,'Brand manager data '!A:B,2,0))</f>
        <v>#VALUE!</v>
      </c>
      <c r="L783" s="13" t="n">
        <v>0</v>
      </c>
      <c r="M783" s="13" t="str">
        <v>Yes</v>
      </c>
      <c r="N783" s="22"/>
      <c r="Q783" s="40"/>
      <c r="R783" s="13" t="b">
        <f aca="false">FALSE()</f>
        <v>0</v>
      </c>
      <c r="S783" s="13" t="n">
        <v>0</v>
      </c>
      <c r="T783" s="13" t="n">
        <f aca="false">S783*F783</f>
        <v>0</v>
      </c>
      <c r="U783" s="13" t="n">
        <v>0</v>
      </c>
      <c r="V783" s="13" t="n">
        <v>0</v>
      </c>
    </row>
    <row r="784" customFormat="false" ht="15.75" hidden="false" customHeight="false" outlineLevel="0" collapsed="false">
      <c r="A784" s="13" t="n">
        <v>0</v>
      </c>
      <c r="B784" s="13" t="str">
        <v/>
      </c>
      <c r="C784" s="13" t="n">
        <v>0</v>
      </c>
      <c r="D784" s="13" t="n">
        <v>0</v>
      </c>
      <c r="E784" s="13" t="str">
        <v/>
      </c>
      <c r="F784" s="13" t="n">
        <v>0</v>
      </c>
      <c r="G784" s="13" t="n">
        <v>0</v>
      </c>
      <c r="H784" s="13" t="n">
        <v>0</v>
      </c>
      <c r="I784" s="13" t="n">
        <v>0</v>
      </c>
      <c r="J784" s="13" t="b">
        <f aca="false">IF(ISBLANK(I784),"", IF($I$2:$I1781 = "Gohar Rehan","Overnight",IF($I$2:$I1781 = "Taufeeq Akhtar ","Overnight",IF($I$2:$I1781 = "Zeeshan Ali Malik","Audit",IF($I$2:$I1781 = "Ali Raza ","Receiving",IF($I$2:$I1781 = "Ali Ahmad","Full-In"))))))</f>
        <v>0</v>
      </c>
      <c r="K784" s="39" t="e">
        <f aca="false">IFERROR(VLOOKUP(D784,'Brand manager data '!A:B,2,0))</f>
        <v>#VALUE!</v>
      </c>
      <c r="L784" s="13" t="n">
        <v>0</v>
      </c>
      <c r="M784" s="13" t="str">
        <v>Yes</v>
      </c>
      <c r="N784" s="22"/>
      <c r="Q784" s="40"/>
      <c r="R784" s="13" t="b">
        <f aca="false">FALSE()</f>
        <v>0</v>
      </c>
      <c r="S784" s="13" t="n">
        <v>0</v>
      </c>
      <c r="T784" s="13" t="n">
        <f aca="false">S784*F784</f>
        <v>0</v>
      </c>
      <c r="U784" s="13" t="n">
        <v>0</v>
      </c>
      <c r="V784" s="13" t="n">
        <v>0</v>
      </c>
    </row>
    <row r="785" customFormat="false" ht="15.75" hidden="false" customHeight="false" outlineLevel="0" collapsed="false">
      <c r="A785" s="13" t="n">
        <v>0</v>
      </c>
      <c r="B785" s="13" t="str">
        <v/>
      </c>
      <c r="C785" s="13" t="n">
        <v>0</v>
      </c>
      <c r="D785" s="13" t="n">
        <v>0</v>
      </c>
      <c r="E785" s="13" t="str">
        <v/>
      </c>
      <c r="F785" s="13" t="n">
        <v>0</v>
      </c>
      <c r="G785" s="13" t="n">
        <v>0</v>
      </c>
      <c r="H785" s="13" t="n">
        <v>0</v>
      </c>
      <c r="I785" s="13" t="n">
        <v>0</v>
      </c>
      <c r="J785" s="13" t="b">
        <f aca="false">IF(ISBLANK(I785),"", IF($I$2:$I1782 = "Gohar Rehan","Overnight",IF($I$2:$I1782 = "Taufeeq Akhtar ","Overnight",IF($I$2:$I1782 = "Zeeshan Ali Malik","Audit",IF($I$2:$I1782 = "Ali Raza ","Receiving",IF($I$2:$I1782 = "Ali Ahmad","Full-In"))))))</f>
        <v>0</v>
      </c>
      <c r="K785" s="39" t="e">
        <f aca="false">IFERROR(VLOOKUP(D785,'Brand manager data '!A:B,2,0))</f>
        <v>#VALUE!</v>
      </c>
      <c r="L785" s="13" t="n">
        <v>0</v>
      </c>
      <c r="M785" s="13" t="str">
        <v>Yes</v>
      </c>
      <c r="N785" s="22"/>
      <c r="Q785" s="40"/>
      <c r="R785" s="13" t="b">
        <f aca="false">FALSE()</f>
        <v>0</v>
      </c>
      <c r="S785" s="13" t="n">
        <v>0</v>
      </c>
      <c r="T785" s="13" t="n">
        <f aca="false">S785*F785</f>
        <v>0</v>
      </c>
      <c r="U785" s="13" t="n">
        <v>0</v>
      </c>
      <c r="V785" s="13" t="n">
        <v>0</v>
      </c>
    </row>
    <row r="786" customFormat="false" ht="15.75" hidden="false" customHeight="false" outlineLevel="0" collapsed="false">
      <c r="A786" s="13" t="n">
        <v>0</v>
      </c>
      <c r="B786" s="13" t="str">
        <v/>
      </c>
      <c r="C786" s="13" t="n">
        <v>0</v>
      </c>
      <c r="D786" s="13" t="n">
        <v>0</v>
      </c>
      <c r="E786" s="13" t="str">
        <v/>
      </c>
      <c r="F786" s="13" t="n">
        <v>0</v>
      </c>
      <c r="G786" s="13" t="n">
        <v>0</v>
      </c>
      <c r="H786" s="13" t="n">
        <v>0</v>
      </c>
      <c r="I786" s="13" t="n">
        <v>0</v>
      </c>
      <c r="J786" s="13" t="b">
        <f aca="false">IF(ISBLANK(I786),"", IF($I$2:$I1783 = "Gohar Rehan","Overnight",IF($I$2:$I1783 = "Taufeeq Akhtar ","Overnight",IF($I$2:$I1783 = "Zeeshan Ali Malik","Audit",IF($I$2:$I1783 = "Ali Raza ","Receiving",IF($I$2:$I1783 = "Ali Ahmad","Full-In"))))))</f>
        <v>0</v>
      </c>
      <c r="K786" s="39" t="e">
        <f aca="false">IFERROR(VLOOKUP(D786,'Brand manager data '!A:B,2,0))</f>
        <v>#VALUE!</v>
      </c>
      <c r="L786" s="13" t="n">
        <v>0</v>
      </c>
      <c r="M786" s="13" t="str">
        <v>Yes</v>
      </c>
      <c r="N786" s="22"/>
      <c r="Q786" s="40"/>
      <c r="R786" s="13" t="b">
        <f aca="false">FALSE()</f>
        <v>0</v>
      </c>
      <c r="S786" s="13" t="n">
        <v>0</v>
      </c>
      <c r="T786" s="13" t="n">
        <f aca="false">S786*F786</f>
        <v>0</v>
      </c>
      <c r="U786" s="13" t="n">
        <v>0</v>
      </c>
      <c r="V786" s="13" t="n">
        <v>0</v>
      </c>
    </row>
    <row r="787" customFormat="false" ht="15.75" hidden="false" customHeight="false" outlineLevel="0" collapsed="false">
      <c r="A787" s="13" t="n">
        <v>0</v>
      </c>
      <c r="B787" s="13" t="str">
        <v/>
      </c>
      <c r="C787" s="13" t="n">
        <v>0</v>
      </c>
      <c r="D787" s="13" t="n">
        <v>0</v>
      </c>
      <c r="E787" s="13" t="str">
        <v/>
      </c>
      <c r="F787" s="13" t="n">
        <v>0</v>
      </c>
      <c r="G787" s="13" t="n">
        <v>0</v>
      </c>
      <c r="H787" s="13" t="n">
        <v>0</v>
      </c>
      <c r="I787" s="13" t="n">
        <v>0</v>
      </c>
      <c r="J787" s="13" t="b">
        <f aca="false">IF(ISBLANK(I787),"", IF($I$2:$I1784 = "Gohar Rehan","Overnight",IF($I$2:$I1784 = "Taufeeq Akhtar ","Overnight",IF($I$2:$I1784 = "Zeeshan Ali Malik","Audit",IF($I$2:$I1784 = "Ali Raza ","Receiving",IF($I$2:$I1784 = "Ali Ahmad","Full-In"))))))</f>
        <v>0</v>
      </c>
      <c r="K787" s="39" t="e">
        <f aca="false">IFERROR(VLOOKUP(D787,'Brand manager data '!A:B,2,0))</f>
        <v>#VALUE!</v>
      </c>
      <c r="L787" s="13" t="n">
        <v>0</v>
      </c>
      <c r="M787" s="13" t="str">
        <v>Yes</v>
      </c>
      <c r="N787" s="22"/>
      <c r="Q787" s="40"/>
      <c r="R787" s="13" t="b">
        <f aca="false">FALSE()</f>
        <v>0</v>
      </c>
      <c r="S787" s="13" t="n">
        <v>0</v>
      </c>
      <c r="T787" s="13" t="n">
        <f aca="false">S787*F787</f>
        <v>0</v>
      </c>
      <c r="U787" s="13" t="n">
        <v>0</v>
      </c>
      <c r="V787" s="13" t="n">
        <v>0</v>
      </c>
    </row>
    <row r="788" customFormat="false" ht="15.75" hidden="false" customHeight="false" outlineLevel="0" collapsed="false">
      <c r="A788" s="13" t="n">
        <v>0</v>
      </c>
      <c r="B788" s="13" t="str">
        <v/>
      </c>
      <c r="C788" s="13" t="n">
        <v>0</v>
      </c>
      <c r="D788" s="13" t="n">
        <v>0</v>
      </c>
      <c r="E788" s="13" t="str">
        <v/>
      </c>
      <c r="F788" s="13" t="n">
        <v>0</v>
      </c>
      <c r="G788" s="13" t="n">
        <v>0</v>
      </c>
      <c r="H788" s="13" t="n">
        <v>0</v>
      </c>
      <c r="I788" s="13" t="n">
        <v>0</v>
      </c>
      <c r="J788" s="13" t="b">
        <f aca="false">IF(ISBLANK(I788),"", IF($I$2:$I1785 = "Gohar Rehan","Overnight",IF($I$2:$I1785 = "Taufeeq Akhtar ","Overnight",IF($I$2:$I1785 = "Zeeshan Ali Malik","Audit",IF($I$2:$I1785 = "Ali Raza ","Receiving",IF($I$2:$I1785 = "Ali Ahmad","Full-In"))))))</f>
        <v>0</v>
      </c>
      <c r="K788" s="39" t="e">
        <f aca="false">IFERROR(VLOOKUP(D788,'Brand manager data '!A:B,2,0))</f>
        <v>#VALUE!</v>
      </c>
      <c r="L788" s="13" t="n">
        <v>0</v>
      </c>
      <c r="M788" s="13" t="str">
        <v>Yes</v>
      </c>
      <c r="N788" s="22"/>
      <c r="Q788" s="40"/>
      <c r="R788" s="13" t="b">
        <f aca="false">FALSE()</f>
        <v>0</v>
      </c>
      <c r="S788" s="13" t="n">
        <v>0</v>
      </c>
      <c r="T788" s="13" t="n">
        <f aca="false">S788*F788</f>
        <v>0</v>
      </c>
      <c r="U788" s="13" t="n">
        <v>0</v>
      </c>
      <c r="V788" s="13" t="n">
        <v>0</v>
      </c>
    </row>
    <row r="789" customFormat="false" ht="15.75" hidden="false" customHeight="false" outlineLevel="0" collapsed="false">
      <c r="A789" s="13" t="n">
        <v>0</v>
      </c>
      <c r="B789" s="13" t="str">
        <v/>
      </c>
      <c r="C789" s="13" t="n">
        <v>0</v>
      </c>
      <c r="D789" s="13" t="n">
        <v>0</v>
      </c>
      <c r="E789" s="13" t="str">
        <v/>
      </c>
      <c r="F789" s="13" t="n">
        <v>0</v>
      </c>
      <c r="G789" s="13" t="n">
        <v>0</v>
      </c>
      <c r="H789" s="13" t="n">
        <v>0</v>
      </c>
      <c r="I789" s="13" t="n">
        <v>0</v>
      </c>
      <c r="J789" s="13" t="b">
        <f aca="false">IF(ISBLANK(I789),"", IF($I$2:$I1786 = "Gohar Rehan","Overnight",IF($I$2:$I1786 = "Taufeeq Akhtar ","Overnight",IF($I$2:$I1786 = "Zeeshan Ali Malik","Audit",IF($I$2:$I1786 = "Ali Raza ","Receiving",IF($I$2:$I1786 = "Ali Ahmad","Full-In"))))))</f>
        <v>0</v>
      </c>
      <c r="K789" s="39" t="e">
        <f aca="false">IFERROR(VLOOKUP(D789,'Brand manager data '!A:B,2,0))</f>
        <v>#VALUE!</v>
      </c>
      <c r="L789" s="13" t="n">
        <v>0</v>
      </c>
      <c r="M789" s="13" t="str">
        <v>Yes</v>
      </c>
      <c r="N789" s="22"/>
      <c r="Q789" s="40"/>
      <c r="R789" s="13" t="b">
        <f aca="false">FALSE()</f>
        <v>0</v>
      </c>
      <c r="S789" s="13" t="n">
        <v>0</v>
      </c>
      <c r="T789" s="13" t="n">
        <f aca="false">S789*F789</f>
        <v>0</v>
      </c>
      <c r="U789" s="13" t="n">
        <v>0</v>
      </c>
      <c r="V789" s="13" t="n">
        <v>0</v>
      </c>
    </row>
    <row r="790" customFormat="false" ht="15.75" hidden="false" customHeight="false" outlineLevel="0" collapsed="false">
      <c r="A790" s="13" t="n">
        <v>0</v>
      </c>
      <c r="B790" s="13" t="str">
        <v/>
      </c>
      <c r="C790" s="13" t="n">
        <v>0</v>
      </c>
      <c r="D790" s="13" t="n">
        <v>0</v>
      </c>
      <c r="E790" s="13" t="str">
        <v/>
      </c>
      <c r="F790" s="13" t="n">
        <v>0</v>
      </c>
      <c r="G790" s="13" t="n">
        <v>0</v>
      </c>
      <c r="H790" s="13" t="n">
        <v>0</v>
      </c>
      <c r="I790" s="13" t="n">
        <v>0</v>
      </c>
      <c r="J790" s="13" t="b">
        <f aca="false">IF(ISBLANK(I790),"", IF($I$2:$I1787 = "Gohar Rehan","Overnight",IF($I$2:$I1787 = "Taufeeq Akhtar ","Overnight",IF($I$2:$I1787 = "Zeeshan Ali Malik","Audit",IF($I$2:$I1787 = "Ali Raza ","Receiving",IF($I$2:$I1787 = "Ali Ahmad","Full-In"))))))</f>
        <v>0</v>
      </c>
      <c r="K790" s="39" t="e">
        <f aca="false">IFERROR(VLOOKUP(D790,'Brand manager data '!A:B,2,0))</f>
        <v>#VALUE!</v>
      </c>
      <c r="L790" s="13" t="n">
        <v>0</v>
      </c>
      <c r="M790" s="13" t="str">
        <v>Yes</v>
      </c>
      <c r="N790" s="22"/>
      <c r="Q790" s="40"/>
      <c r="R790" s="13" t="b">
        <f aca="false">FALSE()</f>
        <v>0</v>
      </c>
      <c r="S790" s="13" t="n">
        <v>0</v>
      </c>
      <c r="T790" s="13" t="n">
        <f aca="false">S790*F790</f>
        <v>0</v>
      </c>
      <c r="U790" s="13" t="n">
        <v>0</v>
      </c>
      <c r="V790" s="13" t="n">
        <v>0</v>
      </c>
    </row>
    <row r="791" customFormat="false" ht="15.75" hidden="false" customHeight="false" outlineLevel="0" collapsed="false">
      <c r="A791" s="13" t="n">
        <v>0</v>
      </c>
      <c r="B791" s="13" t="str">
        <v/>
      </c>
      <c r="C791" s="13" t="n">
        <v>0</v>
      </c>
      <c r="D791" s="13" t="n">
        <v>0</v>
      </c>
      <c r="E791" s="13" t="str">
        <v/>
      </c>
      <c r="F791" s="13" t="n">
        <v>0</v>
      </c>
      <c r="G791" s="13" t="n">
        <v>0</v>
      </c>
      <c r="H791" s="13" t="n">
        <v>0</v>
      </c>
      <c r="I791" s="13" t="n">
        <v>0</v>
      </c>
      <c r="J791" s="13" t="b">
        <f aca="false">IF(ISBLANK(I791),"", IF($I$2:$I1788 = "Gohar Rehan","Overnight",IF($I$2:$I1788 = "Taufeeq Akhtar ","Overnight",IF($I$2:$I1788 = "Zeeshan Ali Malik","Audit",IF($I$2:$I1788 = "Ali Raza ","Receiving",IF($I$2:$I1788 = "Ali Ahmad","Full-In"))))))</f>
        <v>0</v>
      </c>
      <c r="K791" s="39" t="e">
        <f aca="false">IFERROR(VLOOKUP(D791,'Brand manager data '!A:B,2,0))</f>
        <v>#VALUE!</v>
      </c>
      <c r="L791" s="13" t="n">
        <v>0</v>
      </c>
      <c r="M791" s="13" t="str">
        <v>Yes</v>
      </c>
      <c r="N791" s="22"/>
      <c r="Q791" s="40"/>
      <c r="R791" s="13" t="b">
        <f aca="false">FALSE()</f>
        <v>0</v>
      </c>
      <c r="S791" s="13" t="n">
        <v>0</v>
      </c>
      <c r="T791" s="13" t="n">
        <f aca="false">S791*F791</f>
        <v>0</v>
      </c>
      <c r="U791" s="13" t="n">
        <v>0</v>
      </c>
      <c r="V791" s="13" t="n">
        <v>0</v>
      </c>
    </row>
    <row r="792" customFormat="false" ht="15.75" hidden="false" customHeight="false" outlineLevel="0" collapsed="false">
      <c r="A792" s="13" t="n">
        <v>0</v>
      </c>
      <c r="B792" s="13" t="str">
        <v/>
      </c>
      <c r="C792" s="13" t="n">
        <v>0</v>
      </c>
      <c r="D792" s="13" t="n">
        <v>0</v>
      </c>
      <c r="E792" s="13" t="str">
        <v/>
      </c>
      <c r="F792" s="13" t="n">
        <v>0</v>
      </c>
      <c r="G792" s="13" t="n">
        <v>0</v>
      </c>
      <c r="H792" s="13" t="n">
        <v>0</v>
      </c>
      <c r="I792" s="13" t="n">
        <v>0</v>
      </c>
      <c r="J792" s="13" t="b">
        <f aca="false">IF(ISBLANK(I792),"", IF($I$2:$I1789 = "Gohar Rehan","Overnight",IF($I$2:$I1789 = "Taufeeq Akhtar ","Overnight",IF($I$2:$I1789 = "Zeeshan Ali Malik","Audit",IF($I$2:$I1789 = "Ali Raza ","Receiving",IF($I$2:$I1789 = "Ali Ahmad","Full-In"))))))</f>
        <v>0</v>
      </c>
      <c r="K792" s="39" t="e">
        <f aca="false">IFERROR(VLOOKUP(D792,'Brand manager data '!A:B,2,0))</f>
        <v>#VALUE!</v>
      </c>
      <c r="L792" s="13" t="n">
        <v>0</v>
      </c>
      <c r="M792" s="13" t="str">
        <v>Yes</v>
      </c>
      <c r="N792" s="22"/>
      <c r="Q792" s="40"/>
      <c r="R792" s="13" t="b">
        <f aca="false">FALSE()</f>
        <v>0</v>
      </c>
      <c r="S792" s="13" t="n">
        <v>0</v>
      </c>
      <c r="T792" s="13" t="n">
        <f aca="false">S792*F792</f>
        <v>0</v>
      </c>
      <c r="U792" s="13" t="n">
        <v>0</v>
      </c>
      <c r="V792" s="13" t="n">
        <v>0</v>
      </c>
    </row>
    <row r="793" customFormat="false" ht="15.75" hidden="false" customHeight="false" outlineLevel="0" collapsed="false">
      <c r="A793" s="13" t="n">
        <v>0</v>
      </c>
      <c r="B793" s="13" t="str">
        <v/>
      </c>
      <c r="C793" s="13" t="n">
        <v>0</v>
      </c>
      <c r="D793" s="13" t="n">
        <v>0</v>
      </c>
      <c r="E793" s="13" t="str">
        <v/>
      </c>
      <c r="F793" s="13" t="n">
        <v>0</v>
      </c>
      <c r="G793" s="13" t="n">
        <v>0</v>
      </c>
      <c r="H793" s="13" t="n">
        <v>0</v>
      </c>
      <c r="I793" s="13" t="n">
        <v>0</v>
      </c>
      <c r="J793" s="13" t="b">
        <f aca="false">IF(ISBLANK(I793),"", IF($I$2:$I1790 = "Gohar Rehan","Overnight",IF($I$2:$I1790 = "Taufeeq Akhtar ","Overnight",IF($I$2:$I1790 = "Zeeshan Ali Malik","Audit",IF($I$2:$I1790 = "Ali Raza ","Receiving",IF($I$2:$I1790 = "Ali Ahmad","Full-In"))))))</f>
        <v>0</v>
      </c>
      <c r="K793" s="39" t="e">
        <f aca="false">IFERROR(VLOOKUP(D793,'Brand manager data '!A:B,2,0))</f>
        <v>#VALUE!</v>
      </c>
      <c r="L793" s="13" t="n">
        <v>0</v>
      </c>
      <c r="M793" s="13" t="str">
        <v>Yes</v>
      </c>
      <c r="N793" s="22"/>
      <c r="Q793" s="40"/>
      <c r="R793" s="13" t="b">
        <f aca="false">FALSE()</f>
        <v>0</v>
      </c>
      <c r="S793" s="13" t="n">
        <v>0</v>
      </c>
      <c r="T793" s="13" t="n">
        <f aca="false">S793*F793</f>
        <v>0</v>
      </c>
      <c r="U793" s="13" t="n">
        <v>0</v>
      </c>
      <c r="V793" s="13" t="n">
        <v>0</v>
      </c>
    </row>
    <row r="794" customFormat="false" ht="15.75" hidden="false" customHeight="false" outlineLevel="0" collapsed="false">
      <c r="A794" s="13" t="n">
        <v>0</v>
      </c>
      <c r="B794" s="13" t="str">
        <v/>
      </c>
      <c r="C794" s="13" t="n">
        <v>0</v>
      </c>
      <c r="D794" s="13" t="n">
        <v>0</v>
      </c>
      <c r="E794" s="13" t="str">
        <v/>
      </c>
      <c r="F794" s="13" t="n">
        <v>0</v>
      </c>
      <c r="G794" s="13" t="n">
        <v>0</v>
      </c>
      <c r="H794" s="13" t="n">
        <v>0</v>
      </c>
      <c r="I794" s="13" t="n">
        <v>0</v>
      </c>
      <c r="J794" s="13" t="b">
        <f aca="false">IF(ISBLANK(I794),"", IF($I$2:$I1791 = "Gohar Rehan","Overnight",IF($I$2:$I1791 = "Taufeeq Akhtar ","Overnight",IF($I$2:$I1791 = "Zeeshan Ali Malik","Audit",IF($I$2:$I1791 = "Ali Raza ","Receiving",IF($I$2:$I1791 = "Ali Ahmad","Full-In"))))))</f>
        <v>0</v>
      </c>
      <c r="K794" s="39" t="e">
        <f aca="false">IFERROR(VLOOKUP(D794,'Brand manager data '!A:B,2,0))</f>
        <v>#VALUE!</v>
      </c>
      <c r="L794" s="13" t="n">
        <v>0</v>
      </c>
      <c r="M794" s="13" t="str">
        <v>Yes</v>
      </c>
      <c r="N794" s="22"/>
      <c r="Q794" s="40"/>
      <c r="R794" s="13" t="b">
        <f aca="false">FALSE()</f>
        <v>0</v>
      </c>
      <c r="S794" s="13" t="n">
        <v>0</v>
      </c>
      <c r="T794" s="13" t="n">
        <f aca="false">S794*F794</f>
        <v>0</v>
      </c>
      <c r="U794" s="13" t="n">
        <v>0</v>
      </c>
      <c r="V794" s="13" t="n">
        <v>0</v>
      </c>
    </row>
    <row r="795" customFormat="false" ht="15.75" hidden="false" customHeight="false" outlineLevel="0" collapsed="false">
      <c r="A795" s="13" t="n">
        <v>0</v>
      </c>
      <c r="B795" s="13" t="str">
        <v/>
      </c>
      <c r="C795" s="13" t="n">
        <v>0</v>
      </c>
      <c r="D795" s="13" t="n">
        <v>0</v>
      </c>
      <c r="E795" s="13" t="str">
        <v/>
      </c>
      <c r="F795" s="13" t="n">
        <v>0</v>
      </c>
      <c r="G795" s="13" t="n">
        <v>0</v>
      </c>
      <c r="H795" s="13" t="n">
        <v>0</v>
      </c>
      <c r="I795" s="13" t="n">
        <v>0</v>
      </c>
      <c r="J795" s="13" t="b">
        <f aca="false">IF(ISBLANK(I795),"", IF($I$2:$I1792 = "Gohar Rehan","Overnight",IF($I$2:$I1792 = "Taufeeq Akhtar ","Overnight",IF($I$2:$I1792 = "Zeeshan Ali Malik","Audit",IF($I$2:$I1792 = "Ali Raza ","Receiving",IF($I$2:$I1792 = "Ali Ahmad","Full-In"))))))</f>
        <v>0</v>
      </c>
      <c r="K795" s="39" t="e">
        <f aca="false">IFERROR(VLOOKUP(D795,'Brand manager data '!A:B,2,0))</f>
        <v>#VALUE!</v>
      </c>
      <c r="L795" s="13" t="n">
        <v>0</v>
      </c>
      <c r="M795" s="13" t="str">
        <v>Yes</v>
      </c>
      <c r="N795" s="22"/>
      <c r="Q795" s="40"/>
      <c r="R795" s="13" t="b">
        <f aca="false">FALSE()</f>
        <v>0</v>
      </c>
      <c r="S795" s="13" t="n">
        <v>0</v>
      </c>
      <c r="T795" s="13" t="n">
        <f aca="false">S795*F795</f>
        <v>0</v>
      </c>
      <c r="U795" s="13" t="n">
        <v>0</v>
      </c>
      <c r="V795" s="13" t="n">
        <v>0</v>
      </c>
    </row>
    <row r="796" customFormat="false" ht="15.75" hidden="false" customHeight="false" outlineLevel="0" collapsed="false">
      <c r="A796" s="13" t="n">
        <v>0</v>
      </c>
      <c r="B796" s="13" t="str">
        <v/>
      </c>
      <c r="C796" s="13" t="n">
        <v>0</v>
      </c>
      <c r="D796" s="13" t="n">
        <v>0</v>
      </c>
      <c r="E796" s="13" t="str">
        <v/>
      </c>
      <c r="F796" s="13" t="n">
        <v>0</v>
      </c>
      <c r="G796" s="13" t="n">
        <v>0</v>
      </c>
      <c r="H796" s="13" t="n">
        <v>0</v>
      </c>
      <c r="I796" s="13" t="n">
        <v>0</v>
      </c>
      <c r="J796" s="13" t="b">
        <f aca="false">IF(ISBLANK(I796),"", IF($I$2:$I1793 = "Gohar Rehan","Overnight",IF($I$2:$I1793 = "Taufeeq Akhtar ","Overnight",IF($I$2:$I1793 = "Zeeshan Ali Malik","Audit",IF($I$2:$I1793 = "Ali Raza ","Receiving",IF($I$2:$I1793 = "Ali Ahmad","Full-In"))))))</f>
        <v>0</v>
      </c>
      <c r="K796" s="39" t="e">
        <f aca="false">IFERROR(VLOOKUP(D796,'Brand manager data '!A:B,2,0))</f>
        <v>#VALUE!</v>
      </c>
      <c r="L796" s="13" t="n">
        <v>0</v>
      </c>
      <c r="M796" s="13" t="str">
        <v>Yes</v>
      </c>
      <c r="N796" s="22"/>
      <c r="Q796" s="40"/>
      <c r="R796" s="13" t="b">
        <f aca="false">FALSE()</f>
        <v>0</v>
      </c>
      <c r="S796" s="13" t="n">
        <v>0</v>
      </c>
      <c r="T796" s="13" t="n">
        <f aca="false">S796*F796</f>
        <v>0</v>
      </c>
      <c r="U796" s="13" t="n">
        <v>0</v>
      </c>
      <c r="V796" s="13" t="n">
        <v>0</v>
      </c>
    </row>
    <row r="797" customFormat="false" ht="15.75" hidden="false" customHeight="false" outlineLevel="0" collapsed="false">
      <c r="A797" s="13" t="n">
        <v>0</v>
      </c>
      <c r="B797" s="13" t="str">
        <v/>
      </c>
      <c r="C797" s="13" t="n">
        <v>0</v>
      </c>
      <c r="D797" s="13" t="n">
        <v>0</v>
      </c>
      <c r="E797" s="13" t="str">
        <v/>
      </c>
      <c r="F797" s="13" t="n">
        <v>0</v>
      </c>
      <c r="G797" s="13" t="n">
        <v>0</v>
      </c>
      <c r="H797" s="13" t="n">
        <v>0</v>
      </c>
      <c r="I797" s="13" t="n">
        <v>0</v>
      </c>
      <c r="J797" s="13" t="b">
        <f aca="false">IF(ISBLANK(I797),"", IF($I$2:$I1794 = "Gohar Rehan","Overnight",IF($I$2:$I1794 = "Taufeeq Akhtar ","Overnight",IF($I$2:$I1794 = "Zeeshan Ali Malik","Audit",IF($I$2:$I1794 = "Ali Raza ","Receiving",IF($I$2:$I1794 = "Ali Ahmad","Full-In"))))))</f>
        <v>0</v>
      </c>
      <c r="K797" s="39" t="e">
        <f aca="false">IFERROR(VLOOKUP(D797,'Brand manager data '!A:B,2,0))</f>
        <v>#VALUE!</v>
      </c>
      <c r="L797" s="13" t="n">
        <v>0</v>
      </c>
      <c r="M797" s="13" t="str">
        <v>Yes</v>
      </c>
      <c r="N797" s="22"/>
      <c r="Q797" s="40"/>
      <c r="R797" s="13" t="b">
        <f aca="false">FALSE()</f>
        <v>0</v>
      </c>
      <c r="S797" s="13" t="n">
        <v>0</v>
      </c>
      <c r="T797" s="13" t="n">
        <f aca="false">S797*F797</f>
        <v>0</v>
      </c>
      <c r="U797" s="13" t="n">
        <v>0</v>
      </c>
      <c r="V797" s="13" t="n">
        <v>0</v>
      </c>
    </row>
    <row r="798" customFormat="false" ht="15.75" hidden="false" customHeight="false" outlineLevel="0" collapsed="false">
      <c r="A798" s="13" t="n">
        <v>0</v>
      </c>
      <c r="B798" s="13" t="str">
        <v/>
      </c>
      <c r="C798" s="13" t="n">
        <v>0</v>
      </c>
      <c r="D798" s="13" t="n">
        <v>0</v>
      </c>
      <c r="E798" s="13" t="str">
        <v/>
      </c>
      <c r="F798" s="13" t="n">
        <v>0</v>
      </c>
      <c r="G798" s="13" t="n">
        <v>0</v>
      </c>
      <c r="H798" s="13" t="n">
        <v>0</v>
      </c>
      <c r="I798" s="13" t="n">
        <v>0</v>
      </c>
      <c r="J798" s="13" t="b">
        <f aca="false">IF(ISBLANK(I798),"", IF($I$2:$I1795 = "Gohar Rehan","Overnight",IF($I$2:$I1795 = "Taufeeq Akhtar ","Overnight",IF($I$2:$I1795 = "Zeeshan Ali Malik","Audit",IF($I$2:$I1795 = "Ali Raza ","Receiving",IF($I$2:$I1795 = "Ali Ahmad","Full-In"))))))</f>
        <v>0</v>
      </c>
      <c r="K798" s="39" t="e">
        <f aca="false">IFERROR(VLOOKUP(D798,'Brand manager data '!A:B,2,0))</f>
        <v>#VALUE!</v>
      </c>
      <c r="L798" s="13" t="n">
        <v>0</v>
      </c>
      <c r="M798" s="13" t="str">
        <v>Yes</v>
      </c>
      <c r="N798" s="22"/>
      <c r="Q798" s="40"/>
      <c r="R798" s="13" t="b">
        <f aca="false">FALSE()</f>
        <v>0</v>
      </c>
      <c r="S798" s="13" t="n">
        <v>0</v>
      </c>
      <c r="T798" s="13" t="n">
        <f aca="false">S798*F798</f>
        <v>0</v>
      </c>
      <c r="U798" s="13" t="n">
        <v>0</v>
      </c>
      <c r="V798" s="13" t="n">
        <v>0</v>
      </c>
    </row>
    <row r="799" customFormat="false" ht="15.75" hidden="false" customHeight="false" outlineLevel="0" collapsed="false">
      <c r="A799" s="13" t="n">
        <v>0</v>
      </c>
      <c r="B799" s="13" t="str">
        <v/>
      </c>
      <c r="C799" s="13" t="n">
        <v>0</v>
      </c>
      <c r="D799" s="13" t="n">
        <v>0</v>
      </c>
      <c r="E799" s="13" t="str">
        <v/>
      </c>
      <c r="F799" s="13" t="n">
        <v>0</v>
      </c>
      <c r="G799" s="13" t="n">
        <v>0</v>
      </c>
      <c r="H799" s="13" t="n">
        <v>0</v>
      </c>
      <c r="I799" s="13" t="n">
        <v>0</v>
      </c>
      <c r="J799" s="13" t="b">
        <f aca="false">IF(ISBLANK(I799),"", IF($I$2:$I1796 = "Gohar Rehan","Overnight",IF($I$2:$I1796 = "Taufeeq Akhtar ","Overnight",IF($I$2:$I1796 = "Zeeshan Ali Malik","Audit",IF($I$2:$I1796 = "Ali Raza ","Receiving",IF($I$2:$I1796 = "Ali Ahmad","Full-In"))))))</f>
        <v>0</v>
      </c>
      <c r="K799" s="39" t="e">
        <f aca="false">IFERROR(VLOOKUP(D799,'Brand manager data '!A:B,2,0))</f>
        <v>#VALUE!</v>
      </c>
      <c r="L799" s="13" t="n">
        <v>0</v>
      </c>
      <c r="M799" s="13" t="str">
        <v>Yes</v>
      </c>
      <c r="N799" s="22"/>
      <c r="Q799" s="40"/>
      <c r="R799" s="13" t="b">
        <f aca="false">FALSE()</f>
        <v>0</v>
      </c>
      <c r="S799" s="13" t="n">
        <v>0</v>
      </c>
      <c r="T799" s="13" t="n">
        <f aca="false">S799*F799</f>
        <v>0</v>
      </c>
      <c r="U799" s="13" t="n">
        <v>0</v>
      </c>
      <c r="V799" s="13" t="n">
        <v>0</v>
      </c>
    </row>
    <row r="800" customFormat="false" ht="15.75" hidden="false" customHeight="false" outlineLevel="0" collapsed="false">
      <c r="A800" s="13" t="n">
        <v>0</v>
      </c>
      <c r="B800" s="13" t="str">
        <v/>
      </c>
      <c r="C800" s="13" t="n">
        <v>0</v>
      </c>
      <c r="D800" s="13" t="n">
        <v>0</v>
      </c>
      <c r="E800" s="13" t="str">
        <v/>
      </c>
      <c r="F800" s="13" t="n">
        <v>0</v>
      </c>
      <c r="G800" s="13" t="n">
        <v>0</v>
      </c>
      <c r="H800" s="13" t="n">
        <v>0</v>
      </c>
      <c r="I800" s="13" t="n">
        <v>0</v>
      </c>
      <c r="J800" s="13" t="b">
        <f aca="false">IF(ISBLANK(I800),"", IF($I$2:$I1797 = "Gohar Rehan","Overnight",IF($I$2:$I1797 = "Taufeeq Akhtar ","Overnight",IF($I$2:$I1797 = "Zeeshan Ali Malik","Audit",IF($I$2:$I1797 = "Ali Raza ","Receiving",IF($I$2:$I1797 = "Ali Ahmad","Full-In"))))))</f>
        <v>0</v>
      </c>
      <c r="K800" s="39" t="e">
        <f aca="false">IFERROR(VLOOKUP(D800,'Brand manager data '!A:B,2,0))</f>
        <v>#VALUE!</v>
      </c>
      <c r="L800" s="13" t="n">
        <v>0</v>
      </c>
      <c r="M800" s="13" t="str">
        <v>Yes</v>
      </c>
      <c r="N800" s="22"/>
      <c r="Q800" s="40"/>
      <c r="R800" s="13" t="b">
        <f aca="false">FALSE()</f>
        <v>0</v>
      </c>
      <c r="S800" s="13" t="n">
        <v>0</v>
      </c>
      <c r="T800" s="13" t="n">
        <f aca="false">S800*F800</f>
        <v>0</v>
      </c>
      <c r="U800" s="13" t="n">
        <v>0</v>
      </c>
      <c r="V800" s="13" t="n">
        <v>0</v>
      </c>
    </row>
    <row r="801" customFormat="false" ht="15.75" hidden="false" customHeight="false" outlineLevel="0" collapsed="false">
      <c r="A801" s="13" t="n">
        <v>0</v>
      </c>
      <c r="B801" s="13" t="str">
        <v/>
      </c>
      <c r="C801" s="13" t="n">
        <v>0</v>
      </c>
      <c r="D801" s="13" t="n">
        <v>0</v>
      </c>
      <c r="E801" s="13" t="str">
        <v/>
      </c>
      <c r="F801" s="13" t="n">
        <v>0</v>
      </c>
      <c r="G801" s="13" t="n">
        <v>0</v>
      </c>
      <c r="H801" s="13" t="n">
        <v>0</v>
      </c>
      <c r="I801" s="13" t="n">
        <v>0</v>
      </c>
      <c r="J801" s="13" t="b">
        <f aca="false">IF(ISBLANK(I801),"", IF($I$2:$I1798 = "Gohar Rehan","Overnight",IF($I$2:$I1798 = "Taufeeq Akhtar ","Overnight",IF($I$2:$I1798 = "Zeeshan Ali Malik","Audit",IF($I$2:$I1798 = "Ali Raza ","Receiving",IF($I$2:$I1798 = "Ali Ahmad","Full-In"))))))</f>
        <v>0</v>
      </c>
      <c r="K801" s="39" t="e">
        <f aca="false">IFERROR(VLOOKUP(D801,'Brand manager data '!A:B,2,0))</f>
        <v>#VALUE!</v>
      </c>
      <c r="L801" s="13" t="n">
        <v>0</v>
      </c>
      <c r="M801" s="13" t="str">
        <v>Yes</v>
      </c>
      <c r="N801" s="22"/>
      <c r="Q801" s="40"/>
      <c r="R801" s="13" t="b">
        <f aca="false">FALSE()</f>
        <v>0</v>
      </c>
      <c r="S801" s="13" t="n">
        <v>0</v>
      </c>
      <c r="T801" s="13" t="n">
        <f aca="false">S801*F801</f>
        <v>0</v>
      </c>
      <c r="U801" s="13" t="n">
        <v>0</v>
      </c>
      <c r="V801" s="13" t="n">
        <v>0</v>
      </c>
    </row>
    <row r="802" customFormat="false" ht="15.75" hidden="false" customHeight="false" outlineLevel="0" collapsed="false">
      <c r="A802" s="13" t="n">
        <v>0</v>
      </c>
      <c r="B802" s="13" t="str">
        <v/>
      </c>
      <c r="C802" s="13" t="n">
        <v>0</v>
      </c>
      <c r="D802" s="13" t="n">
        <v>0</v>
      </c>
      <c r="E802" s="13" t="str">
        <v/>
      </c>
      <c r="F802" s="13" t="n">
        <v>0</v>
      </c>
      <c r="G802" s="13" t="n">
        <v>0</v>
      </c>
      <c r="H802" s="13" t="n">
        <v>0</v>
      </c>
      <c r="I802" s="13" t="n">
        <v>0</v>
      </c>
      <c r="J802" s="13" t="b">
        <f aca="false">IF(ISBLANK(I802),"", IF($I$2:$I1799 = "Gohar Rehan","Overnight",IF($I$2:$I1799 = "Taufeeq Akhtar ","Overnight",IF($I$2:$I1799 = "Zeeshan Ali Malik","Audit",IF($I$2:$I1799 = "Ali Raza ","Receiving",IF($I$2:$I1799 = "Ali Ahmad","Full-In"))))))</f>
        <v>0</v>
      </c>
      <c r="K802" s="39" t="e">
        <f aca="false">IFERROR(VLOOKUP(D802,'Brand manager data '!A:B,2,0))</f>
        <v>#VALUE!</v>
      </c>
      <c r="L802" s="13" t="n">
        <v>0</v>
      </c>
      <c r="M802" s="13" t="str">
        <v>Yes</v>
      </c>
      <c r="N802" s="22"/>
      <c r="Q802" s="40"/>
      <c r="R802" s="13" t="b">
        <f aca="false">FALSE()</f>
        <v>0</v>
      </c>
      <c r="S802" s="13" t="n">
        <v>0</v>
      </c>
      <c r="T802" s="13" t="n">
        <f aca="false">S802*F802</f>
        <v>0</v>
      </c>
      <c r="U802" s="13" t="n">
        <v>0</v>
      </c>
      <c r="V802" s="13" t="n">
        <v>0</v>
      </c>
    </row>
    <row r="803" customFormat="false" ht="15.75" hidden="false" customHeight="false" outlineLevel="0" collapsed="false">
      <c r="A803" s="13" t="n">
        <v>0</v>
      </c>
      <c r="B803" s="13" t="str">
        <v/>
      </c>
      <c r="C803" s="13" t="n">
        <v>0</v>
      </c>
      <c r="D803" s="13" t="n">
        <v>0</v>
      </c>
      <c r="E803" s="13" t="str">
        <v/>
      </c>
      <c r="F803" s="13" t="n">
        <v>0</v>
      </c>
      <c r="G803" s="13" t="n">
        <v>0</v>
      </c>
      <c r="H803" s="13" t="n">
        <v>0</v>
      </c>
      <c r="I803" s="13" t="n">
        <v>0</v>
      </c>
      <c r="J803" s="13" t="b">
        <f aca="false">IF(ISBLANK(I803),"", IF($I$2:$I1800 = "Gohar Rehan","Overnight",IF($I$2:$I1800 = "Taufeeq Akhtar ","Overnight",IF($I$2:$I1800 = "Zeeshan Ali Malik","Audit",IF($I$2:$I1800 = "Ali Raza ","Receiving",IF($I$2:$I1800 = "Ali Ahmad","Full-In"))))))</f>
        <v>0</v>
      </c>
      <c r="K803" s="39" t="e">
        <f aca="false">IFERROR(VLOOKUP(D803,'Brand manager data '!A:B,2,0))</f>
        <v>#VALUE!</v>
      </c>
      <c r="L803" s="13" t="n">
        <v>0</v>
      </c>
      <c r="M803" s="13" t="str">
        <v>Yes</v>
      </c>
      <c r="N803" s="22"/>
      <c r="Q803" s="40"/>
      <c r="R803" s="13" t="b">
        <f aca="false">FALSE()</f>
        <v>0</v>
      </c>
      <c r="S803" s="13" t="n">
        <v>0</v>
      </c>
      <c r="T803" s="13" t="n">
        <f aca="false">S803*F803</f>
        <v>0</v>
      </c>
      <c r="U803" s="13" t="n">
        <v>0</v>
      </c>
      <c r="V803" s="13" t="n">
        <v>0</v>
      </c>
    </row>
    <row r="804" customFormat="false" ht="15.75" hidden="false" customHeight="false" outlineLevel="0" collapsed="false">
      <c r="A804" s="13" t="n">
        <v>0</v>
      </c>
      <c r="B804" s="13" t="str">
        <v/>
      </c>
      <c r="C804" s="13" t="n">
        <v>0</v>
      </c>
      <c r="D804" s="13" t="n">
        <v>0</v>
      </c>
      <c r="E804" s="13" t="str">
        <v/>
      </c>
      <c r="F804" s="13" t="n">
        <v>0</v>
      </c>
      <c r="G804" s="13" t="n">
        <v>0</v>
      </c>
      <c r="H804" s="13" t="n">
        <v>0</v>
      </c>
      <c r="I804" s="13" t="n">
        <v>0</v>
      </c>
      <c r="J804" s="13" t="b">
        <f aca="false">IF(ISBLANK(I804),"", IF($I$2:$I1801 = "Gohar Rehan","Overnight",IF($I$2:$I1801 = "Taufeeq Akhtar ","Overnight",IF($I$2:$I1801 = "Zeeshan Ali Malik","Audit",IF($I$2:$I1801 = "Ali Raza ","Receiving",IF($I$2:$I1801 = "Ali Ahmad","Full-In"))))))</f>
        <v>0</v>
      </c>
      <c r="K804" s="39" t="e">
        <f aca="false">IFERROR(VLOOKUP(D804,'Brand manager data '!A:B,2,0))</f>
        <v>#VALUE!</v>
      </c>
      <c r="L804" s="13" t="n">
        <v>0</v>
      </c>
      <c r="M804" s="13" t="str">
        <v>Yes</v>
      </c>
      <c r="N804" s="22"/>
      <c r="Q804" s="40"/>
      <c r="R804" s="13" t="b">
        <f aca="false">FALSE()</f>
        <v>0</v>
      </c>
      <c r="S804" s="13" t="n">
        <v>0</v>
      </c>
      <c r="T804" s="13" t="n">
        <f aca="false">S804*F804</f>
        <v>0</v>
      </c>
      <c r="U804" s="13" t="n">
        <v>0</v>
      </c>
      <c r="V804" s="13" t="n">
        <v>0</v>
      </c>
    </row>
    <row r="805" customFormat="false" ht="15.75" hidden="false" customHeight="false" outlineLevel="0" collapsed="false">
      <c r="A805" s="13" t="n">
        <v>0</v>
      </c>
      <c r="B805" s="13" t="str">
        <v/>
      </c>
      <c r="C805" s="13" t="n">
        <v>0</v>
      </c>
      <c r="D805" s="13" t="n">
        <v>0</v>
      </c>
      <c r="E805" s="13" t="str">
        <v/>
      </c>
      <c r="F805" s="13" t="n">
        <v>0</v>
      </c>
      <c r="G805" s="13" t="n">
        <v>0</v>
      </c>
      <c r="H805" s="13" t="n">
        <v>0</v>
      </c>
      <c r="I805" s="13" t="n">
        <v>0</v>
      </c>
      <c r="J805" s="13" t="b">
        <f aca="false">IF(ISBLANK(I805),"", IF($I$2:$I1802 = "Gohar Rehan","Overnight",IF($I$2:$I1802 = "Taufeeq Akhtar ","Overnight",IF($I$2:$I1802 = "Zeeshan Ali Malik","Audit",IF($I$2:$I1802 = "Ali Raza ","Receiving",IF($I$2:$I1802 = "Ali Ahmad","Full-In"))))))</f>
        <v>0</v>
      </c>
      <c r="K805" s="39" t="e">
        <f aca="false">IFERROR(VLOOKUP(D805,'Brand manager data '!A:B,2,0))</f>
        <v>#VALUE!</v>
      </c>
      <c r="L805" s="13" t="n">
        <v>0</v>
      </c>
      <c r="M805" s="13" t="str">
        <v>Yes</v>
      </c>
      <c r="N805" s="22"/>
      <c r="Q805" s="40"/>
      <c r="R805" s="13" t="b">
        <f aca="false">FALSE()</f>
        <v>0</v>
      </c>
      <c r="S805" s="13" t="n">
        <v>0</v>
      </c>
      <c r="T805" s="13" t="n">
        <f aca="false">S805*F805</f>
        <v>0</v>
      </c>
      <c r="U805" s="13" t="n">
        <v>0</v>
      </c>
      <c r="V805" s="13" t="n">
        <v>0</v>
      </c>
    </row>
    <row r="806" customFormat="false" ht="15.75" hidden="false" customHeight="false" outlineLevel="0" collapsed="false">
      <c r="A806" s="13" t="n">
        <v>0</v>
      </c>
      <c r="B806" s="13" t="str">
        <v/>
      </c>
      <c r="C806" s="13" t="n">
        <v>0</v>
      </c>
      <c r="D806" s="13" t="n">
        <v>0</v>
      </c>
      <c r="E806" s="13" t="str">
        <v/>
      </c>
      <c r="F806" s="13" t="n">
        <v>0</v>
      </c>
      <c r="G806" s="13" t="n">
        <v>0</v>
      </c>
      <c r="H806" s="13" t="n">
        <v>0</v>
      </c>
      <c r="I806" s="13" t="n">
        <v>0</v>
      </c>
      <c r="J806" s="13" t="b">
        <f aca="false">IF(ISBLANK(I806),"", IF($I$2:$I1803 = "Gohar Rehan","Overnight",IF($I$2:$I1803 = "Taufeeq Akhtar ","Overnight",IF($I$2:$I1803 = "Zeeshan Ali Malik","Audit",IF($I$2:$I1803 = "Ali Raza ","Receiving",IF($I$2:$I1803 = "Ali Ahmad","Full-In"))))))</f>
        <v>0</v>
      </c>
      <c r="K806" s="39" t="e">
        <f aca="false">IFERROR(VLOOKUP(D806,'Brand manager data '!A:B,2,0))</f>
        <v>#VALUE!</v>
      </c>
      <c r="L806" s="13" t="n">
        <v>0</v>
      </c>
      <c r="M806" s="13" t="str">
        <v>Yes</v>
      </c>
      <c r="N806" s="22"/>
      <c r="Q806" s="40"/>
      <c r="R806" s="13" t="b">
        <f aca="false">FALSE()</f>
        <v>0</v>
      </c>
      <c r="S806" s="13" t="n">
        <v>0</v>
      </c>
      <c r="T806" s="13" t="n">
        <f aca="false">S806*F806</f>
        <v>0</v>
      </c>
      <c r="U806" s="13" t="n">
        <v>0</v>
      </c>
      <c r="V806" s="13" t="n">
        <v>0</v>
      </c>
    </row>
    <row r="807" customFormat="false" ht="15.75" hidden="false" customHeight="false" outlineLevel="0" collapsed="false">
      <c r="A807" s="13" t="n">
        <v>0</v>
      </c>
      <c r="B807" s="13" t="str">
        <v/>
      </c>
      <c r="C807" s="13" t="n">
        <v>0</v>
      </c>
      <c r="D807" s="13" t="n">
        <v>0</v>
      </c>
      <c r="E807" s="13" t="str">
        <v/>
      </c>
      <c r="F807" s="13" t="n">
        <v>0</v>
      </c>
      <c r="G807" s="13" t="n">
        <v>0</v>
      </c>
      <c r="H807" s="13" t="n">
        <v>0</v>
      </c>
      <c r="I807" s="13" t="n">
        <v>0</v>
      </c>
      <c r="J807" s="13" t="b">
        <f aca="false">IF(ISBLANK(I807),"", IF($I$2:$I1804 = "Gohar Rehan","Overnight",IF($I$2:$I1804 = "Taufeeq Akhtar ","Overnight",IF($I$2:$I1804 = "Zeeshan Ali Malik","Audit",IF($I$2:$I1804 = "Ali Raza ","Receiving",IF($I$2:$I1804 = "Ali Ahmad","Full-In"))))))</f>
        <v>0</v>
      </c>
      <c r="K807" s="39" t="e">
        <f aca="false">IFERROR(VLOOKUP(D807,'Brand manager data '!A:B,2,0))</f>
        <v>#VALUE!</v>
      </c>
      <c r="L807" s="13" t="n">
        <v>0</v>
      </c>
      <c r="M807" s="13" t="str">
        <v>Yes</v>
      </c>
      <c r="N807" s="22"/>
      <c r="Q807" s="40"/>
      <c r="R807" s="13" t="b">
        <f aca="false">FALSE()</f>
        <v>0</v>
      </c>
      <c r="S807" s="13" t="n">
        <v>0</v>
      </c>
      <c r="T807" s="13" t="n">
        <f aca="false">S807*F807</f>
        <v>0</v>
      </c>
      <c r="U807" s="13" t="n">
        <v>0</v>
      </c>
      <c r="V807" s="13" t="n">
        <v>0</v>
      </c>
    </row>
    <row r="808" customFormat="false" ht="15.75" hidden="false" customHeight="false" outlineLevel="0" collapsed="false">
      <c r="A808" s="13" t="n">
        <v>0</v>
      </c>
      <c r="B808" s="13" t="str">
        <v/>
      </c>
      <c r="C808" s="13" t="n">
        <v>0</v>
      </c>
      <c r="D808" s="13" t="n">
        <v>0</v>
      </c>
      <c r="E808" s="13" t="str">
        <v/>
      </c>
      <c r="F808" s="13" t="n">
        <v>0</v>
      </c>
      <c r="G808" s="13" t="n">
        <v>0</v>
      </c>
      <c r="H808" s="13" t="n">
        <v>0</v>
      </c>
      <c r="I808" s="13" t="n">
        <v>0</v>
      </c>
      <c r="J808" s="13" t="b">
        <f aca="false">IF(ISBLANK(I808),"", IF($I$2:$I1805 = "Gohar Rehan","Overnight",IF($I$2:$I1805 = "Taufeeq Akhtar ","Overnight",IF($I$2:$I1805 = "Zeeshan Ali Malik","Audit",IF($I$2:$I1805 = "Ali Raza ","Receiving",IF($I$2:$I1805 = "Ali Ahmad","Full-In"))))))</f>
        <v>0</v>
      </c>
      <c r="K808" s="39" t="e">
        <f aca="false">IFERROR(VLOOKUP(D808,'Brand manager data '!A:B,2,0))</f>
        <v>#VALUE!</v>
      </c>
      <c r="L808" s="13" t="n">
        <v>0</v>
      </c>
      <c r="M808" s="13" t="str">
        <v>Yes</v>
      </c>
      <c r="N808" s="22"/>
      <c r="Q808" s="40"/>
      <c r="R808" s="13" t="b">
        <f aca="false">FALSE()</f>
        <v>0</v>
      </c>
      <c r="S808" s="13" t="n">
        <v>0</v>
      </c>
      <c r="T808" s="13" t="n">
        <f aca="false">S808*F808</f>
        <v>0</v>
      </c>
      <c r="U808" s="13" t="n">
        <v>0</v>
      </c>
      <c r="V808" s="13" t="n">
        <v>0</v>
      </c>
    </row>
    <row r="809" customFormat="false" ht="15.75" hidden="false" customHeight="false" outlineLevel="0" collapsed="false">
      <c r="A809" s="13" t="n">
        <v>0</v>
      </c>
      <c r="B809" s="13" t="str">
        <v/>
      </c>
      <c r="C809" s="13" t="n">
        <v>0</v>
      </c>
      <c r="D809" s="13" t="n">
        <v>0</v>
      </c>
      <c r="E809" s="13" t="str">
        <v/>
      </c>
      <c r="F809" s="13" t="n">
        <v>0</v>
      </c>
      <c r="G809" s="13" t="n">
        <v>0</v>
      </c>
      <c r="H809" s="13" t="n">
        <v>0</v>
      </c>
      <c r="I809" s="13" t="n">
        <v>0</v>
      </c>
      <c r="J809" s="13" t="b">
        <f aca="false">IF(ISBLANK(I809),"", IF($I$2:$I1806 = "Gohar Rehan","Overnight",IF($I$2:$I1806 = "Taufeeq Akhtar ","Overnight",IF($I$2:$I1806 = "Zeeshan Ali Malik","Audit",IF($I$2:$I1806 = "Ali Raza ","Receiving",IF($I$2:$I1806 = "Ali Ahmad","Full-In"))))))</f>
        <v>0</v>
      </c>
      <c r="K809" s="39" t="e">
        <f aca="false">IFERROR(VLOOKUP(D809,'Brand manager data '!A:B,2,0))</f>
        <v>#VALUE!</v>
      </c>
      <c r="L809" s="13" t="n">
        <v>0</v>
      </c>
      <c r="M809" s="13" t="str">
        <v>Yes</v>
      </c>
      <c r="N809" s="22"/>
      <c r="Q809" s="40"/>
      <c r="R809" s="13" t="b">
        <f aca="false">FALSE()</f>
        <v>0</v>
      </c>
      <c r="S809" s="13" t="n">
        <v>0</v>
      </c>
      <c r="T809" s="13" t="n">
        <f aca="false">S809*F809</f>
        <v>0</v>
      </c>
      <c r="U809" s="13" t="n">
        <v>0</v>
      </c>
      <c r="V809" s="13" t="n">
        <v>0</v>
      </c>
    </row>
    <row r="810" customFormat="false" ht="15.75" hidden="false" customHeight="false" outlineLevel="0" collapsed="false">
      <c r="A810" s="13" t="n">
        <v>0</v>
      </c>
      <c r="B810" s="13" t="str">
        <v/>
      </c>
      <c r="C810" s="13" t="n">
        <v>0</v>
      </c>
      <c r="D810" s="13" t="n">
        <v>0</v>
      </c>
      <c r="E810" s="13" t="str">
        <v/>
      </c>
      <c r="F810" s="13" t="n">
        <v>0</v>
      </c>
      <c r="G810" s="13" t="n">
        <v>0</v>
      </c>
      <c r="H810" s="13" t="n">
        <v>0</v>
      </c>
      <c r="I810" s="13" t="n">
        <v>0</v>
      </c>
      <c r="J810" s="13" t="b">
        <f aca="false">IF(ISBLANK(I810),"", IF($I$2:$I1807 = "Gohar Rehan","Overnight",IF($I$2:$I1807 = "Taufeeq Akhtar ","Overnight",IF($I$2:$I1807 = "Zeeshan Ali Malik","Audit",IF($I$2:$I1807 = "Ali Raza ","Receiving",IF($I$2:$I1807 = "Ali Ahmad","Full-In"))))))</f>
        <v>0</v>
      </c>
      <c r="K810" s="39" t="e">
        <f aca="false">IFERROR(VLOOKUP(D810,'Brand manager data '!A:B,2,0))</f>
        <v>#VALUE!</v>
      </c>
      <c r="L810" s="13" t="n">
        <v>0</v>
      </c>
      <c r="M810" s="13" t="str">
        <v>Yes</v>
      </c>
      <c r="N810" s="22"/>
      <c r="Q810" s="40"/>
      <c r="R810" s="13" t="b">
        <f aca="false">FALSE()</f>
        <v>0</v>
      </c>
      <c r="S810" s="13" t="n">
        <v>0</v>
      </c>
      <c r="T810" s="13" t="n">
        <f aca="false">S810*F810</f>
        <v>0</v>
      </c>
      <c r="U810" s="13" t="n">
        <v>0</v>
      </c>
      <c r="V810" s="13" t="n">
        <v>0</v>
      </c>
    </row>
    <row r="811" customFormat="false" ht="15.75" hidden="false" customHeight="false" outlineLevel="0" collapsed="false">
      <c r="A811" s="13" t="n">
        <v>0</v>
      </c>
      <c r="B811" s="13" t="str">
        <v/>
      </c>
      <c r="C811" s="13" t="n">
        <v>0</v>
      </c>
      <c r="D811" s="13" t="n">
        <v>0</v>
      </c>
      <c r="E811" s="13" t="str">
        <v/>
      </c>
      <c r="F811" s="13" t="n">
        <v>0</v>
      </c>
      <c r="G811" s="13" t="n">
        <v>0</v>
      </c>
      <c r="H811" s="13" t="n">
        <v>0</v>
      </c>
      <c r="I811" s="13" t="n">
        <v>0</v>
      </c>
      <c r="J811" s="13" t="b">
        <f aca="false">IF(ISBLANK(I811),"", IF($I$2:$I1808 = "Gohar Rehan","Overnight",IF($I$2:$I1808 = "Taufeeq Akhtar ","Overnight",IF($I$2:$I1808 = "Zeeshan Ali Malik","Audit",IF($I$2:$I1808 = "Ali Raza ","Receiving",IF($I$2:$I1808 = "Ali Ahmad","Full-In"))))))</f>
        <v>0</v>
      </c>
      <c r="K811" s="39" t="e">
        <f aca="false">IFERROR(VLOOKUP(D811,'Brand manager data '!A:B,2,0))</f>
        <v>#VALUE!</v>
      </c>
      <c r="L811" s="13" t="n">
        <v>0</v>
      </c>
      <c r="M811" s="13" t="str">
        <v>Yes</v>
      </c>
      <c r="N811" s="22"/>
      <c r="Q811" s="40"/>
      <c r="R811" s="13" t="b">
        <f aca="false">FALSE()</f>
        <v>0</v>
      </c>
      <c r="S811" s="13" t="n">
        <v>0</v>
      </c>
      <c r="T811" s="13" t="n">
        <f aca="false">S811*F811</f>
        <v>0</v>
      </c>
      <c r="U811" s="13" t="n">
        <v>0</v>
      </c>
      <c r="V811" s="13" t="n">
        <v>0</v>
      </c>
    </row>
    <row r="812" customFormat="false" ht="15.75" hidden="false" customHeight="false" outlineLevel="0" collapsed="false">
      <c r="A812" s="13" t="n">
        <v>0</v>
      </c>
      <c r="B812" s="13" t="str">
        <v/>
      </c>
      <c r="C812" s="13" t="n">
        <v>0</v>
      </c>
      <c r="D812" s="13" t="n">
        <v>0</v>
      </c>
      <c r="E812" s="13" t="str">
        <v/>
      </c>
      <c r="F812" s="13" t="n">
        <v>0</v>
      </c>
      <c r="G812" s="13" t="n">
        <v>0</v>
      </c>
      <c r="H812" s="13" t="n">
        <v>0</v>
      </c>
      <c r="I812" s="13" t="n">
        <v>0</v>
      </c>
      <c r="J812" s="13" t="b">
        <f aca="false">IF(ISBLANK(I812),"", IF($I$2:$I1809 = "Gohar Rehan","Overnight",IF($I$2:$I1809 = "Taufeeq Akhtar ","Overnight",IF($I$2:$I1809 = "Zeeshan Ali Malik","Audit",IF($I$2:$I1809 = "Ali Raza ","Receiving",IF($I$2:$I1809 = "Ali Ahmad","Full-In"))))))</f>
        <v>0</v>
      </c>
      <c r="K812" s="39" t="e">
        <f aca="false">IFERROR(VLOOKUP(D812,'Brand manager data '!A:B,2,0))</f>
        <v>#VALUE!</v>
      </c>
      <c r="L812" s="13" t="n">
        <v>0</v>
      </c>
      <c r="M812" s="13" t="str">
        <v>Yes</v>
      </c>
      <c r="N812" s="22"/>
      <c r="Q812" s="40"/>
      <c r="R812" s="13" t="b">
        <f aca="false">FALSE()</f>
        <v>0</v>
      </c>
      <c r="S812" s="13" t="n">
        <v>0</v>
      </c>
      <c r="T812" s="13" t="n">
        <f aca="false">S812*F812</f>
        <v>0</v>
      </c>
      <c r="U812" s="13" t="n">
        <v>0</v>
      </c>
      <c r="V812" s="13" t="n">
        <v>0</v>
      </c>
    </row>
    <row r="813" customFormat="false" ht="15.75" hidden="false" customHeight="false" outlineLevel="0" collapsed="false">
      <c r="A813" s="13" t="n">
        <v>0</v>
      </c>
      <c r="B813" s="13" t="str">
        <v/>
      </c>
      <c r="C813" s="13" t="n">
        <v>0</v>
      </c>
      <c r="D813" s="13" t="n">
        <v>0</v>
      </c>
      <c r="E813" s="13" t="str">
        <v/>
      </c>
      <c r="F813" s="13" t="n">
        <v>0</v>
      </c>
      <c r="G813" s="13" t="n">
        <v>0</v>
      </c>
      <c r="H813" s="13" t="n">
        <v>0</v>
      </c>
      <c r="I813" s="13" t="n">
        <v>0</v>
      </c>
      <c r="J813" s="13" t="b">
        <f aca="false">IF(ISBLANK(I813),"", IF($I$2:$I1810 = "Gohar Rehan","Overnight",IF($I$2:$I1810 = "Taufeeq Akhtar ","Overnight",IF($I$2:$I1810 = "Zeeshan Ali Malik","Audit",IF($I$2:$I1810 = "Ali Raza ","Receiving",IF($I$2:$I1810 = "Ali Ahmad","Full-In"))))))</f>
        <v>0</v>
      </c>
      <c r="K813" s="39" t="e">
        <f aca="false">IFERROR(VLOOKUP(D813,'Brand manager data '!A:B,2,0))</f>
        <v>#VALUE!</v>
      </c>
      <c r="L813" s="13" t="n">
        <v>0</v>
      </c>
      <c r="M813" s="13" t="str">
        <v>Yes</v>
      </c>
      <c r="N813" s="22"/>
      <c r="Q813" s="40"/>
      <c r="R813" s="13" t="b">
        <f aca="false">FALSE()</f>
        <v>0</v>
      </c>
      <c r="S813" s="13" t="n">
        <v>0</v>
      </c>
      <c r="T813" s="13" t="n">
        <f aca="false">S813*F813</f>
        <v>0</v>
      </c>
      <c r="U813" s="13" t="n">
        <v>0</v>
      </c>
      <c r="V813" s="13" t="n">
        <v>0</v>
      </c>
    </row>
    <row r="814" customFormat="false" ht="15.75" hidden="false" customHeight="false" outlineLevel="0" collapsed="false">
      <c r="A814" s="13" t="n">
        <v>0</v>
      </c>
      <c r="B814" s="13" t="str">
        <v/>
      </c>
      <c r="C814" s="13" t="n">
        <v>0</v>
      </c>
      <c r="D814" s="13" t="n">
        <v>0</v>
      </c>
      <c r="E814" s="13" t="str">
        <v/>
      </c>
      <c r="F814" s="13" t="n">
        <v>0</v>
      </c>
      <c r="G814" s="13" t="n">
        <v>0</v>
      </c>
      <c r="H814" s="13" t="n">
        <v>0</v>
      </c>
      <c r="I814" s="13" t="n">
        <v>0</v>
      </c>
      <c r="J814" s="13" t="b">
        <f aca="false">IF(ISBLANK(I814),"", IF($I$2:$I1811 = "Gohar Rehan","Overnight",IF($I$2:$I1811 = "Taufeeq Akhtar ","Overnight",IF($I$2:$I1811 = "Zeeshan Ali Malik","Audit",IF($I$2:$I1811 = "Ali Raza ","Receiving",IF($I$2:$I1811 = "Ali Ahmad","Full-In"))))))</f>
        <v>0</v>
      </c>
      <c r="K814" s="39" t="e">
        <f aca="false">IFERROR(VLOOKUP(D814,'Brand manager data '!A:B,2,0))</f>
        <v>#VALUE!</v>
      </c>
      <c r="L814" s="13" t="n">
        <v>0</v>
      </c>
      <c r="M814" s="13" t="str">
        <v>Yes</v>
      </c>
      <c r="N814" s="22"/>
      <c r="Q814" s="40"/>
      <c r="R814" s="13" t="b">
        <f aca="false">FALSE()</f>
        <v>0</v>
      </c>
      <c r="S814" s="13" t="n">
        <v>0</v>
      </c>
      <c r="T814" s="13" t="n">
        <f aca="false">S814*F814</f>
        <v>0</v>
      </c>
      <c r="U814" s="13" t="n">
        <v>0</v>
      </c>
      <c r="V814" s="13" t="n">
        <v>0</v>
      </c>
    </row>
    <row r="815" customFormat="false" ht="15.75" hidden="false" customHeight="false" outlineLevel="0" collapsed="false">
      <c r="A815" s="13" t="n">
        <v>0</v>
      </c>
      <c r="B815" s="13" t="str">
        <v/>
      </c>
      <c r="C815" s="13" t="n">
        <v>0</v>
      </c>
      <c r="D815" s="13" t="n">
        <v>0</v>
      </c>
      <c r="E815" s="13" t="str">
        <v/>
      </c>
      <c r="F815" s="13" t="n">
        <v>0</v>
      </c>
      <c r="G815" s="13" t="n">
        <v>0</v>
      </c>
      <c r="H815" s="13" t="n">
        <v>0</v>
      </c>
      <c r="I815" s="13" t="n">
        <v>0</v>
      </c>
      <c r="J815" s="13" t="b">
        <f aca="false">IF(ISBLANK(I815),"", IF($I$2:$I1812 = "Gohar Rehan","Overnight",IF($I$2:$I1812 = "Taufeeq Akhtar ","Overnight",IF($I$2:$I1812 = "Zeeshan Ali Malik","Audit",IF($I$2:$I1812 = "Ali Raza ","Receiving",IF($I$2:$I1812 = "Ali Ahmad","Full-In"))))))</f>
        <v>0</v>
      </c>
      <c r="K815" s="39" t="e">
        <f aca="false">IFERROR(VLOOKUP(D815,'Brand manager data '!A:B,2,0))</f>
        <v>#VALUE!</v>
      </c>
      <c r="L815" s="13" t="n">
        <v>0</v>
      </c>
      <c r="M815" s="13" t="str">
        <v>Yes</v>
      </c>
      <c r="N815" s="22"/>
      <c r="Q815" s="40"/>
      <c r="R815" s="13" t="b">
        <f aca="false">FALSE()</f>
        <v>0</v>
      </c>
      <c r="S815" s="13" t="n">
        <v>0</v>
      </c>
      <c r="T815" s="13" t="n">
        <f aca="false">S815*F815</f>
        <v>0</v>
      </c>
      <c r="U815" s="13" t="n">
        <v>0</v>
      </c>
      <c r="V815" s="13" t="n">
        <v>0</v>
      </c>
    </row>
    <row r="816" customFormat="false" ht="15.75" hidden="false" customHeight="false" outlineLevel="0" collapsed="false">
      <c r="A816" s="13" t="n">
        <v>0</v>
      </c>
      <c r="B816" s="13" t="str">
        <v/>
      </c>
      <c r="C816" s="13" t="n">
        <v>0</v>
      </c>
      <c r="D816" s="13" t="n">
        <v>0</v>
      </c>
      <c r="E816" s="13" t="str">
        <v/>
      </c>
      <c r="F816" s="13" t="n">
        <v>0</v>
      </c>
      <c r="G816" s="13" t="n">
        <v>0</v>
      </c>
      <c r="H816" s="13" t="n">
        <v>0</v>
      </c>
      <c r="I816" s="13" t="n">
        <v>0</v>
      </c>
      <c r="J816" s="13" t="b">
        <f aca="false">IF(ISBLANK(I816),"", IF($I$2:$I1813 = "Gohar Rehan","Overnight",IF($I$2:$I1813 = "Taufeeq Akhtar ","Overnight",IF($I$2:$I1813 = "Zeeshan Ali Malik","Audit",IF($I$2:$I1813 = "Ali Raza ","Receiving",IF($I$2:$I1813 = "Ali Ahmad","Full-In"))))))</f>
        <v>0</v>
      </c>
      <c r="K816" s="39" t="e">
        <f aca="false">IFERROR(VLOOKUP(D816,'Brand manager data '!A:B,2,0))</f>
        <v>#VALUE!</v>
      </c>
      <c r="L816" s="13" t="n">
        <v>0</v>
      </c>
      <c r="M816" s="13" t="str">
        <v>Yes</v>
      </c>
      <c r="N816" s="22"/>
      <c r="Q816" s="40"/>
      <c r="R816" s="13" t="b">
        <f aca="false">FALSE()</f>
        <v>0</v>
      </c>
      <c r="S816" s="13" t="n">
        <v>0</v>
      </c>
      <c r="T816" s="13" t="n">
        <f aca="false">S816*F816</f>
        <v>0</v>
      </c>
      <c r="U816" s="13" t="n">
        <v>0</v>
      </c>
      <c r="V816" s="13" t="n">
        <v>0</v>
      </c>
    </row>
    <row r="817" customFormat="false" ht="15.75" hidden="false" customHeight="false" outlineLevel="0" collapsed="false">
      <c r="A817" s="13" t="n">
        <v>0</v>
      </c>
      <c r="B817" s="13" t="str">
        <v/>
      </c>
      <c r="C817" s="13" t="n">
        <v>0</v>
      </c>
      <c r="D817" s="13" t="n">
        <v>0</v>
      </c>
      <c r="E817" s="13" t="str">
        <v/>
      </c>
      <c r="F817" s="13" t="n">
        <v>0</v>
      </c>
      <c r="G817" s="13" t="n">
        <v>0</v>
      </c>
      <c r="H817" s="13" t="n">
        <v>0</v>
      </c>
      <c r="I817" s="13" t="n">
        <v>0</v>
      </c>
      <c r="J817" s="13" t="b">
        <f aca="false">IF(ISBLANK(I817),"", IF($I$2:$I1814 = "Gohar Rehan","Overnight",IF($I$2:$I1814 = "Taufeeq Akhtar ","Overnight",IF($I$2:$I1814 = "Zeeshan Ali Malik","Audit",IF($I$2:$I1814 = "Ali Raza ","Receiving",IF($I$2:$I1814 = "Ali Ahmad","Full-In"))))))</f>
        <v>0</v>
      </c>
      <c r="K817" s="39" t="e">
        <f aca="false">IFERROR(VLOOKUP(D817,'Brand manager data '!A:B,2,0))</f>
        <v>#VALUE!</v>
      </c>
      <c r="L817" s="13" t="n">
        <v>0</v>
      </c>
      <c r="M817" s="13" t="str">
        <v>Yes</v>
      </c>
      <c r="N817" s="22"/>
      <c r="Q817" s="40"/>
      <c r="R817" s="13" t="b">
        <f aca="false">FALSE()</f>
        <v>0</v>
      </c>
      <c r="S817" s="13" t="n">
        <v>0</v>
      </c>
      <c r="T817" s="13" t="n">
        <f aca="false">S817*F817</f>
        <v>0</v>
      </c>
      <c r="U817" s="13" t="n">
        <v>0</v>
      </c>
      <c r="V817" s="13" t="n">
        <v>0</v>
      </c>
    </row>
    <row r="818" customFormat="false" ht="15.75" hidden="false" customHeight="false" outlineLevel="0" collapsed="false">
      <c r="A818" s="13" t="n">
        <v>0</v>
      </c>
      <c r="B818" s="13" t="str">
        <v/>
      </c>
      <c r="C818" s="13" t="n">
        <v>0</v>
      </c>
      <c r="D818" s="13" t="n">
        <v>0</v>
      </c>
      <c r="E818" s="13" t="str">
        <v/>
      </c>
      <c r="F818" s="13" t="n">
        <v>0</v>
      </c>
      <c r="G818" s="13" t="n">
        <v>0</v>
      </c>
      <c r="H818" s="13" t="n">
        <v>0</v>
      </c>
      <c r="I818" s="13" t="n">
        <v>0</v>
      </c>
      <c r="J818" s="13" t="b">
        <f aca="false">IF(ISBLANK(I818),"", IF($I$2:$I1815 = "Gohar Rehan","Overnight",IF($I$2:$I1815 = "Taufeeq Akhtar ","Overnight",IF($I$2:$I1815 = "Zeeshan Ali Malik","Audit",IF($I$2:$I1815 = "Ali Raza ","Receiving",IF($I$2:$I1815 = "Ali Ahmad","Full-In"))))))</f>
        <v>0</v>
      </c>
      <c r="K818" s="39" t="e">
        <f aca="false">IFERROR(VLOOKUP(D818,'Brand manager data '!A:B,2,0))</f>
        <v>#VALUE!</v>
      </c>
      <c r="L818" s="13" t="n">
        <v>0</v>
      </c>
      <c r="M818" s="13" t="str">
        <v>Yes</v>
      </c>
      <c r="N818" s="22"/>
      <c r="Q818" s="40"/>
      <c r="R818" s="13" t="b">
        <f aca="false">FALSE()</f>
        <v>0</v>
      </c>
      <c r="S818" s="13" t="n">
        <v>0</v>
      </c>
      <c r="T818" s="13" t="n">
        <f aca="false">S818*F818</f>
        <v>0</v>
      </c>
      <c r="U818" s="13" t="n">
        <v>0</v>
      </c>
      <c r="V818" s="13" t="n">
        <v>0</v>
      </c>
    </row>
    <row r="819" customFormat="false" ht="15.75" hidden="false" customHeight="false" outlineLevel="0" collapsed="false">
      <c r="A819" s="13" t="n">
        <v>0</v>
      </c>
      <c r="B819" s="13" t="str">
        <v/>
      </c>
      <c r="C819" s="13" t="n">
        <v>0</v>
      </c>
      <c r="D819" s="13" t="n">
        <v>0</v>
      </c>
      <c r="E819" s="13" t="str">
        <v/>
      </c>
      <c r="F819" s="13" t="n">
        <v>0</v>
      </c>
      <c r="G819" s="13" t="n">
        <v>0</v>
      </c>
      <c r="H819" s="13" t="n">
        <v>0</v>
      </c>
      <c r="I819" s="13" t="n">
        <v>0</v>
      </c>
      <c r="J819" s="13" t="b">
        <f aca="false">IF(ISBLANK(I819),"", IF($I$2:$I1816 = "Gohar Rehan","Overnight",IF($I$2:$I1816 = "Taufeeq Akhtar ","Overnight",IF($I$2:$I1816 = "Zeeshan Ali Malik","Audit",IF($I$2:$I1816 = "Ali Raza ","Receiving",IF($I$2:$I1816 = "Ali Ahmad","Full-In"))))))</f>
        <v>0</v>
      </c>
      <c r="K819" s="39" t="e">
        <f aca="false">IFERROR(VLOOKUP(D819,'Brand manager data '!A:B,2,0))</f>
        <v>#VALUE!</v>
      </c>
      <c r="L819" s="13" t="n">
        <v>0</v>
      </c>
      <c r="M819" s="13" t="str">
        <v>Yes</v>
      </c>
      <c r="N819" s="22"/>
      <c r="Q819" s="40"/>
      <c r="R819" s="13" t="b">
        <f aca="false">FALSE()</f>
        <v>0</v>
      </c>
      <c r="S819" s="13" t="n">
        <v>0</v>
      </c>
      <c r="T819" s="13" t="n">
        <f aca="false">S819*F819</f>
        <v>0</v>
      </c>
      <c r="U819" s="13" t="n">
        <v>0</v>
      </c>
      <c r="V819" s="13" t="n">
        <v>0</v>
      </c>
    </row>
    <row r="820" customFormat="false" ht="15.75" hidden="false" customHeight="false" outlineLevel="0" collapsed="false">
      <c r="A820" s="13" t="n">
        <v>0</v>
      </c>
      <c r="B820" s="13" t="str">
        <v/>
      </c>
      <c r="C820" s="13" t="n">
        <v>0</v>
      </c>
      <c r="D820" s="13" t="n">
        <v>0</v>
      </c>
      <c r="E820" s="13" t="str">
        <v/>
      </c>
      <c r="F820" s="13" t="n">
        <v>0</v>
      </c>
      <c r="G820" s="13" t="n">
        <v>0</v>
      </c>
      <c r="H820" s="13" t="n">
        <v>0</v>
      </c>
      <c r="I820" s="13" t="n">
        <v>0</v>
      </c>
      <c r="J820" s="13" t="b">
        <f aca="false">IF(ISBLANK(I820),"", IF($I$2:$I1817 = "Gohar Rehan","Overnight",IF($I$2:$I1817 = "Taufeeq Akhtar ","Overnight",IF($I$2:$I1817 = "Zeeshan Ali Malik","Audit",IF($I$2:$I1817 = "Ali Raza ","Receiving",IF($I$2:$I1817 = "Ali Ahmad","Full-In"))))))</f>
        <v>0</v>
      </c>
      <c r="K820" s="39" t="e">
        <f aca="false">IFERROR(VLOOKUP(D820,'Brand manager data '!A:B,2,0))</f>
        <v>#VALUE!</v>
      </c>
      <c r="L820" s="13" t="n">
        <v>0</v>
      </c>
      <c r="M820" s="13" t="str">
        <v>Yes</v>
      </c>
      <c r="N820" s="22"/>
      <c r="Q820" s="40"/>
      <c r="R820" s="13" t="b">
        <f aca="false">FALSE()</f>
        <v>0</v>
      </c>
      <c r="S820" s="13" t="n">
        <v>0</v>
      </c>
      <c r="T820" s="13" t="n">
        <f aca="false">S820*F820</f>
        <v>0</v>
      </c>
      <c r="U820" s="13" t="n">
        <v>0</v>
      </c>
      <c r="V820" s="13" t="n">
        <v>0</v>
      </c>
    </row>
    <row r="821" customFormat="false" ht="15.75" hidden="false" customHeight="false" outlineLevel="0" collapsed="false">
      <c r="A821" s="13" t="n">
        <v>0</v>
      </c>
      <c r="B821" s="13" t="str">
        <v/>
      </c>
      <c r="C821" s="13" t="n">
        <v>0</v>
      </c>
      <c r="D821" s="13" t="n">
        <v>0</v>
      </c>
      <c r="E821" s="13" t="str">
        <v/>
      </c>
      <c r="F821" s="13" t="n">
        <v>0</v>
      </c>
      <c r="G821" s="13" t="n">
        <v>0</v>
      </c>
      <c r="H821" s="13" t="n">
        <v>0</v>
      </c>
      <c r="I821" s="13" t="n">
        <v>0</v>
      </c>
      <c r="J821" s="13" t="b">
        <f aca="false">IF(ISBLANK(I821),"", IF($I$2:$I1818 = "Gohar Rehan","Overnight",IF($I$2:$I1818 = "Taufeeq Akhtar ","Overnight",IF($I$2:$I1818 = "Zeeshan Ali Malik","Audit",IF($I$2:$I1818 = "Ali Raza ","Receiving",IF($I$2:$I1818 = "Ali Ahmad","Full-In"))))))</f>
        <v>0</v>
      </c>
      <c r="K821" s="39" t="e">
        <f aca="false">IFERROR(VLOOKUP(D821,'Brand manager data '!A:B,2,0))</f>
        <v>#VALUE!</v>
      </c>
      <c r="L821" s="13" t="n">
        <v>0</v>
      </c>
      <c r="M821" s="13" t="str">
        <v>Yes</v>
      </c>
      <c r="N821" s="22"/>
      <c r="Q821" s="40"/>
      <c r="R821" s="13" t="b">
        <f aca="false">FALSE()</f>
        <v>0</v>
      </c>
      <c r="S821" s="13" t="n">
        <v>0</v>
      </c>
      <c r="T821" s="13" t="n">
        <f aca="false">S821*F821</f>
        <v>0</v>
      </c>
      <c r="U821" s="13" t="n">
        <v>0</v>
      </c>
      <c r="V821" s="13" t="n">
        <v>0</v>
      </c>
    </row>
    <row r="822" customFormat="false" ht="15.75" hidden="false" customHeight="false" outlineLevel="0" collapsed="false">
      <c r="A822" s="13" t="n">
        <v>0</v>
      </c>
      <c r="B822" s="13" t="str">
        <v/>
      </c>
      <c r="C822" s="13" t="n">
        <v>0</v>
      </c>
      <c r="D822" s="13" t="n">
        <v>0</v>
      </c>
      <c r="E822" s="13" t="str">
        <v/>
      </c>
      <c r="F822" s="13" t="n">
        <v>0</v>
      </c>
      <c r="G822" s="13" t="n">
        <v>0</v>
      </c>
      <c r="H822" s="13" t="n">
        <v>0</v>
      </c>
      <c r="I822" s="13" t="n">
        <v>0</v>
      </c>
      <c r="J822" s="13" t="b">
        <f aca="false">IF(ISBLANK(I822),"", IF($I$2:$I1819 = "Gohar Rehan","Overnight",IF($I$2:$I1819 = "Taufeeq Akhtar ","Overnight",IF($I$2:$I1819 = "Zeeshan Ali Malik","Audit",IF($I$2:$I1819 = "Ali Raza ","Receiving",IF($I$2:$I1819 = "Ali Ahmad","Full-In"))))))</f>
        <v>0</v>
      </c>
      <c r="K822" s="39" t="e">
        <f aca="false">IFERROR(VLOOKUP(D822,'Brand manager data '!A:B,2,0))</f>
        <v>#VALUE!</v>
      </c>
      <c r="L822" s="13" t="n">
        <v>0</v>
      </c>
      <c r="M822" s="13" t="str">
        <v>Yes</v>
      </c>
      <c r="N822" s="22"/>
      <c r="Q822" s="40"/>
      <c r="R822" s="13" t="b">
        <f aca="false">FALSE()</f>
        <v>0</v>
      </c>
      <c r="S822" s="13" t="n">
        <v>0</v>
      </c>
      <c r="T822" s="13" t="n">
        <f aca="false">S822*F822</f>
        <v>0</v>
      </c>
      <c r="U822" s="13" t="n">
        <v>0</v>
      </c>
      <c r="V822" s="13" t="n">
        <v>0</v>
      </c>
    </row>
    <row r="823" customFormat="false" ht="15.75" hidden="false" customHeight="false" outlineLevel="0" collapsed="false">
      <c r="A823" s="13" t="n">
        <v>0</v>
      </c>
      <c r="B823" s="13" t="str">
        <v/>
      </c>
      <c r="C823" s="13" t="n">
        <v>0</v>
      </c>
      <c r="D823" s="13" t="n">
        <v>0</v>
      </c>
      <c r="E823" s="13" t="str">
        <v/>
      </c>
      <c r="F823" s="13" t="n">
        <v>0</v>
      </c>
      <c r="G823" s="13" t="n">
        <v>0</v>
      </c>
      <c r="H823" s="13" t="n">
        <v>0</v>
      </c>
      <c r="I823" s="13" t="n">
        <v>0</v>
      </c>
      <c r="J823" s="13" t="b">
        <f aca="false">IF(ISBLANK(I823),"", IF($I$2:$I1820 = "Gohar Rehan","Overnight",IF($I$2:$I1820 = "Taufeeq Akhtar ","Overnight",IF($I$2:$I1820 = "Zeeshan Ali Malik","Audit",IF($I$2:$I1820 = "Ali Raza ","Receiving",IF($I$2:$I1820 = "Ali Ahmad","Full-In"))))))</f>
        <v>0</v>
      </c>
      <c r="K823" s="39" t="e">
        <f aca="false">IFERROR(VLOOKUP(D823,'Brand manager data '!A:B,2,0))</f>
        <v>#VALUE!</v>
      </c>
      <c r="L823" s="13" t="n">
        <v>0</v>
      </c>
      <c r="M823" s="13" t="str">
        <v>Yes</v>
      </c>
      <c r="N823" s="22"/>
      <c r="Q823" s="40"/>
      <c r="R823" s="13" t="b">
        <f aca="false">FALSE()</f>
        <v>0</v>
      </c>
      <c r="S823" s="13" t="n">
        <v>0</v>
      </c>
      <c r="T823" s="13" t="n">
        <f aca="false">S823*F823</f>
        <v>0</v>
      </c>
      <c r="U823" s="13" t="n">
        <v>0</v>
      </c>
      <c r="V823" s="13" t="n">
        <v>0</v>
      </c>
    </row>
    <row r="824" customFormat="false" ht="15.75" hidden="false" customHeight="false" outlineLevel="0" collapsed="false">
      <c r="A824" s="13" t="n">
        <v>0</v>
      </c>
      <c r="B824" s="13" t="str">
        <v/>
      </c>
      <c r="C824" s="13" t="n">
        <v>0</v>
      </c>
      <c r="D824" s="13" t="n">
        <v>0</v>
      </c>
      <c r="E824" s="13" t="str">
        <v/>
      </c>
      <c r="F824" s="13" t="n">
        <v>0</v>
      </c>
      <c r="G824" s="13" t="n">
        <v>0</v>
      </c>
      <c r="H824" s="13" t="n">
        <v>0</v>
      </c>
      <c r="I824" s="13" t="n">
        <v>0</v>
      </c>
      <c r="J824" s="13" t="b">
        <f aca="false">IF(ISBLANK(I824),"", IF($I$2:$I1821 = "Gohar Rehan","Overnight",IF($I$2:$I1821 = "Taufeeq Akhtar ","Overnight",IF($I$2:$I1821 = "Zeeshan Ali Malik","Audit",IF($I$2:$I1821 = "Ali Raza ","Receiving",IF($I$2:$I1821 = "Ali Ahmad","Full-In"))))))</f>
        <v>0</v>
      </c>
      <c r="K824" s="39" t="e">
        <f aca="false">IFERROR(VLOOKUP(D824,'Brand manager data '!A:B,2,0))</f>
        <v>#VALUE!</v>
      </c>
      <c r="L824" s="13" t="n">
        <v>0</v>
      </c>
      <c r="M824" s="13" t="str">
        <v>Yes</v>
      </c>
      <c r="N824" s="22"/>
      <c r="Q824" s="40"/>
      <c r="R824" s="13" t="b">
        <f aca="false">FALSE()</f>
        <v>0</v>
      </c>
      <c r="S824" s="13" t="n">
        <v>0</v>
      </c>
      <c r="T824" s="13" t="n">
        <f aca="false">S824*F824</f>
        <v>0</v>
      </c>
      <c r="U824" s="13" t="n">
        <v>0</v>
      </c>
      <c r="V824" s="13" t="n">
        <v>0</v>
      </c>
    </row>
    <row r="825" customFormat="false" ht="15.75" hidden="false" customHeight="false" outlineLevel="0" collapsed="false">
      <c r="A825" s="13" t="n">
        <v>0</v>
      </c>
      <c r="B825" s="13" t="str">
        <v/>
      </c>
      <c r="C825" s="13" t="n">
        <v>0</v>
      </c>
      <c r="D825" s="13" t="n">
        <v>0</v>
      </c>
      <c r="E825" s="13" t="str">
        <v/>
      </c>
      <c r="F825" s="13" t="n">
        <v>0</v>
      </c>
      <c r="G825" s="13" t="n">
        <v>0</v>
      </c>
      <c r="H825" s="13" t="n">
        <v>0</v>
      </c>
      <c r="I825" s="13" t="n">
        <v>0</v>
      </c>
      <c r="J825" s="13" t="b">
        <f aca="false">IF(ISBLANK(I825),"", IF($I$2:$I1822 = "Gohar Rehan","Overnight",IF($I$2:$I1822 = "Taufeeq Akhtar ","Overnight",IF($I$2:$I1822 = "Zeeshan Ali Malik","Audit",IF($I$2:$I1822 = "Ali Raza ","Receiving",IF($I$2:$I1822 = "Ali Ahmad","Full-In"))))))</f>
        <v>0</v>
      </c>
      <c r="K825" s="39" t="e">
        <f aca="false">IFERROR(VLOOKUP(D825,'Brand manager data '!A:B,2,0))</f>
        <v>#VALUE!</v>
      </c>
      <c r="L825" s="13" t="n">
        <v>0</v>
      </c>
      <c r="M825" s="13" t="str">
        <v>Yes</v>
      </c>
      <c r="N825" s="22"/>
      <c r="Q825" s="40"/>
      <c r="R825" s="13" t="b">
        <f aca="false">FALSE()</f>
        <v>0</v>
      </c>
      <c r="S825" s="13" t="n">
        <v>0</v>
      </c>
      <c r="T825" s="13" t="n">
        <f aca="false">S825*F825</f>
        <v>0</v>
      </c>
      <c r="U825" s="13" t="n">
        <v>0</v>
      </c>
      <c r="V825" s="13" t="n">
        <v>0</v>
      </c>
    </row>
    <row r="826" customFormat="false" ht="15.75" hidden="false" customHeight="false" outlineLevel="0" collapsed="false">
      <c r="A826" s="13" t="n">
        <v>0</v>
      </c>
      <c r="B826" s="13" t="str">
        <v/>
      </c>
      <c r="C826" s="13" t="n">
        <v>0</v>
      </c>
      <c r="D826" s="13" t="n">
        <v>0</v>
      </c>
      <c r="E826" s="13" t="str">
        <v/>
      </c>
      <c r="F826" s="13" t="n">
        <v>0</v>
      </c>
      <c r="G826" s="13" t="n">
        <v>0</v>
      </c>
      <c r="H826" s="13" t="n">
        <v>0</v>
      </c>
      <c r="I826" s="13" t="n">
        <v>0</v>
      </c>
      <c r="J826" s="13" t="b">
        <f aca="false">IF(ISBLANK(I826),"", IF($I$2:$I1823 = "Gohar Rehan","Overnight",IF($I$2:$I1823 = "Taufeeq Akhtar ","Overnight",IF($I$2:$I1823 = "Zeeshan Ali Malik","Audit",IF($I$2:$I1823 = "Ali Raza ","Receiving",IF($I$2:$I1823 = "Ali Ahmad","Full-In"))))))</f>
        <v>0</v>
      </c>
      <c r="K826" s="39" t="e">
        <f aca="false">IFERROR(VLOOKUP(D826,'Brand manager data '!A:B,2,0))</f>
        <v>#VALUE!</v>
      </c>
      <c r="L826" s="13" t="n">
        <v>0</v>
      </c>
      <c r="M826" s="13" t="str">
        <v>Yes</v>
      </c>
      <c r="N826" s="22"/>
      <c r="Q826" s="40"/>
      <c r="R826" s="13" t="b">
        <f aca="false">FALSE()</f>
        <v>0</v>
      </c>
      <c r="S826" s="13" t="n">
        <v>0</v>
      </c>
      <c r="T826" s="13" t="n">
        <f aca="false">S826*F826</f>
        <v>0</v>
      </c>
      <c r="U826" s="13" t="n">
        <v>0</v>
      </c>
      <c r="V826" s="13" t="n">
        <v>0</v>
      </c>
    </row>
    <row r="827" customFormat="false" ht="15.75" hidden="false" customHeight="false" outlineLevel="0" collapsed="false">
      <c r="A827" s="13" t="n">
        <v>0</v>
      </c>
      <c r="B827" s="13" t="str">
        <v/>
      </c>
      <c r="C827" s="13" t="n">
        <v>0</v>
      </c>
      <c r="D827" s="13" t="n">
        <v>0</v>
      </c>
      <c r="E827" s="13" t="str">
        <v/>
      </c>
      <c r="F827" s="13" t="n">
        <v>0</v>
      </c>
      <c r="G827" s="13" t="n">
        <v>0</v>
      </c>
      <c r="H827" s="13" t="n">
        <v>0</v>
      </c>
      <c r="I827" s="13" t="n">
        <v>0</v>
      </c>
      <c r="J827" s="13" t="b">
        <f aca="false">IF(ISBLANK(I827),"", IF($I$2:$I1824 = "Gohar Rehan","Overnight",IF($I$2:$I1824 = "Taufeeq Akhtar ","Overnight",IF($I$2:$I1824 = "Zeeshan Ali Malik","Audit",IF($I$2:$I1824 = "Ali Raza ","Receiving",IF($I$2:$I1824 = "Ali Ahmad","Full-In"))))))</f>
        <v>0</v>
      </c>
      <c r="K827" s="39" t="e">
        <f aca="false">IFERROR(VLOOKUP(D827,'Brand manager data '!A:B,2,0))</f>
        <v>#VALUE!</v>
      </c>
      <c r="L827" s="13" t="n">
        <v>0</v>
      </c>
      <c r="M827" s="13" t="str">
        <v>Yes</v>
      </c>
      <c r="N827" s="22"/>
      <c r="Q827" s="40"/>
      <c r="R827" s="13" t="b">
        <f aca="false">FALSE()</f>
        <v>0</v>
      </c>
      <c r="S827" s="13" t="n">
        <v>0</v>
      </c>
      <c r="T827" s="13" t="n">
        <f aca="false">S827*F827</f>
        <v>0</v>
      </c>
      <c r="U827" s="13" t="n">
        <v>0</v>
      </c>
      <c r="V827" s="13" t="n">
        <v>0</v>
      </c>
    </row>
    <row r="828" customFormat="false" ht="15.75" hidden="false" customHeight="false" outlineLevel="0" collapsed="false">
      <c r="A828" s="13" t="n">
        <v>0</v>
      </c>
      <c r="B828" s="13" t="str">
        <v/>
      </c>
      <c r="C828" s="13" t="n">
        <v>0</v>
      </c>
      <c r="D828" s="13" t="n">
        <v>0</v>
      </c>
      <c r="E828" s="13" t="str">
        <v/>
      </c>
      <c r="F828" s="13" t="n">
        <v>0</v>
      </c>
      <c r="G828" s="13" t="n">
        <v>0</v>
      </c>
      <c r="H828" s="13" t="n">
        <v>0</v>
      </c>
      <c r="I828" s="13" t="n">
        <v>0</v>
      </c>
      <c r="J828" s="13" t="b">
        <f aca="false">IF(ISBLANK(I828),"", IF($I$2:$I1825 = "Gohar Rehan","Overnight",IF($I$2:$I1825 = "Taufeeq Akhtar ","Overnight",IF($I$2:$I1825 = "Zeeshan Ali Malik","Audit",IF($I$2:$I1825 = "Ali Raza ","Receiving",IF($I$2:$I1825 = "Ali Ahmad","Full-In"))))))</f>
        <v>0</v>
      </c>
      <c r="K828" s="39" t="e">
        <f aca="false">IFERROR(VLOOKUP(D828,'Brand manager data '!A:B,2,0))</f>
        <v>#VALUE!</v>
      </c>
      <c r="L828" s="13" t="n">
        <v>0</v>
      </c>
      <c r="M828" s="13" t="str">
        <v>Yes</v>
      </c>
      <c r="N828" s="22"/>
      <c r="Q828" s="40"/>
      <c r="R828" s="13" t="b">
        <f aca="false">FALSE()</f>
        <v>0</v>
      </c>
      <c r="S828" s="13" t="n">
        <v>0</v>
      </c>
      <c r="T828" s="13" t="n">
        <f aca="false">S828*F828</f>
        <v>0</v>
      </c>
      <c r="U828" s="13" t="n">
        <v>0</v>
      </c>
      <c r="V828" s="13" t="n">
        <v>0</v>
      </c>
    </row>
    <row r="829" customFormat="false" ht="15.75" hidden="false" customHeight="false" outlineLevel="0" collapsed="false">
      <c r="A829" s="13" t="n">
        <v>0</v>
      </c>
      <c r="B829" s="13" t="str">
        <v/>
      </c>
      <c r="C829" s="13" t="n">
        <v>0</v>
      </c>
      <c r="D829" s="13" t="n">
        <v>0</v>
      </c>
      <c r="E829" s="13" t="str">
        <v/>
      </c>
      <c r="F829" s="13" t="n">
        <v>0</v>
      </c>
      <c r="G829" s="13" t="n">
        <v>0</v>
      </c>
      <c r="H829" s="13" t="n">
        <v>0</v>
      </c>
      <c r="I829" s="13" t="n">
        <v>0</v>
      </c>
      <c r="J829" s="13" t="b">
        <f aca="false">IF(ISBLANK(I829),"", IF($I$2:$I1826 = "Gohar Rehan","Overnight",IF($I$2:$I1826 = "Taufeeq Akhtar ","Overnight",IF($I$2:$I1826 = "Zeeshan Ali Malik","Audit",IF($I$2:$I1826 = "Ali Raza ","Receiving",IF($I$2:$I1826 = "Ali Ahmad","Full-In"))))))</f>
        <v>0</v>
      </c>
      <c r="K829" s="39" t="e">
        <f aca="false">IFERROR(VLOOKUP(D829,'Brand manager data '!A:B,2,0))</f>
        <v>#VALUE!</v>
      </c>
      <c r="L829" s="13" t="n">
        <v>0</v>
      </c>
      <c r="M829" s="13" t="str">
        <v>Yes</v>
      </c>
      <c r="N829" s="22"/>
      <c r="Q829" s="40"/>
      <c r="R829" s="13" t="b">
        <f aca="false">FALSE()</f>
        <v>0</v>
      </c>
      <c r="S829" s="13" t="n">
        <v>0</v>
      </c>
      <c r="T829" s="13" t="n">
        <f aca="false">S829*F829</f>
        <v>0</v>
      </c>
      <c r="U829" s="13" t="n">
        <v>0</v>
      </c>
      <c r="V829" s="13" t="n">
        <v>0</v>
      </c>
    </row>
    <row r="830" customFormat="false" ht="15.75" hidden="false" customHeight="false" outlineLevel="0" collapsed="false">
      <c r="A830" s="13" t="n">
        <v>0</v>
      </c>
      <c r="B830" s="13" t="str">
        <v/>
      </c>
      <c r="C830" s="13" t="n">
        <v>0</v>
      </c>
      <c r="D830" s="13" t="n">
        <v>0</v>
      </c>
      <c r="E830" s="13" t="str">
        <v/>
      </c>
      <c r="F830" s="13" t="n">
        <v>0</v>
      </c>
      <c r="G830" s="13" t="n">
        <v>0</v>
      </c>
      <c r="H830" s="13" t="n">
        <v>0</v>
      </c>
      <c r="I830" s="13" t="n">
        <v>0</v>
      </c>
      <c r="J830" s="13" t="b">
        <f aca="false">IF(ISBLANK(I830),"", IF($I$2:$I1827 = "Gohar Rehan","Overnight",IF($I$2:$I1827 = "Taufeeq Akhtar ","Overnight",IF($I$2:$I1827 = "Zeeshan Ali Malik","Audit",IF($I$2:$I1827 = "Ali Raza ","Receiving",IF($I$2:$I1827 = "Ali Ahmad","Full-In"))))))</f>
        <v>0</v>
      </c>
      <c r="K830" s="39" t="e">
        <f aca="false">IFERROR(VLOOKUP(D830,'Brand manager data '!A:B,2,0))</f>
        <v>#VALUE!</v>
      </c>
      <c r="L830" s="13" t="n">
        <v>0</v>
      </c>
      <c r="M830" s="13" t="str">
        <v>Yes</v>
      </c>
      <c r="N830" s="22"/>
      <c r="Q830" s="40"/>
      <c r="R830" s="13" t="b">
        <f aca="false">FALSE()</f>
        <v>0</v>
      </c>
      <c r="S830" s="13" t="n">
        <v>0</v>
      </c>
      <c r="T830" s="13" t="n">
        <f aca="false">S830*F830</f>
        <v>0</v>
      </c>
      <c r="U830" s="13" t="n">
        <v>0</v>
      </c>
      <c r="V830" s="13" t="n">
        <v>0</v>
      </c>
    </row>
    <row r="831" customFormat="false" ht="15.75" hidden="false" customHeight="false" outlineLevel="0" collapsed="false">
      <c r="A831" s="13" t="n">
        <v>0</v>
      </c>
      <c r="B831" s="13" t="str">
        <v/>
      </c>
      <c r="C831" s="13" t="n">
        <v>0</v>
      </c>
      <c r="D831" s="13" t="n">
        <v>0</v>
      </c>
      <c r="E831" s="13" t="str">
        <v/>
      </c>
      <c r="F831" s="13" t="n">
        <v>0</v>
      </c>
      <c r="G831" s="13" t="n">
        <v>0</v>
      </c>
      <c r="H831" s="13" t="n">
        <v>0</v>
      </c>
      <c r="I831" s="13" t="n">
        <v>0</v>
      </c>
      <c r="J831" s="13" t="b">
        <f aca="false">IF(ISBLANK(I831),"", IF($I$2:$I1828 = "Gohar Rehan","Overnight",IF($I$2:$I1828 = "Taufeeq Akhtar ","Overnight",IF($I$2:$I1828 = "Zeeshan Ali Malik","Audit",IF($I$2:$I1828 = "Ali Raza ","Receiving",IF($I$2:$I1828 = "Ali Ahmad","Full-In"))))))</f>
        <v>0</v>
      </c>
      <c r="K831" s="39" t="e">
        <f aca="false">IFERROR(VLOOKUP(D831,'Brand manager data '!A:B,2,0))</f>
        <v>#VALUE!</v>
      </c>
      <c r="L831" s="13" t="n">
        <v>0</v>
      </c>
      <c r="M831" s="13" t="str">
        <v>Yes</v>
      </c>
      <c r="N831" s="22"/>
      <c r="Q831" s="40"/>
      <c r="R831" s="13" t="b">
        <f aca="false">FALSE()</f>
        <v>0</v>
      </c>
      <c r="S831" s="13" t="n">
        <v>0</v>
      </c>
      <c r="T831" s="13" t="n">
        <f aca="false">S831*F831</f>
        <v>0</v>
      </c>
      <c r="U831" s="13" t="n">
        <v>0</v>
      </c>
      <c r="V831" s="13" t="n">
        <v>0</v>
      </c>
    </row>
    <row r="832" customFormat="false" ht="15.75" hidden="false" customHeight="false" outlineLevel="0" collapsed="false">
      <c r="A832" s="13" t="n">
        <v>0</v>
      </c>
      <c r="B832" s="13" t="str">
        <v/>
      </c>
      <c r="C832" s="13" t="n">
        <v>0</v>
      </c>
      <c r="D832" s="13" t="n">
        <v>0</v>
      </c>
      <c r="E832" s="13" t="str">
        <v/>
      </c>
      <c r="F832" s="13" t="n">
        <v>0</v>
      </c>
      <c r="G832" s="13" t="n">
        <v>0</v>
      </c>
      <c r="H832" s="13" t="n">
        <v>0</v>
      </c>
      <c r="I832" s="13" t="n">
        <v>0</v>
      </c>
      <c r="J832" s="13" t="b">
        <f aca="false">IF(ISBLANK(I832),"", IF($I$2:$I1829 = "Gohar Rehan","Overnight",IF($I$2:$I1829 = "Taufeeq Akhtar ","Overnight",IF($I$2:$I1829 = "Zeeshan Ali Malik","Audit",IF($I$2:$I1829 = "Ali Raza ","Receiving",IF($I$2:$I1829 = "Ali Ahmad","Full-In"))))))</f>
        <v>0</v>
      </c>
      <c r="K832" s="39" t="e">
        <f aca="false">IFERROR(VLOOKUP(D832,'Brand manager data '!A:B,2,0))</f>
        <v>#VALUE!</v>
      </c>
      <c r="L832" s="13" t="n">
        <v>0</v>
      </c>
      <c r="M832" s="13" t="str">
        <v>Yes</v>
      </c>
      <c r="N832" s="22"/>
      <c r="Q832" s="40"/>
      <c r="R832" s="13" t="b">
        <f aca="false">FALSE()</f>
        <v>0</v>
      </c>
      <c r="S832" s="13" t="n">
        <v>0</v>
      </c>
      <c r="T832" s="13" t="n">
        <f aca="false">S832*F832</f>
        <v>0</v>
      </c>
      <c r="U832" s="13" t="n">
        <v>0</v>
      </c>
      <c r="V832" s="13" t="n">
        <v>0</v>
      </c>
    </row>
    <row r="833" customFormat="false" ht="15.75" hidden="false" customHeight="false" outlineLevel="0" collapsed="false">
      <c r="A833" s="13" t="n">
        <v>0</v>
      </c>
      <c r="B833" s="13" t="str">
        <v/>
      </c>
      <c r="C833" s="13" t="n">
        <v>0</v>
      </c>
      <c r="D833" s="13" t="n">
        <v>0</v>
      </c>
      <c r="E833" s="13" t="str">
        <v/>
      </c>
      <c r="F833" s="13" t="n">
        <v>0</v>
      </c>
      <c r="G833" s="13" t="n">
        <v>0</v>
      </c>
      <c r="H833" s="13" t="n">
        <v>0</v>
      </c>
      <c r="I833" s="13" t="n">
        <v>0</v>
      </c>
      <c r="J833" s="13" t="b">
        <f aca="false">IF(ISBLANK(I833),"", IF($I$2:$I1830 = "Gohar Rehan","Overnight",IF($I$2:$I1830 = "Taufeeq Akhtar ","Overnight",IF($I$2:$I1830 = "Zeeshan Ali Malik","Audit",IF($I$2:$I1830 = "Ali Raza ","Receiving",IF($I$2:$I1830 = "Ali Ahmad","Full-In"))))))</f>
        <v>0</v>
      </c>
      <c r="K833" s="39" t="e">
        <f aca="false">IFERROR(VLOOKUP(D833,'Brand manager data '!A:B,2,0))</f>
        <v>#VALUE!</v>
      </c>
      <c r="L833" s="13" t="n">
        <v>0</v>
      </c>
      <c r="M833" s="13" t="str">
        <v>Yes</v>
      </c>
      <c r="N833" s="22"/>
      <c r="Q833" s="40"/>
      <c r="R833" s="13" t="b">
        <f aca="false">FALSE()</f>
        <v>0</v>
      </c>
      <c r="S833" s="13" t="n">
        <v>0</v>
      </c>
      <c r="T833" s="13" t="n">
        <f aca="false">S833*F833</f>
        <v>0</v>
      </c>
      <c r="U833" s="13" t="n">
        <v>0</v>
      </c>
      <c r="V833" s="13" t="n">
        <v>0</v>
      </c>
    </row>
    <row r="834" customFormat="false" ht="15.75" hidden="false" customHeight="false" outlineLevel="0" collapsed="false">
      <c r="A834" s="13" t="n">
        <v>0</v>
      </c>
      <c r="B834" s="13" t="str">
        <v/>
      </c>
      <c r="C834" s="13" t="n">
        <v>0</v>
      </c>
      <c r="D834" s="13" t="n">
        <v>0</v>
      </c>
      <c r="E834" s="13" t="str">
        <v/>
      </c>
      <c r="F834" s="13" t="n">
        <v>0</v>
      </c>
      <c r="G834" s="13" t="n">
        <v>0</v>
      </c>
      <c r="H834" s="13" t="n">
        <v>0</v>
      </c>
      <c r="I834" s="13" t="n">
        <v>0</v>
      </c>
      <c r="J834" s="13" t="b">
        <f aca="false">IF(ISBLANK(I834),"", IF($I$2:$I1831 = "Gohar Rehan","Overnight",IF($I$2:$I1831 = "Taufeeq Akhtar ","Overnight",IF($I$2:$I1831 = "Zeeshan Ali Malik","Audit",IF($I$2:$I1831 = "Ali Raza ","Receiving",IF($I$2:$I1831 = "Ali Ahmad","Full-In"))))))</f>
        <v>0</v>
      </c>
      <c r="K834" s="39" t="e">
        <f aca="false">IFERROR(VLOOKUP(D834,'Brand manager data '!A:B,2,0))</f>
        <v>#VALUE!</v>
      </c>
      <c r="L834" s="13" t="n">
        <v>0</v>
      </c>
      <c r="M834" s="13" t="str">
        <v>Yes</v>
      </c>
      <c r="N834" s="22"/>
      <c r="Q834" s="40"/>
      <c r="R834" s="13" t="b">
        <f aca="false">FALSE()</f>
        <v>0</v>
      </c>
      <c r="S834" s="13" t="n">
        <v>0</v>
      </c>
      <c r="T834" s="13" t="n">
        <f aca="false">S834*F834</f>
        <v>0</v>
      </c>
      <c r="U834" s="13" t="n">
        <v>0</v>
      </c>
      <c r="V834" s="13" t="n">
        <v>0</v>
      </c>
    </row>
    <row r="835" customFormat="false" ht="15.75" hidden="false" customHeight="false" outlineLevel="0" collapsed="false">
      <c r="A835" s="13" t="n">
        <v>0</v>
      </c>
      <c r="B835" s="13" t="str">
        <v/>
      </c>
      <c r="C835" s="13" t="n">
        <v>0</v>
      </c>
      <c r="D835" s="13" t="n">
        <v>0</v>
      </c>
      <c r="E835" s="13" t="str">
        <v/>
      </c>
      <c r="F835" s="13" t="n">
        <v>0</v>
      </c>
      <c r="G835" s="13" t="n">
        <v>0</v>
      </c>
      <c r="H835" s="13" t="n">
        <v>0</v>
      </c>
      <c r="I835" s="13" t="n">
        <v>0</v>
      </c>
      <c r="J835" s="13" t="b">
        <f aca="false">IF(ISBLANK(I835),"", IF($I$2:$I1832 = "Gohar Rehan","Overnight",IF($I$2:$I1832 = "Taufeeq Akhtar ","Overnight",IF($I$2:$I1832 = "Zeeshan Ali Malik","Audit",IF($I$2:$I1832 = "Ali Raza ","Receiving",IF($I$2:$I1832 = "Ali Ahmad","Full-In"))))))</f>
        <v>0</v>
      </c>
      <c r="K835" s="39" t="e">
        <f aca="false">IFERROR(VLOOKUP(D835,'Brand manager data '!A:B,2,0))</f>
        <v>#VALUE!</v>
      </c>
      <c r="L835" s="13" t="n">
        <v>0</v>
      </c>
      <c r="M835" s="13" t="str">
        <v>Yes</v>
      </c>
      <c r="N835" s="22"/>
      <c r="Q835" s="40"/>
      <c r="R835" s="13" t="b">
        <f aca="false">FALSE()</f>
        <v>0</v>
      </c>
      <c r="S835" s="13" t="n">
        <v>0</v>
      </c>
      <c r="T835" s="13" t="n">
        <f aca="false">S835*F835</f>
        <v>0</v>
      </c>
      <c r="U835" s="13" t="n">
        <v>0</v>
      </c>
      <c r="V835" s="13" t="n">
        <v>0</v>
      </c>
    </row>
    <row r="836" customFormat="false" ht="15.75" hidden="false" customHeight="false" outlineLevel="0" collapsed="false">
      <c r="A836" s="13" t="n">
        <v>0</v>
      </c>
      <c r="B836" s="13" t="str">
        <v/>
      </c>
      <c r="C836" s="13" t="n">
        <v>0</v>
      </c>
      <c r="D836" s="13" t="n">
        <v>0</v>
      </c>
      <c r="E836" s="13" t="str">
        <v/>
      </c>
      <c r="F836" s="13" t="n">
        <v>0</v>
      </c>
      <c r="G836" s="13" t="n">
        <v>0</v>
      </c>
      <c r="H836" s="13" t="n">
        <v>0</v>
      </c>
      <c r="I836" s="13" t="n">
        <v>0</v>
      </c>
      <c r="J836" s="13" t="b">
        <f aca="false">IF(ISBLANK(I836),"", IF($I$2:$I1833 = "Gohar Rehan","Overnight",IF($I$2:$I1833 = "Taufeeq Akhtar ","Overnight",IF($I$2:$I1833 = "Zeeshan Ali Malik","Audit",IF($I$2:$I1833 = "Ali Raza ","Receiving",IF($I$2:$I1833 = "Ali Ahmad","Full-In"))))))</f>
        <v>0</v>
      </c>
      <c r="K836" s="39" t="e">
        <f aca="false">IFERROR(VLOOKUP(D836,'Brand manager data '!A:B,2,0))</f>
        <v>#VALUE!</v>
      </c>
      <c r="L836" s="13" t="n">
        <v>0</v>
      </c>
      <c r="M836" s="13" t="str">
        <v>Yes</v>
      </c>
      <c r="N836" s="22"/>
      <c r="Q836" s="40"/>
      <c r="R836" s="13" t="b">
        <f aca="false">FALSE()</f>
        <v>0</v>
      </c>
      <c r="S836" s="13" t="n">
        <v>0</v>
      </c>
      <c r="T836" s="13" t="n">
        <f aca="false">S836*F836</f>
        <v>0</v>
      </c>
      <c r="U836" s="13" t="n">
        <v>0</v>
      </c>
      <c r="V836" s="13" t="n">
        <v>0</v>
      </c>
    </row>
    <row r="837" customFormat="false" ht="15.75" hidden="false" customHeight="false" outlineLevel="0" collapsed="false">
      <c r="A837" s="13" t="n">
        <v>0</v>
      </c>
      <c r="B837" s="13" t="str">
        <v/>
      </c>
      <c r="C837" s="13" t="n">
        <v>0</v>
      </c>
      <c r="D837" s="13" t="n">
        <v>0</v>
      </c>
      <c r="E837" s="13" t="str">
        <v/>
      </c>
      <c r="F837" s="13" t="n">
        <v>0</v>
      </c>
      <c r="G837" s="13" t="n">
        <v>0</v>
      </c>
      <c r="H837" s="13" t="n">
        <v>0</v>
      </c>
      <c r="I837" s="13" t="n">
        <v>0</v>
      </c>
      <c r="J837" s="13" t="b">
        <f aca="false">IF(ISBLANK(I837),"", IF($I$2:$I1834 = "Gohar Rehan","Overnight",IF($I$2:$I1834 = "Taufeeq Akhtar ","Overnight",IF($I$2:$I1834 = "Zeeshan Ali Malik","Audit",IF($I$2:$I1834 = "Ali Raza ","Receiving",IF($I$2:$I1834 = "Ali Ahmad","Full-In"))))))</f>
        <v>0</v>
      </c>
      <c r="K837" s="39" t="e">
        <f aca="false">IFERROR(VLOOKUP(D837,'Brand manager data '!A:B,2,0))</f>
        <v>#VALUE!</v>
      </c>
      <c r="L837" s="13" t="n">
        <v>0</v>
      </c>
      <c r="M837" s="13" t="str">
        <v>Yes</v>
      </c>
      <c r="N837" s="22"/>
      <c r="Q837" s="40"/>
      <c r="R837" s="13" t="b">
        <f aca="false">FALSE()</f>
        <v>0</v>
      </c>
      <c r="S837" s="13" t="n">
        <v>0</v>
      </c>
      <c r="T837" s="13" t="n">
        <f aca="false">S837*F837</f>
        <v>0</v>
      </c>
      <c r="U837" s="13" t="n">
        <v>0</v>
      </c>
      <c r="V837" s="13" t="n">
        <v>0</v>
      </c>
    </row>
    <row r="838" customFormat="false" ht="15.75" hidden="false" customHeight="false" outlineLevel="0" collapsed="false">
      <c r="A838" s="13" t="n">
        <v>0</v>
      </c>
      <c r="B838" s="13" t="str">
        <v/>
      </c>
      <c r="C838" s="13" t="n">
        <v>0</v>
      </c>
      <c r="D838" s="13" t="n">
        <v>0</v>
      </c>
      <c r="E838" s="13" t="str">
        <v/>
      </c>
      <c r="F838" s="13" t="n">
        <v>0</v>
      </c>
      <c r="G838" s="13" t="n">
        <v>0</v>
      </c>
      <c r="H838" s="13" t="n">
        <v>0</v>
      </c>
      <c r="I838" s="13" t="n">
        <v>0</v>
      </c>
      <c r="J838" s="13" t="b">
        <f aca="false">IF(ISBLANK(I838),"", IF($I$2:$I1835 = "Gohar Rehan","Overnight",IF($I$2:$I1835 = "Taufeeq Akhtar ","Overnight",IF($I$2:$I1835 = "Zeeshan Ali Malik","Audit",IF($I$2:$I1835 = "Ali Raza ","Receiving",IF($I$2:$I1835 = "Ali Ahmad","Full-In"))))))</f>
        <v>0</v>
      </c>
      <c r="K838" s="39" t="e">
        <f aca="false">IFERROR(VLOOKUP(D838,'Brand manager data '!A:B,2,0))</f>
        <v>#VALUE!</v>
      </c>
      <c r="L838" s="13" t="n">
        <v>0</v>
      </c>
      <c r="M838" s="13" t="str">
        <v>Yes</v>
      </c>
      <c r="N838" s="22"/>
      <c r="Q838" s="40"/>
      <c r="R838" s="13" t="b">
        <f aca="false">FALSE()</f>
        <v>0</v>
      </c>
      <c r="S838" s="13" t="n">
        <v>0</v>
      </c>
      <c r="T838" s="13" t="n">
        <f aca="false">S838*F838</f>
        <v>0</v>
      </c>
      <c r="U838" s="13" t="n">
        <v>0</v>
      </c>
      <c r="V838" s="13" t="n">
        <v>0</v>
      </c>
    </row>
    <row r="839" customFormat="false" ht="15.75" hidden="false" customHeight="false" outlineLevel="0" collapsed="false">
      <c r="A839" s="13" t="n">
        <v>0</v>
      </c>
      <c r="B839" s="13" t="str">
        <v/>
      </c>
      <c r="C839" s="13" t="n">
        <v>0</v>
      </c>
      <c r="D839" s="13" t="n">
        <v>0</v>
      </c>
      <c r="E839" s="13" t="str">
        <v/>
      </c>
      <c r="F839" s="13" t="n">
        <v>0</v>
      </c>
      <c r="G839" s="13" t="n">
        <v>0</v>
      </c>
      <c r="H839" s="13" t="n">
        <v>0</v>
      </c>
      <c r="I839" s="13" t="n">
        <v>0</v>
      </c>
      <c r="J839" s="13" t="b">
        <f aca="false">IF(ISBLANK(I839),"", IF($I$2:$I1836 = "Gohar Rehan","Overnight",IF($I$2:$I1836 = "Taufeeq Akhtar ","Overnight",IF($I$2:$I1836 = "Zeeshan Ali Malik","Audit",IF($I$2:$I1836 = "Ali Raza ","Receiving",IF($I$2:$I1836 = "Ali Ahmad","Full-In"))))))</f>
        <v>0</v>
      </c>
      <c r="K839" s="39" t="e">
        <f aca="false">IFERROR(VLOOKUP(D839,'Brand manager data '!A:B,2,0))</f>
        <v>#VALUE!</v>
      </c>
      <c r="L839" s="13" t="n">
        <v>0</v>
      </c>
      <c r="M839" s="13" t="str">
        <v>Yes</v>
      </c>
      <c r="N839" s="22"/>
      <c r="Q839" s="40"/>
      <c r="R839" s="13" t="b">
        <f aca="false">FALSE()</f>
        <v>0</v>
      </c>
      <c r="S839" s="13" t="n">
        <v>0</v>
      </c>
      <c r="T839" s="13" t="n">
        <f aca="false">S839*F839</f>
        <v>0</v>
      </c>
      <c r="U839" s="13" t="n">
        <v>0</v>
      </c>
      <c r="V839" s="13" t="n">
        <v>0</v>
      </c>
    </row>
    <row r="840" customFormat="false" ht="15.75" hidden="false" customHeight="false" outlineLevel="0" collapsed="false">
      <c r="A840" s="13" t="n">
        <v>0</v>
      </c>
      <c r="B840" s="13" t="str">
        <v/>
      </c>
      <c r="C840" s="13" t="n">
        <v>0</v>
      </c>
      <c r="D840" s="13" t="n">
        <v>0</v>
      </c>
      <c r="E840" s="13" t="str">
        <v/>
      </c>
      <c r="F840" s="13" t="n">
        <v>0</v>
      </c>
      <c r="G840" s="13" t="n">
        <v>0</v>
      </c>
      <c r="H840" s="13" t="n">
        <v>0</v>
      </c>
      <c r="I840" s="13" t="n">
        <v>0</v>
      </c>
      <c r="J840" s="13" t="b">
        <f aca="false">IF(ISBLANK(I840),"", IF($I$2:$I1837 = "Gohar Rehan","Overnight",IF($I$2:$I1837 = "Taufeeq Akhtar ","Overnight",IF($I$2:$I1837 = "Zeeshan Ali Malik","Audit",IF($I$2:$I1837 = "Ali Raza ","Receiving",IF($I$2:$I1837 = "Ali Ahmad","Full-In"))))))</f>
        <v>0</v>
      </c>
      <c r="K840" s="39" t="e">
        <f aca="false">IFERROR(VLOOKUP(D840,'Brand manager data '!A:B,2,0))</f>
        <v>#VALUE!</v>
      </c>
      <c r="L840" s="13" t="n">
        <v>0</v>
      </c>
      <c r="M840" s="13" t="str">
        <v>Yes</v>
      </c>
      <c r="N840" s="22"/>
      <c r="Q840" s="40"/>
      <c r="R840" s="13" t="b">
        <f aca="false">FALSE()</f>
        <v>0</v>
      </c>
      <c r="S840" s="13" t="n">
        <v>0</v>
      </c>
      <c r="T840" s="13" t="n">
        <f aca="false">S840*F840</f>
        <v>0</v>
      </c>
      <c r="U840" s="13" t="n">
        <v>0</v>
      </c>
      <c r="V840" s="13" t="n">
        <v>0</v>
      </c>
    </row>
    <row r="841" customFormat="false" ht="15.75" hidden="false" customHeight="false" outlineLevel="0" collapsed="false">
      <c r="A841" s="13" t="n">
        <v>0</v>
      </c>
      <c r="B841" s="13" t="str">
        <v/>
      </c>
      <c r="C841" s="13" t="n">
        <v>0</v>
      </c>
      <c r="D841" s="13" t="n">
        <v>0</v>
      </c>
      <c r="E841" s="13" t="str">
        <v/>
      </c>
      <c r="F841" s="13" t="n">
        <v>0</v>
      </c>
      <c r="G841" s="13" t="n">
        <v>0</v>
      </c>
      <c r="H841" s="13" t="n">
        <v>0</v>
      </c>
      <c r="I841" s="13" t="n">
        <v>0</v>
      </c>
      <c r="J841" s="13" t="b">
        <f aca="false">IF(ISBLANK(I841),"", IF($I$2:$I1838 = "Gohar Rehan","Overnight",IF($I$2:$I1838 = "Taufeeq Akhtar ","Overnight",IF($I$2:$I1838 = "Zeeshan Ali Malik","Audit",IF($I$2:$I1838 = "Ali Raza ","Receiving",IF($I$2:$I1838 = "Ali Ahmad","Full-In"))))))</f>
        <v>0</v>
      </c>
      <c r="K841" s="39" t="e">
        <f aca="false">IFERROR(VLOOKUP(D841,'Brand manager data '!A:B,2,0))</f>
        <v>#VALUE!</v>
      </c>
      <c r="L841" s="13" t="n">
        <v>0</v>
      </c>
      <c r="M841" s="13" t="str">
        <v>Yes</v>
      </c>
      <c r="N841" s="22"/>
      <c r="Q841" s="40"/>
      <c r="R841" s="13" t="b">
        <f aca="false">FALSE()</f>
        <v>0</v>
      </c>
      <c r="S841" s="13" t="n">
        <v>0</v>
      </c>
      <c r="T841" s="13" t="n">
        <f aca="false">S841*F841</f>
        <v>0</v>
      </c>
      <c r="U841" s="13" t="n">
        <v>0</v>
      </c>
      <c r="V841" s="13" t="n">
        <v>0</v>
      </c>
    </row>
    <row r="842" customFormat="false" ht="15.75" hidden="false" customHeight="false" outlineLevel="0" collapsed="false">
      <c r="A842" s="13" t="n">
        <v>0</v>
      </c>
      <c r="B842" s="13" t="str">
        <v/>
      </c>
      <c r="C842" s="13" t="n">
        <v>0</v>
      </c>
      <c r="D842" s="13" t="n">
        <v>0</v>
      </c>
      <c r="E842" s="13" t="str">
        <v/>
      </c>
      <c r="F842" s="13" t="n">
        <v>0</v>
      </c>
      <c r="G842" s="13" t="n">
        <v>0</v>
      </c>
      <c r="H842" s="13" t="n">
        <v>0</v>
      </c>
      <c r="I842" s="13" t="n">
        <v>0</v>
      </c>
      <c r="J842" s="13" t="b">
        <f aca="false">IF(ISBLANK(I842),"", IF($I$2:$I1839 = "Gohar Rehan","Overnight",IF($I$2:$I1839 = "Taufeeq Akhtar ","Overnight",IF($I$2:$I1839 = "Zeeshan Ali Malik","Audit",IF($I$2:$I1839 = "Ali Raza ","Receiving",IF($I$2:$I1839 = "Ali Ahmad","Full-In"))))))</f>
        <v>0</v>
      </c>
      <c r="K842" s="39" t="e">
        <f aca="false">IFERROR(VLOOKUP(D842,'Brand manager data '!A:B,2,0))</f>
        <v>#VALUE!</v>
      </c>
      <c r="L842" s="13" t="n">
        <v>0</v>
      </c>
      <c r="M842" s="13" t="str">
        <v>Yes</v>
      </c>
      <c r="N842" s="22"/>
      <c r="Q842" s="40"/>
      <c r="R842" s="13" t="b">
        <f aca="false">FALSE()</f>
        <v>0</v>
      </c>
      <c r="S842" s="13" t="n">
        <v>0</v>
      </c>
      <c r="T842" s="13" t="n">
        <f aca="false">S842*F842</f>
        <v>0</v>
      </c>
      <c r="U842" s="13" t="n">
        <v>0</v>
      </c>
      <c r="V842" s="13" t="n">
        <v>0</v>
      </c>
    </row>
    <row r="843" customFormat="false" ht="15.75" hidden="false" customHeight="false" outlineLevel="0" collapsed="false">
      <c r="A843" s="13" t="n">
        <v>0</v>
      </c>
      <c r="B843" s="13" t="str">
        <v/>
      </c>
      <c r="C843" s="13" t="n">
        <v>0</v>
      </c>
      <c r="D843" s="13" t="n">
        <v>0</v>
      </c>
      <c r="E843" s="13" t="str">
        <v/>
      </c>
      <c r="F843" s="13" t="n">
        <v>0</v>
      </c>
      <c r="G843" s="13" t="n">
        <v>0</v>
      </c>
      <c r="H843" s="13" t="n">
        <v>0</v>
      </c>
      <c r="I843" s="13" t="n">
        <v>0</v>
      </c>
      <c r="J843" s="13" t="b">
        <f aca="false">IF(ISBLANK(I843),"", IF($I$2:$I1840 = "Gohar Rehan","Overnight",IF($I$2:$I1840 = "Taufeeq Akhtar ","Overnight",IF($I$2:$I1840 = "Zeeshan Ali Malik","Audit",IF($I$2:$I1840 = "Ali Raza ","Receiving",IF($I$2:$I1840 = "Ali Ahmad","Full-In"))))))</f>
        <v>0</v>
      </c>
      <c r="K843" s="39" t="e">
        <f aca="false">IFERROR(VLOOKUP(D843,'Brand manager data '!A:B,2,0))</f>
        <v>#VALUE!</v>
      </c>
      <c r="L843" s="13" t="n">
        <v>0</v>
      </c>
      <c r="M843" s="13" t="str">
        <v>Yes</v>
      </c>
      <c r="N843" s="22"/>
      <c r="Q843" s="40"/>
      <c r="R843" s="13" t="b">
        <f aca="false">FALSE()</f>
        <v>0</v>
      </c>
      <c r="S843" s="13" t="n">
        <v>0</v>
      </c>
      <c r="T843" s="13" t="n">
        <f aca="false">S843*F843</f>
        <v>0</v>
      </c>
      <c r="U843" s="13" t="n">
        <v>0</v>
      </c>
      <c r="V843" s="13" t="n">
        <v>0</v>
      </c>
    </row>
    <row r="844" customFormat="false" ht="15.75" hidden="false" customHeight="false" outlineLevel="0" collapsed="false">
      <c r="A844" s="13" t="n">
        <v>0</v>
      </c>
      <c r="B844" s="13" t="str">
        <v/>
      </c>
      <c r="C844" s="13" t="n">
        <v>0</v>
      </c>
      <c r="D844" s="13" t="n">
        <v>0</v>
      </c>
      <c r="E844" s="13" t="str">
        <v/>
      </c>
      <c r="F844" s="13" t="n">
        <v>0</v>
      </c>
      <c r="G844" s="13" t="n">
        <v>0</v>
      </c>
      <c r="H844" s="13" t="n">
        <v>0</v>
      </c>
      <c r="I844" s="13" t="n">
        <v>0</v>
      </c>
      <c r="J844" s="13" t="b">
        <f aca="false">IF(ISBLANK(I844),"", IF($I$2:$I1841 = "Gohar Rehan","Overnight",IF($I$2:$I1841 = "Taufeeq Akhtar ","Overnight",IF($I$2:$I1841 = "Zeeshan Ali Malik","Audit",IF($I$2:$I1841 = "Ali Raza ","Receiving",IF($I$2:$I1841 = "Ali Ahmad","Full-In"))))))</f>
        <v>0</v>
      </c>
      <c r="K844" s="39" t="e">
        <f aca="false">IFERROR(VLOOKUP(D844,'Brand manager data '!A:B,2,0))</f>
        <v>#VALUE!</v>
      </c>
      <c r="L844" s="13" t="n">
        <v>0</v>
      </c>
      <c r="M844" s="13" t="str">
        <v>Yes</v>
      </c>
      <c r="N844" s="22"/>
      <c r="Q844" s="40"/>
      <c r="R844" s="13" t="b">
        <f aca="false">FALSE()</f>
        <v>0</v>
      </c>
      <c r="S844" s="13" t="n">
        <v>0</v>
      </c>
      <c r="T844" s="13" t="n">
        <f aca="false">S844*F844</f>
        <v>0</v>
      </c>
      <c r="U844" s="13" t="n">
        <v>0</v>
      </c>
      <c r="V844" s="13" t="n">
        <v>0</v>
      </c>
    </row>
    <row r="845" customFormat="false" ht="15.75" hidden="false" customHeight="false" outlineLevel="0" collapsed="false">
      <c r="A845" s="13" t="n">
        <v>0</v>
      </c>
      <c r="B845" s="13" t="str">
        <v/>
      </c>
      <c r="C845" s="13" t="n">
        <v>0</v>
      </c>
      <c r="D845" s="13" t="n">
        <v>0</v>
      </c>
      <c r="E845" s="13" t="str">
        <v/>
      </c>
      <c r="F845" s="13" t="n">
        <v>0</v>
      </c>
      <c r="G845" s="13" t="n">
        <v>0</v>
      </c>
      <c r="H845" s="13" t="n">
        <v>0</v>
      </c>
      <c r="I845" s="13" t="n">
        <v>0</v>
      </c>
      <c r="J845" s="13" t="b">
        <f aca="false">IF(ISBLANK(I845),"", IF($I$2:$I1842 = "Gohar Rehan","Overnight",IF($I$2:$I1842 = "Taufeeq Akhtar ","Overnight",IF($I$2:$I1842 = "Zeeshan Ali Malik","Audit",IF($I$2:$I1842 = "Ali Raza ","Receiving",IF($I$2:$I1842 = "Ali Ahmad","Full-In"))))))</f>
        <v>0</v>
      </c>
      <c r="K845" s="39" t="e">
        <f aca="false">IFERROR(VLOOKUP(D845,'Brand manager data '!A:B,2,0))</f>
        <v>#VALUE!</v>
      </c>
      <c r="L845" s="13" t="n">
        <v>0</v>
      </c>
      <c r="M845" s="13" t="str">
        <v>Yes</v>
      </c>
      <c r="N845" s="22"/>
      <c r="Q845" s="40"/>
      <c r="R845" s="13" t="b">
        <f aca="false">FALSE()</f>
        <v>0</v>
      </c>
      <c r="S845" s="13" t="n">
        <v>0</v>
      </c>
      <c r="T845" s="13" t="n">
        <f aca="false">S845*F845</f>
        <v>0</v>
      </c>
      <c r="U845" s="13" t="n">
        <v>0</v>
      </c>
      <c r="V845" s="13" t="n">
        <v>0</v>
      </c>
    </row>
    <row r="846" customFormat="false" ht="15.75" hidden="false" customHeight="false" outlineLevel="0" collapsed="false">
      <c r="A846" s="13" t="n">
        <v>0</v>
      </c>
      <c r="B846" s="13" t="str">
        <v/>
      </c>
      <c r="C846" s="13" t="n">
        <v>0</v>
      </c>
      <c r="D846" s="13" t="n">
        <v>0</v>
      </c>
      <c r="E846" s="13" t="str">
        <v/>
      </c>
      <c r="F846" s="13" t="n">
        <v>0</v>
      </c>
      <c r="G846" s="13" t="n">
        <v>0</v>
      </c>
      <c r="H846" s="13" t="n">
        <v>0</v>
      </c>
      <c r="I846" s="13" t="n">
        <v>0</v>
      </c>
      <c r="J846" s="13" t="b">
        <f aca="false">IF(ISBLANK(I846),"", IF($I$2:$I1843 = "Gohar Rehan","Overnight",IF($I$2:$I1843 = "Taufeeq Akhtar ","Overnight",IF($I$2:$I1843 = "Zeeshan Ali Malik","Audit",IF($I$2:$I1843 = "Ali Raza ","Receiving",IF($I$2:$I1843 = "Ali Ahmad","Full-In"))))))</f>
        <v>0</v>
      </c>
      <c r="K846" s="39" t="e">
        <f aca="false">IFERROR(VLOOKUP(D846,'Brand manager data '!A:B,2,0))</f>
        <v>#VALUE!</v>
      </c>
      <c r="L846" s="13" t="n">
        <v>0</v>
      </c>
      <c r="M846" s="13" t="str">
        <v>Yes</v>
      </c>
      <c r="N846" s="22"/>
      <c r="Q846" s="40"/>
      <c r="R846" s="13" t="b">
        <f aca="false">FALSE()</f>
        <v>0</v>
      </c>
      <c r="S846" s="13" t="n">
        <v>0</v>
      </c>
      <c r="T846" s="13" t="n">
        <f aca="false">S846*F846</f>
        <v>0</v>
      </c>
      <c r="U846" s="13" t="n">
        <v>0</v>
      </c>
      <c r="V846" s="13" t="n">
        <v>0</v>
      </c>
    </row>
    <row r="847" customFormat="false" ht="15.75" hidden="false" customHeight="false" outlineLevel="0" collapsed="false">
      <c r="A847" s="13" t="n">
        <v>0</v>
      </c>
      <c r="B847" s="13" t="str">
        <v/>
      </c>
      <c r="C847" s="13" t="n">
        <v>0</v>
      </c>
      <c r="D847" s="13" t="n">
        <v>0</v>
      </c>
      <c r="E847" s="13" t="str">
        <v/>
      </c>
      <c r="F847" s="13" t="n">
        <v>0</v>
      </c>
      <c r="G847" s="13" t="n">
        <v>0</v>
      </c>
      <c r="H847" s="13" t="n">
        <v>0</v>
      </c>
      <c r="I847" s="13" t="n">
        <v>0</v>
      </c>
      <c r="J847" s="13" t="b">
        <f aca="false">IF(ISBLANK(I847),"", IF($I$2:$I1844 = "Gohar Rehan","Overnight",IF($I$2:$I1844 = "Taufeeq Akhtar ","Overnight",IF($I$2:$I1844 = "Zeeshan Ali Malik","Audit",IF($I$2:$I1844 = "Ali Raza ","Receiving",IF($I$2:$I1844 = "Ali Ahmad","Full-In"))))))</f>
        <v>0</v>
      </c>
      <c r="K847" s="39" t="e">
        <f aca="false">IFERROR(VLOOKUP(D847,'Brand manager data '!A:B,2,0))</f>
        <v>#VALUE!</v>
      </c>
      <c r="L847" s="13" t="n">
        <v>0</v>
      </c>
      <c r="M847" s="13" t="str">
        <v>Yes</v>
      </c>
      <c r="N847" s="22"/>
      <c r="Q847" s="40"/>
      <c r="R847" s="13" t="b">
        <f aca="false">FALSE()</f>
        <v>0</v>
      </c>
      <c r="S847" s="13" t="n">
        <v>0</v>
      </c>
      <c r="T847" s="13" t="n">
        <f aca="false">S847*F847</f>
        <v>0</v>
      </c>
      <c r="U847" s="13" t="n">
        <v>0</v>
      </c>
      <c r="V847" s="13" t="n">
        <v>0</v>
      </c>
    </row>
    <row r="848" customFormat="false" ht="15.75" hidden="false" customHeight="false" outlineLevel="0" collapsed="false">
      <c r="A848" s="13" t="n">
        <v>0</v>
      </c>
      <c r="B848" s="13" t="str">
        <v/>
      </c>
      <c r="C848" s="13" t="n">
        <v>0</v>
      </c>
      <c r="D848" s="13" t="n">
        <v>0</v>
      </c>
      <c r="E848" s="13" t="str">
        <v/>
      </c>
      <c r="F848" s="13" t="n">
        <v>0</v>
      </c>
      <c r="G848" s="13" t="n">
        <v>0</v>
      </c>
      <c r="H848" s="13" t="n">
        <v>0</v>
      </c>
      <c r="I848" s="13" t="n">
        <v>0</v>
      </c>
      <c r="J848" s="13" t="b">
        <f aca="false">IF(ISBLANK(I848),"", IF($I$2:$I1845 = "Gohar Rehan","Overnight",IF($I$2:$I1845 = "Taufeeq Akhtar ","Overnight",IF($I$2:$I1845 = "Zeeshan Ali Malik","Audit",IF($I$2:$I1845 = "Ali Raza ","Receiving",IF($I$2:$I1845 = "Ali Ahmad","Full-In"))))))</f>
        <v>0</v>
      </c>
      <c r="K848" s="39" t="e">
        <f aca="false">IFERROR(VLOOKUP(D848,'Brand manager data '!A:B,2,0))</f>
        <v>#VALUE!</v>
      </c>
      <c r="L848" s="13" t="n">
        <v>0</v>
      </c>
      <c r="M848" s="13" t="str">
        <v>Yes</v>
      </c>
      <c r="N848" s="22"/>
      <c r="Q848" s="40"/>
      <c r="R848" s="13" t="b">
        <f aca="false">FALSE()</f>
        <v>0</v>
      </c>
      <c r="S848" s="13" t="n">
        <v>0</v>
      </c>
      <c r="T848" s="13" t="n">
        <f aca="false">S848*F848</f>
        <v>0</v>
      </c>
      <c r="U848" s="13" t="n">
        <v>0</v>
      </c>
      <c r="V848" s="13" t="n">
        <v>0</v>
      </c>
    </row>
    <row r="849" customFormat="false" ht="15.75" hidden="false" customHeight="false" outlineLevel="0" collapsed="false">
      <c r="A849" s="13" t="n">
        <v>0</v>
      </c>
      <c r="B849" s="13" t="str">
        <v/>
      </c>
      <c r="C849" s="13" t="n">
        <v>0</v>
      </c>
      <c r="D849" s="13" t="n">
        <v>0</v>
      </c>
      <c r="E849" s="13" t="str">
        <v/>
      </c>
      <c r="F849" s="13" t="n">
        <v>0</v>
      </c>
      <c r="G849" s="13" t="n">
        <v>0</v>
      </c>
      <c r="H849" s="13" t="n">
        <v>0</v>
      </c>
      <c r="I849" s="13" t="n">
        <v>0</v>
      </c>
      <c r="J849" s="13" t="b">
        <f aca="false">IF(ISBLANK(I849),"", IF($I$2:$I1846 = "Gohar Rehan","Overnight",IF($I$2:$I1846 = "Taufeeq Akhtar ","Overnight",IF($I$2:$I1846 = "Zeeshan Ali Malik","Audit",IF($I$2:$I1846 = "Ali Raza ","Receiving",IF($I$2:$I1846 = "Ali Ahmad","Full-In"))))))</f>
        <v>0</v>
      </c>
      <c r="K849" s="39" t="e">
        <f aca="false">IFERROR(VLOOKUP(D849,'Brand manager data '!A:B,2,0))</f>
        <v>#VALUE!</v>
      </c>
      <c r="L849" s="13" t="n">
        <v>0</v>
      </c>
      <c r="M849" s="13" t="str">
        <v>Yes</v>
      </c>
      <c r="N849" s="22"/>
      <c r="Q849" s="40"/>
      <c r="R849" s="13" t="b">
        <f aca="false">FALSE()</f>
        <v>0</v>
      </c>
      <c r="S849" s="13" t="n">
        <v>0</v>
      </c>
      <c r="T849" s="13" t="n">
        <f aca="false">S849*F849</f>
        <v>0</v>
      </c>
      <c r="U849" s="13" t="n">
        <v>0</v>
      </c>
      <c r="V849" s="13" t="n">
        <v>0</v>
      </c>
    </row>
    <row r="850" customFormat="false" ht="15.75" hidden="false" customHeight="false" outlineLevel="0" collapsed="false">
      <c r="A850" s="13" t="n">
        <v>0</v>
      </c>
      <c r="B850" s="13" t="str">
        <v/>
      </c>
      <c r="C850" s="13" t="n">
        <v>0</v>
      </c>
      <c r="D850" s="13" t="n">
        <v>0</v>
      </c>
      <c r="E850" s="13" t="str">
        <v/>
      </c>
      <c r="F850" s="13" t="n">
        <v>0</v>
      </c>
      <c r="G850" s="13" t="n">
        <v>0</v>
      </c>
      <c r="H850" s="13" t="n">
        <v>0</v>
      </c>
      <c r="I850" s="13" t="n">
        <v>0</v>
      </c>
      <c r="J850" s="13" t="b">
        <f aca="false">IF(ISBLANK(I850),"", IF($I$2:$I1847 = "Gohar Rehan","Overnight",IF($I$2:$I1847 = "Taufeeq Akhtar ","Overnight",IF($I$2:$I1847 = "Zeeshan Ali Malik","Audit",IF($I$2:$I1847 = "Ali Raza ","Receiving",IF($I$2:$I1847 = "Ali Ahmad","Full-In"))))))</f>
        <v>0</v>
      </c>
      <c r="K850" s="39" t="e">
        <f aca="false">IFERROR(VLOOKUP(D850,'Brand manager data '!A:B,2,0))</f>
        <v>#VALUE!</v>
      </c>
      <c r="L850" s="13" t="n">
        <v>0</v>
      </c>
      <c r="M850" s="13" t="str">
        <v>Yes</v>
      </c>
      <c r="N850" s="22"/>
      <c r="Q850" s="40"/>
      <c r="R850" s="13" t="b">
        <f aca="false">FALSE()</f>
        <v>0</v>
      </c>
      <c r="S850" s="13" t="n">
        <v>0</v>
      </c>
      <c r="T850" s="13" t="n">
        <f aca="false">S850*F850</f>
        <v>0</v>
      </c>
      <c r="U850" s="13" t="n">
        <v>0</v>
      </c>
      <c r="V850" s="13" t="n">
        <v>0</v>
      </c>
    </row>
    <row r="851" customFormat="false" ht="15.75" hidden="false" customHeight="false" outlineLevel="0" collapsed="false">
      <c r="A851" s="13" t="n">
        <v>0</v>
      </c>
      <c r="B851" s="13" t="str">
        <v/>
      </c>
      <c r="C851" s="13" t="n">
        <v>0</v>
      </c>
      <c r="D851" s="13" t="n">
        <v>0</v>
      </c>
      <c r="E851" s="13" t="str">
        <v/>
      </c>
      <c r="F851" s="13" t="n">
        <v>0</v>
      </c>
      <c r="G851" s="13" t="n">
        <v>0</v>
      </c>
      <c r="H851" s="13" t="n">
        <v>0</v>
      </c>
      <c r="I851" s="13" t="n">
        <v>0</v>
      </c>
      <c r="J851" s="13" t="b">
        <f aca="false">IF(ISBLANK(I851),"", IF($I$2:$I1848 = "Gohar Rehan","Overnight",IF($I$2:$I1848 = "Taufeeq Akhtar ","Overnight",IF($I$2:$I1848 = "Zeeshan Ali Malik","Audit",IF($I$2:$I1848 = "Ali Raza ","Receiving",IF($I$2:$I1848 = "Ali Ahmad","Full-In"))))))</f>
        <v>0</v>
      </c>
      <c r="K851" s="39" t="e">
        <f aca="false">IFERROR(VLOOKUP(D851,'Brand manager data '!A:B,2,0))</f>
        <v>#VALUE!</v>
      </c>
      <c r="L851" s="13" t="n">
        <v>0</v>
      </c>
      <c r="M851" s="13" t="str">
        <v>Yes</v>
      </c>
      <c r="N851" s="22"/>
      <c r="Q851" s="40"/>
      <c r="R851" s="13" t="b">
        <f aca="false">FALSE()</f>
        <v>0</v>
      </c>
      <c r="S851" s="13" t="n">
        <v>0</v>
      </c>
      <c r="T851" s="13" t="n">
        <f aca="false">S851*F851</f>
        <v>0</v>
      </c>
      <c r="U851" s="13" t="n">
        <v>0</v>
      </c>
      <c r="V851" s="13" t="n">
        <v>0</v>
      </c>
    </row>
    <row r="852" customFormat="false" ht="15.75" hidden="false" customHeight="false" outlineLevel="0" collapsed="false">
      <c r="A852" s="13" t="n">
        <v>0</v>
      </c>
      <c r="B852" s="13" t="str">
        <v/>
      </c>
      <c r="C852" s="13" t="n">
        <v>0</v>
      </c>
      <c r="D852" s="13" t="n">
        <v>0</v>
      </c>
      <c r="E852" s="13" t="str">
        <v/>
      </c>
      <c r="F852" s="13" t="n">
        <v>0</v>
      </c>
      <c r="G852" s="13" t="n">
        <v>0</v>
      </c>
      <c r="H852" s="13" t="n">
        <v>0</v>
      </c>
      <c r="I852" s="13" t="n">
        <v>0</v>
      </c>
      <c r="J852" s="13" t="b">
        <f aca="false">IF(ISBLANK(I852),"", IF($I$2:$I1849 = "Gohar Rehan","Overnight",IF($I$2:$I1849 = "Taufeeq Akhtar ","Overnight",IF($I$2:$I1849 = "Zeeshan Ali Malik","Audit",IF($I$2:$I1849 = "Ali Raza ","Receiving",IF($I$2:$I1849 = "Ali Ahmad","Full-In"))))))</f>
        <v>0</v>
      </c>
      <c r="K852" s="39" t="e">
        <f aca="false">IFERROR(VLOOKUP(D852,'Brand manager data '!A:B,2,0))</f>
        <v>#VALUE!</v>
      </c>
      <c r="L852" s="13" t="n">
        <v>0</v>
      </c>
      <c r="M852" s="13" t="str">
        <v>Yes</v>
      </c>
      <c r="N852" s="22"/>
      <c r="Q852" s="40"/>
      <c r="R852" s="13" t="b">
        <f aca="false">FALSE()</f>
        <v>0</v>
      </c>
      <c r="S852" s="13" t="n">
        <v>0</v>
      </c>
      <c r="T852" s="13" t="n">
        <f aca="false">S852*F852</f>
        <v>0</v>
      </c>
      <c r="U852" s="13" t="n">
        <v>0</v>
      </c>
      <c r="V852" s="13" t="n">
        <v>0</v>
      </c>
    </row>
    <row r="853" customFormat="false" ht="15.75" hidden="false" customHeight="false" outlineLevel="0" collapsed="false">
      <c r="A853" s="13" t="n">
        <v>0</v>
      </c>
      <c r="B853" s="13" t="str">
        <v/>
      </c>
      <c r="C853" s="13" t="n">
        <v>0</v>
      </c>
      <c r="D853" s="13" t="n">
        <v>0</v>
      </c>
      <c r="E853" s="13" t="str">
        <v/>
      </c>
      <c r="F853" s="13" t="n">
        <v>0</v>
      </c>
      <c r="G853" s="13" t="n">
        <v>0</v>
      </c>
      <c r="H853" s="13" t="n">
        <v>0</v>
      </c>
      <c r="I853" s="13" t="n">
        <v>0</v>
      </c>
      <c r="J853" s="13" t="b">
        <f aca="false">IF(ISBLANK(I853),"", IF($I$2:$I1850 = "Gohar Rehan","Overnight",IF($I$2:$I1850 = "Taufeeq Akhtar ","Overnight",IF($I$2:$I1850 = "Zeeshan Ali Malik","Audit",IF($I$2:$I1850 = "Ali Raza ","Receiving",IF($I$2:$I1850 = "Ali Ahmad","Full-In"))))))</f>
        <v>0</v>
      </c>
      <c r="K853" s="39" t="e">
        <f aca="false">IFERROR(VLOOKUP(D853,'Brand manager data '!A:B,2,0))</f>
        <v>#VALUE!</v>
      </c>
      <c r="L853" s="13" t="n">
        <v>0</v>
      </c>
      <c r="M853" s="13" t="str">
        <v>Yes</v>
      </c>
      <c r="N853" s="22"/>
      <c r="Q853" s="40"/>
      <c r="R853" s="13" t="b">
        <f aca="false">FALSE()</f>
        <v>0</v>
      </c>
      <c r="S853" s="13" t="n">
        <v>0</v>
      </c>
      <c r="T853" s="13" t="n">
        <f aca="false">S853*F853</f>
        <v>0</v>
      </c>
      <c r="U853" s="13" t="n">
        <v>0</v>
      </c>
      <c r="V853" s="13" t="n">
        <v>0</v>
      </c>
    </row>
    <row r="854" customFormat="false" ht="15.75" hidden="false" customHeight="false" outlineLevel="0" collapsed="false">
      <c r="A854" s="13" t="n">
        <v>0</v>
      </c>
      <c r="B854" s="13" t="str">
        <v/>
      </c>
      <c r="C854" s="13" t="n">
        <v>0</v>
      </c>
      <c r="D854" s="13" t="n">
        <v>0</v>
      </c>
      <c r="E854" s="13" t="str">
        <v/>
      </c>
      <c r="F854" s="13" t="n">
        <v>0</v>
      </c>
      <c r="G854" s="13" t="n">
        <v>0</v>
      </c>
      <c r="H854" s="13" t="n">
        <v>0</v>
      </c>
      <c r="I854" s="13" t="n">
        <v>0</v>
      </c>
      <c r="J854" s="13" t="b">
        <f aca="false">IF(ISBLANK(I854),"", IF($I$2:$I1851 = "Gohar Rehan","Overnight",IF($I$2:$I1851 = "Taufeeq Akhtar ","Overnight",IF($I$2:$I1851 = "Zeeshan Ali Malik","Audit",IF($I$2:$I1851 = "Ali Raza ","Receiving",IF($I$2:$I1851 = "Ali Ahmad","Full-In"))))))</f>
        <v>0</v>
      </c>
      <c r="K854" s="39" t="e">
        <f aca="false">IFERROR(VLOOKUP(D854,'Brand manager data '!A:B,2,0))</f>
        <v>#VALUE!</v>
      </c>
      <c r="L854" s="13" t="n">
        <v>0</v>
      </c>
      <c r="M854" s="13" t="str">
        <v>Yes</v>
      </c>
      <c r="N854" s="22"/>
      <c r="Q854" s="40"/>
      <c r="R854" s="13" t="b">
        <f aca="false">FALSE()</f>
        <v>0</v>
      </c>
      <c r="S854" s="13" t="n">
        <v>0</v>
      </c>
      <c r="T854" s="13" t="n">
        <f aca="false">S854*F854</f>
        <v>0</v>
      </c>
      <c r="U854" s="13" t="n">
        <v>0</v>
      </c>
      <c r="V854" s="13" t="n">
        <v>0</v>
      </c>
    </row>
    <row r="855" customFormat="false" ht="15.75" hidden="false" customHeight="false" outlineLevel="0" collapsed="false">
      <c r="A855" s="13" t="n">
        <v>0</v>
      </c>
      <c r="B855" s="13" t="str">
        <v/>
      </c>
      <c r="C855" s="13" t="n">
        <v>0</v>
      </c>
      <c r="D855" s="13" t="n">
        <v>0</v>
      </c>
      <c r="E855" s="13" t="str">
        <v/>
      </c>
      <c r="F855" s="13" t="n">
        <v>0</v>
      </c>
      <c r="G855" s="13" t="n">
        <v>0</v>
      </c>
      <c r="H855" s="13" t="n">
        <v>0</v>
      </c>
      <c r="I855" s="13" t="n">
        <v>0</v>
      </c>
      <c r="J855" s="13" t="b">
        <f aca="false">IF(ISBLANK(I855),"", IF($I$2:$I1852 = "Gohar Rehan","Overnight",IF($I$2:$I1852 = "Taufeeq Akhtar ","Overnight",IF($I$2:$I1852 = "Zeeshan Ali Malik","Audit",IF($I$2:$I1852 = "Ali Raza ","Receiving",IF($I$2:$I1852 = "Ali Ahmad","Full-In"))))))</f>
        <v>0</v>
      </c>
      <c r="K855" s="39" t="e">
        <f aca="false">IFERROR(VLOOKUP(D855,'Brand manager data '!A:B,2,0))</f>
        <v>#VALUE!</v>
      </c>
      <c r="L855" s="13" t="n">
        <v>0</v>
      </c>
      <c r="M855" s="13" t="str">
        <v>Yes</v>
      </c>
      <c r="N855" s="22"/>
      <c r="Q855" s="40"/>
      <c r="R855" s="13" t="b">
        <f aca="false">FALSE()</f>
        <v>0</v>
      </c>
      <c r="S855" s="13" t="n">
        <v>0</v>
      </c>
      <c r="T855" s="13" t="n">
        <f aca="false">S855*F855</f>
        <v>0</v>
      </c>
      <c r="U855" s="13" t="n">
        <v>0</v>
      </c>
      <c r="V855" s="13" t="n">
        <v>0</v>
      </c>
    </row>
    <row r="856" customFormat="false" ht="15.75" hidden="false" customHeight="false" outlineLevel="0" collapsed="false">
      <c r="A856" s="13" t="n">
        <v>0</v>
      </c>
      <c r="B856" s="13" t="str">
        <v/>
      </c>
      <c r="C856" s="13" t="n">
        <v>0</v>
      </c>
      <c r="D856" s="13" t="n">
        <v>0</v>
      </c>
      <c r="E856" s="13" t="str">
        <v/>
      </c>
      <c r="F856" s="13" t="n">
        <v>0</v>
      </c>
      <c r="G856" s="13" t="n">
        <v>0</v>
      </c>
      <c r="H856" s="13" t="n">
        <v>0</v>
      </c>
      <c r="I856" s="13" t="n">
        <v>0</v>
      </c>
      <c r="J856" s="13" t="b">
        <f aca="false">IF(ISBLANK(I856),"", IF($I$2:$I1853 = "Gohar Rehan","Overnight",IF($I$2:$I1853 = "Taufeeq Akhtar ","Overnight",IF($I$2:$I1853 = "Zeeshan Ali Malik","Audit",IF($I$2:$I1853 = "Ali Raza ","Receiving",IF($I$2:$I1853 = "Ali Ahmad","Full-In"))))))</f>
        <v>0</v>
      </c>
      <c r="K856" s="39" t="e">
        <f aca="false">IFERROR(VLOOKUP(D856,'Brand manager data '!A:B,2,0))</f>
        <v>#VALUE!</v>
      </c>
      <c r="L856" s="13" t="n">
        <v>0</v>
      </c>
      <c r="M856" s="13" t="str">
        <v>Yes</v>
      </c>
      <c r="N856" s="22"/>
      <c r="Q856" s="40"/>
      <c r="R856" s="13" t="b">
        <f aca="false">FALSE()</f>
        <v>0</v>
      </c>
      <c r="S856" s="13" t="n">
        <v>0</v>
      </c>
      <c r="T856" s="13" t="n">
        <f aca="false">S856*F856</f>
        <v>0</v>
      </c>
      <c r="U856" s="13" t="n">
        <v>0</v>
      </c>
      <c r="V856" s="13" t="n">
        <v>0</v>
      </c>
    </row>
    <row r="857" customFormat="false" ht="15.75" hidden="false" customHeight="false" outlineLevel="0" collapsed="false">
      <c r="A857" s="13" t="n">
        <v>0</v>
      </c>
      <c r="B857" s="13" t="str">
        <v/>
      </c>
      <c r="C857" s="13" t="n">
        <v>0</v>
      </c>
      <c r="D857" s="13" t="n">
        <v>0</v>
      </c>
      <c r="E857" s="13" t="str">
        <v/>
      </c>
      <c r="F857" s="13" t="n">
        <v>0</v>
      </c>
      <c r="G857" s="13" t="n">
        <v>0</v>
      </c>
      <c r="H857" s="13" t="n">
        <v>0</v>
      </c>
      <c r="I857" s="13" t="n">
        <v>0</v>
      </c>
      <c r="J857" s="13" t="b">
        <f aca="false">IF(ISBLANK(I857),"", IF($I$2:$I1854 = "Gohar Rehan","Overnight",IF($I$2:$I1854 = "Taufeeq Akhtar ","Overnight",IF($I$2:$I1854 = "Zeeshan Ali Malik","Audit",IF($I$2:$I1854 = "Ali Raza ","Receiving",IF($I$2:$I1854 = "Ali Ahmad","Full-In"))))))</f>
        <v>0</v>
      </c>
      <c r="K857" s="39" t="e">
        <f aca="false">IFERROR(VLOOKUP(D857,'Brand manager data '!A:B,2,0))</f>
        <v>#VALUE!</v>
      </c>
      <c r="L857" s="13" t="n">
        <v>0</v>
      </c>
      <c r="M857" s="13" t="str">
        <v>Yes</v>
      </c>
      <c r="N857" s="22"/>
      <c r="Q857" s="40"/>
      <c r="R857" s="13" t="b">
        <f aca="false">FALSE()</f>
        <v>0</v>
      </c>
      <c r="S857" s="13" t="n">
        <v>0</v>
      </c>
      <c r="T857" s="13" t="n">
        <f aca="false">S857*F857</f>
        <v>0</v>
      </c>
      <c r="U857" s="13" t="n">
        <v>0</v>
      </c>
      <c r="V857" s="13" t="n">
        <v>0</v>
      </c>
    </row>
    <row r="858" customFormat="false" ht="15.75" hidden="false" customHeight="false" outlineLevel="0" collapsed="false">
      <c r="A858" s="13" t="n">
        <v>0</v>
      </c>
      <c r="B858" s="13" t="str">
        <v/>
      </c>
      <c r="C858" s="13" t="n">
        <v>0</v>
      </c>
      <c r="D858" s="13" t="n">
        <v>0</v>
      </c>
      <c r="E858" s="13" t="str">
        <v/>
      </c>
      <c r="F858" s="13" t="n">
        <v>0</v>
      </c>
      <c r="G858" s="13" t="n">
        <v>0</v>
      </c>
      <c r="H858" s="13" t="n">
        <v>0</v>
      </c>
      <c r="I858" s="13" t="n">
        <v>0</v>
      </c>
      <c r="J858" s="13" t="b">
        <f aca="false">IF(ISBLANK(I858),"", IF($I$2:$I1855 = "Gohar Rehan","Overnight",IF($I$2:$I1855 = "Taufeeq Akhtar ","Overnight",IF($I$2:$I1855 = "Zeeshan Ali Malik","Audit",IF($I$2:$I1855 = "Ali Raza ","Receiving",IF($I$2:$I1855 = "Ali Ahmad","Full-In"))))))</f>
        <v>0</v>
      </c>
      <c r="K858" s="39" t="e">
        <f aca="false">IFERROR(VLOOKUP(D858,'Brand manager data '!A:B,2,0))</f>
        <v>#VALUE!</v>
      </c>
      <c r="L858" s="13" t="n">
        <v>0</v>
      </c>
      <c r="M858" s="13" t="str">
        <v>Yes</v>
      </c>
      <c r="N858" s="22"/>
      <c r="Q858" s="40"/>
      <c r="R858" s="13" t="b">
        <f aca="false">FALSE()</f>
        <v>0</v>
      </c>
      <c r="S858" s="13" t="n">
        <v>0</v>
      </c>
      <c r="T858" s="13" t="n">
        <f aca="false">S858*F858</f>
        <v>0</v>
      </c>
      <c r="U858" s="13" t="n">
        <v>0</v>
      </c>
      <c r="V858" s="13" t="n">
        <v>0</v>
      </c>
    </row>
    <row r="859" customFormat="false" ht="15.75" hidden="false" customHeight="false" outlineLevel="0" collapsed="false">
      <c r="A859" s="13" t="n">
        <v>0</v>
      </c>
      <c r="B859" s="13" t="str">
        <v/>
      </c>
      <c r="C859" s="13" t="n">
        <v>0</v>
      </c>
      <c r="D859" s="13" t="n">
        <v>0</v>
      </c>
      <c r="E859" s="13" t="str">
        <v/>
      </c>
      <c r="F859" s="13" t="n">
        <v>0</v>
      </c>
      <c r="G859" s="13" t="n">
        <v>0</v>
      </c>
      <c r="H859" s="13" t="n">
        <v>0</v>
      </c>
      <c r="I859" s="13" t="n">
        <v>0</v>
      </c>
      <c r="J859" s="13" t="b">
        <f aca="false">IF(ISBLANK(I859),"", IF($I$2:$I1856 = "Gohar Rehan","Overnight",IF($I$2:$I1856 = "Taufeeq Akhtar ","Overnight",IF($I$2:$I1856 = "Zeeshan Ali Malik","Audit",IF($I$2:$I1856 = "Ali Raza ","Receiving",IF($I$2:$I1856 = "Ali Ahmad","Full-In"))))))</f>
        <v>0</v>
      </c>
      <c r="K859" s="39" t="e">
        <f aca="false">IFERROR(VLOOKUP(D859,'Brand manager data '!A:B,2,0))</f>
        <v>#VALUE!</v>
      </c>
      <c r="L859" s="13" t="n">
        <v>0</v>
      </c>
      <c r="M859" s="13" t="str">
        <v>Yes</v>
      </c>
      <c r="N859" s="22"/>
      <c r="Q859" s="40"/>
      <c r="R859" s="13" t="b">
        <f aca="false">FALSE()</f>
        <v>0</v>
      </c>
      <c r="S859" s="13" t="n">
        <v>0</v>
      </c>
      <c r="T859" s="13" t="n">
        <f aca="false">S859*F859</f>
        <v>0</v>
      </c>
      <c r="U859" s="13" t="n">
        <v>0</v>
      </c>
      <c r="V859" s="13" t="n">
        <v>0</v>
      </c>
    </row>
    <row r="860" customFormat="false" ht="15.75" hidden="false" customHeight="false" outlineLevel="0" collapsed="false">
      <c r="A860" s="13" t="n">
        <v>0</v>
      </c>
      <c r="B860" s="13" t="str">
        <v/>
      </c>
      <c r="C860" s="13" t="n">
        <v>0</v>
      </c>
      <c r="D860" s="13" t="n">
        <v>0</v>
      </c>
      <c r="E860" s="13" t="str">
        <v/>
      </c>
      <c r="F860" s="13" t="n">
        <v>0</v>
      </c>
      <c r="G860" s="13" t="n">
        <v>0</v>
      </c>
      <c r="H860" s="13" t="n">
        <v>0</v>
      </c>
      <c r="I860" s="13" t="n">
        <v>0</v>
      </c>
      <c r="J860" s="13" t="b">
        <f aca="false">IF(ISBLANK(I860),"", IF($I$2:$I1857 = "Gohar Rehan","Overnight",IF($I$2:$I1857 = "Taufeeq Akhtar ","Overnight",IF($I$2:$I1857 = "Zeeshan Ali Malik","Audit",IF($I$2:$I1857 = "Ali Raza ","Receiving",IF($I$2:$I1857 = "Ali Ahmad","Full-In"))))))</f>
        <v>0</v>
      </c>
      <c r="K860" s="39" t="e">
        <f aca="false">IFERROR(VLOOKUP(D860,'Brand manager data '!A:B,2,0))</f>
        <v>#VALUE!</v>
      </c>
      <c r="L860" s="13" t="n">
        <v>0</v>
      </c>
      <c r="M860" s="13" t="str">
        <v>Yes</v>
      </c>
      <c r="N860" s="22"/>
      <c r="Q860" s="40"/>
      <c r="R860" s="13" t="b">
        <f aca="false">FALSE()</f>
        <v>0</v>
      </c>
      <c r="S860" s="13" t="n">
        <v>0</v>
      </c>
      <c r="T860" s="13" t="n">
        <f aca="false">S860*F860</f>
        <v>0</v>
      </c>
      <c r="U860" s="13" t="n">
        <v>0</v>
      </c>
      <c r="V860" s="13" t="n">
        <v>0</v>
      </c>
    </row>
    <row r="861" customFormat="false" ht="15.75" hidden="false" customHeight="false" outlineLevel="0" collapsed="false">
      <c r="A861" s="13" t="n">
        <v>0</v>
      </c>
      <c r="B861" s="13" t="str">
        <v/>
      </c>
      <c r="C861" s="13" t="n">
        <v>0</v>
      </c>
      <c r="D861" s="13" t="n">
        <v>0</v>
      </c>
      <c r="E861" s="13" t="str">
        <v/>
      </c>
      <c r="F861" s="13" t="n">
        <v>0</v>
      </c>
      <c r="G861" s="13" t="n">
        <v>0</v>
      </c>
      <c r="H861" s="13" t="n">
        <v>0</v>
      </c>
      <c r="I861" s="13" t="n">
        <v>0</v>
      </c>
      <c r="J861" s="13" t="b">
        <f aca="false">IF(ISBLANK(I861),"", IF($I$2:$I1858 = "Gohar Rehan","Overnight",IF($I$2:$I1858 = "Taufeeq Akhtar ","Overnight",IF($I$2:$I1858 = "Zeeshan Ali Malik","Audit",IF($I$2:$I1858 = "Ali Raza ","Receiving",IF($I$2:$I1858 = "Ali Ahmad","Full-In"))))))</f>
        <v>0</v>
      </c>
      <c r="K861" s="39" t="e">
        <f aca="false">IFERROR(VLOOKUP(D861,'Brand manager data '!A:B,2,0))</f>
        <v>#VALUE!</v>
      </c>
      <c r="L861" s="13" t="n">
        <v>0</v>
      </c>
      <c r="M861" s="13" t="str">
        <v>Yes</v>
      </c>
      <c r="N861" s="22"/>
      <c r="Q861" s="40"/>
      <c r="R861" s="13" t="b">
        <f aca="false">FALSE()</f>
        <v>0</v>
      </c>
      <c r="S861" s="13" t="n">
        <v>0</v>
      </c>
      <c r="T861" s="13" t="n">
        <f aca="false">S861*F861</f>
        <v>0</v>
      </c>
      <c r="U861" s="13" t="n">
        <v>0</v>
      </c>
      <c r="V861" s="13" t="n">
        <v>0</v>
      </c>
    </row>
    <row r="862" customFormat="false" ht="15.75" hidden="false" customHeight="false" outlineLevel="0" collapsed="false">
      <c r="A862" s="13" t="n">
        <v>0</v>
      </c>
      <c r="B862" s="13" t="str">
        <v/>
      </c>
      <c r="C862" s="13" t="n">
        <v>0</v>
      </c>
      <c r="D862" s="13" t="n">
        <v>0</v>
      </c>
      <c r="E862" s="13" t="str">
        <v/>
      </c>
      <c r="F862" s="13" t="n">
        <v>0</v>
      </c>
      <c r="G862" s="13" t="n">
        <v>0</v>
      </c>
      <c r="H862" s="13" t="n">
        <v>0</v>
      </c>
      <c r="I862" s="13" t="n">
        <v>0</v>
      </c>
      <c r="J862" s="13" t="b">
        <f aca="false">IF(ISBLANK(I862),"", IF($I$2:$I1859 = "Gohar Rehan","Overnight",IF($I$2:$I1859 = "Taufeeq Akhtar ","Overnight",IF($I$2:$I1859 = "Zeeshan Ali Malik","Audit",IF($I$2:$I1859 = "Ali Raza ","Receiving",IF($I$2:$I1859 = "Ali Ahmad","Full-In"))))))</f>
        <v>0</v>
      </c>
      <c r="K862" s="39" t="e">
        <f aca="false">IFERROR(VLOOKUP(D862,'Brand manager data '!A:B,2,0))</f>
        <v>#VALUE!</v>
      </c>
      <c r="L862" s="13" t="n">
        <v>0</v>
      </c>
      <c r="M862" s="13" t="str">
        <v>Yes</v>
      </c>
      <c r="N862" s="22"/>
      <c r="Q862" s="40"/>
      <c r="R862" s="13" t="b">
        <f aca="false">FALSE()</f>
        <v>0</v>
      </c>
      <c r="S862" s="13" t="n">
        <v>0</v>
      </c>
      <c r="T862" s="13" t="n">
        <f aca="false">S862*F862</f>
        <v>0</v>
      </c>
      <c r="U862" s="13" t="n">
        <v>0</v>
      </c>
      <c r="V862" s="13" t="n">
        <v>0</v>
      </c>
    </row>
    <row r="863" customFormat="false" ht="15.75" hidden="false" customHeight="false" outlineLevel="0" collapsed="false">
      <c r="A863" s="13" t="n">
        <v>0</v>
      </c>
      <c r="B863" s="13" t="str">
        <v/>
      </c>
      <c r="C863" s="13" t="n">
        <v>0</v>
      </c>
      <c r="D863" s="13" t="n">
        <v>0</v>
      </c>
      <c r="E863" s="13" t="str">
        <v/>
      </c>
      <c r="F863" s="13" t="n">
        <v>0</v>
      </c>
      <c r="G863" s="13" t="n">
        <v>0</v>
      </c>
      <c r="H863" s="13" t="n">
        <v>0</v>
      </c>
      <c r="I863" s="13" t="n">
        <v>0</v>
      </c>
      <c r="J863" s="13" t="b">
        <f aca="false">IF(ISBLANK(I863),"", IF($I$2:$I1860 = "Gohar Rehan","Overnight",IF($I$2:$I1860 = "Taufeeq Akhtar ","Overnight",IF($I$2:$I1860 = "Zeeshan Ali Malik","Audit",IF($I$2:$I1860 = "Ali Raza ","Receiving",IF($I$2:$I1860 = "Ali Ahmad","Full-In"))))))</f>
        <v>0</v>
      </c>
      <c r="K863" s="39" t="e">
        <f aca="false">IFERROR(VLOOKUP(D863,'Brand manager data '!A:B,2,0))</f>
        <v>#VALUE!</v>
      </c>
      <c r="L863" s="13" t="n">
        <v>0</v>
      </c>
      <c r="M863" s="13" t="str">
        <v>Yes</v>
      </c>
      <c r="N863" s="22"/>
      <c r="Q863" s="40"/>
      <c r="R863" s="13" t="b">
        <f aca="false">FALSE()</f>
        <v>0</v>
      </c>
      <c r="S863" s="13" t="n">
        <v>0</v>
      </c>
      <c r="T863" s="13" t="n">
        <f aca="false">S863*F863</f>
        <v>0</v>
      </c>
      <c r="U863" s="13" t="n">
        <v>0</v>
      </c>
      <c r="V863" s="13" t="n">
        <v>0</v>
      </c>
    </row>
    <row r="864" customFormat="false" ht="15.75" hidden="false" customHeight="false" outlineLevel="0" collapsed="false">
      <c r="A864" s="13" t="n">
        <v>0</v>
      </c>
      <c r="B864" s="13" t="str">
        <v/>
      </c>
      <c r="C864" s="13" t="n">
        <v>0</v>
      </c>
      <c r="D864" s="13" t="n">
        <v>0</v>
      </c>
      <c r="E864" s="13" t="str">
        <v/>
      </c>
      <c r="F864" s="13" t="n">
        <v>0</v>
      </c>
      <c r="G864" s="13" t="n">
        <v>0</v>
      </c>
      <c r="H864" s="13" t="n">
        <v>0</v>
      </c>
      <c r="I864" s="13" t="n">
        <v>0</v>
      </c>
      <c r="J864" s="13" t="b">
        <f aca="false">IF(ISBLANK(I864),"", IF($I$2:$I1861 = "Gohar Rehan","Overnight",IF($I$2:$I1861 = "Taufeeq Akhtar ","Overnight",IF($I$2:$I1861 = "Zeeshan Ali Malik","Audit",IF($I$2:$I1861 = "Ali Raza ","Receiving",IF($I$2:$I1861 = "Ali Ahmad","Full-In"))))))</f>
        <v>0</v>
      </c>
      <c r="K864" s="39" t="e">
        <f aca="false">IFERROR(VLOOKUP(D864,'Brand manager data '!A:B,2,0))</f>
        <v>#VALUE!</v>
      </c>
      <c r="L864" s="13" t="n">
        <v>0</v>
      </c>
      <c r="M864" s="13" t="str">
        <v>Yes</v>
      </c>
      <c r="N864" s="22"/>
      <c r="Q864" s="40"/>
      <c r="R864" s="13" t="b">
        <f aca="false">FALSE()</f>
        <v>0</v>
      </c>
      <c r="S864" s="13" t="n">
        <v>0</v>
      </c>
      <c r="T864" s="13" t="n">
        <f aca="false">S864*F864</f>
        <v>0</v>
      </c>
      <c r="U864" s="13" t="n">
        <v>0</v>
      </c>
      <c r="V864" s="13" t="n">
        <v>0</v>
      </c>
    </row>
    <row r="865" customFormat="false" ht="15.75" hidden="false" customHeight="false" outlineLevel="0" collapsed="false">
      <c r="A865" s="13" t="n">
        <v>0</v>
      </c>
      <c r="B865" s="13" t="str">
        <v/>
      </c>
      <c r="C865" s="13" t="n">
        <v>0</v>
      </c>
      <c r="D865" s="13" t="n">
        <v>0</v>
      </c>
      <c r="E865" s="13" t="str">
        <v/>
      </c>
      <c r="F865" s="13" t="n">
        <v>0</v>
      </c>
      <c r="G865" s="13" t="n">
        <v>0</v>
      </c>
      <c r="H865" s="13" t="n">
        <v>0</v>
      </c>
      <c r="I865" s="13" t="n">
        <v>0</v>
      </c>
      <c r="J865" s="13" t="b">
        <f aca="false">IF(ISBLANK(I865),"", IF($I$2:$I1862 = "Gohar Rehan","Overnight",IF($I$2:$I1862 = "Taufeeq Akhtar ","Overnight",IF($I$2:$I1862 = "Zeeshan Ali Malik","Audit",IF($I$2:$I1862 = "Ali Raza ","Receiving",IF($I$2:$I1862 = "Ali Ahmad","Full-In"))))))</f>
        <v>0</v>
      </c>
      <c r="K865" s="39" t="e">
        <f aca="false">IFERROR(VLOOKUP(D865,'Brand manager data '!A:B,2,0))</f>
        <v>#VALUE!</v>
      </c>
      <c r="L865" s="13" t="n">
        <v>0</v>
      </c>
      <c r="M865" s="13" t="str">
        <v>Yes</v>
      </c>
      <c r="N865" s="22"/>
      <c r="Q865" s="40"/>
      <c r="R865" s="13" t="b">
        <f aca="false">FALSE()</f>
        <v>0</v>
      </c>
      <c r="S865" s="13" t="n">
        <v>0</v>
      </c>
      <c r="T865" s="13" t="n">
        <f aca="false">S865*F865</f>
        <v>0</v>
      </c>
      <c r="U865" s="13" t="n">
        <v>0</v>
      </c>
      <c r="V865" s="13" t="n">
        <v>0</v>
      </c>
    </row>
    <row r="866" customFormat="false" ht="15.75" hidden="false" customHeight="false" outlineLevel="0" collapsed="false">
      <c r="A866" s="13" t="n">
        <v>0</v>
      </c>
      <c r="B866" s="13" t="str">
        <v/>
      </c>
      <c r="C866" s="13" t="n">
        <v>0</v>
      </c>
      <c r="D866" s="13" t="n">
        <v>0</v>
      </c>
      <c r="E866" s="13" t="str">
        <v/>
      </c>
      <c r="F866" s="13" t="n">
        <v>0</v>
      </c>
      <c r="G866" s="13" t="n">
        <v>0</v>
      </c>
      <c r="H866" s="13" t="n">
        <v>0</v>
      </c>
      <c r="I866" s="13" t="n">
        <v>0</v>
      </c>
      <c r="J866" s="13" t="b">
        <f aca="false">IF(ISBLANK(I866),"", IF($I$2:$I1863 = "Gohar Rehan","Overnight",IF($I$2:$I1863 = "Taufeeq Akhtar ","Overnight",IF($I$2:$I1863 = "Zeeshan Ali Malik","Audit",IF($I$2:$I1863 = "Ali Raza ","Receiving",IF($I$2:$I1863 = "Ali Ahmad","Full-In"))))))</f>
        <v>0</v>
      </c>
      <c r="K866" s="39" t="e">
        <f aca="false">IFERROR(VLOOKUP(D866,'Brand manager data '!A:B,2,0))</f>
        <v>#VALUE!</v>
      </c>
      <c r="L866" s="13" t="n">
        <v>0</v>
      </c>
      <c r="M866" s="13" t="str">
        <v>Yes</v>
      </c>
      <c r="N866" s="22"/>
      <c r="Q866" s="40"/>
      <c r="R866" s="13" t="b">
        <f aca="false">FALSE()</f>
        <v>0</v>
      </c>
      <c r="S866" s="13" t="n">
        <v>0</v>
      </c>
      <c r="T866" s="13" t="n">
        <f aca="false">S866*F866</f>
        <v>0</v>
      </c>
      <c r="U866" s="13" t="n">
        <v>0</v>
      </c>
      <c r="V866" s="13" t="n">
        <v>0</v>
      </c>
    </row>
    <row r="867" customFormat="false" ht="15.75" hidden="false" customHeight="false" outlineLevel="0" collapsed="false">
      <c r="A867" s="13" t="n">
        <v>0</v>
      </c>
      <c r="B867" s="13" t="str">
        <v/>
      </c>
      <c r="C867" s="13" t="n">
        <v>0</v>
      </c>
      <c r="D867" s="13" t="n">
        <v>0</v>
      </c>
      <c r="E867" s="13" t="str">
        <v/>
      </c>
      <c r="F867" s="13" t="n">
        <v>0</v>
      </c>
      <c r="G867" s="13" t="n">
        <v>0</v>
      </c>
      <c r="H867" s="13" t="n">
        <v>0</v>
      </c>
      <c r="I867" s="13" t="n">
        <v>0</v>
      </c>
      <c r="J867" s="13" t="b">
        <f aca="false">IF(ISBLANK(I867),"", IF($I$2:$I1864 = "Gohar Rehan","Overnight",IF($I$2:$I1864 = "Taufeeq Akhtar ","Overnight",IF($I$2:$I1864 = "Zeeshan Ali Malik","Audit",IF($I$2:$I1864 = "Ali Raza ","Receiving",IF($I$2:$I1864 = "Ali Ahmad","Full-In"))))))</f>
        <v>0</v>
      </c>
      <c r="K867" s="39" t="e">
        <f aca="false">IFERROR(VLOOKUP(D867,'Brand manager data '!A:B,2,0))</f>
        <v>#VALUE!</v>
      </c>
      <c r="L867" s="13" t="n">
        <v>0</v>
      </c>
      <c r="M867" s="13" t="str">
        <v>Yes</v>
      </c>
      <c r="N867" s="22"/>
      <c r="Q867" s="40"/>
      <c r="R867" s="13" t="b">
        <f aca="false">FALSE()</f>
        <v>0</v>
      </c>
      <c r="S867" s="13" t="n">
        <v>0</v>
      </c>
      <c r="T867" s="13" t="n">
        <f aca="false">S867*F867</f>
        <v>0</v>
      </c>
      <c r="U867" s="13" t="n">
        <v>0</v>
      </c>
      <c r="V867" s="13" t="n">
        <v>0</v>
      </c>
    </row>
    <row r="868" customFormat="false" ht="15.75" hidden="false" customHeight="false" outlineLevel="0" collapsed="false">
      <c r="A868" s="13" t="n">
        <v>0</v>
      </c>
      <c r="B868" s="13" t="str">
        <v/>
      </c>
      <c r="C868" s="13" t="n">
        <v>0</v>
      </c>
      <c r="D868" s="13" t="n">
        <v>0</v>
      </c>
      <c r="E868" s="13" t="str">
        <v/>
      </c>
      <c r="F868" s="13" t="n">
        <v>0</v>
      </c>
      <c r="G868" s="13" t="n">
        <v>0</v>
      </c>
      <c r="H868" s="13" t="n">
        <v>0</v>
      </c>
      <c r="I868" s="13" t="n">
        <v>0</v>
      </c>
      <c r="J868" s="13" t="b">
        <f aca="false">IF(ISBLANK(I868),"", IF($I$2:$I1865 = "Gohar Rehan","Overnight",IF($I$2:$I1865 = "Taufeeq Akhtar ","Overnight",IF($I$2:$I1865 = "Zeeshan Ali Malik","Audit",IF($I$2:$I1865 = "Ali Raza ","Receiving",IF($I$2:$I1865 = "Ali Ahmad","Full-In"))))))</f>
        <v>0</v>
      </c>
      <c r="K868" s="39" t="e">
        <f aca="false">IFERROR(VLOOKUP(D868,'Brand manager data '!A:B,2,0))</f>
        <v>#VALUE!</v>
      </c>
      <c r="L868" s="13" t="n">
        <v>0</v>
      </c>
      <c r="M868" s="13" t="str">
        <v>Yes</v>
      </c>
      <c r="N868" s="22"/>
      <c r="Q868" s="40"/>
      <c r="R868" s="13" t="b">
        <f aca="false">FALSE()</f>
        <v>0</v>
      </c>
      <c r="S868" s="13" t="n">
        <v>0</v>
      </c>
      <c r="T868" s="13" t="n">
        <f aca="false">S868*F868</f>
        <v>0</v>
      </c>
      <c r="U868" s="13" t="n">
        <v>0</v>
      </c>
      <c r="V868" s="13" t="n">
        <v>0</v>
      </c>
    </row>
    <row r="869" customFormat="false" ht="15.75" hidden="false" customHeight="false" outlineLevel="0" collapsed="false">
      <c r="A869" s="13" t="n">
        <v>0</v>
      </c>
      <c r="B869" s="13" t="str">
        <v/>
      </c>
      <c r="C869" s="13" t="n">
        <v>0</v>
      </c>
      <c r="D869" s="13" t="n">
        <v>0</v>
      </c>
      <c r="E869" s="13" t="str">
        <v/>
      </c>
      <c r="F869" s="13" t="n">
        <v>0</v>
      </c>
      <c r="G869" s="13" t="n">
        <v>0</v>
      </c>
      <c r="H869" s="13" t="n">
        <v>0</v>
      </c>
      <c r="I869" s="13" t="n">
        <v>0</v>
      </c>
      <c r="J869" s="13" t="b">
        <f aca="false">IF(ISBLANK(I869),"", IF($I$2:$I1866 = "Gohar Rehan","Overnight",IF($I$2:$I1866 = "Taufeeq Akhtar ","Overnight",IF($I$2:$I1866 = "Zeeshan Ali Malik","Audit",IF($I$2:$I1866 = "Ali Raza ","Receiving",IF($I$2:$I1866 = "Ali Ahmad","Full-In"))))))</f>
        <v>0</v>
      </c>
      <c r="K869" s="39" t="e">
        <f aca="false">IFERROR(VLOOKUP(D869,'Brand manager data '!A:B,2,0))</f>
        <v>#VALUE!</v>
      </c>
      <c r="L869" s="13" t="n">
        <v>0</v>
      </c>
      <c r="M869" s="13" t="str">
        <v>Yes</v>
      </c>
      <c r="N869" s="22"/>
      <c r="Q869" s="40"/>
      <c r="R869" s="13" t="b">
        <f aca="false">FALSE()</f>
        <v>0</v>
      </c>
      <c r="S869" s="13" t="n">
        <v>0</v>
      </c>
      <c r="T869" s="13" t="n">
        <f aca="false">S869*F869</f>
        <v>0</v>
      </c>
      <c r="U869" s="13" t="n">
        <v>0</v>
      </c>
      <c r="V869" s="13" t="n">
        <v>0</v>
      </c>
    </row>
    <row r="870" customFormat="false" ht="15.75" hidden="false" customHeight="false" outlineLevel="0" collapsed="false">
      <c r="A870" s="13" t="n">
        <v>0</v>
      </c>
      <c r="B870" s="13" t="str">
        <v/>
      </c>
      <c r="C870" s="13" t="n">
        <v>0</v>
      </c>
      <c r="D870" s="13" t="n">
        <v>0</v>
      </c>
      <c r="E870" s="13" t="str">
        <v/>
      </c>
      <c r="F870" s="13" t="n">
        <v>0</v>
      </c>
      <c r="G870" s="13" t="n">
        <v>0</v>
      </c>
      <c r="H870" s="13" t="n">
        <v>0</v>
      </c>
      <c r="I870" s="13" t="n">
        <v>0</v>
      </c>
      <c r="J870" s="13" t="b">
        <f aca="false">IF(ISBLANK(I870),"", IF($I$2:$I1867 = "Gohar Rehan","Overnight",IF($I$2:$I1867 = "Taufeeq Akhtar ","Overnight",IF($I$2:$I1867 = "Zeeshan Ali Malik","Audit",IF($I$2:$I1867 = "Ali Raza ","Receiving",IF($I$2:$I1867 = "Ali Ahmad","Full-In"))))))</f>
        <v>0</v>
      </c>
      <c r="K870" s="39" t="e">
        <f aca="false">IFERROR(VLOOKUP(D870,'Brand manager data '!A:B,2,0))</f>
        <v>#VALUE!</v>
      </c>
      <c r="L870" s="13" t="n">
        <v>0</v>
      </c>
      <c r="M870" s="13" t="str">
        <v>Yes</v>
      </c>
      <c r="N870" s="22"/>
      <c r="Q870" s="40"/>
      <c r="R870" s="13" t="b">
        <f aca="false">FALSE()</f>
        <v>0</v>
      </c>
      <c r="S870" s="13" t="n">
        <v>0</v>
      </c>
      <c r="T870" s="13" t="n">
        <f aca="false">S870*F870</f>
        <v>0</v>
      </c>
      <c r="U870" s="13" t="n">
        <v>0</v>
      </c>
      <c r="V870" s="13" t="n">
        <v>0</v>
      </c>
    </row>
    <row r="871" customFormat="false" ht="15.75" hidden="false" customHeight="false" outlineLevel="0" collapsed="false">
      <c r="A871" s="13" t="n">
        <v>0</v>
      </c>
      <c r="B871" s="13" t="str">
        <v/>
      </c>
      <c r="C871" s="13" t="n">
        <v>0</v>
      </c>
      <c r="D871" s="13" t="n">
        <v>0</v>
      </c>
      <c r="E871" s="13" t="str">
        <v/>
      </c>
      <c r="F871" s="13" t="n">
        <v>0</v>
      </c>
      <c r="G871" s="13" t="n">
        <v>0</v>
      </c>
      <c r="H871" s="13" t="n">
        <v>0</v>
      </c>
      <c r="I871" s="13" t="n">
        <v>0</v>
      </c>
      <c r="J871" s="13" t="b">
        <f aca="false">IF(ISBLANK(I871),"", IF($I$2:$I1868 = "Gohar Rehan","Overnight",IF($I$2:$I1868 = "Taufeeq Akhtar ","Overnight",IF($I$2:$I1868 = "Zeeshan Ali Malik","Audit",IF($I$2:$I1868 = "Ali Raza ","Receiving",IF($I$2:$I1868 = "Ali Ahmad","Full-In"))))))</f>
        <v>0</v>
      </c>
      <c r="K871" s="39" t="e">
        <f aca="false">IFERROR(VLOOKUP(D871,'Brand manager data '!A:B,2,0))</f>
        <v>#VALUE!</v>
      </c>
      <c r="L871" s="13" t="n">
        <v>0</v>
      </c>
      <c r="M871" s="13" t="str">
        <v>Yes</v>
      </c>
      <c r="N871" s="22"/>
      <c r="Q871" s="40"/>
      <c r="R871" s="13" t="b">
        <f aca="false">FALSE()</f>
        <v>0</v>
      </c>
      <c r="S871" s="13" t="n">
        <v>0</v>
      </c>
      <c r="T871" s="13" t="n">
        <f aca="false">S871*F871</f>
        <v>0</v>
      </c>
      <c r="U871" s="13" t="n">
        <v>0</v>
      </c>
      <c r="V871" s="13" t="n">
        <v>0</v>
      </c>
    </row>
    <row r="872" customFormat="false" ht="15.75" hidden="false" customHeight="false" outlineLevel="0" collapsed="false">
      <c r="A872" s="13" t="n">
        <v>0</v>
      </c>
      <c r="B872" s="13" t="str">
        <v/>
      </c>
      <c r="C872" s="13" t="n">
        <v>0</v>
      </c>
      <c r="D872" s="13" t="n">
        <v>0</v>
      </c>
      <c r="E872" s="13" t="str">
        <v/>
      </c>
      <c r="F872" s="13" t="n">
        <v>0</v>
      </c>
      <c r="G872" s="13" t="n">
        <v>0</v>
      </c>
      <c r="H872" s="13" t="n">
        <v>0</v>
      </c>
      <c r="I872" s="13" t="n">
        <v>0</v>
      </c>
      <c r="J872" s="13" t="b">
        <f aca="false">IF(ISBLANK(I872),"", IF($I$2:$I1869 = "Gohar Rehan","Overnight",IF($I$2:$I1869 = "Taufeeq Akhtar ","Overnight",IF($I$2:$I1869 = "Zeeshan Ali Malik","Audit",IF($I$2:$I1869 = "Ali Raza ","Receiving",IF($I$2:$I1869 = "Ali Ahmad","Full-In"))))))</f>
        <v>0</v>
      </c>
      <c r="K872" s="39" t="e">
        <f aca="false">IFERROR(VLOOKUP(D872,'Brand manager data '!A:B,2,0))</f>
        <v>#VALUE!</v>
      </c>
      <c r="L872" s="13" t="n">
        <v>0</v>
      </c>
      <c r="M872" s="13" t="str">
        <v>Yes</v>
      </c>
      <c r="N872" s="22"/>
      <c r="Q872" s="40"/>
      <c r="R872" s="13" t="b">
        <f aca="false">FALSE()</f>
        <v>0</v>
      </c>
      <c r="S872" s="13" t="n">
        <v>0</v>
      </c>
      <c r="T872" s="13" t="n">
        <f aca="false">S872*F872</f>
        <v>0</v>
      </c>
      <c r="U872" s="13" t="n">
        <v>0</v>
      </c>
      <c r="V872" s="13" t="n">
        <v>0</v>
      </c>
    </row>
    <row r="873" customFormat="false" ht="15.75" hidden="false" customHeight="false" outlineLevel="0" collapsed="false">
      <c r="A873" s="13" t="n">
        <v>0</v>
      </c>
      <c r="B873" s="13" t="str">
        <v/>
      </c>
      <c r="C873" s="13" t="n">
        <v>0</v>
      </c>
      <c r="D873" s="13" t="n">
        <v>0</v>
      </c>
      <c r="E873" s="13" t="str">
        <v/>
      </c>
      <c r="F873" s="13" t="n">
        <v>0</v>
      </c>
      <c r="G873" s="13" t="n">
        <v>0</v>
      </c>
      <c r="H873" s="13" t="n">
        <v>0</v>
      </c>
      <c r="I873" s="13" t="n">
        <v>0</v>
      </c>
      <c r="J873" s="13" t="b">
        <f aca="false">IF(ISBLANK(I873),"", IF($I$2:$I1870 = "Gohar Rehan","Overnight",IF($I$2:$I1870 = "Taufeeq Akhtar ","Overnight",IF($I$2:$I1870 = "Zeeshan Ali Malik","Audit",IF($I$2:$I1870 = "Ali Raza ","Receiving",IF($I$2:$I1870 = "Ali Ahmad","Full-In"))))))</f>
        <v>0</v>
      </c>
      <c r="K873" s="39" t="e">
        <f aca="false">IFERROR(VLOOKUP(D873,'Brand manager data '!A:B,2,0))</f>
        <v>#VALUE!</v>
      </c>
      <c r="L873" s="13" t="n">
        <v>0</v>
      </c>
      <c r="M873" s="13" t="str">
        <v>Yes</v>
      </c>
      <c r="N873" s="22"/>
      <c r="Q873" s="40"/>
      <c r="R873" s="13" t="b">
        <f aca="false">FALSE()</f>
        <v>0</v>
      </c>
      <c r="S873" s="13" t="n">
        <v>0</v>
      </c>
      <c r="T873" s="13" t="n">
        <f aca="false">S873*F873</f>
        <v>0</v>
      </c>
      <c r="U873" s="13" t="n">
        <v>0</v>
      </c>
      <c r="V873" s="13" t="n">
        <v>0</v>
      </c>
    </row>
    <row r="874" customFormat="false" ht="15.75" hidden="false" customHeight="false" outlineLevel="0" collapsed="false">
      <c r="A874" s="13" t="n">
        <v>0</v>
      </c>
      <c r="B874" s="13" t="str">
        <v/>
      </c>
      <c r="C874" s="13" t="n">
        <v>0</v>
      </c>
      <c r="D874" s="13" t="n">
        <v>0</v>
      </c>
      <c r="E874" s="13" t="str">
        <v/>
      </c>
      <c r="F874" s="13" t="n">
        <v>0</v>
      </c>
      <c r="G874" s="13" t="n">
        <v>0</v>
      </c>
      <c r="H874" s="13" t="n">
        <v>0</v>
      </c>
      <c r="I874" s="13" t="n">
        <v>0</v>
      </c>
      <c r="J874" s="13" t="b">
        <f aca="false">IF(ISBLANK(I874),"", IF($I$2:$I1871 = "Gohar Rehan","Overnight",IF($I$2:$I1871 = "Taufeeq Akhtar ","Overnight",IF($I$2:$I1871 = "Zeeshan Ali Malik","Audit",IF($I$2:$I1871 = "Ali Raza ","Receiving",IF($I$2:$I1871 = "Ali Ahmad","Full-In"))))))</f>
        <v>0</v>
      </c>
      <c r="K874" s="39" t="e">
        <f aca="false">IFERROR(VLOOKUP(D874,'Brand manager data '!A:B,2,0))</f>
        <v>#VALUE!</v>
      </c>
      <c r="L874" s="13" t="n">
        <v>0</v>
      </c>
      <c r="M874" s="13" t="str">
        <v>Yes</v>
      </c>
      <c r="N874" s="22"/>
      <c r="Q874" s="40"/>
      <c r="R874" s="13" t="b">
        <f aca="false">FALSE()</f>
        <v>0</v>
      </c>
      <c r="S874" s="13" t="n">
        <v>0</v>
      </c>
      <c r="T874" s="13" t="n">
        <f aca="false">S874*F874</f>
        <v>0</v>
      </c>
      <c r="U874" s="13" t="n">
        <v>0</v>
      </c>
      <c r="V874" s="13" t="n">
        <v>0</v>
      </c>
    </row>
    <row r="875" customFormat="false" ht="15.75" hidden="false" customHeight="false" outlineLevel="0" collapsed="false">
      <c r="A875" s="13" t="n">
        <v>0</v>
      </c>
      <c r="B875" s="13" t="str">
        <v/>
      </c>
      <c r="C875" s="13" t="n">
        <v>0</v>
      </c>
      <c r="D875" s="13" t="n">
        <v>0</v>
      </c>
      <c r="E875" s="13" t="str">
        <v/>
      </c>
      <c r="F875" s="13" t="n">
        <v>0</v>
      </c>
      <c r="G875" s="13" t="n">
        <v>0</v>
      </c>
      <c r="H875" s="13" t="n">
        <v>0</v>
      </c>
      <c r="I875" s="13" t="n">
        <v>0</v>
      </c>
      <c r="J875" s="13" t="b">
        <f aca="false">IF(ISBLANK(I875),"", IF($I$2:$I1872 = "Gohar Rehan","Overnight",IF($I$2:$I1872 = "Taufeeq Akhtar ","Overnight",IF($I$2:$I1872 = "Zeeshan Ali Malik","Audit",IF($I$2:$I1872 = "Ali Raza ","Receiving",IF($I$2:$I1872 = "Ali Ahmad","Full-In"))))))</f>
        <v>0</v>
      </c>
      <c r="K875" s="39" t="e">
        <f aca="false">IFERROR(VLOOKUP(D875,'Brand manager data '!A:B,2,0))</f>
        <v>#VALUE!</v>
      </c>
      <c r="L875" s="13" t="n">
        <v>0</v>
      </c>
      <c r="M875" s="13" t="str">
        <v>Yes</v>
      </c>
      <c r="N875" s="22"/>
      <c r="Q875" s="40"/>
      <c r="R875" s="13" t="b">
        <f aca="false">FALSE()</f>
        <v>0</v>
      </c>
      <c r="S875" s="13" t="n">
        <v>0</v>
      </c>
      <c r="T875" s="13" t="n">
        <f aca="false">S875*F875</f>
        <v>0</v>
      </c>
      <c r="U875" s="13" t="n">
        <v>0</v>
      </c>
      <c r="V875" s="13" t="n">
        <v>0</v>
      </c>
    </row>
    <row r="876" customFormat="false" ht="15.75" hidden="false" customHeight="false" outlineLevel="0" collapsed="false">
      <c r="A876" s="13" t="n">
        <v>0</v>
      </c>
      <c r="B876" s="13" t="str">
        <v/>
      </c>
      <c r="C876" s="13" t="n">
        <v>0</v>
      </c>
      <c r="D876" s="13" t="n">
        <v>0</v>
      </c>
      <c r="E876" s="13" t="str">
        <v/>
      </c>
      <c r="F876" s="13" t="n">
        <v>0</v>
      </c>
      <c r="G876" s="13" t="n">
        <v>0</v>
      </c>
      <c r="H876" s="13" t="n">
        <v>0</v>
      </c>
      <c r="I876" s="13" t="n">
        <v>0</v>
      </c>
      <c r="J876" s="13" t="b">
        <f aca="false">IF(ISBLANK(I876),"", IF($I$2:$I1873 = "Gohar Rehan","Overnight",IF($I$2:$I1873 = "Taufeeq Akhtar ","Overnight",IF($I$2:$I1873 = "Zeeshan Ali Malik","Audit",IF($I$2:$I1873 = "Ali Raza ","Receiving",IF($I$2:$I1873 = "Ali Ahmad","Full-In"))))))</f>
        <v>0</v>
      </c>
      <c r="K876" s="39" t="e">
        <f aca="false">IFERROR(VLOOKUP(D876,'Brand manager data '!A:B,2,0))</f>
        <v>#VALUE!</v>
      </c>
      <c r="L876" s="13" t="n">
        <v>0</v>
      </c>
      <c r="M876" s="13" t="str">
        <v>Yes</v>
      </c>
      <c r="N876" s="22"/>
      <c r="Q876" s="40"/>
      <c r="R876" s="13" t="b">
        <f aca="false">FALSE()</f>
        <v>0</v>
      </c>
      <c r="S876" s="13" t="n">
        <v>0</v>
      </c>
      <c r="T876" s="13" t="n">
        <f aca="false">S876*F876</f>
        <v>0</v>
      </c>
      <c r="U876" s="13" t="n">
        <v>0</v>
      </c>
      <c r="V876" s="13" t="n">
        <v>0</v>
      </c>
    </row>
    <row r="877" customFormat="false" ht="15.75" hidden="false" customHeight="false" outlineLevel="0" collapsed="false">
      <c r="A877" s="13" t="n">
        <v>0</v>
      </c>
      <c r="B877" s="13" t="str">
        <v/>
      </c>
      <c r="C877" s="13" t="n">
        <v>0</v>
      </c>
      <c r="D877" s="13" t="n">
        <v>0</v>
      </c>
      <c r="E877" s="13" t="str">
        <v/>
      </c>
      <c r="F877" s="13" t="n">
        <v>0</v>
      </c>
      <c r="G877" s="13" t="n">
        <v>0</v>
      </c>
      <c r="H877" s="13" t="n">
        <v>0</v>
      </c>
      <c r="I877" s="13" t="n">
        <v>0</v>
      </c>
      <c r="J877" s="13" t="b">
        <f aca="false">IF(ISBLANK(I877),"", IF($I$2:$I1874 = "Gohar Rehan","Overnight",IF($I$2:$I1874 = "Taufeeq Akhtar ","Overnight",IF($I$2:$I1874 = "Zeeshan Ali Malik","Audit",IF($I$2:$I1874 = "Ali Raza ","Receiving",IF($I$2:$I1874 = "Ali Ahmad","Full-In"))))))</f>
        <v>0</v>
      </c>
      <c r="K877" s="39" t="e">
        <f aca="false">IFERROR(VLOOKUP(D877,'Brand manager data '!A:B,2,0))</f>
        <v>#VALUE!</v>
      </c>
      <c r="L877" s="13" t="n">
        <v>0</v>
      </c>
      <c r="M877" s="13" t="str">
        <v>Yes</v>
      </c>
      <c r="N877" s="22"/>
      <c r="Q877" s="40"/>
      <c r="R877" s="13" t="b">
        <f aca="false">FALSE()</f>
        <v>0</v>
      </c>
      <c r="S877" s="13" t="n">
        <v>0</v>
      </c>
      <c r="T877" s="13" t="n">
        <f aca="false">S877*F877</f>
        <v>0</v>
      </c>
      <c r="U877" s="13" t="n">
        <v>0</v>
      </c>
      <c r="V877" s="13" t="n">
        <v>0</v>
      </c>
    </row>
    <row r="878" customFormat="false" ht="15.75" hidden="false" customHeight="false" outlineLevel="0" collapsed="false">
      <c r="A878" s="13" t="n">
        <v>0</v>
      </c>
      <c r="B878" s="13" t="str">
        <v/>
      </c>
      <c r="C878" s="13" t="n">
        <v>0</v>
      </c>
      <c r="D878" s="13" t="n">
        <v>0</v>
      </c>
      <c r="E878" s="13" t="str">
        <v/>
      </c>
      <c r="F878" s="13" t="n">
        <v>0</v>
      </c>
      <c r="G878" s="13" t="n">
        <v>0</v>
      </c>
      <c r="H878" s="13" t="n">
        <v>0</v>
      </c>
      <c r="I878" s="13" t="n">
        <v>0</v>
      </c>
      <c r="J878" s="13" t="b">
        <f aca="false">IF(ISBLANK(I878),"", IF($I$2:$I1875 = "Gohar Rehan","Overnight",IF($I$2:$I1875 = "Taufeeq Akhtar ","Overnight",IF($I$2:$I1875 = "Zeeshan Ali Malik","Audit",IF($I$2:$I1875 = "Ali Raza ","Receiving",IF($I$2:$I1875 = "Ali Ahmad","Full-In"))))))</f>
        <v>0</v>
      </c>
      <c r="K878" s="39" t="e">
        <f aca="false">IFERROR(VLOOKUP(D878,'Brand manager data '!A:B,2,0))</f>
        <v>#VALUE!</v>
      </c>
      <c r="L878" s="13" t="n">
        <v>0</v>
      </c>
      <c r="M878" s="13" t="str">
        <v>Yes</v>
      </c>
      <c r="N878" s="22"/>
      <c r="Q878" s="40"/>
      <c r="R878" s="13" t="b">
        <f aca="false">FALSE()</f>
        <v>0</v>
      </c>
      <c r="S878" s="13" t="n">
        <v>0</v>
      </c>
      <c r="T878" s="13" t="n">
        <f aca="false">S878*F878</f>
        <v>0</v>
      </c>
      <c r="U878" s="13" t="n">
        <v>0</v>
      </c>
      <c r="V878" s="13" t="n">
        <v>0</v>
      </c>
    </row>
    <row r="879" customFormat="false" ht="15.75" hidden="false" customHeight="false" outlineLevel="0" collapsed="false">
      <c r="A879" s="13" t="n">
        <v>0</v>
      </c>
      <c r="B879" s="13" t="str">
        <v/>
      </c>
      <c r="C879" s="13" t="n">
        <v>0</v>
      </c>
      <c r="D879" s="13" t="n">
        <v>0</v>
      </c>
      <c r="E879" s="13" t="str">
        <v/>
      </c>
      <c r="F879" s="13" t="n">
        <v>0</v>
      </c>
      <c r="G879" s="13" t="n">
        <v>0</v>
      </c>
      <c r="H879" s="13" t="n">
        <v>0</v>
      </c>
      <c r="I879" s="13" t="n">
        <v>0</v>
      </c>
      <c r="J879" s="13" t="b">
        <f aca="false">IF(ISBLANK(I879),"", IF($I$2:$I1876 = "Gohar Rehan","Overnight",IF($I$2:$I1876 = "Taufeeq Akhtar ","Overnight",IF($I$2:$I1876 = "Zeeshan Ali Malik","Audit",IF($I$2:$I1876 = "Ali Raza ","Receiving",IF($I$2:$I1876 = "Ali Ahmad","Full-In"))))))</f>
        <v>0</v>
      </c>
      <c r="K879" s="39" t="e">
        <f aca="false">IFERROR(VLOOKUP(D879,'Brand manager data '!A:B,2,0))</f>
        <v>#VALUE!</v>
      </c>
      <c r="L879" s="13" t="n">
        <v>0</v>
      </c>
      <c r="M879" s="13" t="str">
        <v>Yes</v>
      </c>
      <c r="N879" s="22"/>
      <c r="Q879" s="40"/>
      <c r="R879" s="13" t="b">
        <f aca="false">FALSE()</f>
        <v>0</v>
      </c>
      <c r="S879" s="13" t="n">
        <v>0</v>
      </c>
      <c r="T879" s="13" t="n">
        <f aca="false">S879*F879</f>
        <v>0</v>
      </c>
      <c r="U879" s="13" t="n">
        <v>0</v>
      </c>
      <c r="V879" s="13" t="n">
        <v>0</v>
      </c>
    </row>
    <row r="880" customFormat="false" ht="15.75" hidden="false" customHeight="false" outlineLevel="0" collapsed="false">
      <c r="A880" s="13" t="n">
        <v>0</v>
      </c>
      <c r="B880" s="13" t="str">
        <v/>
      </c>
      <c r="C880" s="13" t="n">
        <v>0</v>
      </c>
      <c r="D880" s="13" t="n">
        <v>0</v>
      </c>
      <c r="E880" s="13" t="str">
        <v/>
      </c>
      <c r="F880" s="13" t="n">
        <v>0</v>
      </c>
      <c r="G880" s="13" t="n">
        <v>0</v>
      </c>
      <c r="H880" s="13" t="n">
        <v>0</v>
      </c>
      <c r="I880" s="13" t="n">
        <v>0</v>
      </c>
      <c r="J880" s="13" t="b">
        <f aca="false">IF(ISBLANK(I880),"", IF($I$2:$I1877 = "Gohar Rehan","Overnight",IF($I$2:$I1877 = "Taufeeq Akhtar ","Overnight",IF($I$2:$I1877 = "Zeeshan Ali Malik","Audit",IF($I$2:$I1877 = "Ali Raza ","Receiving",IF($I$2:$I1877 = "Ali Ahmad","Full-In"))))))</f>
        <v>0</v>
      </c>
      <c r="K880" s="39" t="e">
        <f aca="false">IFERROR(VLOOKUP(D880,'Brand manager data '!A:B,2,0))</f>
        <v>#VALUE!</v>
      </c>
      <c r="L880" s="13" t="n">
        <v>0</v>
      </c>
      <c r="M880" s="13" t="str">
        <v>Yes</v>
      </c>
      <c r="N880" s="22"/>
      <c r="Q880" s="40"/>
      <c r="R880" s="13" t="b">
        <f aca="false">FALSE()</f>
        <v>0</v>
      </c>
      <c r="S880" s="13" t="n">
        <v>0</v>
      </c>
      <c r="T880" s="13" t="n">
        <f aca="false">S880*F880</f>
        <v>0</v>
      </c>
      <c r="U880" s="13" t="n">
        <v>0</v>
      </c>
      <c r="V880" s="13" t="n">
        <v>0</v>
      </c>
    </row>
    <row r="881" customFormat="false" ht="15.75" hidden="false" customHeight="false" outlineLevel="0" collapsed="false">
      <c r="A881" s="13" t="n">
        <v>0</v>
      </c>
      <c r="B881" s="13" t="str">
        <v/>
      </c>
      <c r="C881" s="13" t="n">
        <v>0</v>
      </c>
      <c r="D881" s="13" t="n">
        <v>0</v>
      </c>
      <c r="E881" s="13" t="str">
        <v/>
      </c>
      <c r="F881" s="13" t="n">
        <v>0</v>
      </c>
      <c r="G881" s="13" t="n">
        <v>0</v>
      </c>
      <c r="H881" s="13" t="n">
        <v>0</v>
      </c>
      <c r="I881" s="13" t="n">
        <v>0</v>
      </c>
      <c r="J881" s="13" t="b">
        <f aca="false">IF(ISBLANK(I881),"", IF($I$2:$I1878 = "Gohar Rehan","Overnight",IF($I$2:$I1878 = "Taufeeq Akhtar ","Overnight",IF($I$2:$I1878 = "Zeeshan Ali Malik","Audit",IF($I$2:$I1878 = "Ali Raza ","Receiving",IF($I$2:$I1878 = "Ali Ahmad","Full-In"))))))</f>
        <v>0</v>
      </c>
      <c r="K881" s="39" t="e">
        <f aca="false">IFERROR(VLOOKUP(D881,'Brand manager data '!A:B,2,0))</f>
        <v>#VALUE!</v>
      </c>
      <c r="L881" s="13" t="n">
        <v>0</v>
      </c>
      <c r="M881" s="13" t="str">
        <v>Yes</v>
      </c>
      <c r="N881" s="22"/>
      <c r="Q881" s="40"/>
      <c r="R881" s="13" t="b">
        <f aca="false">FALSE()</f>
        <v>0</v>
      </c>
      <c r="S881" s="13" t="n">
        <v>0</v>
      </c>
      <c r="T881" s="13" t="n">
        <f aca="false">S881*F881</f>
        <v>0</v>
      </c>
      <c r="U881" s="13" t="n">
        <v>0</v>
      </c>
      <c r="V881" s="13" t="n">
        <v>0</v>
      </c>
    </row>
    <row r="882" customFormat="false" ht="15.75" hidden="false" customHeight="false" outlineLevel="0" collapsed="false">
      <c r="A882" s="13" t="n">
        <v>0</v>
      </c>
      <c r="B882" s="13" t="str">
        <v/>
      </c>
      <c r="C882" s="13" t="n">
        <v>0</v>
      </c>
      <c r="D882" s="13" t="n">
        <v>0</v>
      </c>
      <c r="E882" s="13" t="str">
        <v/>
      </c>
      <c r="F882" s="13" t="n">
        <v>0</v>
      </c>
      <c r="G882" s="13" t="n">
        <v>0</v>
      </c>
      <c r="H882" s="13" t="n">
        <v>0</v>
      </c>
      <c r="I882" s="13" t="n">
        <v>0</v>
      </c>
      <c r="J882" s="13" t="b">
        <f aca="false">IF(ISBLANK(I882),"", IF($I$2:$I1879 = "Gohar Rehan","Overnight",IF($I$2:$I1879 = "Taufeeq Akhtar ","Overnight",IF($I$2:$I1879 = "Zeeshan Ali Malik","Audit",IF($I$2:$I1879 = "Ali Raza ","Receiving",IF($I$2:$I1879 = "Ali Ahmad","Full-In"))))))</f>
        <v>0</v>
      </c>
      <c r="K882" s="39" t="e">
        <f aca="false">IFERROR(VLOOKUP(D882,'Brand manager data '!A:B,2,0))</f>
        <v>#VALUE!</v>
      </c>
      <c r="L882" s="13" t="n">
        <v>0</v>
      </c>
      <c r="M882" s="13" t="str">
        <v>Yes</v>
      </c>
      <c r="N882" s="22"/>
      <c r="Q882" s="40"/>
      <c r="R882" s="13" t="b">
        <f aca="false">FALSE()</f>
        <v>0</v>
      </c>
      <c r="S882" s="13" t="n">
        <v>0</v>
      </c>
      <c r="T882" s="13" t="n">
        <f aca="false">S882*F882</f>
        <v>0</v>
      </c>
      <c r="U882" s="13" t="n">
        <v>0</v>
      </c>
      <c r="V882" s="13" t="n">
        <v>0</v>
      </c>
    </row>
    <row r="883" customFormat="false" ht="15.75" hidden="false" customHeight="false" outlineLevel="0" collapsed="false">
      <c r="A883" s="13" t="n">
        <v>0</v>
      </c>
      <c r="B883" s="13" t="str">
        <v/>
      </c>
      <c r="C883" s="13" t="n">
        <v>0</v>
      </c>
      <c r="D883" s="13" t="n">
        <v>0</v>
      </c>
      <c r="E883" s="13" t="str">
        <v/>
      </c>
      <c r="F883" s="13" t="n">
        <v>0</v>
      </c>
      <c r="G883" s="13" t="n">
        <v>0</v>
      </c>
      <c r="H883" s="13" t="n">
        <v>0</v>
      </c>
      <c r="I883" s="13" t="n">
        <v>0</v>
      </c>
      <c r="J883" s="13" t="b">
        <f aca="false">IF(ISBLANK(I883),"", IF($I$2:$I1880 = "Gohar Rehan","Overnight",IF($I$2:$I1880 = "Taufeeq Akhtar ","Overnight",IF($I$2:$I1880 = "Zeeshan Ali Malik","Audit",IF($I$2:$I1880 = "Ali Raza ","Receiving",IF($I$2:$I1880 = "Ali Ahmad","Full-In"))))))</f>
        <v>0</v>
      </c>
      <c r="K883" s="39" t="e">
        <f aca="false">IFERROR(VLOOKUP(D883,'Brand manager data '!A:B,2,0))</f>
        <v>#VALUE!</v>
      </c>
      <c r="L883" s="13" t="n">
        <v>0</v>
      </c>
      <c r="M883" s="13" t="str">
        <v>Yes</v>
      </c>
      <c r="N883" s="22"/>
      <c r="Q883" s="40"/>
      <c r="R883" s="13" t="b">
        <f aca="false">FALSE()</f>
        <v>0</v>
      </c>
      <c r="S883" s="13" t="n">
        <v>0</v>
      </c>
      <c r="T883" s="13" t="n">
        <f aca="false">S883*F883</f>
        <v>0</v>
      </c>
      <c r="U883" s="13" t="n">
        <v>0</v>
      </c>
      <c r="V883" s="13" t="n">
        <v>0</v>
      </c>
    </row>
    <row r="884" customFormat="false" ht="15.75" hidden="false" customHeight="false" outlineLevel="0" collapsed="false">
      <c r="A884" s="13" t="n">
        <v>0</v>
      </c>
      <c r="B884" s="13" t="str">
        <v/>
      </c>
      <c r="C884" s="13" t="n">
        <v>0</v>
      </c>
      <c r="D884" s="13" t="n">
        <v>0</v>
      </c>
      <c r="E884" s="13" t="str">
        <v/>
      </c>
      <c r="F884" s="13" t="n">
        <v>0</v>
      </c>
      <c r="G884" s="13" t="n">
        <v>0</v>
      </c>
      <c r="H884" s="13" t="n">
        <v>0</v>
      </c>
      <c r="I884" s="13" t="n">
        <v>0</v>
      </c>
      <c r="J884" s="13" t="b">
        <f aca="false">IF(ISBLANK(I884),"", IF($I$2:$I1881 = "Gohar Rehan","Overnight",IF($I$2:$I1881 = "Taufeeq Akhtar ","Overnight",IF($I$2:$I1881 = "Zeeshan Ali Malik","Audit",IF($I$2:$I1881 = "Ali Raza ","Receiving",IF($I$2:$I1881 = "Ali Ahmad","Full-In"))))))</f>
        <v>0</v>
      </c>
      <c r="K884" s="39" t="e">
        <f aca="false">IFERROR(VLOOKUP(D884,'Brand manager data '!A:B,2,0))</f>
        <v>#VALUE!</v>
      </c>
      <c r="L884" s="13" t="n">
        <v>0</v>
      </c>
      <c r="M884" s="13" t="str">
        <v>Yes</v>
      </c>
      <c r="N884" s="22"/>
      <c r="Q884" s="40"/>
      <c r="R884" s="13" t="b">
        <f aca="false">FALSE()</f>
        <v>0</v>
      </c>
      <c r="S884" s="13" t="n">
        <v>0</v>
      </c>
      <c r="T884" s="13" t="n">
        <f aca="false">S884*F884</f>
        <v>0</v>
      </c>
      <c r="U884" s="13" t="n">
        <v>0</v>
      </c>
      <c r="V884" s="13" t="n">
        <v>0</v>
      </c>
    </row>
    <row r="885" customFormat="false" ht="15.75" hidden="false" customHeight="false" outlineLevel="0" collapsed="false">
      <c r="A885" s="13" t="n">
        <v>0</v>
      </c>
      <c r="B885" s="13" t="str">
        <v/>
      </c>
      <c r="C885" s="13" t="n">
        <v>0</v>
      </c>
      <c r="D885" s="13" t="n">
        <v>0</v>
      </c>
      <c r="E885" s="13" t="str">
        <v/>
      </c>
      <c r="F885" s="13" t="n">
        <v>0</v>
      </c>
      <c r="G885" s="13" t="n">
        <v>0</v>
      </c>
      <c r="H885" s="13" t="n">
        <v>0</v>
      </c>
      <c r="I885" s="13" t="n">
        <v>0</v>
      </c>
      <c r="J885" s="13" t="b">
        <f aca="false">IF(ISBLANK(I885),"", IF($I$2:$I1882 = "Gohar Rehan","Overnight",IF($I$2:$I1882 = "Taufeeq Akhtar ","Overnight",IF($I$2:$I1882 = "Zeeshan Ali Malik","Audit",IF($I$2:$I1882 = "Ali Raza ","Receiving",IF($I$2:$I1882 = "Ali Ahmad","Full-In"))))))</f>
        <v>0</v>
      </c>
      <c r="K885" s="39" t="e">
        <f aca="false">IFERROR(VLOOKUP(D885,'Brand manager data '!A:B,2,0))</f>
        <v>#VALUE!</v>
      </c>
      <c r="L885" s="13" t="n">
        <v>0</v>
      </c>
      <c r="M885" s="13" t="str">
        <v>Yes</v>
      </c>
      <c r="N885" s="22"/>
      <c r="Q885" s="40"/>
      <c r="R885" s="13" t="b">
        <f aca="false">FALSE()</f>
        <v>0</v>
      </c>
      <c r="S885" s="13" t="n">
        <v>0</v>
      </c>
      <c r="T885" s="13" t="n">
        <f aca="false">S885*F885</f>
        <v>0</v>
      </c>
      <c r="U885" s="13" t="n">
        <v>0</v>
      </c>
      <c r="V885" s="13" t="n">
        <v>0</v>
      </c>
    </row>
    <row r="886" customFormat="false" ht="15.75" hidden="false" customHeight="false" outlineLevel="0" collapsed="false">
      <c r="A886" s="13" t="n">
        <v>0</v>
      </c>
      <c r="B886" s="13" t="str">
        <v/>
      </c>
      <c r="C886" s="13" t="n">
        <v>0</v>
      </c>
      <c r="D886" s="13" t="n">
        <v>0</v>
      </c>
      <c r="E886" s="13" t="str">
        <v/>
      </c>
      <c r="F886" s="13" t="n">
        <v>0</v>
      </c>
      <c r="G886" s="13" t="n">
        <v>0</v>
      </c>
      <c r="H886" s="13" t="n">
        <v>0</v>
      </c>
      <c r="I886" s="13" t="n">
        <v>0</v>
      </c>
      <c r="J886" s="13" t="b">
        <f aca="false">IF(ISBLANK(I886),"", IF($I$2:$I1883 = "Gohar Rehan","Overnight",IF($I$2:$I1883 = "Taufeeq Akhtar ","Overnight",IF($I$2:$I1883 = "Zeeshan Ali Malik","Audit",IF($I$2:$I1883 = "Ali Raza ","Receiving",IF($I$2:$I1883 = "Ali Ahmad","Full-In"))))))</f>
        <v>0</v>
      </c>
      <c r="K886" s="39" t="e">
        <f aca="false">IFERROR(VLOOKUP(D886,'Brand manager data '!A:B,2,0))</f>
        <v>#VALUE!</v>
      </c>
      <c r="L886" s="13" t="n">
        <v>0</v>
      </c>
      <c r="M886" s="13" t="str">
        <v>Yes</v>
      </c>
      <c r="N886" s="22"/>
      <c r="Q886" s="40"/>
      <c r="R886" s="13" t="b">
        <f aca="false">FALSE()</f>
        <v>0</v>
      </c>
      <c r="S886" s="13" t="n">
        <v>0</v>
      </c>
      <c r="T886" s="13" t="n">
        <f aca="false">S886*F886</f>
        <v>0</v>
      </c>
      <c r="U886" s="13" t="n">
        <v>0</v>
      </c>
      <c r="V886" s="13" t="n">
        <v>0</v>
      </c>
    </row>
    <row r="887" customFormat="false" ht="15.75" hidden="false" customHeight="false" outlineLevel="0" collapsed="false">
      <c r="A887" s="13" t="n">
        <v>0</v>
      </c>
      <c r="B887" s="13" t="str">
        <v/>
      </c>
      <c r="C887" s="13" t="n">
        <v>0</v>
      </c>
      <c r="D887" s="13" t="n">
        <v>0</v>
      </c>
      <c r="E887" s="13" t="str">
        <v/>
      </c>
      <c r="F887" s="13" t="n">
        <v>0</v>
      </c>
      <c r="G887" s="13" t="n">
        <v>0</v>
      </c>
      <c r="H887" s="13" t="n">
        <v>0</v>
      </c>
      <c r="I887" s="13" t="n">
        <v>0</v>
      </c>
      <c r="J887" s="13" t="b">
        <f aca="false">IF(ISBLANK(I887),"", IF($I$2:$I1884 = "Gohar Rehan","Overnight",IF($I$2:$I1884 = "Taufeeq Akhtar ","Overnight",IF($I$2:$I1884 = "Zeeshan Ali Malik","Audit",IF($I$2:$I1884 = "Ali Raza ","Receiving",IF($I$2:$I1884 = "Ali Ahmad","Full-In"))))))</f>
        <v>0</v>
      </c>
      <c r="K887" s="39" t="e">
        <f aca="false">IFERROR(VLOOKUP(D887,'Brand manager data '!A:B,2,0))</f>
        <v>#VALUE!</v>
      </c>
      <c r="L887" s="13" t="n">
        <v>0</v>
      </c>
      <c r="M887" s="13" t="str">
        <v>Yes</v>
      </c>
      <c r="N887" s="22"/>
      <c r="Q887" s="40"/>
      <c r="R887" s="13" t="b">
        <f aca="false">FALSE()</f>
        <v>0</v>
      </c>
      <c r="S887" s="13" t="n">
        <v>0</v>
      </c>
      <c r="T887" s="13" t="n">
        <f aca="false">S887*F887</f>
        <v>0</v>
      </c>
      <c r="U887" s="13" t="n">
        <v>0</v>
      </c>
      <c r="V887" s="13" t="n">
        <v>0</v>
      </c>
    </row>
    <row r="888" customFormat="false" ht="15.75" hidden="false" customHeight="false" outlineLevel="0" collapsed="false">
      <c r="A888" s="13" t="n">
        <v>0</v>
      </c>
      <c r="B888" s="13" t="str">
        <v/>
      </c>
      <c r="C888" s="13" t="n">
        <v>0</v>
      </c>
      <c r="D888" s="13" t="n">
        <v>0</v>
      </c>
      <c r="E888" s="13" t="str">
        <v/>
      </c>
      <c r="F888" s="13" t="n">
        <v>0</v>
      </c>
      <c r="G888" s="13" t="n">
        <v>0</v>
      </c>
      <c r="H888" s="13" t="n">
        <v>0</v>
      </c>
      <c r="I888" s="13" t="n">
        <v>0</v>
      </c>
      <c r="J888" s="13" t="b">
        <f aca="false">IF(ISBLANK(I888),"", IF($I$2:$I1885 = "Gohar Rehan","Overnight",IF($I$2:$I1885 = "Taufeeq Akhtar ","Overnight",IF($I$2:$I1885 = "Zeeshan Ali Malik","Audit",IF($I$2:$I1885 = "Ali Raza ","Receiving",IF($I$2:$I1885 = "Ali Ahmad","Full-In"))))))</f>
        <v>0</v>
      </c>
      <c r="K888" s="39" t="e">
        <f aca="false">IFERROR(VLOOKUP(D888,'Brand manager data '!A:B,2,0))</f>
        <v>#VALUE!</v>
      </c>
      <c r="L888" s="13" t="n">
        <v>0</v>
      </c>
      <c r="M888" s="13" t="str">
        <v>Yes</v>
      </c>
      <c r="N888" s="22"/>
      <c r="Q888" s="40"/>
      <c r="R888" s="13" t="b">
        <f aca="false">FALSE()</f>
        <v>0</v>
      </c>
      <c r="S888" s="13" t="n">
        <v>0</v>
      </c>
      <c r="T888" s="13" t="n">
        <f aca="false">S888*F888</f>
        <v>0</v>
      </c>
      <c r="U888" s="13" t="n">
        <v>0</v>
      </c>
      <c r="V888" s="13" t="n">
        <v>0</v>
      </c>
    </row>
    <row r="889" customFormat="false" ht="15.75" hidden="false" customHeight="false" outlineLevel="0" collapsed="false">
      <c r="A889" s="13" t="n">
        <v>0</v>
      </c>
      <c r="B889" s="13" t="str">
        <v/>
      </c>
      <c r="C889" s="13" t="n">
        <v>0</v>
      </c>
      <c r="D889" s="13" t="n">
        <v>0</v>
      </c>
      <c r="E889" s="13" t="str">
        <v/>
      </c>
      <c r="F889" s="13" t="n">
        <v>0</v>
      </c>
      <c r="G889" s="13" t="n">
        <v>0</v>
      </c>
      <c r="H889" s="13" t="n">
        <v>0</v>
      </c>
      <c r="I889" s="13" t="n">
        <v>0</v>
      </c>
      <c r="J889" s="13" t="b">
        <f aca="false">IF(ISBLANK(I889),"", IF($I$2:$I1886 = "Gohar Rehan","Overnight",IF($I$2:$I1886 = "Taufeeq Akhtar ","Overnight",IF($I$2:$I1886 = "Zeeshan Ali Malik","Audit",IF($I$2:$I1886 = "Ali Raza ","Receiving",IF($I$2:$I1886 = "Ali Ahmad","Full-In"))))))</f>
        <v>0</v>
      </c>
      <c r="K889" s="39" t="e">
        <f aca="false">IFERROR(VLOOKUP(D889,'Brand manager data '!A:B,2,0))</f>
        <v>#VALUE!</v>
      </c>
      <c r="L889" s="13" t="n">
        <v>0</v>
      </c>
      <c r="M889" s="13" t="str">
        <v>Yes</v>
      </c>
      <c r="N889" s="22"/>
      <c r="Q889" s="40"/>
      <c r="R889" s="13" t="b">
        <f aca="false">FALSE()</f>
        <v>0</v>
      </c>
      <c r="S889" s="13" t="n">
        <v>0</v>
      </c>
      <c r="T889" s="13" t="n">
        <f aca="false">S889*F889</f>
        <v>0</v>
      </c>
      <c r="U889" s="13" t="n">
        <v>0</v>
      </c>
      <c r="V889" s="13" t="n">
        <v>0</v>
      </c>
    </row>
    <row r="890" customFormat="false" ht="15.75" hidden="false" customHeight="false" outlineLevel="0" collapsed="false">
      <c r="A890" s="13" t="n">
        <v>0</v>
      </c>
      <c r="B890" s="13" t="str">
        <v/>
      </c>
      <c r="C890" s="13" t="n">
        <v>0</v>
      </c>
      <c r="D890" s="13" t="n">
        <v>0</v>
      </c>
      <c r="E890" s="13" t="str">
        <v/>
      </c>
      <c r="F890" s="13" t="n">
        <v>0</v>
      </c>
      <c r="G890" s="13" t="n">
        <v>0</v>
      </c>
      <c r="H890" s="13" t="n">
        <v>0</v>
      </c>
      <c r="I890" s="13" t="n">
        <v>0</v>
      </c>
      <c r="J890" s="13" t="b">
        <f aca="false">IF(ISBLANK(I890),"", IF($I$2:$I1887 = "Gohar Rehan","Overnight",IF($I$2:$I1887 = "Taufeeq Akhtar ","Overnight",IF($I$2:$I1887 = "Zeeshan Ali Malik","Audit",IF($I$2:$I1887 = "Ali Raza ","Receiving",IF($I$2:$I1887 = "Ali Ahmad","Full-In"))))))</f>
        <v>0</v>
      </c>
      <c r="K890" s="39" t="e">
        <f aca="false">IFERROR(VLOOKUP(D890,'Brand manager data '!A:B,2,0))</f>
        <v>#VALUE!</v>
      </c>
      <c r="L890" s="13" t="n">
        <v>0</v>
      </c>
      <c r="M890" s="13" t="str">
        <v>Yes</v>
      </c>
      <c r="N890" s="22"/>
      <c r="Q890" s="40"/>
      <c r="R890" s="13" t="b">
        <f aca="false">FALSE()</f>
        <v>0</v>
      </c>
      <c r="S890" s="13" t="n">
        <v>0</v>
      </c>
      <c r="T890" s="13" t="n">
        <f aca="false">S890*F890</f>
        <v>0</v>
      </c>
      <c r="U890" s="13" t="n">
        <v>0</v>
      </c>
      <c r="V890" s="13" t="n">
        <v>0</v>
      </c>
    </row>
    <row r="891" customFormat="false" ht="15.75" hidden="false" customHeight="false" outlineLevel="0" collapsed="false">
      <c r="A891" s="13" t="n">
        <v>0</v>
      </c>
      <c r="B891" s="13" t="str">
        <v/>
      </c>
      <c r="C891" s="13" t="n">
        <v>0</v>
      </c>
      <c r="D891" s="13" t="n">
        <v>0</v>
      </c>
      <c r="E891" s="13" t="str">
        <v/>
      </c>
      <c r="F891" s="13" t="n">
        <v>0</v>
      </c>
      <c r="G891" s="13" t="n">
        <v>0</v>
      </c>
      <c r="H891" s="13" t="n">
        <v>0</v>
      </c>
      <c r="I891" s="13" t="n">
        <v>0</v>
      </c>
      <c r="J891" s="13" t="b">
        <f aca="false">IF(ISBLANK(I891),"", IF($I$2:$I1888 = "Gohar Rehan","Overnight",IF($I$2:$I1888 = "Taufeeq Akhtar ","Overnight",IF($I$2:$I1888 = "Zeeshan Ali Malik","Audit",IF($I$2:$I1888 = "Ali Raza ","Receiving",IF($I$2:$I1888 = "Ali Ahmad","Full-In"))))))</f>
        <v>0</v>
      </c>
      <c r="K891" s="39" t="e">
        <f aca="false">IFERROR(VLOOKUP(D891,'Brand manager data '!A:B,2,0))</f>
        <v>#VALUE!</v>
      </c>
      <c r="L891" s="13" t="n">
        <v>0</v>
      </c>
      <c r="M891" s="13" t="str">
        <v>Yes</v>
      </c>
      <c r="N891" s="22"/>
      <c r="Q891" s="40"/>
      <c r="R891" s="13" t="b">
        <f aca="false">FALSE()</f>
        <v>0</v>
      </c>
      <c r="S891" s="13" t="n">
        <v>0</v>
      </c>
      <c r="T891" s="13" t="n">
        <f aca="false">S891*F891</f>
        <v>0</v>
      </c>
      <c r="U891" s="13" t="n">
        <v>0</v>
      </c>
      <c r="V891" s="13" t="n">
        <v>0</v>
      </c>
    </row>
    <row r="892" customFormat="false" ht="15.75" hidden="false" customHeight="false" outlineLevel="0" collapsed="false">
      <c r="A892" s="13" t="n">
        <v>0</v>
      </c>
      <c r="B892" s="13" t="str">
        <v/>
      </c>
      <c r="C892" s="13" t="n">
        <v>0</v>
      </c>
      <c r="D892" s="13" t="n">
        <v>0</v>
      </c>
      <c r="E892" s="13" t="str">
        <v/>
      </c>
      <c r="F892" s="13" t="n">
        <v>0</v>
      </c>
      <c r="G892" s="13" t="n">
        <v>0</v>
      </c>
      <c r="H892" s="13" t="n">
        <v>0</v>
      </c>
      <c r="I892" s="13" t="n">
        <v>0</v>
      </c>
      <c r="J892" s="13" t="b">
        <f aca="false">IF(ISBLANK(I892),"", IF($I$2:$I1889 = "Gohar Rehan","Overnight",IF($I$2:$I1889 = "Taufeeq Akhtar ","Overnight",IF($I$2:$I1889 = "Zeeshan Ali Malik","Audit",IF($I$2:$I1889 = "Ali Raza ","Receiving",IF($I$2:$I1889 = "Ali Ahmad","Full-In"))))))</f>
        <v>0</v>
      </c>
      <c r="K892" s="39" t="e">
        <f aca="false">IFERROR(VLOOKUP(D892,'Brand manager data '!A:B,2,0))</f>
        <v>#VALUE!</v>
      </c>
      <c r="L892" s="13" t="n">
        <v>0</v>
      </c>
      <c r="M892" s="13" t="str">
        <v>Yes</v>
      </c>
      <c r="N892" s="22"/>
      <c r="Q892" s="40"/>
      <c r="R892" s="13" t="b">
        <f aca="false">FALSE()</f>
        <v>0</v>
      </c>
      <c r="S892" s="13" t="n">
        <v>0</v>
      </c>
      <c r="T892" s="13" t="n">
        <f aca="false">S892*F892</f>
        <v>0</v>
      </c>
      <c r="U892" s="13" t="n">
        <v>0</v>
      </c>
      <c r="V892" s="13" t="n">
        <v>0</v>
      </c>
    </row>
    <row r="893" customFormat="false" ht="15.75" hidden="false" customHeight="false" outlineLevel="0" collapsed="false">
      <c r="A893" s="13" t="n">
        <v>0</v>
      </c>
      <c r="B893" s="13" t="str">
        <v/>
      </c>
      <c r="C893" s="13" t="n">
        <v>0</v>
      </c>
      <c r="D893" s="13" t="n">
        <v>0</v>
      </c>
      <c r="E893" s="13" t="str">
        <v/>
      </c>
      <c r="F893" s="13" t="n">
        <v>0</v>
      </c>
      <c r="G893" s="13" t="n">
        <v>0</v>
      </c>
      <c r="H893" s="13" t="n">
        <v>0</v>
      </c>
      <c r="I893" s="13" t="n">
        <v>0</v>
      </c>
      <c r="J893" s="13" t="b">
        <f aca="false">IF(ISBLANK(I893),"", IF($I$2:$I1890 = "Gohar Rehan","Overnight",IF($I$2:$I1890 = "Taufeeq Akhtar ","Overnight",IF($I$2:$I1890 = "Zeeshan Ali Malik","Audit",IF($I$2:$I1890 = "Ali Raza ","Receiving",IF($I$2:$I1890 = "Ali Ahmad","Full-In"))))))</f>
        <v>0</v>
      </c>
      <c r="K893" s="39" t="e">
        <f aca="false">IFERROR(VLOOKUP(D893,'Brand manager data '!A:B,2,0))</f>
        <v>#VALUE!</v>
      </c>
      <c r="L893" s="13" t="n">
        <v>0</v>
      </c>
      <c r="M893" s="13" t="str">
        <v>Yes</v>
      </c>
      <c r="N893" s="22"/>
      <c r="Q893" s="40"/>
      <c r="R893" s="13" t="b">
        <f aca="false">FALSE()</f>
        <v>0</v>
      </c>
      <c r="S893" s="13" t="n">
        <v>0</v>
      </c>
      <c r="T893" s="13" t="n">
        <f aca="false">S893*F893</f>
        <v>0</v>
      </c>
      <c r="U893" s="13" t="n">
        <v>0</v>
      </c>
      <c r="V893" s="13" t="n">
        <v>0</v>
      </c>
    </row>
    <row r="894" customFormat="false" ht="15.75" hidden="false" customHeight="false" outlineLevel="0" collapsed="false">
      <c r="A894" s="13" t="n">
        <v>0</v>
      </c>
      <c r="B894" s="13" t="str">
        <v/>
      </c>
      <c r="C894" s="13" t="n">
        <v>0</v>
      </c>
      <c r="D894" s="13" t="n">
        <v>0</v>
      </c>
      <c r="E894" s="13" t="str">
        <v/>
      </c>
      <c r="F894" s="13" t="n">
        <v>0</v>
      </c>
      <c r="G894" s="13" t="n">
        <v>0</v>
      </c>
      <c r="H894" s="13" t="n">
        <v>0</v>
      </c>
      <c r="I894" s="13" t="n">
        <v>0</v>
      </c>
      <c r="J894" s="13" t="b">
        <f aca="false">IF(ISBLANK(I894),"", IF($I$2:$I1891 = "Gohar Rehan","Overnight",IF($I$2:$I1891 = "Taufeeq Akhtar ","Overnight",IF($I$2:$I1891 = "Zeeshan Ali Malik","Audit",IF($I$2:$I1891 = "Ali Raza ","Receiving",IF($I$2:$I1891 = "Ali Ahmad","Full-In"))))))</f>
        <v>0</v>
      </c>
      <c r="K894" s="39" t="e">
        <f aca="false">IFERROR(VLOOKUP(D894,'Brand manager data '!A:B,2,0))</f>
        <v>#VALUE!</v>
      </c>
      <c r="L894" s="13" t="n">
        <v>0</v>
      </c>
      <c r="M894" s="13" t="str">
        <v>Yes</v>
      </c>
      <c r="N894" s="22"/>
      <c r="Q894" s="40"/>
      <c r="R894" s="13" t="b">
        <f aca="false">FALSE()</f>
        <v>0</v>
      </c>
      <c r="S894" s="13" t="n">
        <v>0</v>
      </c>
      <c r="T894" s="13" t="n">
        <f aca="false">S894*F894</f>
        <v>0</v>
      </c>
      <c r="U894" s="13" t="n">
        <v>0</v>
      </c>
      <c r="V894" s="13" t="n">
        <v>0</v>
      </c>
    </row>
    <row r="895" customFormat="false" ht="15.75" hidden="false" customHeight="false" outlineLevel="0" collapsed="false">
      <c r="A895" s="13" t="n">
        <v>0</v>
      </c>
      <c r="B895" s="13" t="str">
        <v/>
      </c>
      <c r="C895" s="13" t="n">
        <v>0</v>
      </c>
      <c r="D895" s="13" t="n">
        <v>0</v>
      </c>
      <c r="E895" s="13" t="str">
        <v/>
      </c>
      <c r="F895" s="13" t="n">
        <v>0</v>
      </c>
      <c r="G895" s="13" t="n">
        <v>0</v>
      </c>
      <c r="H895" s="13" t="n">
        <v>0</v>
      </c>
      <c r="I895" s="13" t="n">
        <v>0</v>
      </c>
      <c r="J895" s="13" t="b">
        <f aca="false">IF(ISBLANK(I895),"", IF($I$2:$I1892 = "Gohar Rehan","Overnight",IF($I$2:$I1892 = "Taufeeq Akhtar ","Overnight",IF($I$2:$I1892 = "Zeeshan Ali Malik","Audit",IF($I$2:$I1892 = "Ali Raza ","Receiving",IF($I$2:$I1892 = "Ali Ahmad","Full-In"))))))</f>
        <v>0</v>
      </c>
      <c r="K895" s="39" t="e">
        <f aca="false">IFERROR(VLOOKUP(D895,'Brand manager data '!A:B,2,0))</f>
        <v>#VALUE!</v>
      </c>
      <c r="L895" s="13" t="n">
        <v>0</v>
      </c>
      <c r="M895" s="13" t="str">
        <v>Yes</v>
      </c>
      <c r="N895" s="22"/>
      <c r="Q895" s="40"/>
      <c r="R895" s="13" t="b">
        <f aca="false">FALSE()</f>
        <v>0</v>
      </c>
      <c r="S895" s="13" t="n">
        <v>0</v>
      </c>
      <c r="T895" s="13" t="n">
        <f aca="false">S895*F895</f>
        <v>0</v>
      </c>
      <c r="U895" s="13" t="n">
        <v>0</v>
      </c>
      <c r="V895" s="13" t="n">
        <v>0</v>
      </c>
    </row>
    <row r="896" customFormat="false" ht="15.75" hidden="false" customHeight="false" outlineLevel="0" collapsed="false">
      <c r="A896" s="13" t="n">
        <v>0</v>
      </c>
      <c r="B896" s="13" t="str">
        <v/>
      </c>
      <c r="C896" s="13" t="n">
        <v>0</v>
      </c>
      <c r="D896" s="13" t="n">
        <v>0</v>
      </c>
      <c r="E896" s="13" t="str">
        <v/>
      </c>
      <c r="F896" s="13" t="n">
        <v>0</v>
      </c>
      <c r="G896" s="13" t="n">
        <v>0</v>
      </c>
      <c r="H896" s="13" t="n">
        <v>0</v>
      </c>
      <c r="I896" s="13" t="n">
        <v>0</v>
      </c>
      <c r="J896" s="13" t="b">
        <f aca="false">IF(ISBLANK(I896),"", IF($I$2:$I1893 = "Gohar Rehan","Overnight",IF($I$2:$I1893 = "Taufeeq Akhtar ","Overnight",IF($I$2:$I1893 = "Zeeshan Ali Malik","Audit",IF($I$2:$I1893 = "Ali Raza ","Receiving",IF($I$2:$I1893 = "Ali Ahmad","Full-In"))))))</f>
        <v>0</v>
      </c>
      <c r="K896" s="39" t="e">
        <f aca="false">IFERROR(VLOOKUP(D896,'Brand manager data '!A:B,2,0))</f>
        <v>#VALUE!</v>
      </c>
      <c r="L896" s="13" t="n">
        <v>0</v>
      </c>
      <c r="M896" s="13" t="str">
        <v>Yes</v>
      </c>
      <c r="N896" s="22"/>
      <c r="Q896" s="40"/>
      <c r="R896" s="13" t="b">
        <f aca="false">FALSE()</f>
        <v>0</v>
      </c>
      <c r="S896" s="13" t="n">
        <v>0</v>
      </c>
      <c r="T896" s="13" t="n">
        <f aca="false">S896*F896</f>
        <v>0</v>
      </c>
      <c r="U896" s="13" t="n">
        <v>0</v>
      </c>
      <c r="V896" s="13" t="n">
        <v>0</v>
      </c>
    </row>
    <row r="897" customFormat="false" ht="15.75" hidden="false" customHeight="false" outlineLevel="0" collapsed="false">
      <c r="A897" s="13" t="n">
        <v>0</v>
      </c>
      <c r="B897" s="13" t="str">
        <v/>
      </c>
      <c r="C897" s="13" t="n">
        <v>0</v>
      </c>
      <c r="D897" s="13" t="n">
        <v>0</v>
      </c>
      <c r="E897" s="13" t="str">
        <v/>
      </c>
      <c r="F897" s="13" t="n">
        <v>0</v>
      </c>
      <c r="G897" s="13" t="n">
        <v>0</v>
      </c>
      <c r="H897" s="13" t="n">
        <v>0</v>
      </c>
      <c r="I897" s="13" t="n">
        <v>0</v>
      </c>
      <c r="J897" s="13" t="b">
        <f aca="false">IF(ISBLANK(I897),"", IF($I$2:$I1894 = "Gohar Rehan","Overnight",IF($I$2:$I1894 = "Taufeeq Akhtar ","Overnight",IF($I$2:$I1894 = "Zeeshan Ali Malik","Audit",IF($I$2:$I1894 = "Ali Raza ","Receiving",IF($I$2:$I1894 = "Ali Ahmad","Full-In"))))))</f>
        <v>0</v>
      </c>
      <c r="K897" s="39" t="e">
        <f aca="false">IFERROR(VLOOKUP(D897,'Brand manager data '!A:B,2,0))</f>
        <v>#VALUE!</v>
      </c>
      <c r="L897" s="13" t="n">
        <v>0</v>
      </c>
      <c r="M897" s="13" t="str">
        <v>Yes</v>
      </c>
      <c r="N897" s="22"/>
      <c r="Q897" s="40"/>
      <c r="R897" s="13" t="b">
        <f aca="false">FALSE()</f>
        <v>0</v>
      </c>
      <c r="S897" s="13" t="n">
        <v>0</v>
      </c>
      <c r="T897" s="13" t="n">
        <f aca="false">S897*F897</f>
        <v>0</v>
      </c>
      <c r="U897" s="13" t="n">
        <v>0</v>
      </c>
      <c r="V897" s="13" t="n">
        <v>0</v>
      </c>
    </row>
    <row r="898" customFormat="false" ht="15.75" hidden="false" customHeight="false" outlineLevel="0" collapsed="false">
      <c r="A898" s="13" t="n">
        <v>0</v>
      </c>
      <c r="B898" s="13" t="str">
        <v/>
      </c>
      <c r="C898" s="13" t="n">
        <v>0</v>
      </c>
      <c r="D898" s="13" t="n">
        <v>0</v>
      </c>
      <c r="E898" s="13" t="str">
        <v/>
      </c>
      <c r="F898" s="13" t="n">
        <v>0</v>
      </c>
      <c r="G898" s="13" t="n">
        <v>0</v>
      </c>
      <c r="H898" s="13" t="n">
        <v>0</v>
      </c>
      <c r="I898" s="13" t="n">
        <v>0</v>
      </c>
      <c r="J898" s="13" t="b">
        <f aca="false">IF(ISBLANK(I898),"", IF($I$2:$I1895 = "Gohar Rehan","Overnight",IF($I$2:$I1895 = "Taufeeq Akhtar ","Overnight",IF($I$2:$I1895 = "Zeeshan Ali Malik","Audit",IF($I$2:$I1895 = "Ali Raza ","Receiving",IF($I$2:$I1895 = "Ali Ahmad","Full-In"))))))</f>
        <v>0</v>
      </c>
      <c r="K898" s="39" t="e">
        <f aca="false">IFERROR(VLOOKUP(D898,'Brand manager data '!A:B,2,0))</f>
        <v>#VALUE!</v>
      </c>
      <c r="L898" s="13" t="n">
        <v>0</v>
      </c>
      <c r="M898" s="13" t="str">
        <v>Yes</v>
      </c>
      <c r="N898" s="22"/>
      <c r="Q898" s="40"/>
      <c r="R898" s="13" t="b">
        <f aca="false">FALSE()</f>
        <v>0</v>
      </c>
      <c r="S898" s="13" t="n">
        <v>0</v>
      </c>
      <c r="T898" s="13" t="n">
        <f aca="false">S898*F898</f>
        <v>0</v>
      </c>
      <c r="U898" s="13" t="n">
        <v>0</v>
      </c>
      <c r="V898" s="13" t="n">
        <v>0</v>
      </c>
    </row>
    <row r="899" customFormat="false" ht="15.75" hidden="false" customHeight="false" outlineLevel="0" collapsed="false">
      <c r="A899" s="13" t="n">
        <v>0</v>
      </c>
      <c r="B899" s="13" t="str">
        <v/>
      </c>
      <c r="C899" s="13" t="n">
        <v>0</v>
      </c>
      <c r="D899" s="13" t="n">
        <v>0</v>
      </c>
      <c r="E899" s="13" t="str">
        <v/>
      </c>
      <c r="F899" s="13" t="n">
        <v>0</v>
      </c>
      <c r="G899" s="13" t="n">
        <v>0</v>
      </c>
      <c r="H899" s="13" t="n">
        <v>0</v>
      </c>
      <c r="I899" s="13" t="n">
        <v>0</v>
      </c>
      <c r="J899" s="13" t="b">
        <f aca="false">IF(ISBLANK(I899),"", IF($I$2:$I1896 = "Gohar Rehan","Overnight",IF($I$2:$I1896 = "Taufeeq Akhtar ","Overnight",IF($I$2:$I1896 = "Zeeshan Ali Malik","Audit",IF($I$2:$I1896 = "Ali Raza ","Receiving",IF($I$2:$I1896 = "Ali Ahmad","Full-In"))))))</f>
        <v>0</v>
      </c>
      <c r="K899" s="39" t="e">
        <f aca="false">IFERROR(VLOOKUP(D899,'Brand manager data '!A:B,2,0))</f>
        <v>#VALUE!</v>
      </c>
      <c r="L899" s="13" t="n">
        <v>0</v>
      </c>
      <c r="M899" s="13" t="str">
        <v>Yes</v>
      </c>
      <c r="N899" s="22"/>
      <c r="Q899" s="40"/>
      <c r="R899" s="13" t="b">
        <f aca="false">FALSE()</f>
        <v>0</v>
      </c>
      <c r="S899" s="13" t="n">
        <v>0</v>
      </c>
      <c r="T899" s="13" t="n">
        <f aca="false">S899*F899</f>
        <v>0</v>
      </c>
      <c r="U899" s="13" t="n">
        <v>0</v>
      </c>
      <c r="V899" s="13" t="n">
        <v>0</v>
      </c>
    </row>
    <row r="900" customFormat="false" ht="15.75" hidden="false" customHeight="false" outlineLevel="0" collapsed="false">
      <c r="A900" s="13" t="n">
        <v>0</v>
      </c>
      <c r="B900" s="13" t="str">
        <v/>
      </c>
      <c r="C900" s="13" t="n">
        <v>0</v>
      </c>
      <c r="D900" s="13" t="n">
        <v>0</v>
      </c>
      <c r="E900" s="13" t="str">
        <v/>
      </c>
      <c r="F900" s="13" t="n">
        <v>0</v>
      </c>
      <c r="G900" s="13" t="n">
        <v>0</v>
      </c>
      <c r="H900" s="13" t="n">
        <v>0</v>
      </c>
      <c r="I900" s="13" t="n">
        <v>0</v>
      </c>
      <c r="J900" s="13" t="b">
        <f aca="false">IF(ISBLANK(I900),"", IF($I$2:$I1897 = "Gohar Rehan","Overnight",IF($I$2:$I1897 = "Taufeeq Akhtar ","Overnight",IF($I$2:$I1897 = "Zeeshan Ali Malik","Audit",IF($I$2:$I1897 = "Ali Raza ","Receiving",IF($I$2:$I1897 = "Ali Ahmad","Full-In"))))))</f>
        <v>0</v>
      </c>
      <c r="K900" s="39" t="e">
        <f aca="false">IFERROR(VLOOKUP(D900,'Brand manager data '!A:B,2,0))</f>
        <v>#VALUE!</v>
      </c>
      <c r="L900" s="13" t="n">
        <v>0</v>
      </c>
      <c r="M900" s="13" t="str">
        <v>Yes</v>
      </c>
      <c r="N900" s="22"/>
      <c r="Q900" s="40"/>
      <c r="R900" s="13" t="b">
        <f aca="false">FALSE()</f>
        <v>0</v>
      </c>
      <c r="S900" s="13" t="n">
        <v>0</v>
      </c>
      <c r="T900" s="13" t="n">
        <f aca="false">S900*F900</f>
        <v>0</v>
      </c>
      <c r="U900" s="13" t="n">
        <v>0</v>
      </c>
      <c r="V900" s="13" t="n">
        <v>0</v>
      </c>
    </row>
    <row r="901" customFormat="false" ht="15.75" hidden="false" customHeight="false" outlineLevel="0" collapsed="false">
      <c r="A901" s="13" t="n">
        <v>0</v>
      </c>
      <c r="B901" s="13" t="str">
        <v/>
      </c>
      <c r="C901" s="13" t="n">
        <v>0</v>
      </c>
      <c r="D901" s="13" t="n">
        <v>0</v>
      </c>
      <c r="E901" s="13" t="str">
        <v/>
      </c>
      <c r="F901" s="13" t="n">
        <v>0</v>
      </c>
      <c r="G901" s="13" t="n">
        <v>0</v>
      </c>
      <c r="H901" s="13" t="n">
        <v>0</v>
      </c>
      <c r="I901" s="13" t="n">
        <v>0</v>
      </c>
      <c r="J901" s="13" t="b">
        <f aca="false">IF(ISBLANK(I901),"", IF($I$2:$I1898 = "Gohar Rehan","Overnight",IF($I$2:$I1898 = "Taufeeq Akhtar ","Overnight",IF($I$2:$I1898 = "Zeeshan Ali Malik","Audit",IF($I$2:$I1898 = "Ali Raza ","Receiving",IF($I$2:$I1898 = "Ali Ahmad","Full-In"))))))</f>
        <v>0</v>
      </c>
      <c r="K901" s="39" t="e">
        <f aca="false">IFERROR(VLOOKUP(D901,'Brand manager data '!A:B,2,0))</f>
        <v>#VALUE!</v>
      </c>
      <c r="L901" s="13" t="n">
        <v>0</v>
      </c>
      <c r="M901" s="13" t="str">
        <v>Yes</v>
      </c>
      <c r="N901" s="22"/>
      <c r="Q901" s="40"/>
      <c r="R901" s="13" t="b">
        <f aca="false">FALSE()</f>
        <v>0</v>
      </c>
      <c r="S901" s="13" t="n">
        <v>0</v>
      </c>
      <c r="T901" s="13" t="n">
        <f aca="false">S901*F901</f>
        <v>0</v>
      </c>
      <c r="U901" s="13" t="n">
        <v>0</v>
      </c>
      <c r="V901" s="13" t="n">
        <v>0</v>
      </c>
    </row>
    <row r="902" customFormat="false" ht="15.75" hidden="false" customHeight="false" outlineLevel="0" collapsed="false">
      <c r="A902" s="13" t="n">
        <v>0</v>
      </c>
      <c r="B902" s="13" t="str">
        <v/>
      </c>
      <c r="C902" s="13" t="n">
        <v>0</v>
      </c>
      <c r="D902" s="13" t="n">
        <v>0</v>
      </c>
      <c r="E902" s="13" t="str">
        <v/>
      </c>
      <c r="F902" s="13" t="n">
        <v>0</v>
      </c>
      <c r="G902" s="13" t="n">
        <v>0</v>
      </c>
      <c r="H902" s="13" t="n">
        <v>0</v>
      </c>
      <c r="I902" s="13" t="n">
        <v>0</v>
      </c>
      <c r="J902" s="13" t="b">
        <f aca="false">IF(ISBLANK(I902),"", IF($I$2:$I1899 = "Gohar Rehan","Overnight",IF($I$2:$I1899 = "Taufeeq Akhtar ","Overnight",IF($I$2:$I1899 = "Zeeshan Ali Malik","Audit",IF($I$2:$I1899 = "Ali Raza ","Receiving",IF($I$2:$I1899 = "Ali Ahmad","Full-In"))))))</f>
        <v>0</v>
      </c>
      <c r="K902" s="39" t="e">
        <f aca="false">IFERROR(VLOOKUP(D902,'Brand manager data '!A:B,2,0))</f>
        <v>#VALUE!</v>
      </c>
      <c r="L902" s="13" t="n">
        <v>0</v>
      </c>
      <c r="M902" s="13" t="str">
        <v>Yes</v>
      </c>
      <c r="N902" s="22"/>
      <c r="Q902" s="40"/>
      <c r="R902" s="13" t="b">
        <f aca="false">FALSE()</f>
        <v>0</v>
      </c>
      <c r="S902" s="13" t="n">
        <v>0</v>
      </c>
      <c r="T902" s="13" t="n">
        <f aca="false">S902*F902</f>
        <v>0</v>
      </c>
      <c r="U902" s="13" t="n">
        <v>0</v>
      </c>
      <c r="V902" s="13" t="n">
        <v>0</v>
      </c>
    </row>
    <row r="903" customFormat="false" ht="15.75" hidden="false" customHeight="false" outlineLevel="0" collapsed="false">
      <c r="A903" s="13" t="n">
        <v>0</v>
      </c>
      <c r="B903" s="13" t="str">
        <v/>
      </c>
      <c r="C903" s="13" t="n">
        <v>0</v>
      </c>
      <c r="D903" s="13" t="n">
        <v>0</v>
      </c>
      <c r="E903" s="13" t="str">
        <v/>
      </c>
      <c r="F903" s="13" t="n">
        <v>0</v>
      </c>
      <c r="G903" s="13" t="n">
        <v>0</v>
      </c>
      <c r="H903" s="13" t="n">
        <v>0</v>
      </c>
      <c r="I903" s="13" t="n">
        <v>0</v>
      </c>
      <c r="J903" s="13" t="b">
        <f aca="false">IF(ISBLANK(I903),"", IF($I$2:$I1900 = "Gohar Rehan","Overnight",IF($I$2:$I1900 = "Taufeeq Akhtar ","Overnight",IF($I$2:$I1900 = "Zeeshan Ali Malik","Audit",IF($I$2:$I1900 = "Ali Raza ","Receiving",IF($I$2:$I1900 = "Ali Ahmad","Full-In"))))))</f>
        <v>0</v>
      </c>
      <c r="K903" s="39" t="e">
        <f aca="false">IFERROR(VLOOKUP(D903,'Brand manager data '!A:B,2,0))</f>
        <v>#VALUE!</v>
      </c>
      <c r="L903" s="13" t="n">
        <v>0</v>
      </c>
      <c r="M903" s="13" t="str">
        <v>Yes</v>
      </c>
      <c r="N903" s="22"/>
      <c r="Q903" s="40"/>
      <c r="R903" s="13" t="b">
        <f aca="false">FALSE()</f>
        <v>0</v>
      </c>
      <c r="S903" s="13" t="n">
        <v>0</v>
      </c>
      <c r="T903" s="13" t="n">
        <f aca="false">S903*F903</f>
        <v>0</v>
      </c>
      <c r="U903" s="13" t="n">
        <v>0</v>
      </c>
      <c r="V903" s="13" t="n">
        <v>0</v>
      </c>
    </row>
    <row r="904" customFormat="false" ht="15.75" hidden="false" customHeight="false" outlineLevel="0" collapsed="false">
      <c r="A904" s="13" t="n">
        <v>0</v>
      </c>
      <c r="B904" s="13" t="str">
        <v/>
      </c>
      <c r="C904" s="13" t="n">
        <v>0</v>
      </c>
      <c r="D904" s="13" t="n">
        <v>0</v>
      </c>
      <c r="E904" s="13" t="str">
        <v/>
      </c>
      <c r="F904" s="13" t="n">
        <v>0</v>
      </c>
      <c r="G904" s="13" t="n">
        <v>0</v>
      </c>
      <c r="H904" s="13" t="n">
        <v>0</v>
      </c>
      <c r="I904" s="13" t="n">
        <v>0</v>
      </c>
      <c r="J904" s="13" t="b">
        <f aca="false">IF(ISBLANK(I904),"", IF($I$2:$I1901 = "Gohar Rehan","Overnight",IF($I$2:$I1901 = "Taufeeq Akhtar ","Overnight",IF($I$2:$I1901 = "Zeeshan Ali Malik","Audit",IF($I$2:$I1901 = "Ali Raza ","Receiving",IF($I$2:$I1901 = "Ali Ahmad","Full-In"))))))</f>
        <v>0</v>
      </c>
      <c r="K904" s="39" t="e">
        <f aca="false">IFERROR(VLOOKUP(D904,'Brand manager data '!A:B,2,0))</f>
        <v>#VALUE!</v>
      </c>
      <c r="L904" s="13" t="n">
        <v>0</v>
      </c>
      <c r="M904" s="13" t="str">
        <v>Yes</v>
      </c>
      <c r="N904" s="22"/>
      <c r="Q904" s="40"/>
      <c r="R904" s="13" t="b">
        <f aca="false">FALSE()</f>
        <v>0</v>
      </c>
      <c r="S904" s="13" t="n">
        <v>0</v>
      </c>
      <c r="T904" s="13" t="n">
        <f aca="false">S904*F904</f>
        <v>0</v>
      </c>
      <c r="U904" s="13" t="n">
        <v>0</v>
      </c>
      <c r="V904" s="13" t="n">
        <v>0</v>
      </c>
    </row>
    <row r="905" customFormat="false" ht="15.75" hidden="false" customHeight="false" outlineLevel="0" collapsed="false">
      <c r="A905" s="13" t="n">
        <v>0</v>
      </c>
      <c r="B905" s="13" t="str">
        <v/>
      </c>
      <c r="C905" s="13" t="n">
        <v>0</v>
      </c>
      <c r="D905" s="13" t="n">
        <v>0</v>
      </c>
      <c r="E905" s="13" t="str">
        <v/>
      </c>
      <c r="F905" s="13" t="n">
        <v>0</v>
      </c>
      <c r="G905" s="13" t="n">
        <v>0</v>
      </c>
      <c r="H905" s="13" t="n">
        <v>0</v>
      </c>
      <c r="I905" s="13" t="n">
        <v>0</v>
      </c>
      <c r="J905" s="13" t="b">
        <f aca="false">IF(ISBLANK(I905),"", IF($I$2:$I1902 = "Gohar Rehan","Overnight",IF($I$2:$I1902 = "Taufeeq Akhtar ","Overnight",IF($I$2:$I1902 = "Zeeshan Ali Malik","Audit",IF($I$2:$I1902 = "Ali Raza ","Receiving",IF($I$2:$I1902 = "Ali Ahmad","Full-In"))))))</f>
        <v>0</v>
      </c>
      <c r="K905" s="39" t="e">
        <f aca="false">IFERROR(VLOOKUP(D905,'Brand manager data '!A:B,2,0))</f>
        <v>#VALUE!</v>
      </c>
      <c r="L905" s="13" t="n">
        <v>0</v>
      </c>
      <c r="M905" s="13" t="str">
        <v>Yes</v>
      </c>
      <c r="N905" s="22"/>
      <c r="Q905" s="40"/>
      <c r="R905" s="13" t="b">
        <f aca="false">FALSE()</f>
        <v>0</v>
      </c>
      <c r="S905" s="13" t="n">
        <v>0</v>
      </c>
      <c r="T905" s="13" t="n">
        <f aca="false">S905*F905</f>
        <v>0</v>
      </c>
      <c r="U905" s="13" t="n">
        <v>0</v>
      </c>
      <c r="V905" s="13" t="n">
        <v>0</v>
      </c>
    </row>
    <row r="906" customFormat="false" ht="15.75" hidden="false" customHeight="false" outlineLevel="0" collapsed="false">
      <c r="A906" s="13" t="n">
        <v>0</v>
      </c>
      <c r="B906" s="13" t="str">
        <v/>
      </c>
      <c r="C906" s="13" t="n">
        <v>0</v>
      </c>
      <c r="D906" s="13" t="n">
        <v>0</v>
      </c>
      <c r="E906" s="13" t="str">
        <v/>
      </c>
      <c r="F906" s="13" t="n">
        <v>0</v>
      </c>
      <c r="G906" s="13" t="n">
        <v>0</v>
      </c>
      <c r="H906" s="13" t="n">
        <v>0</v>
      </c>
      <c r="I906" s="13" t="n">
        <v>0</v>
      </c>
      <c r="J906" s="13" t="b">
        <f aca="false">IF(ISBLANK(I906),"", IF($I$2:$I1903 = "Gohar Rehan","Overnight",IF($I$2:$I1903 = "Taufeeq Akhtar ","Overnight",IF($I$2:$I1903 = "Zeeshan Ali Malik","Audit",IF($I$2:$I1903 = "Ali Raza ","Receiving",IF($I$2:$I1903 = "Ali Ahmad","Full-In"))))))</f>
        <v>0</v>
      </c>
      <c r="K906" s="39" t="e">
        <f aca="false">IFERROR(VLOOKUP(D906,'Brand manager data '!A:B,2,0))</f>
        <v>#VALUE!</v>
      </c>
      <c r="L906" s="13" t="n">
        <v>0</v>
      </c>
      <c r="M906" s="13" t="str">
        <v>Yes</v>
      </c>
      <c r="N906" s="22"/>
      <c r="Q906" s="40"/>
      <c r="R906" s="13" t="b">
        <f aca="false">FALSE()</f>
        <v>0</v>
      </c>
      <c r="S906" s="13" t="n">
        <v>0</v>
      </c>
      <c r="T906" s="13" t="n">
        <f aca="false">S906*F906</f>
        <v>0</v>
      </c>
      <c r="U906" s="13" t="n">
        <v>0</v>
      </c>
      <c r="V906" s="13" t="n">
        <v>0</v>
      </c>
    </row>
    <row r="907" customFormat="false" ht="15.75" hidden="false" customHeight="false" outlineLevel="0" collapsed="false">
      <c r="A907" s="13" t="n">
        <v>0</v>
      </c>
      <c r="B907" s="13" t="str">
        <v/>
      </c>
      <c r="C907" s="13" t="n">
        <v>0</v>
      </c>
      <c r="D907" s="13" t="n">
        <v>0</v>
      </c>
      <c r="E907" s="13" t="str">
        <v/>
      </c>
      <c r="F907" s="13" t="n">
        <v>0</v>
      </c>
      <c r="G907" s="13" t="n">
        <v>0</v>
      </c>
      <c r="H907" s="13" t="n">
        <v>0</v>
      </c>
      <c r="I907" s="13" t="n">
        <v>0</v>
      </c>
      <c r="J907" s="13" t="b">
        <f aca="false">IF(ISBLANK(I907),"", IF($I$2:$I1904 = "Gohar Rehan","Overnight",IF($I$2:$I1904 = "Taufeeq Akhtar ","Overnight",IF($I$2:$I1904 = "Zeeshan Ali Malik","Audit",IF($I$2:$I1904 = "Ali Raza ","Receiving",IF($I$2:$I1904 = "Ali Ahmad","Full-In"))))))</f>
        <v>0</v>
      </c>
      <c r="K907" s="39" t="e">
        <f aca="false">IFERROR(VLOOKUP(D907,'Brand manager data '!A:B,2,0))</f>
        <v>#VALUE!</v>
      </c>
      <c r="L907" s="13" t="n">
        <v>0</v>
      </c>
      <c r="M907" s="13" t="str">
        <v>Yes</v>
      </c>
      <c r="N907" s="22"/>
      <c r="Q907" s="40"/>
      <c r="R907" s="13" t="b">
        <f aca="false">FALSE()</f>
        <v>0</v>
      </c>
      <c r="S907" s="13" t="n">
        <v>0</v>
      </c>
      <c r="T907" s="13" t="n">
        <f aca="false">S907*F907</f>
        <v>0</v>
      </c>
      <c r="U907" s="13" t="n">
        <v>0</v>
      </c>
      <c r="V907" s="13" t="n">
        <v>0</v>
      </c>
    </row>
    <row r="908" customFormat="false" ht="15.75" hidden="false" customHeight="false" outlineLevel="0" collapsed="false">
      <c r="A908" s="13" t="n">
        <v>0</v>
      </c>
      <c r="B908" s="13" t="str">
        <v/>
      </c>
      <c r="C908" s="13" t="n">
        <v>0</v>
      </c>
      <c r="D908" s="13" t="n">
        <v>0</v>
      </c>
      <c r="E908" s="13" t="str">
        <v/>
      </c>
      <c r="F908" s="13" t="n">
        <v>0</v>
      </c>
      <c r="G908" s="13" t="n">
        <v>0</v>
      </c>
      <c r="H908" s="13" t="n">
        <v>0</v>
      </c>
      <c r="I908" s="13" t="n">
        <v>0</v>
      </c>
      <c r="J908" s="13" t="b">
        <f aca="false">IF(ISBLANK(I908),"", IF($I$2:$I1905 = "Gohar Rehan","Overnight",IF($I$2:$I1905 = "Taufeeq Akhtar ","Overnight",IF($I$2:$I1905 = "Zeeshan Ali Malik","Audit",IF($I$2:$I1905 = "Ali Raza ","Receiving",IF($I$2:$I1905 = "Ali Ahmad","Full-In"))))))</f>
        <v>0</v>
      </c>
      <c r="K908" s="39" t="e">
        <f aca="false">IFERROR(VLOOKUP(D908,'Brand manager data '!A:B,2,0))</f>
        <v>#VALUE!</v>
      </c>
      <c r="L908" s="13" t="n">
        <v>0</v>
      </c>
      <c r="M908" s="13" t="str">
        <v>Yes</v>
      </c>
      <c r="N908" s="22"/>
      <c r="Q908" s="40"/>
      <c r="R908" s="13" t="b">
        <f aca="false">FALSE()</f>
        <v>0</v>
      </c>
      <c r="S908" s="13" t="n">
        <v>0</v>
      </c>
      <c r="T908" s="13" t="n">
        <f aca="false">S908*F908</f>
        <v>0</v>
      </c>
      <c r="U908" s="13" t="n">
        <v>0</v>
      </c>
      <c r="V908" s="13" t="n">
        <v>0</v>
      </c>
    </row>
    <row r="909" customFormat="false" ht="15.75" hidden="false" customHeight="false" outlineLevel="0" collapsed="false">
      <c r="A909" s="13" t="n">
        <v>0</v>
      </c>
      <c r="B909" s="13" t="str">
        <v/>
      </c>
      <c r="C909" s="13" t="n">
        <v>0</v>
      </c>
      <c r="D909" s="13" t="n">
        <v>0</v>
      </c>
      <c r="E909" s="13" t="str">
        <v/>
      </c>
      <c r="F909" s="13" t="n">
        <v>0</v>
      </c>
      <c r="G909" s="13" t="n">
        <v>0</v>
      </c>
      <c r="H909" s="13" t="n">
        <v>0</v>
      </c>
      <c r="I909" s="13" t="n">
        <v>0</v>
      </c>
      <c r="J909" s="13" t="b">
        <f aca="false">IF(ISBLANK(I909),"", IF($I$2:$I1906 = "Gohar Rehan","Overnight",IF($I$2:$I1906 = "Taufeeq Akhtar ","Overnight",IF($I$2:$I1906 = "Zeeshan Ali Malik","Audit",IF($I$2:$I1906 = "Ali Raza ","Receiving",IF($I$2:$I1906 = "Ali Ahmad","Full-In"))))))</f>
        <v>0</v>
      </c>
      <c r="K909" s="39" t="e">
        <f aca="false">IFERROR(VLOOKUP(D909,'Brand manager data '!A:B,2,0))</f>
        <v>#VALUE!</v>
      </c>
      <c r="L909" s="13" t="n">
        <v>0</v>
      </c>
      <c r="M909" s="13" t="str">
        <v>Yes</v>
      </c>
      <c r="N909" s="22"/>
      <c r="Q909" s="40"/>
      <c r="R909" s="13" t="b">
        <f aca="false">FALSE()</f>
        <v>0</v>
      </c>
      <c r="S909" s="13" t="n">
        <v>0</v>
      </c>
      <c r="T909" s="13" t="n">
        <f aca="false">S909*F909</f>
        <v>0</v>
      </c>
      <c r="U909" s="13" t="n">
        <v>0</v>
      </c>
      <c r="V909" s="13" t="n">
        <v>0</v>
      </c>
    </row>
    <row r="910" customFormat="false" ht="15.75" hidden="false" customHeight="false" outlineLevel="0" collapsed="false">
      <c r="A910" s="13" t="n">
        <v>0</v>
      </c>
      <c r="B910" s="13" t="str">
        <v/>
      </c>
      <c r="C910" s="13" t="n">
        <v>0</v>
      </c>
      <c r="D910" s="13" t="n">
        <v>0</v>
      </c>
      <c r="E910" s="13" t="str">
        <v/>
      </c>
      <c r="F910" s="13" t="n">
        <v>0</v>
      </c>
      <c r="G910" s="13" t="n">
        <v>0</v>
      </c>
      <c r="H910" s="13" t="n">
        <v>0</v>
      </c>
      <c r="I910" s="13" t="n">
        <v>0</v>
      </c>
      <c r="J910" s="13" t="b">
        <f aca="false">IF(ISBLANK(I910),"", IF($I$2:$I1907 = "Gohar Rehan","Overnight",IF($I$2:$I1907 = "Taufeeq Akhtar ","Overnight",IF($I$2:$I1907 = "Zeeshan Ali Malik","Audit",IF($I$2:$I1907 = "Ali Raza ","Receiving",IF($I$2:$I1907 = "Ali Ahmad","Full-In"))))))</f>
        <v>0</v>
      </c>
      <c r="K910" s="39" t="e">
        <f aca="false">IFERROR(VLOOKUP(D910,'Brand manager data '!A:B,2,0))</f>
        <v>#VALUE!</v>
      </c>
      <c r="L910" s="13" t="n">
        <v>0</v>
      </c>
      <c r="M910" s="13" t="str">
        <v>Yes</v>
      </c>
      <c r="N910" s="22"/>
      <c r="Q910" s="40"/>
      <c r="R910" s="13" t="b">
        <f aca="false">FALSE()</f>
        <v>0</v>
      </c>
      <c r="S910" s="13" t="n">
        <v>0</v>
      </c>
      <c r="T910" s="13" t="n">
        <f aca="false">S910*F910</f>
        <v>0</v>
      </c>
      <c r="U910" s="13" t="n">
        <v>0</v>
      </c>
      <c r="V910" s="13" t="n">
        <v>0</v>
      </c>
    </row>
    <row r="911" customFormat="false" ht="15.75" hidden="false" customHeight="false" outlineLevel="0" collapsed="false">
      <c r="A911" s="13" t="n">
        <v>0</v>
      </c>
      <c r="B911" s="13" t="str">
        <v/>
      </c>
      <c r="C911" s="13" t="n">
        <v>0</v>
      </c>
      <c r="D911" s="13" t="n">
        <v>0</v>
      </c>
      <c r="E911" s="13" t="str">
        <v/>
      </c>
      <c r="F911" s="13" t="n">
        <v>0</v>
      </c>
      <c r="G911" s="13" t="n">
        <v>0</v>
      </c>
      <c r="H911" s="13" t="n">
        <v>0</v>
      </c>
      <c r="I911" s="13" t="n">
        <v>0</v>
      </c>
      <c r="J911" s="13" t="b">
        <f aca="false">IF(ISBLANK(I911),"", IF($I$2:$I1908 = "Gohar Rehan","Overnight",IF($I$2:$I1908 = "Taufeeq Akhtar ","Overnight",IF($I$2:$I1908 = "Zeeshan Ali Malik","Audit",IF($I$2:$I1908 = "Ali Raza ","Receiving",IF($I$2:$I1908 = "Ali Ahmad","Full-In"))))))</f>
        <v>0</v>
      </c>
      <c r="K911" s="39" t="e">
        <f aca="false">IFERROR(VLOOKUP(D911,'Brand manager data '!A:B,2,0))</f>
        <v>#VALUE!</v>
      </c>
      <c r="L911" s="13" t="n">
        <v>0</v>
      </c>
      <c r="M911" s="13" t="str">
        <v>Yes</v>
      </c>
      <c r="N911" s="22"/>
      <c r="Q911" s="40"/>
      <c r="R911" s="13" t="b">
        <f aca="false">FALSE()</f>
        <v>0</v>
      </c>
      <c r="S911" s="13" t="n">
        <v>0</v>
      </c>
      <c r="T911" s="13" t="n">
        <f aca="false">S911*F911</f>
        <v>0</v>
      </c>
      <c r="U911" s="13" t="n">
        <v>0</v>
      </c>
      <c r="V911" s="13" t="n">
        <v>0</v>
      </c>
    </row>
    <row r="912" customFormat="false" ht="15.75" hidden="false" customHeight="false" outlineLevel="0" collapsed="false">
      <c r="A912" s="13" t="n">
        <v>0</v>
      </c>
      <c r="B912" s="13" t="str">
        <v/>
      </c>
      <c r="C912" s="13" t="n">
        <v>0</v>
      </c>
      <c r="D912" s="13" t="n">
        <v>0</v>
      </c>
      <c r="E912" s="13" t="str">
        <v/>
      </c>
      <c r="F912" s="13" t="n">
        <v>0</v>
      </c>
      <c r="G912" s="13" t="n">
        <v>0</v>
      </c>
      <c r="H912" s="13" t="n">
        <v>0</v>
      </c>
      <c r="I912" s="13" t="n">
        <v>0</v>
      </c>
      <c r="J912" s="13" t="b">
        <f aca="false">IF(ISBLANK(I912),"", IF($I$2:$I1909 = "Gohar Rehan","Overnight",IF($I$2:$I1909 = "Taufeeq Akhtar ","Overnight",IF($I$2:$I1909 = "Zeeshan Ali Malik","Audit",IF($I$2:$I1909 = "Ali Raza ","Receiving",IF($I$2:$I1909 = "Ali Ahmad","Full-In"))))))</f>
        <v>0</v>
      </c>
      <c r="K912" s="39" t="e">
        <f aca="false">IFERROR(VLOOKUP(D912,'Brand manager data '!A:B,2,0))</f>
        <v>#VALUE!</v>
      </c>
      <c r="L912" s="13" t="n">
        <v>0</v>
      </c>
      <c r="M912" s="13" t="str">
        <v>Yes</v>
      </c>
      <c r="N912" s="22"/>
      <c r="Q912" s="40"/>
      <c r="R912" s="13" t="b">
        <f aca="false">FALSE()</f>
        <v>0</v>
      </c>
      <c r="S912" s="13" t="n">
        <v>0</v>
      </c>
      <c r="T912" s="13" t="n">
        <f aca="false">S912*F912</f>
        <v>0</v>
      </c>
      <c r="U912" s="13" t="n">
        <v>0</v>
      </c>
      <c r="V912" s="13" t="n">
        <v>0</v>
      </c>
    </row>
    <row r="913" customFormat="false" ht="15.75" hidden="false" customHeight="false" outlineLevel="0" collapsed="false">
      <c r="A913" s="13" t="n">
        <v>0</v>
      </c>
      <c r="B913" s="13" t="str">
        <v/>
      </c>
      <c r="C913" s="13" t="n">
        <v>0</v>
      </c>
      <c r="D913" s="13" t="n">
        <v>0</v>
      </c>
      <c r="E913" s="13" t="str">
        <v/>
      </c>
      <c r="F913" s="13" t="n">
        <v>0</v>
      </c>
      <c r="G913" s="13" t="n">
        <v>0</v>
      </c>
      <c r="H913" s="13" t="n">
        <v>0</v>
      </c>
      <c r="I913" s="13" t="n">
        <v>0</v>
      </c>
      <c r="J913" s="13" t="b">
        <f aca="false">IF(ISBLANK(I913),"", IF($I$2:$I1910 = "Gohar Rehan","Overnight",IF($I$2:$I1910 = "Taufeeq Akhtar ","Overnight",IF($I$2:$I1910 = "Zeeshan Ali Malik","Audit",IF($I$2:$I1910 = "Ali Raza ","Receiving",IF($I$2:$I1910 = "Ali Ahmad","Full-In"))))))</f>
        <v>0</v>
      </c>
      <c r="K913" s="39" t="e">
        <f aca="false">IFERROR(VLOOKUP(D913,'Brand manager data '!A:B,2,0))</f>
        <v>#VALUE!</v>
      </c>
      <c r="L913" s="13" t="n">
        <v>0</v>
      </c>
      <c r="M913" s="13" t="str">
        <v>Yes</v>
      </c>
      <c r="N913" s="22"/>
      <c r="Q913" s="40"/>
      <c r="R913" s="13" t="b">
        <f aca="false">FALSE()</f>
        <v>0</v>
      </c>
      <c r="S913" s="13" t="n">
        <v>0</v>
      </c>
      <c r="T913" s="13" t="n">
        <f aca="false">S913*F913</f>
        <v>0</v>
      </c>
      <c r="U913" s="13" t="n">
        <v>0</v>
      </c>
      <c r="V913" s="13" t="n">
        <v>0</v>
      </c>
    </row>
    <row r="914" customFormat="false" ht="15.75" hidden="false" customHeight="false" outlineLevel="0" collapsed="false">
      <c r="A914" s="13" t="n">
        <v>0</v>
      </c>
      <c r="B914" s="13" t="str">
        <v/>
      </c>
      <c r="C914" s="13" t="n">
        <v>0</v>
      </c>
      <c r="D914" s="13" t="n">
        <v>0</v>
      </c>
      <c r="E914" s="13" t="str">
        <v/>
      </c>
      <c r="F914" s="13" t="n">
        <v>0</v>
      </c>
      <c r="G914" s="13" t="n">
        <v>0</v>
      </c>
      <c r="H914" s="13" t="n">
        <v>0</v>
      </c>
      <c r="I914" s="13" t="n">
        <v>0</v>
      </c>
      <c r="J914" s="13" t="b">
        <f aca="false">IF(ISBLANK(I914),"", IF($I$2:$I1911 = "Gohar Rehan","Overnight",IF($I$2:$I1911 = "Taufeeq Akhtar ","Overnight",IF($I$2:$I1911 = "Zeeshan Ali Malik","Audit",IF($I$2:$I1911 = "Ali Raza ","Receiving",IF($I$2:$I1911 = "Ali Ahmad","Full-In"))))))</f>
        <v>0</v>
      </c>
      <c r="K914" s="39" t="e">
        <f aca="false">IFERROR(VLOOKUP(D914,'Brand manager data '!A:B,2,0))</f>
        <v>#VALUE!</v>
      </c>
      <c r="L914" s="13" t="n">
        <v>0</v>
      </c>
      <c r="M914" s="13" t="str">
        <v>Yes</v>
      </c>
      <c r="N914" s="22"/>
      <c r="Q914" s="40"/>
      <c r="R914" s="13" t="b">
        <f aca="false">FALSE()</f>
        <v>0</v>
      </c>
      <c r="S914" s="13" t="n">
        <v>0</v>
      </c>
      <c r="T914" s="13" t="n">
        <f aca="false">S914*F914</f>
        <v>0</v>
      </c>
      <c r="U914" s="13" t="n">
        <v>0</v>
      </c>
      <c r="V914" s="13" t="n">
        <v>0</v>
      </c>
    </row>
    <row r="915" customFormat="false" ht="15.75" hidden="false" customHeight="false" outlineLevel="0" collapsed="false">
      <c r="A915" s="13" t="n">
        <v>0</v>
      </c>
      <c r="B915" s="13" t="str">
        <v/>
      </c>
      <c r="C915" s="13" t="n">
        <v>0</v>
      </c>
      <c r="D915" s="13" t="n">
        <v>0</v>
      </c>
      <c r="E915" s="13" t="str">
        <v/>
      </c>
      <c r="F915" s="13" t="n">
        <v>0</v>
      </c>
      <c r="G915" s="13" t="n">
        <v>0</v>
      </c>
      <c r="H915" s="13" t="n">
        <v>0</v>
      </c>
      <c r="I915" s="13" t="n">
        <v>0</v>
      </c>
      <c r="J915" s="13" t="b">
        <f aca="false">IF(ISBLANK(I915),"", IF($I$2:$I1912 = "Gohar Rehan","Overnight",IF($I$2:$I1912 = "Taufeeq Akhtar ","Overnight",IF($I$2:$I1912 = "Zeeshan Ali Malik","Audit",IF($I$2:$I1912 = "Ali Raza ","Receiving",IF($I$2:$I1912 = "Ali Ahmad","Full-In"))))))</f>
        <v>0</v>
      </c>
      <c r="K915" s="39" t="e">
        <f aca="false">IFERROR(VLOOKUP(D915,'Brand manager data '!A:B,2,0))</f>
        <v>#VALUE!</v>
      </c>
      <c r="L915" s="13" t="n">
        <v>0</v>
      </c>
      <c r="M915" s="13" t="str">
        <v>Yes</v>
      </c>
      <c r="N915" s="22"/>
      <c r="Q915" s="40"/>
      <c r="R915" s="13" t="b">
        <f aca="false">FALSE()</f>
        <v>0</v>
      </c>
      <c r="S915" s="13" t="n">
        <v>0</v>
      </c>
      <c r="T915" s="13" t="n">
        <f aca="false">S915*F915</f>
        <v>0</v>
      </c>
      <c r="U915" s="13" t="n">
        <v>0</v>
      </c>
      <c r="V915" s="13" t="n">
        <v>0</v>
      </c>
    </row>
    <row r="916" customFormat="false" ht="15.75" hidden="false" customHeight="false" outlineLevel="0" collapsed="false">
      <c r="A916" s="13" t="n">
        <v>0</v>
      </c>
      <c r="B916" s="13" t="str">
        <v/>
      </c>
      <c r="C916" s="13" t="n">
        <v>0</v>
      </c>
      <c r="D916" s="13" t="n">
        <v>0</v>
      </c>
      <c r="E916" s="13" t="str">
        <v/>
      </c>
      <c r="F916" s="13" t="n">
        <v>0</v>
      </c>
      <c r="G916" s="13" t="n">
        <v>0</v>
      </c>
      <c r="H916" s="13" t="n">
        <v>0</v>
      </c>
      <c r="I916" s="13" t="n">
        <v>0</v>
      </c>
      <c r="J916" s="13" t="b">
        <f aca="false">IF(ISBLANK(I916),"", IF($I$2:$I1913 = "Gohar Rehan","Overnight",IF($I$2:$I1913 = "Taufeeq Akhtar ","Overnight",IF($I$2:$I1913 = "Zeeshan Ali Malik","Audit",IF($I$2:$I1913 = "Ali Raza ","Receiving",IF($I$2:$I1913 = "Ali Ahmad","Full-In"))))))</f>
        <v>0</v>
      </c>
      <c r="K916" s="39" t="e">
        <f aca="false">IFERROR(VLOOKUP(D916,'Brand manager data '!A:B,2,0))</f>
        <v>#VALUE!</v>
      </c>
      <c r="L916" s="13" t="n">
        <v>0</v>
      </c>
      <c r="M916" s="13" t="str">
        <v>Yes</v>
      </c>
      <c r="N916" s="22"/>
      <c r="Q916" s="40"/>
      <c r="R916" s="13" t="b">
        <f aca="false">FALSE()</f>
        <v>0</v>
      </c>
      <c r="S916" s="13" t="n">
        <v>0</v>
      </c>
      <c r="T916" s="13" t="n">
        <f aca="false">S916*F916</f>
        <v>0</v>
      </c>
      <c r="U916" s="13" t="n">
        <v>0</v>
      </c>
      <c r="V916" s="13" t="n">
        <v>0</v>
      </c>
    </row>
    <row r="917" customFormat="false" ht="15.75" hidden="false" customHeight="false" outlineLevel="0" collapsed="false">
      <c r="A917" s="13" t="n">
        <v>0</v>
      </c>
      <c r="B917" s="13" t="str">
        <v/>
      </c>
      <c r="C917" s="13" t="n">
        <v>0</v>
      </c>
      <c r="D917" s="13" t="n">
        <v>0</v>
      </c>
      <c r="E917" s="13" t="str">
        <v/>
      </c>
      <c r="F917" s="13" t="n">
        <v>0</v>
      </c>
      <c r="G917" s="13" t="n">
        <v>0</v>
      </c>
      <c r="H917" s="13" t="n">
        <v>0</v>
      </c>
      <c r="I917" s="13" t="n">
        <v>0</v>
      </c>
      <c r="J917" s="13" t="b">
        <f aca="false">IF(ISBLANK(I917),"", IF($I$2:$I1914 = "Gohar Rehan","Overnight",IF($I$2:$I1914 = "Taufeeq Akhtar ","Overnight",IF($I$2:$I1914 = "Zeeshan Ali Malik","Audit",IF($I$2:$I1914 = "Ali Raza ","Receiving",IF($I$2:$I1914 = "Ali Ahmad","Full-In"))))))</f>
        <v>0</v>
      </c>
      <c r="K917" s="39" t="e">
        <f aca="false">IFERROR(VLOOKUP(D917,'Brand manager data '!A:B,2,0))</f>
        <v>#VALUE!</v>
      </c>
      <c r="L917" s="13" t="n">
        <v>0</v>
      </c>
      <c r="M917" s="13" t="str">
        <v>Yes</v>
      </c>
      <c r="N917" s="22"/>
      <c r="Q917" s="40"/>
      <c r="R917" s="13" t="b">
        <f aca="false">FALSE()</f>
        <v>0</v>
      </c>
      <c r="S917" s="13" t="n">
        <v>0</v>
      </c>
      <c r="T917" s="13" t="n">
        <f aca="false">S917*F917</f>
        <v>0</v>
      </c>
      <c r="U917" s="13" t="n">
        <v>0</v>
      </c>
      <c r="V917" s="13" t="n">
        <v>0</v>
      </c>
    </row>
    <row r="918" customFormat="false" ht="15.75" hidden="false" customHeight="false" outlineLevel="0" collapsed="false">
      <c r="A918" s="13" t="n">
        <v>0</v>
      </c>
      <c r="B918" s="13" t="str">
        <v/>
      </c>
      <c r="C918" s="13" t="n">
        <v>0</v>
      </c>
      <c r="D918" s="13" t="n">
        <v>0</v>
      </c>
      <c r="E918" s="13" t="str">
        <v/>
      </c>
      <c r="F918" s="13" t="n">
        <v>0</v>
      </c>
      <c r="G918" s="13" t="n">
        <v>0</v>
      </c>
      <c r="H918" s="13" t="n">
        <v>0</v>
      </c>
      <c r="I918" s="13" t="n">
        <v>0</v>
      </c>
      <c r="J918" s="13" t="b">
        <f aca="false">IF(ISBLANK(I918),"", IF($I$2:$I1915 = "Gohar Rehan","Overnight",IF($I$2:$I1915 = "Taufeeq Akhtar ","Overnight",IF($I$2:$I1915 = "Zeeshan Ali Malik","Audit",IF($I$2:$I1915 = "Ali Raza ","Receiving",IF($I$2:$I1915 = "Ali Ahmad","Full-In"))))))</f>
        <v>0</v>
      </c>
      <c r="K918" s="39" t="e">
        <f aca="false">IFERROR(VLOOKUP(D918,'Brand manager data '!A:B,2,0))</f>
        <v>#VALUE!</v>
      </c>
      <c r="L918" s="13" t="n">
        <v>0</v>
      </c>
      <c r="M918" s="13" t="str">
        <v>Yes</v>
      </c>
      <c r="N918" s="22"/>
      <c r="Q918" s="40"/>
      <c r="R918" s="13" t="b">
        <f aca="false">FALSE()</f>
        <v>0</v>
      </c>
      <c r="S918" s="13" t="n">
        <v>0</v>
      </c>
      <c r="T918" s="13" t="n">
        <f aca="false">S918*F918</f>
        <v>0</v>
      </c>
      <c r="U918" s="13" t="n">
        <v>0</v>
      </c>
      <c r="V918" s="13" t="n">
        <v>0</v>
      </c>
    </row>
    <row r="919" customFormat="false" ht="15.75" hidden="false" customHeight="false" outlineLevel="0" collapsed="false">
      <c r="A919" s="13" t="n">
        <v>0</v>
      </c>
      <c r="B919" s="13" t="str">
        <v/>
      </c>
      <c r="C919" s="13" t="n">
        <v>0</v>
      </c>
      <c r="D919" s="13" t="n">
        <v>0</v>
      </c>
      <c r="E919" s="13" t="str">
        <v/>
      </c>
      <c r="F919" s="13" t="n">
        <v>0</v>
      </c>
      <c r="G919" s="13" t="n">
        <v>0</v>
      </c>
      <c r="H919" s="13" t="n">
        <v>0</v>
      </c>
      <c r="I919" s="13" t="n">
        <v>0</v>
      </c>
      <c r="J919" s="13" t="b">
        <f aca="false">IF(ISBLANK(I919),"", IF($I$2:$I1916 = "Gohar Rehan","Overnight",IF($I$2:$I1916 = "Taufeeq Akhtar ","Overnight",IF($I$2:$I1916 = "Zeeshan Ali Malik","Audit",IF($I$2:$I1916 = "Ali Raza ","Receiving",IF($I$2:$I1916 = "Ali Ahmad","Full-In"))))))</f>
        <v>0</v>
      </c>
      <c r="K919" s="39" t="e">
        <f aca="false">IFERROR(VLOOKUP(D919,'Brand manager data '!A:B,2,0))</f>
        <v>#VALUE!</v>
      </c>
      <c r="L919" s="13" t="n">
        <v>0</v>
      </c>
      <c r="M919" s="13" t="str">
        <v>Yes</v>
      </c>
      <c r="N919" s="22"/>
      <c r="Q919" s="40"/>
      <c r="R919" s="13" t="b">
        <f aca="false">FALSE()</f>
        <v>0</v>
      </c>
      <c r="S919" s="13" t="n">
        <v>0</v>
      </c>
      <c r="T919" s="13" t="n">
        <f aca="false">S919*F919</f>
        <v>0</v>
      </c>
      <c r="U919" s="13" t="n">
        <v>0</v>
      </c>
      <c r="V919" s="13" t="n">
        <v>0</v>
      </c>
    </row>
    <row r="920" customFormat="false" ht="15.75" hidden="false" customHeight="false" outlineLevel="0" collapsed="false">
      <c r="A920" s="13" t="n">
        <v>0</v>
      </c>
      <c r="B920" s="13" t="str">
        <v/>
      </c>
      <c r="C920" s="13" t="n">
        <v>0</v>
      </c>
      <c r="D920" s="13" t="n">
        <v>0</v>
      </c>
      <c r="E920" s="13" t="str">
        <v/>
      </c>
      <c r="F920" s="13" t="n">
        <v>0</v>
      </c>
      <c r="G920" s="13" t="n">
        <v>0</v>
      </c>
      <c r="H920" s="13" t="n">
        <v>0</v>
      </c>
      <c r="I920" s="13" t="n">
        <v>0</v>
      </c>
      <c r="J920" s="13" t="b">
        <f aca="false">IF(ISBLANK(I920),"", IF($I$2:$I1917 = "Gohar Rehan","Overnight",IF($I$2:$I1917 = "Taufeeq Akhtar ","Overnight",IF($I$2:$I1917 = "Zeeshan Ali Malik","Audit",IF($I$2:$I1917 = "Ali Raza ","Receiving",IF($I$2:$I1917 = "Ali Ahmad","Full-In"))))))</f>
        <v>0</v>
      </c>
      <c r="K920" s="39" t="e">
        <f aca="false">IFERROR(VLOOKUP(D920,'Brand manager data '!A:B,2,0))</f>
        <v>#VALUE!</v>
      </c>
      <c r="L920" s="13" t="n">
        <v>0</v>
      </c>
      <c r="M920" s="13" t="str">
        <v>Yes</v>
      </c>
      <c r="N920" s="22"/>
      <c r="Q920" s="40"/>
      <c r="R920" s="13" t="b">
        <f aca="false">FALSE()</f>
        <v>0</v>
      </c>
      <c r="S920" s="13" t="n">
        <v>0</v>
      </c>
      <c r="T920" s="13" t="n">
        <f aca="false">S920*F920</f>
        <v>0</v>
      </c>
      <c r="U920" s="13" t="n">
        <v>0</v>
      </c>
      <c r="V920" s="13" t="n">
        <v>0</v>
      </c>
    </row>
    <row r="921" customFormat="false" ht="15.75" hidden="false" customHeight="false" outlineLevel="0" collapsed="false">
      <c r="A921" s="13" t="n">
        <v>0</v>
      </c>
      <c r="B921" s="13" t="str">
        <v/>
      </c>
      <c r="C921" s="13" t="n">
        <v>0</v>
      </c>
      <c r="D921" s="13" t="n">
        <v>0</v>
      </c>
      <c r="E921" s="13" t="str">
        <v/>
      </c>
      <c r="F921" s="13" t="n">
        <v>0</v>
      </c>
      <c r="G921" s="13" t="n">
        <v>0</v>
      </c>
      <c r="H921" s="13" t="n">
        <v>0</v>
      </c>
      <c r="I921" s="13" t="n">
        <v>0</v>
      </c>
      <c r="J921" s="13" t="b">
        <f aca="false">IF(ISBLANK(I921),"", IF($I$2:$I1918 = "Gohar Rehan","Overnight",IF($I$2:$I1918 = "Taufeeq Akhtar ","Overnight",IF($I$2:$I1918 = "Zeeshan Ali Malik","Audit",IF($I$2:$I1918 = "Ali Raza ","Receiving",IF($I$2:$I1918 = "Ali Ahmad","Full-In"))))))</f>
        <v>0</v>
      </c>
      <c r="K921" s="39" t="e">
        <f aca="false">IFERROR(VLOOKUP(D921,'Brand manager data '!A:B,2,0))</f>
        <v>#VALUE!</v>
      </c>
      <c r="L921" s="13" t="n">
        <v>0</v>
      </c>
      <c r="M921" s="13" t="str">
        <v>Yes</v>
      </c>
      <c r="N921" s="22"/>
      <c r="Q921" s="40"/>
      <c r="R921" s="13" t="b">
        <f aca="false">FALSE()</f>
        <v>0</v>
      </c>
      <c r="S921" s="13" t="n">
        <v>0</v>
      </c>
      <c r="T921" s="13" t="n">
        <f aca="false">S921*F921</f>
        <v>0</v>
      </c>
      <c r="U921" s="13" t="n">
        <v>0</v>
      </c>
      <c r="V921" s="13" t="n">
        <v>0</v>
      </c>
    </row>
    <row r="922" customFormat="false" ht="15.75" hidden="false" customHeight="false" outlineLevel="0" collapsed="false">
      <c r="A922" s="13" t="n">
        <v>0</v>
      </c>
      <c r="B922" s="13" t="str">
        <v/>
      </c>
      <c r="C922" s="13" t="n">
        <v>0</v>
      </c>
      <c r="D922" s="13" t="n">
        <v>0</v>
      </c>
      <c r="E922" s="13" t="str">
        <v/>
      </c>
      <c r="F922" s="13" t="n">
        <v>0</v>
      </c>
      <c r="G922" s="13" t="n">
        <v>0</v>
      </c>
      <c r="H922" s="13" t="n">
        <v>0</v>
      </c>
      <c r="I922" s="13" t="n">
        <v>0</v>
      </c>
      <c r="J922" s="13" t="b">
        <f aca="false">IF(ISBLANK(I922),"", IF($I$2:$I1919 = "Gohar Rehan","Overnight",IF($I$2:$I1919 = "Taufeeq Akhtar ","Overnight",IF($I$2:$I1919 = "Zeeshan Ali Malik","Audit",IF($I$2:$I1919 = "Ali Raza ","Receiving",IF($I$2:$I1919 = "Ali Ahmad","Full-In"))))))</f>
        <v>0</v>
      </c>
      <c r="K922" s="39" t="e">
        <f aca="false">IFERROR(VLOOKUP(D922,'Brand manager data '!A:B,2,0))</f>
        <v>#VALUE!</v>
      </c>
      <c r="L922" s="13" t="n">
        <v>0</v>
      </c>
      <c r="M922" s="13" t="str">
        <v>Yes</v>
      </c>
      <c r="N922" s="22"/>
      <c r="Q922" s="40"/>
      <c r="R922" s="13" t="b">
        <f aca="false">FALSE()</f>
        <v>0</v>
      </c>
      <c r="S922" s="13" t="n">
        <v>0</v>
      </c>
      <c r="T922" s="13" t="n">
        <f aca="false">S922*F922</f>
        <v>0</v>
      </c>
      <c r="U922" s="13" t="n">
        <v>0</v>
      </c>
      <c r="V922" s="13" t="n">
        <v>0</v>
      </c>
    </row>
    <row r="923" customFormat="false" ht="15.75" hidden="false" customHeight="false" outlineLevel="0" collapsed="false">
      <c r="A923" s="13" t="n">
        <v>0</v>
      </c>
      <c r="B923" s="13" t="str">
        <v/>
      </c>
      <c r="C923" s="13" t="n">
        <v>0</v>
      </c>
      <c r="D923" s="13" t="n">
        <v>0</v>
      </c>
      <c r="E923" s="13" t="str">
        <v/>
      </c>
      <c r="F923" s="13" t="n">
        <v>0</v>
      </c>
      <c r="G923" s="13" t="n">
        <v>0</v>
      </c>
      <c r="H923" s="13" t="n">
        <v>0</v>
      </c>
      <c r="I923" s="13" t="n">
        <v>0</v>
      </c>
      <c r="J923" s="13" t="b">
        <f aca="false">IF(ISBLANK(I923),"", IF($I$2:$I1920 = "Gohar Rehan","Overnight",IF($I$2:$I1920 = "Taufeeq Akhtar ","Overnight",IF($I$2:$I1920 = "Zeeshan Ali Malik","Audit",IF($I$2:$I1920 = "Ali Raza ","Receiving",IF($I$2:$I1920 = "Ali Ahmad","Full-In"))))))</f>
        <v>0</v>
      </c>
      <c r="K923" s="39" t="e">
        <f aca="false">IFERROR(VLOOKUP(D923,'Brand manager data '!A:B,2,0))</f>
        <v>#VALUE!</v>
      </c>
      <c r="L923" s="13" t="n">
        <v>0</v>
      </c>
      <c r="M923" s="13" t="str">
        <v>Yes</v>
      </c>
      <c r="N923" s="22"/>
      <c r="Q923" s="40"/>
      <c r="R923" s="13" t="b">
        <f aca="false">FALSE()</f>
        <v>0</v>
      </c>
      <c r="S923" s="13" t="n">
        <v>0</v>
      </c>
      <c r="T923" s="13" t="n">
        <f aca="false">S923*F923</f>
        <v>0</v>
      </c>
      <c r="U923" s="13" t="n">
        <v>0</v>
      </c>
      <c r="V923" s="13" t="n">
        <v>0</v>
      </c>
    </row>
    <row r="924" customFormat="false" ht="15.75" hidden="false" customHeight="false" outlineLevel="0" collapsed="false">
      <c r="A924" s="13" t="n">
        <v>0</v>
      </c>
      <c r="B924" s="13" t="str">
        <v/>
      </c>
      <c r="C924" s="13" t="n">
        <v>0</v>
      </c>
      <c r="D924" s="13" t="n">
        <v>0</v>
      </c>
      <c r="E924" s="13" t="str">
        <v/>
      </c>
      <c r="F924" s="13" t="n">
        <v>0</v>
      </c>
      <c r="G924" s="13" t="n">
        <v>0</v>
      </c>
      <c r="H924" s="13" t="n">
        <v>0</v>
      </c>
      <c r="I924" s="13" t="n">
        <v>0</v>
      </c>
      <c r="J924" s="13" t="b">
        <f aca="false">IF(ISBLANK(I924),"", IF($I$2:$I1921 = "Gohar Rehan","Overnight",IF($I$2:$I1921 = "Taufeeq Akhtar ","Overnight",IF($I$2:$I1921 = "Zeeshan Ali Malik","Audit",IF($I$2:$I1921 = "Ali Raza ","Receiving",IF($I$2:$I1921 = "Ali Ahmad","Full-In"))))))</f>
        <v>0</v>
      </c>
      <c r="K924" s="39" t="e">
        <f aca="false">IFERROR(VLOOKUP(D924,'Brand manager data '!A:B,2,0))</f>
        <v>#VALUE!</v>
      </c>
      <c r="L924" s="13" t="n">
        <v>0</v>
      </c>
      <c r="M924" s="13" t="str">
        <v>Yes</v>
      </c>
      <c r="N924" s="22"/>
      <c r="Q924" s="40"/>
      <c r="R924" s="13" t="b">
        <f aca="false">FALSE()</f>
        <v>0</v>
      </c>
      <c r="S924" s="13" t="n">
        <v>0</v>
      </c>
      <c r="T924" s="13" t="n">
        <f aca="false">S924*F924</f>
        <v>0</v>
      </c>
      <c r="U924" s="13" t="n">
        <v>0</v>
      </c>
      <c r="V924" s="13" t="n">
        <v>0</v>
      </c>
    </row>
    <row r="925" customFormat="false" ht="15.75" hidden="false" customHeight="false" outlineLevel="0" collapsed="false">
      <c r="A925" s="13" t="n">
        <v>0</v>
      </c>
      <c r="B925" s="13" t="str">
        <v/>
      </c>
      <c r="C925" s="13" t="n">
        <v>0</v>
      </c>
      <c r="D925" s="13" t="n">
        <v>0</v>
      </c>
      <c r="E925" s="13" t="str">
        <v/>
      </c>
      <c r="F925" s="13" t="n">
        <v>0</v>
      </c>
      <c r="G925" s="13" t="n">
        <v>0</v>
      </c>
      <c r="H925" s="13" t="n">
        <v>0</v>
      </c>
      <c r="I925" s="13" t="n">
        <v>0</v>
      </c>
      <c r="J925" s="13" t="b">
        <f aca="false">IF(ISBLANK(I925),"", IF($I$2:$I1922 = "Gohar Rehan","Overnight",IF($I$2:$I1922 = "Taufeeq Akhtar ","Overnight",IF($I$2:$I1922 = "Zeeshan Ali Malik","Audit",IF($I$2:$I1922 = "Ali Raza ","Receiving",IF($I$2:$I1922 = "Ali Ahmad","Full-In"))))))</f>
        <v>0</v>
      </c>
      <c r="K925" s="39" t="e">
        <f aca="false">IFERROR(VLOOKUP(D925,'Brand manager data '!A:B,2,0))</f>
        <v>#VALUE!</v>
      </c>
      <c r="L925" s="13" t="n">
        <v>0</v>
      </c>
      <c r="M925" s="13" t="str">
        <v>Yes</v>
      </c>
      <c r="N925" s="22"/>
      <c r="Q925" s="40"/>
      <c r="R925" s="13" t="b">
        <f aca="false">FALSE()</f>
        <v>0</v>
      </c>
      <c r="S925" s="13" t="n">
        <v>0</v>
      </c>
      <c r="T925" s="13" t="n">
        <f aca="false">S925*F925</f>
        <v>0</v>
      </c>
      <c r="U925" s="13" t="n">
        <v>0</v>
      </c>
      <c r="V925" s="13" t="n">
        <v>0</v>
      </c>
    </row>
    <row r="926" customFormat="false" ht="15.75" hidden="false" customHeight="false" outlineLevel="0" collapsed="false">
      <c r="A926" s="13" t="n">
        <v>0</v>
      </c>
      <c r="B926" s="13" t="str">
        <v/>
      </c>
      <c r="C926" s="13" t="n">
        <v>0</v>
      </c>
      <c r="D926" s="13" t="n">
        <v>0</v>
      </c>
      <c r="E926" s="13" t="str">
        <v/>
      </c>
      <c r="F926" s="13" t="n">
        <v>0</v>
      </c>
      <c r="G926" s="13" t="n">
        <v>0</v>
      </c>
      <c r="H926" s="13" t="n">
        <v>0</v>
      </c>
      <c r="I926" s="13" t="n">
        <v>0</v>
      </c>
      <c r="J926" s="13" t="b">
        <f aca="false">IF(ISBLANK(I926),"", IF($I$2:$I1923 = "Gohar Rehan","Overnight",IF($I$2:$I1923 = "Taufeeq Akhtar ","Overnight",IF($I$2:$I1923 = "Zeeshan Ali Malik","Audit",IF($I$2:$I1923 = "Ali Raza ","Receiving",IF($I$2:$I1923 = "Ali Ahmad","Full-In"))))))</f>
        <v>0</v>
      </c>
      <c r="K926" s="39" t="e">
        <f aca="false">IFERROR(VLOOKUP(D926,'Brand manager data '!A:B,2,0))</f>
        <v>#VALUE!</v>
      </c>
      <c r="L926" s="13" t="n">
        <v>0</v>
      </c>
      <c r="M926" s="13" t="str">
        <v>Yes</v>
      </c>
      <c r="N926" s="22"/>
      <c r="Q926" s="40"/>
      <c r="R926" s="13" t="b">
        <f aca="false">FALSE()</f>
        <v>0</v>
      </c>
      <c r="S926" s="13" t="n">
        <v>0</v>
      </c>
      <c r="T926" s="13" t="n">
        <f aca="false">S926*F926</f>
        <v>0</v>
      </c>
      <c r="U926" s="13" t="n">
        <v>0</v>
      </c>
      <c r="V926" s="13" t="n">
        <v>0</v>
      </c>
    </row>
    <row r="927" customFormat="false" ht="15.75" hidden="false" customHeight="false" outlineLevel="0" collapsed="false">
      <c r="A927" s="13" t="n">
        <v>0</v>
      </c>
      <c r="B927" s="13" t="str">
        <v/>
      </c>
      <c r="C927" s="13" t="n">
        <v>0</v>
      </c>
      <c r="D927" s="13" t="n">
        <v>0</v>
      </c>
      <c r="E927" s="13" t="str">
        <v/>
      </c>
      <c r="F927" s="13" t="n">
        <v>0</v>
      </c>
      <c r="G927" s="13" t="n">
        <v>0</v>
      </c>
      <c r="H927" s="13" t="n">
        <v>0</v>
      </c>
      <c r="I927" s="13" t="n">
        <v>0</v>
      </c>
      <c r="J927" s="13" t="b">
        <f aca="false">IF(ISBLANK(I927),"", IF($I$2:$I1924 = "Gohar Rehan","Overnight",IF($I$2:$I1924 = "Taufeeq Akhtar ","Overnight",IF($I$2:$I1924 = "Zeeshan Ali Malik","Audit",IF($I$2:$I1924 = "Ali Raza ","Receiving",IF($I$2:$I1924 = "Ali Ahmad","Full-In"))))))</f>
        <v>0</v>
      </c>
      <c r="K927" s="39" t="e">
        <f aca="false">IFERROR(VLOOKUP(D927,'Brand manager data '!A:B,2,0))</f>
        <v>#VALUE!</v>
      </c>
      <c r="L927" s="13" t="n">
        <v>0</v>
      </c>
      <c r="M927" s="13" t="str">
        <v>Yes</v>
      </c>
      <c r="N927" s="22"/>
      <c r="Q927" s="40"/>
      <c r="R927" s="13" t="b">
        <f aca="false">FALSE()</f>
        <v>0</v>
      </c>
      <c r="S927" s="13" t="n">
        <v>0</v>
      </c>
      <c r="T927" s="13" t="n">
        <f aca="false">S927*F927</f>
        <v>0</v>
      </c>
      <c r="U927" s="13" t="n">
        <v>0</v>
      </c>
      <c r="V927" s="13" t="n">
        <v>0</v>
      </c>
    </row>
    <row r="928" customFormat="false" ht="15.75" hidden="false" customHeight="false" outlineLevel="0" collapsed="false">
      <c r="A928" s="13" t="n">
        <v>0</v>
      </c>
      <c r="B928" s="13" t="str">
        <v/>
      </c>
      <c r="C928" s="13" t="n">
        <v>0</v>
      </c>
      <c r="D928" s="13" t="n">
        <v>0</v>
      </c>
      <c r="E928" s="13" t="str">
        <v/>
      </c>
      <c r="F928" s="13" t="n">
        <v>0</v>
      </c>
      <c r="G928" s="13" t="n">
        <v>0</v>
      </c>
      <c r="H928" s="13" t="n">
        <v>0</v>
      </c>
      <c r="I928" s="13" t="n">
        <v>0</v>
      </c>
      <c r="J928" s="13" t="b">
        <f aca="false">IF(ISBLANK(I928),"", IF($I$2:$I1925 = "Gohar Rehan","Overnight",IF($I$2:$I1925 = "Taufeeq Akhtar ","Overnight",IF($I$2:$I1925 = "Zeeshan Ali Malik","Audit",IF($I$2:$I1925 = "Ali Raza ","Receiving",IF($I$2:$I1925 = "Ali Ahmad","Full-In"))))))</f>
        <v>0</v>
      </c>
      <c r="K928" s="39" t="e">
        <f aca="false">IFERROR(VLOOKUP(D928,'Brand manager data '!A:B,2,0))</f>
        <v>#VALUE!</v>
      </c>
      <c r="L928" s="13" t="n">
        <v>0</v>
      </c>
      <c r="M928" s="13" t="str">
        <v>Yes</v>
      </c>
      <c r="N928" s="22"/>
      <c r="Q928" s="40"/>
      <c r="R928" s="13" t="b">
        <f aca="false">FALSE()</f>
        <v>0</v>
      </c>
      <c r="S928" s="13" t="n">
        <v>0</v>
      </c>
      <c r="T928" s="13" t="n">
        <f aca="false">S928*F928</f>
        <v>0</v>
      </c>
      <c r="U928" s="13" t="n">
        <v>0</v>
      </c>
      <c r="V928" s="13" t="n">
        <v>0</v>
      </c>
    </row>
    <row r="929" customFormat="false" ht="15.75" hidden="false" customHeight="false" outlineLevel="0" collapsed="false">
      <c r="A929" s="13" t="n">
        <v>0</v>
      </c>
      <c r="B929" s="13" t="str">
        <v/>
      </c>
      <c r="C929" s="13" t="n">
        <v>0</v>
      </c>
      <c r="D929" s="13" t="n">
        <v>0</v>
      </c>
      <c r="E929" s="13" t="str">
        <v/>
      </c>
      <c r="F929" s="13" t="n">
        <v>0</v>
      </c>
      <c r="G929" s="13" t="n">
        <v>0</v>
      </c>
      <c r="H929" s="13" t="n">
        <v>0</v>
      </c>
      <c r="I929" s="13" t="n">
        <v>0</v>
      </c>
      <c r="J929" s="13" t="b">
        <f aca="false">IF(ISBLANK(I929),"", IF($I$2:$I1926 = "Gohar Rehan","Overnight",IF($I$2:$I1926 = "Taufeeq Akhtar ","Overnight",IF($I$2:$I1926 = "Zeeshan Ali Malik","Audit",IF($I$2:$I1926 = "Ali Raza ","Receiving",IF($I$2:$I1926 = "Ali Ahmad","Full-In"))))))</f>
        <v>0</v>
      </c>
      <c r="K929" s="39" t="e">
        <f aca="false">IFERROR(VLOOKUP(D929,'Brand manager data '!A:B,2,0))</f>
        <v>#VALUE!</v>
      </c>
      <c r="L929" s="13" t="n">
        <v>0</v>
      </c>
      <c r="M929" s="13" t="str">
        <v>Yes</v>
      </c>
      <c r="N929" s="22"/>
      <c r="Q929" s="40"/>
      <c r="R929" s="13" t="b">
        <f aca="false">FALSE()</f>
        <v>0</v>
      </c>
      <c r="S929" s="13" t="n">
        <v>0</v>
      </c>
      <c r="T929" s="13" t="n">
        <f aca="false">S929*F929</f>
        <v>0</v>
      </c>
      <c r="U929" s="13" t="n">
        <v>0</v>
      </c>
      <c r="V929" s="13" t="n">
        <v>0</v>
      </c>
    </row>
    <row r="930" customFormat="false" ht="15.75" hidden="false" customHeight="false" outlineLevel="0" collapsed="false">
      <c r="A930" s="13" t="n">
        <v>0</v>
      </c>
      <c r="B930" s="13" t="str">
        <v/>
      </c>
      <c r="C930" s="13" t="n">
        <v>0</v>
      </c>
      <c r="D930" s="13" t="n">
        <v>0</v>
      </c>
      <c r="E930" s="13" t="str">
        <v/>
      </c>
      <c r="F930" s="13" t="n">
        <v>0</v>
      </c>
      <c r="G930" s="13" t="n">
        <v>0</v>
      </c>
      <c r="H930" s="13" t="n">
        <v>0</v>
      </c>
      <c r="I930" s="13" t="n">
        <v>0</v>
      </c>
      <c r="J930" s="13" t="b">
        <f aca="false">IF(ISBLANK(I930),"", IF($I$2:$I1927 = "Gohar Rehan","Overnight",IF($I$2:$I1927 = "Taufeeq Akhtar ","Overnight",IF($I$2:$I1927 = "Zeeshan Ali Malik","Audit",IF($I$2:$I1927 = "Ali Raza ","Receiving",IF($I$2:$I1927 = "Ali Ahmad","Full-In"))))))</f>
        <v>0</v>
      </c>
      <c r="K930" s="39" t="e">
        <f aca="false">IFERROR(VLOOKUP(D930,'Brand manager data '!A:B,2,0))</f>
        <v>#VALUE!</v>
      </c>
      <c r="L930" s="13" t="n">
        <v>0</v>
      </c>
      <c r="M930" s="13" t="str">
        <v>Yes</v>
      </c>
      <c r="N930" s="22"/>
      <c r="Q930" s="40"/>
      <c r="R930" s="13" t="b">
        <f aca="false">FALSE()</f>
        <v>0</v>
      </c>
      <c r="S930" s="13" t="n">
        <v>0</v>
      </c>
      <c r="T930" s="13" t="n">
        <f aca="false">S930*F930</f>
        <v>0</v>
      </c>
      <c r="U930" s="13" t="n">
        <v>0</v>
      </c>
      <c r="V930" s="13" t="n">
        <v>0</v>
      </c>
    </row>
    <row r="931" customFormat="false" ht="15.75" hidden="false" customHeight="false" outlineLevel="0" collapsed="false">
      <c r="A931" s="13" t="n">
        <v>0</v>
      </c>
      <c r="B931" s="13" t="str">
        <v/>
      </c>
      <c r="C931" s="13" t="n">
        <v>0</v>
      </c>
      <c r="D931" s="13" t="n">
        <v>0</v>
      </c>
      <c r="E931" s="13" t="str">
        <v/>
      </c>
      <c r="F931" s="13" t="n">
        <v>0</v>
      </c>
      <c r="G931" s="13" t="n">
        <v>0</v>
      </c>
      <c r="H931" s="13" t="n">
        <v>0</v>
      </c>
      <c r="I931" s="13" t="n">
        <v>0</v>
      </c>
      <c r="J931" s="13" t="b">
        <f aca="false">IF(ISBLANK(I931),"", IF($I$2:$I1928 = "Gohar Rehan","Overnight",IF($I$2:$I1928 = "Taufeeq Akhtar ","Overnight",IF($I$2:$I1928 = "Zeeshan Ali Malik","Audit",IF($I$2:$I1928 = "Ali Raza ","Receiving",IF($I$2:$I1928 = "Ali Ahmad","Full-In"))))))</f>
        <v>0</v>
      </c>
      <c r="K931" s="39" t="e">
        <f aca="false">IFERROR(VLOOKUP(D931,'Brand manager data '!A:B,2,0))</f>
        <v>#VALUE!</v>
      </c>
      <c r="L931" s="13" t="n">
        <v>0</v>
      </c>
      <c r="M931" s="13" t="str">
        <v>Yes</v>
      </c>
      <c r="N931" s="22"/>
      <c r="Q931" s="40"/>
      <c r="R931" s="13" t="b">
        <f aca="false">FALSE()</f>
        <v>0</v>
      </c>
      <c r="S931" s="13" t="n">
        <v>0</v>
      </c>
      <c r="T931" s="13" t="n">
        <f aca="false">S931*F931</f>
        <v>0</v>
      </c>
      <c r="U931" s="13" t="n">
        <v>0</v>
      </c>
      <c r="V931" s="13" t="n">
        <v>0</v>
      </c>
    </row>
    <row r="932" customFormat="false" ht="15.75" hidden="false" customHeight="false" outlineLevel="0" collapsed="false">
      <c r="A932" s="13" t="n">
        <v>0</v>
      </c>
      <c r="B932" s="13" t="str">
        <v/>
      </c>
      <c r="C932" s="13" t="n">
        <v>0</v>
      </c>
      <c r="D932" s="13" t="n">
        <v>0</v>
      </c>
      <c r="E932" s="13" t="str">
        <v/>
      </c>
      <c r="F932" s="13" t="n">
        <v>0</v>
      </c>
      <c r="G932" s="13" t="n">
        <v>0</v>
      </c>
      <c r="H932" s="13" t="n">
        <v>0</v>
      </c>
      <c r="I932" s="13" t="n">
        <v>0</v>
      </c>
      <c r="J932" s="13" t="b">
        <f aca="false">IF(ISBLANK(I932),"", IF($I$2:$I1929 = "Gohar Rehan","Overnight",IF($I$2:$I1929 = "Taufeeq Akhtar ","Overnight",IF($I$2:$I1929 = "Zeeshan Ali Malik","Audit",IF($I$2:$I1929 = "Ali Raza ","Receiving",IF($I$2:$I1929 = "Ali Ahmad","Full-In"))))))</f>
        <v>0</v>
      </c>
      <c r="K932" s="39" t="e">
        <f aca="false">IFERROR(VLOOKUP(D932,'Brand manager data '!A:B,2,0))</f>
        <v>#VALUE!</v>
      </c>
      <c r="L932" s="13" t="n">
        <v>0</v>
      </c>
      <c r="M932" s="13" t="str">
        <v>Yes</v>
      </c>
      <c r="N932" s="22"/>
      <c r="Q932" s="40"/>
      <c r="R932" s="13" t="b">
        <f aca="false">FALSE()</f>
        <v>0</v>
      </c>
      <c r="S932" s="13" t="n">
        <v>0</v>
      </c>
      <c r="T932" s="13" t="n">
        <f aca="false">S932*F932</f>
        <v>0</v>
      </c>
      <c r="U932" s="13" t="n">
        <v>0</v>
      </c>
      <c r="V932" s="13" t="n">
        <v>0</v>
      </c>
    </row>
    <row r="933" customFormat="false" ht="15.75" hidden="false" customHeight="false" outlineLevel="0" collapsed="false">
      <c r="A933" s="13" t="n">
        <v>0</v>
      </c>
      <c r="B933" s="13" t="str">
        <v/>
      </c>
      <c r="C933" s="13" t="n">
        <v>0</v>
      </c>
      <c r="D933" s="13" t="n">
        <v>0</v>
      </c>
      <c r="E933" s="13" t="str">
        <v/>
      </c>
      <c r="F933" s="13" t="n">
        <v>0</v>
      </c>
      <c r="G933" s="13" t="n">
        <v>0</v>
      </c>
      <c r="H933" s="13" t="n">
        <v>0</v>
      </c>
      <c r="I933" s="13" t="n">
        <v>0</v>
      </c>
      <c r="J933" s="13" t="b">
        <f aca="false">IF(ISBLANK(I933),"", IF($I$2:$I1930 = "Gohar Rehan","Overnight",IF($I$2:$I1930 = "Taufeeq Akhtar ","Overnight",IF($I$2:$I1930 = "Zeeshan Ali Malik","Audit",IF($I$2:$I1930 = "Ali Raza ","Receiving",IF($I$2:$I1930 = "Ali Ahmad","Full-In"))))))</f>
        <v>0</v>
      </c>
      <c r="K933" s="39" t="e">
        <f aca="false">IFERROR(VLOOKUP(D933,'Brand manager data '!A:B,2,0))</f>
        <v>#VALUE!</v>
      </c>
      <c r="L933" s="13" t="n">
        <v>0</v>
      </c>
      <c r="M933" s="13" t="str">
        <v>Yes</v>
      </c>
      <c r="N933" s="22"/>
      <c r="Q933" s="40"/>
      <c r="R933" s="13" t="b">
        <f aca="false">FALSE()</f>
        <v>0</v>
      </c>
      <c r="S933" s="13" t="n">
        <v>0</v>
      </c>
      <c r="T933" s="13" t="n">
        <f aca="false">S933*F933</f>
        <v>0</v>
      </c>
      <c r="U933" s="13" t="n">
        <v>0</v>
      </c>
      <c r="V933" s="13" t="n">
        <v>0</v>
      </c>
    </row>
    <row r="934" customFormat="false" ht="15.75" hidden="false" customHeight="false" outlineLevel="0" collapsed="false">
      <c r="A934" s="13" t="n">
        <v>0</v>
      </c>
      <c r="B934" s="13" t="str">
        <v/>
      </c>
      <c r="C934" s="13" t="n">
        <v>0</v>
      </c>
      <c r="D934" s="13" t="n">
        <v>0</v>
      </c>
      <c r="E934" s="13" t="str">
        <v/>
      </c>
      <c r="F934" s="13" t="n">
        <v>0</v>
      </c>
      <c r="G934" s="13" t="n">
        <v>0</v>
      </c>
      <c r="H934" s="13" t="n">
        <v>0</v>
      </c>
      <c r="I934" s="13" t="n">
        <v>0</v>
      </c>
      <c r="J934" s="13" t="b">
        <f aca="false">IF(ISBLANK(I934),"", IF($I$2:$I1931 = "Gohar Rehan","Overnight",IF($I$2:$I1931 = "Taufeeq Akhtar ","Overnight",IF($I$2:$I1931 = "Zeeshan Ali Malik","Audit",IF($I$2:$I1931 = "Ali Raza ","Receiving",IF($I$2:$I1931 = "Ali Ahmad","Full-In"))))))</f>
        <v>0</v>
      </c>
      <c r="K934" s="39" t="e">
        <f aca="false">IFERROR(VLOOKUP(D934,'Brand manager data '!A:B,2,0))</f>
        <v>#VALUE!</v>
      </c>
      <c r="L934" s="13" t="n">
        <v>0</v>
      </c>
      <c r="M934" s="13" t="str">
        <v>Yes</v>
      </c>
      <c r="N934" s="22"/>
      <c r="Q934" s="40"/>
      <c r="R934" s="13" t="b">
        <f aca="false">FALSE()</f>
        <v>0</v>
      </c>
      <c r="S934" s="13" t="n">
        <v>0</v>
      </c>
      <c r="T934" s="13" t="n">
        <f aca="false">S934*F934</f>
        <v>0</v>
      </c>
      <c r="U934" s="13" t="n">
        <v>0</v>
      </c>
      <c r="V934" s="13" t="n">
        <v>0</v>
      </c>
    </row>
    <row r="935" customFormat="false" ht="15.75" hidden="false" customHeight="false" outlineLevel="0" collapsed="false">
      <c r="A935" s="13" t="n">
        <v>0</v>
      </c>
      <c r="B935" s="13" t="str">
        <v/>
      </c>
      <c r="C935" s="13" t="n">
        <v>0</v>
      </c>
      <c r="D935" s="13" t="n">
        <v>0</v>
      </c>
      <c r="E935" s="13" t="str">
        <v/>
      </c>
      <c r="F935" s="13" t="n">
        <v>0</v>
      </c>
      <c r="G935" s="13" t="n">
        <v>0</v>
      </c>
      <c r="H935" s="13" t="n">
        <v>0</v>
      </c>
      <c r="I935" s="13" t="n">
        <v>0</v>
      </c>
      <c r="J935" s="13" t="b">
        <f aca="false">IF(ISBLANK(I935),"", IF($I$2:$I1932 = "Gohar Rehan","Overnight",IF($I$2:$I1932 = "Taufeeq Akhtar ","Overnight",IF($I$2:$I1932 = "Zeeshan Ali Malik","Audit",IF($I$2:$I1932 = "Ali Raza ","Receiving",IF($I$2:$I1932 = "Ali Ahmad","Full-In"))))))</f>
        <v>0</v>
      </c>
      <c r="K935" s="39" t="e">
        <f aca="false">IFERROR(VLOOKUP(D935,'Brand manager data '!A:B,2,0))</f>
        <v>#VALUE!</v>
      </c>
      <c r="L935" s="13" t="n">
        <v>0</v>
      </c>
      <c r="M935" s="13" t="str">
        <v>Yes</v>
      </c>
      <c r="N935" s="22"/>
      <c r="Q935" s="40"/>
      <c r="R935" s="13" t="b">
        <f aca="false">FALSE()</f>
        <v>0</v>
      </c>
      <c r="S935" s="13" t="n">
        <v>0</v>
      </c>
      <c r="T935" s="13" t="n">
        <f aca="false">S935*F935</f>
        <v>0</v>
      </c>
      <c r="U935" s="13" t="n">
        <v>0</v>
      </c>
      <c r="V935" s="13" t="n">
        <v>0</v>
      </c>
    </row>
    <row r="936" customFormat="false" ht="15.75" hidden="false" customHeight="false" outlineLevel="0" collapsed="false">
      <c r="A936" s="13" t="n">
        <v>0</v>
      </c>
      <c r="B936" s="13" t="str">
        <v/>
      </c>
      <c r="C936" s="13" t="n">
        <v>0</v>
      </c>
      <c r="D936" s="13" t="n">
        <v>0</v>
      </c>
      <c r="E936" s="13" t="str">
        <v/>
      </c>
      <c r="F936" s="13" t="n">
        <v>0</v>
      </c>
      <c r="G936" s="13" t="n">
        <v>0</v>
      </c>
      <c r="H936" s="13" t="n">
        <v>0</v>
      </c>
      <c r="I936" s="13" t="n">
        <v>0</v>
      </c>
      <c r="J936" s="13" t="b">
        <f aca="false">IF(ISBLANK(I936),"", IF($I$2:$I1933 = "Gohar Rehan","Overnight",IF($I$2:$I1933 = "Taufeeq Akhtar ","Overnight",IF($I$2:$I1933 = "Zeeshan Ali Malik","Audit",IF($I$2:$I1933 = "Ali Raza ","Receiving",IF($I$2:$I1933 = "Ali Ahmad","Full-In"))))))</f>
        <v>0</v>
      </c>
      <c r="K936" s="39" t="e">
        <f aca="false">IFERROR(VLOOKUP(D936,'Brand manager data '!A:B,2,0))</f>
        <v>#VALUE!</v>
      </c>
      <c r="L936" s="13" t="n">
        <v>0</v>
      </c>
      <c r="M936" s="13" t="str">
        <v>Yes</v>
      </c>
      <c r="N936" s="22"/>
      <c r="Q936" s="40"/>
      <c r="R936" s="13" t="b">
        <f aca="false">FALSE()</f>
        <v>0</v>
      </c>
      <c r="S936" s="13" t="n">
        <v>0</v>
      </c>
      <c r="T936" s="13" t="n">
        <f aca="false">S936*F936</f>
        <v>0</v>
      </c>
      <c r="U936" s="13" t="n">
        <v>0</v>
      </c>
      <c r="V936" s="13" t="n">
        <v>0</v>
      </c>
    </row>
    <row r="937" customFormat="false" ht="15.75" hidden="false" customHeight="false" outlineLevel="0" collapsed="false">
      <c r="A937" s="13" t="n">
        <v>0</v>
      </c>
      <c r="B937" s="13" t="str">
        <v/>
      </c>
      <c r="C937" s="13" t="n">
        <v>0</v>
      </c>
      <c r="D937" s="13" t="n">
        <v>0</v>
      </c>
      <c r="E937" s="13" t="str">
        <v/>
      </c>
      <c r="F937" s="13" t="n">
        <v>0</v>
      </c>
      <c r="G937" s="13" t="n">
        <v>0</v>
      </c>
      <c r="H937" s="13" t="n">
        <v>0</v>
      </c>
      <c r="I937" s="13" t="n">
        <v>0</v>
      </c>
      <c r="J937" s="13" t="b">
        <f aca="false">IF(ISBLANK(I937),"", IF($I$2:$I1934 = "Gohar Rehan","Overnight",IF($I$2:$I1934 = "Taufeeq Akhtar ","Overnight",IF($I$2:$I1934 = "Zeeshan Ali Malik","Audit",IF($I$2:$I1934 = "Ali Raza ","Receiving",IF($I$2:$I1934 = "Ali Ahmad","Full-In"))))))</f>
        <v>0</v>
      </c>
      <c r="K937" s="39" t="e">
        <f aca="false">IFERROR(VLOOKUP(D937,'Brand manager data '!A:B,2,0))</f>
        <v>#VALUE!</v>
      </c>
      <c r="L937" s="13" t="n">
        <v>0</v>
      </c>
      <c r="M937" s="13" t="str">
        <v>Yes</v>
      </c>
      <c r="N937" s="22"/>
      <c r="Q937" s="40"/>
      <c r="R937" s="13" t="b">
        <f aca="false">FALSE()</f>
        <v>0</v>
      </c>
      <c r="S937" s="13" t="n">
        <v>0</v>
      </c>
      <c r="T937" s="13" t="n">
        <f aca="false">S937*F937</f>
        <v>0</v>
      </c>
      <c r="U937" s="13" t="n">
        <v>0</v>
      </c>
      <c r="V937" s="13" t="n">
        <v>0</v>
      </c>
    </row>
    <row r="938" customFormat="false" ht="15.75" hidden="false" customHeight="false" outlineLevel="0" collapsed="false">
      <c r="A938" s="13" t="n">
        <v>0</v>
      </c>
      <c r="B938" s="13" t="str">
        <v/>
      </c>
      <c r="C938" s="13" t="n">
        <v>0</v>
      </c>
      <c r="D938" s="13" t="n">
        <v>0</v>
      </c>
      <c r="E938" s="13" t="str">
        <v/>
      </c>
      <c r="F938" s="13" t="n">
        <v>0</v>
      </c>
      <c r="G938" s="13" t="n">
        <v>0</v>
      </c>
      <c r="H938" s="13" t="n">
        <v>0</v>
      </c>
      <c r="I938" s="13" t="n">
        <v>0</v>
      </c>
      <c r="J938" s="13" t="b">
        <f aca="false">IF(ISBLANK(I938),"", IF($I$2:$I1935 = "Gohar Rehan","Overnight",IF($I$2:$I1935 = "Taufeeq Akhtar ","Overnight",IF($I$2:$I1935 = "Zeeshan Ali Malik","Audit",IF($I$2:$I1935 = "Ali Raza ","Receiving",IF($I$2:$I1935 = "Ali Ahmad","Full-In"))))))</f>
        <v>0</v>
      </c>
      <c r="K938" s="39" t="e">
        <f aca="false">IFERROR(VLOOKUP(D938,'Brand manager data '!A:B,2,0))</f>
        <v>#VALUE!</v>
      </c>
      <c r="L938" s="13" t="n">
        <v>0</v>
      </c>
      <c r="M938" s="13" t="str">
        <v>Yes</v>
      </c>
      <c r="N938" s="22"/>
      <c r="Q938" s="40"/>
      <c r="R938" s="13" t="b">
        <f aca="false">FALSE()</f>
        <v>0</v>
      </c>
      <c r="S938" s="13" t="n">
        <v>0</v>
      </c>
      <c r="T938" s="13" t="n">
        <f aca="false">S938*F938</f>
        <v>0</v>
      </c>
      <c r="U938" s="13" t="n">
        <v>0</v>
      </c>
      <c r="V938" s="13" t="n">
        <v>0</v>
      </c>
    </row>
    <row r="939" customFormat="false" ht="15.75" hidden="false" customHeight="false" outlineLevel="0" collapsed="false">
      <c r="A939" s="13" t="n">
        <v>0</v>
      </c>
      <c r="B939" s="13" t="str">
        <v/>
      </c>
      <c r="C939" s="13" t="n">
        <v>0</v>
      </c>
      <c r="D939" s="13" t="n">
        <v>0</v>
      </c>
      <c r="E939" s="13" t="str">
        <v/>
      </c>
      <c r="F939" s="13" t="n">
        <v>0</v>
      </c>
      <c r="G939" s="13" t="n">
        <v>0</v>
      </c>
      <c r="H939" s="13" t="n">
        <v>0</v>
      </c>
      <c r="I939" s="13" t="n">
        <v>0</v>
      </c>
      <c r="J939" s="13" t="b">
        <f aca="false">IF(ISBLANK(I939),"", IF($I$2:$I1936 = "Gohar Rehan","Overnight",IF($I$2:$I1936 = "Taufeeq Akhtar ","Overnight",IF($I$2:$I1936 = "Zeeshan Ali Malik","Audit",IF($I$2:$I1936 = "Ali Raza ","Receiving",IF($I$2:$I1936 = "Ali Ahmad","Full-In"))))))</f>
        <v>0</v>
      </c>
      <c r="K939" s="39" t="e">
        <f aca="false">IFERROR(VLOOKUP(D939,'Brand manager data '!A:B,2,0))</f>
        <v>#VALUE!</v>
      </c>
      <c r="L939" s="13" t="n">
        <v>0</v>
      </c>
      <c r="M939" s="13" t="str">
        <v>Yes</v>
      </c>
      <c r="N939" s="22"/>
      <c r="Q939" s="40"/>
      <c r="R939" s="13" t="b">
        <f aca="false">FALSE()</f>
        <v>0</v>
      </c>
      <c r="S939" s="13" t="n">
        <v>0</v>
      </c>
      <c r="T939" s="13" t="n">
        <f aca="false">S939*F939</f>
        <v>0</v>
      </c>
      <c r="U939" s="13" t="n">
        <v>0</v>
      </c>
      <c r="V939" s="13" t="n">
        <v>0</v>
      </c>
    </row>
    <row r="940" customFormat="false" ht="15.75" hidden="false" customHeight="false" outlineLevel="0" collapsed="false">
      <c r="A940" s="13" t="n">
        <v>0</v>
      </c>
      <c r="B940" s="13" t="str">
        <v/>
      </c>
      <c r="C940" s="13" t="n">
        <v>0</v>
      </c>
      <c r="D940" s="13" t="n">
        <v>0</v>
      </c>
      <c r="E940" s="13" t="str">
        <v/>
      </c>
      <c r="F940" s="13" t="n">
        <v>0</v>
      </c>
      <c r="G940" s="13" t="n">
        <v>0</v>
      </c>
      <c r="H940" s="13" t="n">
        <v>0</v>
      </c>
      <c r="I940" s="13" t="n">
        <v>0</v>
      </c>
      <c r="J940" s="13" t="b">
        <f aca="false">IF(ISBLANK(I940),"", IF($I$2:$I1937 = "Gohar Rehan","Overnight",IF($I$2:$I1937 = "Taufeeq Akhtar ","Overnight",IF($I$2:$I1937 = "Zeeshan Ali Malik","Audit",IF($I$2:$I1937 = "Ali Raza ","Receiving",IF($I$2:$I1937 = "Ali Ahmad","Full-In"))))))</f>
        <v>0</v>
      </c>
      <c r="K940" s="39" t="e">
        <f aca="false">IFERROR(VLOOKUP(D940,'Brand manager data '!A:B,2,0))</f>
        <v>#VALUE!</v>
      </c>
      <c r="L940" s="13" t="n">
        <v>0</v>
      </c>
      <c r="M940" s="13" t="str">
        <v>Yes</v>
      </c>
      <c r="N940" s="22"/>
      <c r="Q940" s="40"/>
      <c r="R940" s="13" t="b">
        <f aca="false">FALSE()</f>
        <v>0</v>
      </c>
      <c r="S940" s="13" t="n">
        <v>0</v>
      </c>
      <c r="T940" s="13" t="n">
        <f aca="false">S940*F940</f>
        <v>0</v>
      </c>
      <c r="U940" s="13" t="n">
        <v>0</v>
      </c>
      <c r="V940" s="13" t="n">
        <v>0</v>
      </c>
    </row>
    <row r="941" customFormat="false" ht="15.75" hidden="false" customHeight="false" outlineLevel="0" collapsed="false">
      <c r="A941" s="13" t="n">
        <v>0</v>
      </c>
      <c r="B941" s="13" t="str">
        <v/>
      </c>
      <c r="C941" s="13" t="n">
        <v>0</v>
      </c>
      <c r="D941" s="13" t="n">
        <v>0</v>
      </c>
      <c r="E941" s="13" t="str">
        <v/>
      </c>
      <c r="F941" s="13" t="n">
        <v>0</v>
      </c>
      <c r="G941" s="13" t="n">
        <v>0</v>
      </c>
      <c r="H941" s="13" t="n">
        <v>0</v>
      </c>
      <c r="I941" s="13" t="n">
        <v>0</v>
      </c>
      <c r="J941" s="13" t="b">
        <f aca="false">IF(ISBLANK(I941),"", IF($I$2:$I1938 = "Gohar Rehan","Overnight",IF($I$2:$I1938 = "Taufeeq Akhtar ","Overnight",IF($I$2:$I1938 = "Zeeshan Ali Malik","Audit",IF($I$2:$I1938 = "Ali Raza ","Receiving",IF($I$2:$I1938 = "Ali Ahmad","Full-In"))))))</f>
        <v>0</v>
      </c>
      <c r="K941" s="39" t="e">
        <f aca="false">IFERROR(VLOOKUP(D941,'Brand manager data '!A:B,2,0))</f>
        <v>#VALUE!</v>
      </c>
      <c r="L941" s="13" t="n">
        <v>0</v>
      </c>
      <c r="M941" s="13" t="str">
        <v>Yes</v>
      </c>
      <c r="N941" s="22"/>
      <c r="Q941" s="40"/>
      <c r="R941" s="13" t="b">
        <f aca="false">FALSE()</f>
        <v>0</v>
      </c>
      <c r="S941" s="13" t="n">
        <v>0</v>
      </c>
      <c r="T941" s="13" t="n">
        <f aca="false">S941*F941</f>
        <v>0</v>
      </c>
      <c r="U941" s="13" t="n">
        <v>0</v>
      </c>
      <c r="V941" s="13" t="n">
        <v>0</v>
      </c>
    </row>
    <row r="942" customFormat="false" ht="15.75" hidden="false" customHeight="false" outlineLevel="0" collapsed="false">
      <c r="A942" s="13" t="n">
        <v>0</v>
      </c>
      <c r="B942" s="13" t="str">
        <v/>
      </c>
      <c r="C942" s="13" t="n">
        <v>0</v>
      </c>
      <c r="D942" s="13" t="n">
        <v>0</v>
      </c>
      <c r="E942" s="13" t="str">
        <v/>
      </c>
      <c r="F942" s="13" t="n">
        <v>0</v>
      </c>
      <c r="G942" s="13" t="n">
        <v>0</v>
      </c>
      <c r="H942" s="13" t="n">
        <v>0</v>
      </c>
      <c r="I942" s="13" t="n">
        <v>0</v>
      </c>
      <c r="J942" s="13" t="b">
        <f aca="false">IF(ISBLANK(I942),"", IF($I$2:$I1939 = "Gohar Rehan","Overnight",IF($I$2:$I1939 = "Taufeeq Akhtar ","Overnight",IF($I$2:$I1939 = "Zeeshan Ali Malik","Audit",IF($I$2:$I1939 = "Ali Raza ","Receiving",IF($I$2:$I1939 = "Ali Ahmad","Full-In"))))))</f>
        <v>0</v>
      </c>
      <c r="K942" s="39" t="e">
        <f aca="false">IFERROR(VLOOKUP(D942,'Brand manager data '!A:B,2,0))</f>
        <v>#VALUE!</v>
      </c>
      <c r="L942" s="13" t="n">
        <v>0</v>
      </c>
      <c r="M942" s="13" t="str">
        <v>Yes</v>
      </c>
      <c r="N942" s="22"/>
      <c r="Q942" s="40"/>
      <c r="R942" s="13" t="b">
        <f aca="false">FALSE()</f>
        <v>0</v>
      </c>
      <c r="S942" s="13" t="n">
        <v>0</v>
      </c>
      <c r="T942" s="13" t="n">
        <f aca="false">S942*F942</f>
        <v>0</v>
      </c>
      <c r="U942" s="13" t="n">
        <v>0</v>
      </c>
      <c r="V942" s="13" t="n">
        <v>0</v>
      </c>
    </row>
    <row r="943" customFormat="false" ht="15.75" hidden="false" customHeight="false" outlineLevel="0" collapsed="false">
      <c r="A943" s="13" t="n">
        <v>0</v>
      </c>
      <c r="B943" s="13" t="str">
        <v/>
      </c>
      <c r="C943" s="13" t="n">
        <v>0</v>
      </c>
      <c r="D943" s="13" t="n">
        <v>0</v>
      </c>
      <c r="E943" s="13" t="str">
        <v/>
      </c>
      <c r="F943" s="13" t="n">
        <v>0</v>
      </c>
      <c r="G943" s="13" t="n">
        <v>0</v>
      </c>
      <c r="H943" s="13" t="n">
        <v>0</v>
      </c>
      <c r="I943" s="13" t="n">
        <v>0</v>
      </c>
      <c r="J943" s="13" t="b">
        <f aca="false">IF(ISBLANK(I943),"", IF($I$2:$I1940 = "Gohar Rehan","Overnight",IF($I$2:$I1940 = "Taufeeq Akhtar ","Overnight",IF($I$2:$I1940 = "Zeeshan Ali Malik","Audit",IF($I$2:$I1940 = "Ali Raza ","Receiving",IF($I$2:$I1940 = "Ali Ahmad","Full-In"))))))</f>
        <v>0</v>
      </c>
      <c r="K943" s="39" t="e">
        <f aca="false">IFERROR(VLOOKUP(D943,'Brand manager data '!A:B,2,0))</f>
        <v>#VALUE!</v>
      </c>
      <c r="L943" s="13" t="n">
        <v>0</v>
      </c>
      <c r="M943" s="13" t="str">
        <v>Yes</v>
      </c>
      <c r="N943" s="22"/>
      <c r="Q943" s="40"/>
      <c r="R943" s="13" t="b">
        <f aca="false">FALSE()</f>
        <v>0</v>
      </c>
      <c r="S943" s="13" t="n">
        <v>0</v>
      </c>
      <c r="T943" s="13" t="n">
        <f aca="false">S943*F943</f>
        <v>0</v>
      </c>
      <c r="U943" s="13" t="n">
        <v>0</v>
      </c>
      <c r="V943" s="13" t="n">
        <v>0</v>
      </c>
    </row>
    <row r="944" customFormat="false" ht="15.75" hidden="false" customHeight="false" outlineLevel="0" collapsed="false">
      <c r="A944" s="13" t="n">
        <v>0</v>
      </c>
      <c r="B944" s="13" t="str">
        <v/>
      </c>
      <c r="C944" s="13" t="n">
        <v>0</v>
      </c>
      <c r="D944" s="13" t="n">
        <v>0</v>
      </c>
      <c r="E944" s="13" t="str">
        <v/>
      </c>
      <c r="F944" s="13" t="n">
        <v>0</v>
      </c>
      <c r="G944" s="13" t="n">
        <v>0</v>
      </c>
      <c r="H944" s="13" t="n">
        <v>0</v>
      </c>
      <c r="I944" s="13" t="n">
        <v>0</v>
      </c>
      <c r="J944" s="13" t="b">
        <f aca="false">IF(ISBLANK(I944),"", IF($I$2:$I1941 = "Gohar Rehan","Overnight",IF($I$2:$I1941 = "Taufeeq Akhtar ","Overnight",IF($I$2:$I1941 = "Zeeshan Ali Malik","Audit",IF($I$2:$I1941 = "Ali Raza ","Receiving",IF($I$2:$I1941 = "Ali Ahmad","Full-In"))))))</f>
        <v>0</v>
      </c>
      <c r="K944" s="39" t="e">
        <f aca="false">IFERROR(VLOOKUP(D944,'Brand manager data '!A:B,2,0))</f>
        <v>#VALUE!</v>
      </c>
      <c r="L944" s="13" t="n">
        <v>0</v>
      </c>
      <c r="M944" s="13" t="str">
        <v>Yes</v>
      </c>
      <c r="N944" s="22"/>
      <c r="Q944" s="40"/>
      <c r="R944" s="13" t="b">
        <f aca="false">FALSE()</f>
        <v>0</v>
      </c>
      <c r="S944" s="13" t="n">
        <v>0</v>
      </c>
      <c r="T944" s="13" t="n">
        <f aca="false">S944*F944</f>
        <v>0</v>
      </c>
      <c r="U944" s="13" t="n">
        <v>0</v>
      </c>
      <c r="V944" s="13" t="n">
        <v>0</v>
      </c>
    </row>
    <row r="945" customFormat="false" ht="15.75" hidden="false" customHeight="false" outlineLevel="0" collapsed="false">
      <c r="A945" s="13" t="n">
        <v>0</v>
      </c>
      <c r="B945" s="13" t="str">
        <v/>
      </c>
      <c r="C945" s="13" t="n">
        <v>0</v>
      </c>
      <c r="D945" s="13" t="n">
        <v>0</v>
      </c>
      <c r="E945" s="13" t="str">
        <v/>
      </c>
      <c r="F945" s="13" t="n">
        <v>0</v>
      </c>
      <c r="G945" s="13" t="n">
        <v>0</v>
      </c>
      <c r="H945" s="13" t="n">
        <v>0</v>
      </c>
      <c r="I945" s="13" t="n">
        <v>0</v>
      </c>
      <c r="J945" s="13" t="b">
        <f aca="false">IF(ISBLANK(I945),"", IF($I$2:$I1942 = "Gohar Rehan","Overnight",IF($I$2:$I1942 = "Taufeeq Akhtar ","Overnight",IF($I$2:$I1942 = "Zeeshan Ali Malik","Audit",IF($I$2:$I1942 = "Ali Raza ","Receiving",IF($I$2:$I1942 = "Ali Ahmad","Full-In"))))))</f>
        <v>0</v>
      </c>
      <c r="K945" s="39" t="e">
        <f aca="false">IFERROR(VLOOKUP(D945,'Brand manager data '!A:B,2,0))</f>
        <v>#VALUE!</v>
      </c>
      <c r="L945" s="13" t="n">
        <v>0</v>
      </c>
      <c r="M945" s="13" t="str">
        <v>Yes</v>
      </c>
      <c r="N945" s="22"/>
      <c r="Q945" s="40"/>
      <c r="R945" s="13" t="b">
        <f aca="false">FALSE()</f>
        <v>0</v>
      </c>
      <c r="S945" s="13" t="n">
        <v>0</v>
      </c>
      <c r="T945" s="13" t="n">
        <f aca="false">S945*F945</f>
        <v>0</v>
      </c>
      <c r="U945" s="13" t="n">
        <v>0</v>
      </c>
      <c r="V945" s="13" t="n">
        <v>0</v>
      </c>
    </row>
    <row r="946" customFormat="false" ht="15.75" hidden="false" customHeight="false" outlineLevel="0" collapsed="false">
      <c r="A946" s="13" t="n">
        <v>0</v>
      </c>
      <c r="B946" s="13" t="str">
        <v/>
      </c>
      <c r="C946" s="13" t="n">
        <v>0</v>
      </c>
      <c r="D946" s="13" t="n">
        <v>0</v>
      </c>
      <c r="E946" s="13" t="str">
        <v/>
      </c>
      <c r="F946" s="13" t="n">
        <v>0</v>
      </c>
      <c r="G946" s="13" t="n">
        <v>0</v>
      </c>
      <c r="H946" s="13" t="n">
        <v>0</v>
      </c>
      <c r="I946" s="13" t="n">
        <v>0</v>
      </c>
      <c r="J946" s="13" t="b">
        <f aca="false">IF(ISBLANK(I946),"", IF($I$2:$I1943 = "Gohar Rehan","Overnight",IF($I$2:$I1943 = "Taufeeq Akhtar ","Overnight",IF($I$2:$I1943 = "Zeeshan Ali Malik","Audit",IF($I$2:$I1943 = "Ali Raza ","Receiving",IF($I$2:$I1943 = "Ali Ahmad","Full-In"))))))</f>
        <v>0</v>
      </c>
      <c r="K946" s="39" t="e">
        <f aca="false">IFERROR(VLOOKUP(D946,'Brand manager data '!A:B,2,0))</f>
        <v>#VALUE!</v>
      </c>
      <c r="L946" s="13" t="n">
        <v>0</v>
      </c>
      <c r="M946" s="13" t="str">
        <v>Yes</v>
      </c>
      <c r="N946" s="22"/>
      <c r="Q946" s="40"/>
      <c r="R946" s="13" t="b">
        <f aca="false">FALSE()</f>
        <v>0</v>
      </c>
      <c r="S946" s="13" t="n">
        <v>0</v>
      </c>
      <c r="T946" s="13" t="n">
        <f aca="false">S946*F946</f>
        <v>0</v>
      </c>
      <c r="U946" s="13" t="n">
        <v>0</v>
      </c>
      <c r="V946" s="13" t="n">
        <v>0</v>
      </c>
    </row>
    <row r="947" customFormat="false" ht="15.75" hidden="false" customHeight="false" outlineLevel="0" collapsed="false">
      <c r="A947" s="13" t="n">
        <v>0</v>
      </c>
      <c r="B947" s="13" t="str">
        <v/>
      </c>
      <c r="C947" s="13" t="n">
        <v>0</v>
      </c>
      <c r="D947" s="13" t="n">
        <v>0</v>
      </c>
      <c r="E947" s="13" t="str">
        <v/>
      </c>
      <c r="F947" s="13" t="n">
        <v>0</v>
      </c>
      <c r="G947" s="13" t="n">
        <v>0</v>
      </c>
      <c r="H947" s="13" t="n">
        <v>0</v>
      </c>
      <c r="I947" s="13" t="n">
        <v>0</v>
      </c>
      <c r="J947" s="13" t="b">
        <f aca="false">IF(ISBLANK(I947),"", IF($I$2:$I1944 = "Gohar Rehan","Overnight",IF($I$2:$I1944 = "Taufeeq Akhtar ","Overnight",IF($I$2:$I1944 = "Zeeshan Ali Malik","Audit",IF($I$2:$I1944 = "Ali Raza ","Receiving",IF($I$2:$I1944 = "Ali Ahmad","Full-In"))))))</f>
        <v>0</v>
      </c>
      <c r="K947" s="39" t="e">
        <f aca="false">IFERROR(VLOOKUP(D947,'Brand manager data '!A:B,2,0))</f>
        <v>#VALUE!</v>
      </c>
      <c r="L947" s="13" t="n">
        <v>0</v>
      </c>
      <c r="M947" s="13" t="str">
        <v>Yes</v>
      </c>
      <c r="N947" s="22"/>
      <c r="Q947" s="40"/>
      <c r="R947" s="13" t="b">
        <f aca="false">FALSE()</f>
        <v>0</v>
      </c>
      <c r="S947" s="13" t="n">
        <v>0</v>
      </c>
      <c r="T947" s="13" t="n">
        <f aca="false">S947*F947</f>
        <v>0</v>
      </c>
      <c r="U947" s="13" t="n">
        <v>0</v>
      </c>
      <c r="V947" s="13" t="n">
        <v>0</v>
      </c>
    </row>
    <row r="948" customFormat="false" ht="15.75" hidden="false" customHeight="false" outlineLevel="0" collapsed="false">
      <c r="A948" s="13" t="n">
        <v>0</v>
      </c>
      <c r="B948" s="13" t="str">
        <v/>
      </c>
      <c r="C948" s="13" t="n">
        <v>0</v>
      </c>
      <c r="D948" s="13" t="n">
        <v>0</v>
      </c>
      <c r="E948" s="13" t="str">
        <v/>
      </c>
      <c r="F948" s="13" t="n">
        <v>0</v>
      </c>
      <c r="G948" s="13" t="n">
        <v>0</v>
      </c>
      <c r="H948" s="13" t="n">
        <v>0</v>
      </c>
      <c r="I948" s="13" t="n">
        <v>0</v>
      </c>
      <c r="J948" s="13" t="b">
        <f aca="false">IF(ISBLANK(I948),"", IF($I$2:$I1945 = "Gohar Rehan","Overnight",IF($I$2:$I1945 = "Taufeeq Akhtar ","Overnight",IF($I$2:$I1945 = "Zeeshan Ali Malik","Audit",IF($I$2:$I1945 = "Ali Raza ","Receiving",IF($I$2:$I1945 = "Ali Ahmad","Full-In"))))))</f>
        <v>0</v>
      </c>
      <c r="K948" s="39" t="e">
        <f aca="false">IFERROR(VLOOKUP(D948,'Brand manager data '!A:B,2,0))</f>
        <v>#VALUE!</v>
      </c>
      <c r="L948" s="13" t="n">
        <v>0</v>
      </c>
      <c r="M948" s="13" t="str">
        <v>Yes</v>
      </c>
      <c r="N948" s="22"/>
      <c r="Q948" s="40"/>
      <c r="R948" s="13" t="b">
        <f aca="false">FALSE()</f>
        <v>0</v>
      </c>
      <c r="S948" s="13" t="n">
        <v>0</v>
      </c>
      <c r="T948" s="13" t="n">
        <f aca="false">S948*F948</f>
        <v>0</v>
      </c>
      <c r="U948" s="13" t="n">
        <v>0</v>
      </c>
      <c r="V948" s="13" t="n">
        <v>0</v>
      </c>
    </row>
    <row r="949" customFormat="false" ht="15.75" hidden="false" customHeight="false" outlineLevel="0" collapsed="false">
      <c r="A949" s="13" t="n">
        <v>0</v>
      </c>
      <c r="B949" s="13" t="str">
        <v/>
      </c>
      <c r="C949" s="13" t="n">
        <v>0</v>
      </c>
      <c r="D949" s="13" t="n">
        <v>0</v>
      </c>
      <c r="E949" s="13" t="str">
        <v/>
      </c>
      <c r="F949" s="13" t="n">
        <v>0</v>
      </c>
      <c r="G949" s="13" t="n">
        <v>0</v>
      </c>
      <c r="H949" s="13" t="n">
        <v>0</v>
      </c>
      <c r="I949" s="13" t="n">
        <v>0</v>
      </c>
      <c r="J949" s="13" t="b">
        <f aca="false">IF(ISBLANK(I949),"", IF($I$2:$I1946 = "Gohar Rehan","Overnight",IF($I$2:$I1946 = "Taufeeq Akhtar ","Overnight",IF($I$2:$I1946 = "Zeeshan Ali Malik","Audit",IF($I$2:$I1946 = "Ali Raza ","Receiving",IF($I$2:$I1946 = "Ali Ahmad","Full-In"))))))</f>
        <v>0</v>
      </c>
      <c r="K949" s="39" t="e">
        <f aca="false">IFERROR(VLOOKUP(D949,'Brand manager data '!A:B,2,0))</f>
        <v>#VALUE!</v>
      </c>
      <c r="L949" s="13" t="n">
        <v>0</v>
      </c>
      <c r="M949" s="13" t="str">
        <v>Yes</v>
      </c>
      <c r="N949" s="22"/>
      <c r="Q949" s="40"/>
      <c r="R949" s="13" t="b">
        <f aca="false">FALSE()</f>
        <v>0</v>
      </c>
      <c r="S949" s="13" t="n">
        <v>0</v>
      </c>
      <c r="T949" s="13" t="n">
        <f aca="false">S949*F949</f>
        <v>0</v>
      </c>
      <c r="U949" s="13" t="n">
        <v>0</v>
      </c>
      <c r="V949" s="13" t="n">
        <v>0</v>
      </c>
    </row>
    <row r="950" customFormat="false" ht="15.75" hidden="false" customHeight="false" outlineLevel="0" collapsed="false">
      <c r="A950" s="13" t="n">
        <v>0</v>
      </c>
      <c r="B950" s="13" t="str">
        <v/>
      </c>
      <c r="C950" s="13" t="n">
        <v>0</v>
      </c>
      <c r="D950" s="13" t="n">
        <v>0</v>
      </c>
      <c r="E950" s="13" t="str">
        <v/>
      </c>
      <c r="F950" s="13" t="n">
        <v>0</v>
      </c>
      <c r="G950" s="13" t="n">
        <v>0</v>
      </c>
      <c r="H950" s="13" t="n">
        <v>0</v>
      </c>
      <c r="I950" s="13" t="n">
        <v>0</v>
      </c>
      <c r="J950" s="13" t="b">
        <f aca="false">IF(ISBLANK(I950),"", IF($I$2:$I1947 = "Gohar Rehan","Overnight",IF($I$2:$I1947 = "Taufeeq Akhtar ","Overnight",IF($I$2:$I1947 = "Zeeshan Ali Malik","Audit",IF($I$2:$I1947 = "Ali Raza ","Receiving",IF($I$2:$I1947 = "Ali Ahmad","Full-In"))))))</f>
        <v>0</v>
      </c>
      <c r="K950" s="39" t="e">
        <f aca="false">IFERROR(VLOOKUP(D950,'Brand manager data '!A:B,2,0))</f>
        <v>#VALUE!</v>
      </c>
      <c r="L950" s="13" t="n">
        <v>0</v>
      </c>
      <c r="M950" s="13" t="str">
        <v>Yes</v>
      </c>
      <c r="N950" s="22"/>
      <c r="Q950" s="40"/>
      <c r="R950" s="13" t="b">
        <f aca="false">FALSE()</f>
        <v>0</v>
      </c>
      <c r="S950" s="13" t="n">
        <v>0</v>
      </c>
      <c r="T950" s="13" t="n">
        <f aca="false">S950*F950</f>
        <v>0</v>
      </c>
      <c r="U950" s="13" t="n">
        <v>0</v>
      </c>
      <c r="V950" s="13" t="n">
        <v>0</v>
      </c>
    </row>
    <row r="951" customFormat="false" ht="15.75" hidden="false" customHeight="false" outlineLevel="0" collapsed="false">
      <c r="A951" s="13" t="n">
        <v>0</v>
      </c>
      <c r="B951" s="13" t="str">
        <v/>
      </c>
      <c r="C951" s="13" t="n">
        <v>0</v>
      </c>
      <c r="D951" s="13" t="n">
        <v>0</v>
      </c>
      <c r="E951" s="13" t="str">
        <v/>
      </c>
      <c r="F951" s="13" t="n">
        <v>0</v>
      </c>
      <c r="G951" s="13" t="n">
        <v>0</v>
      </c>
      <c r="H951" s="13" t="n">
        <v>0</v>
      </c>
      <c r="I951" s="13" t="n">
        <v>0</v>
      </c>
      <c r="J951" s="13" t="b">
        <f aca="false">IF(ISBLANK(I951),"", IF($I$2:$I1948 = "Gohar Rehan","Overnight",IF($I$2:$I1948 = "Taufeeq Akhtar ","Overnight",IF($I$2:$I1948 = "Zeeshan Ali Malik","Audit",IF($I$2:$I1948 = "Ali Raza ","Receiving",IF($I$2:$I1948 = "Ali Ahmad","Full-In"))))))</f>
        <v>0</v>
      </c>
      <c r="K951" s="39" t="e">
        <f aca="false">IFERROR(VLOOKUP(D951,'Brand manager data '!A:B,2,0))</f>
        <v>#VALUE!</v>
      </c>
      <c r="L951" s="13" t="n">
        <v>0</v>
      </c>
      <c r="M951" s="13" t="str">
        <v>Yes</v>
      </c>
      <c r="N951" s="22"/>
      <c r="Q951" s="40"/>
      <c r="R951" s="13" t="b">
        <f aca="false">FALSE()</f>
        <v>0</v>
      </c>
      <c r="S951" s="13" t="n">
        <v>0</v>
      </c>
      <c r="T951" s="13" t="n">
        <f aca="false">S951*F951</f>
        <v>0</v>
      </c>
      <c r="U951" s="13" t="n">
        <v>0</v>
      </c>
      <c r="V951" s="13" t="n">
        <v>0</v>
      </c>
    </row>
    <row r="952" customFormat="false" ht="15.75" hidden="false" customHeight="false" outlineLevel="0" collapsed="false">
      <c r="A952" s="13" t="n">
        <v>0</v>
      </c>
      <c r="B952" s="13" t="str">
        <v/>
      </c>
      <c r="C952" s="13" t="n">
        <v>0</v>
      </c>
      <c r="D952" s="13" t="n">
        <v>0</v>
      </c>
      <c r="E952" s="13" t="str">
        <v/>
      </c>
      <c r="F952" s="13" t="n">
        <v>0</v>
      </c>
      <c r="G952" s="13" t="n">
        <v>0</v>
      </c>
      <c r="H952" s="13" t="n">
        <v>0</v>
      </c>
      <c r="I952" s="13" t="n">
        <v>0</v>
      </c>
      <c r="J952" s="13" t="b">
        <f aca="false">IF(ISBLANK(I952),"", IF($I$2:$I1949 = "Gohar Rehan","Overnight",IF($I$2:$I1949 = "Taufeeq Akhtar ","Overnight",IF($I$2:$I1949 = "Zeeshan Ali Malik","Audit",IF($I$2:$I1949 = "Ali Raza ","Receiving",IF($I$2:$I1949 = "Ali Ahmad","Full-In"))))))</f>
        <v>0</v>
      </c>
      <c r="K952" s="39" t="e">
        <f aca="false">IFERROR(VLOOKUP(D952,'Brand manager data '!A:B,2,0))</f>
        <v>#VALUE!</v>
      </c>
      <c r="L952" s="13" t="n">
        <v>0</v>
      </c>
      <c r="M952" s="13" t="str">
        <v>Yes</v>
      </c>
      <c r="N952" s="22"/>
      <c r="Q952" s="40"/>
      <c r="R952" s="13" t="b">
        <f aca="false">FALSE()</f>
        <v>0</v>
      </c>
      <c r="S952" s="13" t="n">
        <v>0</v>
      </c>
      <c r="T952" s="13" t="n">
        <f aca="false">S952*F952</f>
        <v>0</v>
      </c>
      <c r="U952" s="13" t="n">
        <v>0</v>
      </c>
      <c r="V952" s="13" t="n">
        <v>0</v>
      </c>
    </row>
    <row r="953" customFormat="false" ht="15.75" hidden="false" customHeight="false" outlineLevel="0" collapsed="false">
      <c r="A953" s="13" t="n">
        <v>0</v>
      </c>
      <c r="B953" s="13" t="str">
        <v/>
      </c>
      <c r="C953" s="13" t="n">
        <v>0</v>
      </c>
      <c r="D953" s="13" t="n">
        <v>0</v>
      </c>
      <c r="E953" s="13" t="str">
        <v/>
      </c>
      <c r="F953" s="13" t="n">
        <v>0</v>
      </c>
      <c r="G953" s="13" t="n">
        <v>0</v>
      </c>
      <c r="H953" s="13" t="n">
        <v>0</v>
      </c>
      <c r="I953" s="13" t="n">
        <v>0</v>
      </c>
      <c r="J953" s="13" t="b">
        <f aca="false">IF(ISBLANK(I953),"", IF($I$2:$I1950 = "Gohar Rehan","Overnight",IF($I$2:$I1950 = "Taufeeq Akhtar ","Overnight",IF($I$2:$I1950 = "Zeeshan Ali Malik","Audit",IF($I$2:$I1950 = "Ali Raza ","Receiving",IF($I$2:$I1950 = "Ali Ahmad","Full-In"))))))</f>
        <v>0</v>
      </c>
      <c r="K953" s="39" t="e">
        <f aca="false">IFERROR(VLOOKUP(D953,'Brand manager data '!A:B,2,0))</f>
        <v>#VALUE!</v>
      </c>
      <c r="L953" s="13" t="n">
        <v>0</v>
      </c>
      <c r="M953" s="13" t="str">
        <v>Yes</v>
      </c>
      <c r="N953" s="22"/>
      <c r="Q953" s="40"/>
      <c r="R953" s="13" t="b">
        <f aca="false">FALSE()</f>
        <v>0</v>
      </c>
      <c r="S953" s="13" t="n">
        <v>0</v>
      </c>
      <c r="T953" s="13" t="n">
        <f aca="false">S953*F953</f>
        <v>0</v>
      </c>
      <c r="U953" s="13" t="n">
        <v>0</v>
      </c>
      <c r="V953" s="13" t="n">
        <v>0</v>
      </c>
    </row>
    <row r="954" customFormat="false" ht="15.75" hidden="false" customHeight="false" outlineLevel="0" collapsed="false">
      <c r="A954" s="13" t="n">
        <v>0</v>
      </c>
      <c r="B954" s="13" t="str">
        <v/>
      </c>
      <c r="C954" s="13" t="n">
        <v>0</v>
      </c>
      <c r="D954" s="13" t="n">
        <v>0</v>
      </c>
      <c r="E954" s="13" t="str">
        <v/>
      </c>
      <c r="F954" s="13" t="n">
        <v>0</v>
      </c>
      <c r="G954" s="13" t="n">
        <v>0</v>
      </c>
      <c r="H954" s="13" t="n">
        <v>0</v>
      </c>
      <c r="I954" s="13" t="n">
        <v>0</v>
      </c>
      <c r="J954" s="13" t="b">
        <f aca="false">IF(ISBLANK(I954),"", IF($I$2:$I1951 = "Gohar Rehan","Overnight",IF($I$2:$I1951 = "Taufeeq Akhtar ","Overnight",IF($I$2:$I1951 = "Zeeshan Ali Malik","Audit",IF($I$2:$I1951 = "Ali Raza ","Receiving",IF($I$2:$I1951 = "Ali Ahmad","Full-In"))))))</f>
        <v>0</v>
      </c>
      <c r="K954" s="39" t="e">
        <f aca="false">IFERROR(VLOOKUP(D954,'Brand manager data '!A:B,2,0))</f>
        <v>#VALUE!</v>
      </c>
      <c r="L954" s="13" t="n">
        <v>0</v>
      </c>
      <c r="M954" s="13" t="str">
        <v>Yes</v>
      </c>
      <c r="N954" s="22"/>
      <c r="Q954" s="40"/>
      <c r="R954" s="13" t="b">
        <f aca="false">FALSE()</f>
        <v>0</v>
      </c>
      <c r="S954" s="13" t="n">
        <v>0</v>
      </c>
      <c r="T954" s="13" t="n">
        <f aca="false">S954*F954</f>
        <v>0</v>
      </c>
      <c r="U954" s="13" t="n">
        <v>0</v>
      </c>
      <c r="V954" s="13" t="n">
        <v>0</v>
      </c>
    </row>
    <row r="955" customFormat="false" ht="15.75" hidden="false" customHeight="false" outlineLevel="0" collapsed="false">
      <c r="A955" s="13" t="n">
        <v>0</v>
      </c>
      <c r="B955" s="13" t="str">
        <v/>
      </c>
      <c r="C955" s="13" t="n">
        <v>0</v>
      </c>
      <c r="D955" s="13" t="n">
        <v>0</v>
      </c>
      <c r="E955" s="13" t="str">
        <v/>
      </c>
      <c r="F955" s="13" t="n">
        <v>0</v>
      </c>
      <c r="G955" s="13" t="n">
        <v>0</v>
      </c>
      <c r="H955" s="13" t="n">
        <v>0</v>
      </c>
      <c r="I955" s="13" t="n">
        <v>0</v>
      </c>
      <c r="J955" s="13" t="b">
        <f aca="false">IF(ISBLANK(I955),"", IF($I$2:$I1952 = "Gohar Rehan","Overnight",IF($I$2:$I1952 = "Taufeeq Akhtar ","Overnight",IF($I$2:$I1952 = "Zeeshan Ali Malik","Audit",IF($I$2:$I1952 = "Ali Raza ","Receiving",IF($I$2:$I1952 = "Ali Ahmad","Full-In"))))))</f>
        <v>0</v>
      </c>
      <c r="K955" s="39" t="e">
        <f aca="false">IFERROR(VLOOKUP(D955,'Brand manager data '!A:B,2,0))</f>
        <v>#VALUE!</v>
      </c>
      <c r="L955" s="13" t="n">
        <v>0</v>
      </c>
      <c r="M955" s="13" t="str">
        <v>Yes</v>
      </c>
      <c r="N955" s="22"/>
      <c r="Q955" s="40"/>
      <c r="R955" s="13" t="b">
        <f aca="false">FALSE()</f>
        <v>0</v>
      </c>
      <c r="S955" s="13" t="n">
        <v>0</v>
      </c>
      <c r="T955" s="13" t="n">
        <f aca="false">S955*F955</f>
        <v>0</v>
      </c>
      <c r="U955" s="13" t="n">
        <v>0</v>
      </c>
      <c r="V955" s="13" t="n">
        <v>0</v>
      </c>
    </row>
    <row r="956" customFormat="false" ht="15.75" hidden="false" customHeight="false" outlineLevel="0" collapsed="false">
      <c r="A956" s="13" t="n">
        <v>0</v>
      </c>
      <c r="B956" s="13" t="str">
        <v/>
      </c>
      <c r="C956" s="13" t="n">
        <v>0</v>
      </c>
      <c r="D956" s="13" t="n">
        <v>0</v>
      </c>
      <c r="E956" s="13" t="str">
        <v/>
      </c>
      <c r="F956" s="13" t="n">
        <v>0</v>
      </c>
      <c r="G956" s="13" t="n">
        <v>0</v>
      </c>
      <c r="H956" s="13" t="n">
        <v>0</v>
      </c>
      <c r="I956" s="13" t="n">
        <v>0</v>
      </c>
      <c r="J956" s="13" t="b">
        <f aca="false">IF(ISBLANK(I956),"", IF($I$2:$I1953 = "Gohar Rehan","Overnight",IF($I$2:$I1953 = "Taufeeq Akhtar ","Overnight",IF($I$2:$I1953 = "Zeeshan Ali Malik","Audit",IF($I$2:$I1953 = "Ali Raza ","Receiving",IF($I$2:$I1953 = "Ali Ahmad","Full-In"))))))</f>
        <v>0</v>
      </c>
      <c r="K956" s="39" t="e">
        <f aca="false">IFERROR(VLOOKUP(D956,'Brand manager data '!A:B,2,0))</f>
        <v>#VALUE!</v>
      </c>
      <c r="L956" s="13" t="n">
        <v>0</v>
      </c>
      <c r="M956" s="13" t="str">
        <v>Yes</v>
      </c>
      <c r="N956" s="22"/>
      <c r="Q956" s="40"/>
      <c r="R956" s="13" t="b">
        <f aca="false">FALSE()</f>
        <v>0</v>
      </c>
      <c r="S956" s="13" t="n">
        <v>0</v>
      </c>
      <c r="T956" s="13" t="n">
        <f aca="false">S956*F956</f>
        <v>0</v>
      </c>
      <c r="U956" s="13" t="n">
        <v>0</v>
      </c>
      <c r="V956" s="13" t="n">
        <v>0</v>
      </c>
    </row>
    <row r="957" customFormat="false" ht="15.75" hidden="false" customHeight="false" outlineLevel="0" collapsed="false">
      <c r="A957" s="13" t="n">
        <v>0</v>
      </c>
      <c r="B957" s="13" t="str">
        <v/>
      </c>
      <c r="C957" s="13" t="n">
        <v>0</v>
      </c>
      <c r="D957" s="13" t="n">
        <v>0</v>
      </c>
      <c r="E957" s="13" t="str">
        <v/>
      </c>
      <c r="F957" s="13" t="n">
        <v>0</v>
      </c>
      <c r="G957" s="13" t="n">
        <v>0</v>
      </c>
      <c r="H957" s="13" t="n">
        <v>0</v>
      </c>
      <c r="I957" s="13" t="n">
        <v>0</v>
      </c>
      <c r="J957" s="13" t="b">
        <f aca="false">IF(ISBLANK(I957),"", IF($I$2:$I1954 = "Gohar Rehan","Overnight",IF($I$2:$I1954 = "Taufeeq Akhtar ","Overnight",IF($I$2:$I1954 = "Zeeshan Ali Malik","Audit",IF($I$2:$I1954 = "Ali Raza ","Receiving",IF($I$2:$I1954 = "Ali Ahmad","Full-In"))))))</f>
        <v>0</v>
      </c>
      <c r="K957" s="39" t="e">
        <f aca="false">IFERROR(VLOOKUP(D957,'Brand manager data '!A:B,2,0))</f>
        <v>#VALUE!</v>
      </c>
      <c r="L957" s="13" t="n">
        <v>0</v>
      </c>
      <c r="M957" s="13" t="str">
        <v>Yes</v>
      </c>
      <c r="N957" s="22"/>
      <c r="Q957" s="40"/>
      <c r="R957" s="13" t="b">
        <f aca="false">FALSE()</f>
        <v>0</v>
      </c>
      <c r="S957" s="13" t="n">
        <v>0</v>
      </c>
      <c r="T957" s="13" t="n">
        <f aca="false">S957*F957</f>
        <v>0</v>
      </c>
      <c r="U957" s="13" t="n">
        <v>0</v>
      </c>
      <c r="V957" s="13" t="n">
        <v>0</v>
      </c>
    </row>
    <row r="958" customFormat="false" ht="15.75" hidden="false" customHeight="false" outlineLevel="0" collapsed="false">
      <c r="A958" s="13" t="n">
        <v>0</v>
      </c>
      <c r="B958" s="13" t="str">
        <v/>
      </c>
      <c r="C958" s="13" t="n">
        <v>0</v>
      </c>
      <c r="D958" s="13" t="n">
        <v>0</v>
      </c>
      <c r="E958" s="13" t="str">
        <v/>
      </c>
      <c r="F958" s="13" t="n">
        <v>0</v>
      </c>
      <c r="G958" s="13" t="n">
        <v>0</v>
      </c>
      <c r="H958" s="13" t="n">
        <v>0</v>
      </c>
      <c r="I958" s="13" t="n">
        <v>0</v>
      </c>
      <c r="J958" s="13" t="b">
        <f aca="false">IF(ISBLANK(I958),"", IF($I$2:$I1955 = "Gohar Rehan","Overnight",IF($I$2:$I1955 = "Taufeeq Akhtar ","Overnight",IF($I$2:$I1955 = "Zeeshan Ali Malik","Audit",IF($I$2:$I1955 = "Ali Raza ","Receiving",IF($I$2:$I1955 = "Ali Ahmad","Full-In"))))))</f>
        <v>0</v>
      </c>
      <c r="K958" s="39" t="e">
        <f aca="false">IFERROR(VLOOKUP(D958,'Brand manager data '!A:B,2,0))</f>
        <v>#VALUE!</v>
      </c>
      <c r="L958" s="13" t="n">
        <v>0</v>
      </c>
      <c r="M958" s="13" t="str">
        <v>Yes</v>
      </c>
      <c r="N958" s="22"/>
      <c r="Q958" s="40"/>
      <c r="R958" s="13" t="b">
        <f aca="false">FALSE()</f>
        <v>0</v>
      </c>
      <c r="S958" s="13" t="n">
        <v>0</v>
      </c>
      <c r="T958" s="13" t="n">
        <f aca="false">S958*F958</f>
        <v>0</v>
      </c>
      <c r="U958" s="13" t="n">
        <v>0</v>
      </c>
      <c r="V958" s="13" t="n">
        <v>0</v>
      </c>
    </row>
    <row r="959" customFormat="false" ht="15.75" hidden="false" customHeight="false" outlineLevel="0" collapsed="false">
      <c r="A959" s="13" t="n">
        <v>0</v>
      </c>
      <c r="B959" s="13" t="str">
        <v/>
      </c>
      <c r="C959" s="13" t="n">
        <v>0</v>
      </c>
      <c r="D959" s="13" t="n">
        <v>0</v>
      </c>
      <c r="E959" s="13" t="str">
        <v/>
      </c>
      <c r="F959" s="13" t="n">
        <v>0</v>
      </c>
      <c r="G959" s="13" t="n">
        <v>0</v>
      </c>
      <c r="H959" s="13" t="n">
        <v>0</v>
      </c>
      <c r="I959" s="13" t="n">
        <v>0</v>
      </c>
      <c r="J959" s="13" t="b">
        <f aca="false">IF(ISBLANK(I959),"", IF($I$2:$I1956 = "Gohar Rehan","Overnight",IF($I$2:$I1956 = "Taufeeq Akhtar ","Overnight",IF($I$2:$I1956 = "Zeeshan Ali Malik","Audit",IF($I$2:$I1956 = "Ali Raza ","Receiving",IF($I$2:$I1956 = "Ali Ahmad","Full-In"))))))</f>
        <v>0</v>
      </c>
      <c r="K959" s="39" t="e">
        <f aca="false">IFERROR(VLOOKUP(D959,'Brand manager data '!A:B,2,0))</f>
        <v>#VALUE!</v>
      </c>
      <c r="L959" s="13" t="n">
        <v>0</v>
      </c>
      <c r="M959" s="13" t="str">
        <v>Yes</v>
      </c>
      <c r="N959" s="22"/>
      <c r="Q959" s="40"/>
      <c r="R959" s="13" t="b">
        <f aca="false">FALSE()</f>
        <v>0</v>
      </c>
      <c r="S959" s="13" t="n">
        <v>0</v>
      </c>
      <c r="T959" s="13" t="n">
        <f aca="false">S959*F959</f>
        <v>0</v>
      </c>
      <c r="U959" s="13" t="n">
        <v>0</v>
      </c>
      <c r="V959" s="13" t="n">
        <v>0</v>
      </c>
    </row>
    <row r="960" customFormat="false" ht="15.75" hidden="false" customHeight="false" outlineLevel="0" collapsed="false">
      <c r="A960" s="13" t="n">
        <v>0</v>
      </c>
      <c r="B960" s="13" t="str">
        <v/>
      </c>
      <c r="C960" s="13" t="n">
        <v>0</v>
      </c>
      <c r="D960" s="13" t="n">
        <v>0</v>
      </c>
      <c r="E960" s="13" t="str">
        <v/>
      </c>
      <c r="F960" s="13" t="n">
        <v>0</v>
      </c>
      <c r="G960" s="13" t="n">
        <v>0</v>
      </c>
      <c r="H960" s="13" t="n">
        <v>0</v>
      </c>
      <c r="I960" s="13" t="n">
        <v>0</v>
      </c>
      <c r="J960" s="13" t="b">
        <f aca="false">IF(ISBLANK(I960),"", IF($I$2:$I1957 = "Gohar Rehan","Overnight",IF($I$2:$I1957 = "Taufeeq Akhtar ","Overnight",IF($I$2:$I1957 = "Zeeshan Ali Malik","Audit",IF($I$2:$I1957 = "Ali Raza ","Receiving",IF($I$2:$I1957 = "Ali Ahmad","Full-In"))))))</f>
        <v>0</v>
      </c>
      <c r="K960" s="39" t="e">
        <f aca="false">IFERROR(VLOOKUP(D960,'Brand manager data '!A:B,2,0))</f>
        <v>#VALUE!</v>
      </c>
      <c r="L960" s="13" t="n">
        <v>0</v>
      </c>
      <c r="M960" s="13" t="str">
        <v>Yes</v>
      </c>
      <c r="N960" s="22"/>
      <c r="Q960" s="40"/>
      <c r="R960" s="13" t="b">
        <f aca="false">FALSE()</f>
        <v>0</v>
      </c>
      <c r="S960" s="13" t="n">
        <v>0</v>
      </c>
      <c r="T960" s="13" t="n">
        <f aca="false">S960*F960</f>
        <v>0</v>
      </c>
      <c r="U960" s="13" t="n">
        <v>0</v>
      </c>
      <c r="V960" s="13" t="n">
        <v>0</v>
      </c>
    </row>
    <row r="961" customFormat="false" ht="15.75" hidden="false" customHeight="false" outlineLevel="0" collapsed="false">
      <c r="A961" s="13" t="n">
        <v>0</v>
      </c>
      <c r="B961" s="13" t="str">
        <v/>
      </c>
      <c r="C961" s="13" t="n">
        <v>0</v>
      </c>
      <c r="D961" s="13" t="n">
        <v>0</v>
      </c>
      <c r="E961" s="13" t="str">
        <v/>
      </c>
      <c r="F961" s="13" t="n">
        <v>0</v>
      </c>
      <c r="G961" s="13" t="n">
        <v>0</v>
      </c>
      <c r="H961" s="13" t="n">
        <v>0</v>
      </c>
      <c r="I961" s="13" t="n">
        <v>0</v>
      </c>
      <c r="J961" s="13" t="b">
        <f aca="false">IF(ISBLANK(I961),"", IF($I$2:$I1958 = "Gohar Rehan","Overnight",IF($I$2:$I1958 = "Taufeeq Akhtar ","Overnight",IF($I$2:$I1958 = "Zeeshan Ali Malik","Audit",IF($I$2:$I1958 = "Ali Raza ","Receiving",IF($I$2:$I1958 = "Ali Ahmad","Full-In"))))))</f>
        <v>0</v>
      </c>
      <c r="K961" s="39" t="e">
        <f aca="false">IFERROR(VLOOKUP(D961,'Brand manager data '!A:B,2,0))</f>
        <v>#VALUE!</v>
      </c>
      <c r="L961" s="13" t="n">
        <v>0</v>
      </c>
      <c r="M961" s="13" t="str">
        <v>Yes</v>
      </c>
      <c r="N961" s="22"/>
      <c r="Q961" s="40"/>
      <c r="R961" s="13" t="b">
        <f aca="false">FALSE()</f>
        <v>0</v>
      </c>
      <c r="S961" s="13" t="n">
        <v>0</v>
      </c>
      <c r="T961" s="13" t="n">
        <f aca="false">S961*F961</f>
        <v>0</v>
      </c>
      <c r="U961" s="13" t="n">
        <v>0</v>
      </c>
      <c r="V961" s="13" t="n">
        <v>0</v>
      </c>
    </row>
    <row r="962" customFormat="false" ht="15.75" hidden="false" customHeight="false" outlineLevel="0" collapsed="false">
      <c r="A962" s="13" t="n">
        <v>0</v>
      </c>
      <c r="B962" s="13" t="str">
        <v/>
      </c>
      <c r="C962" s="13" t="n">
        <v>0</v>
      </c>
      <c r="D962" s="13" t="n">
        <v>0</v>
      </c>
      <c r="E962" s="13" t="str">
        <v/>
      </c>
      <c r="F962" s="13" t="n">
        <v>0</v>
      </c>
      <c r="G962" s="13" t="n">
        <v>0</v>
      </c>
      <c r="H962" s="13" t="n">
        <v>0</v>
      </c>
      <c r="I962" s="13" t="n">
        <v>0</v>
      </c>
      <c r="J962" s="13" t="b">
        <f aca="false">IF(ISBLANK(I962),"", IF($I$2:$I1959 = "Gohar Rehan","Overnight",IF($I$2:$I1959 = "Taufeeq Akhtar ","Overnight",IF($I$2:$I1959 = "Zeeshan Ali Malik","Audit",IF($I$2:$I1959 = "Ali Raza ","Receiving",IF($I$2:$I1959 = "Ali Ahmad","Full-In"))))))</f>
        <v>0</v>
      </c>
      <c r="K962" s="39" t="e">
        <f aca="false">IFERROR(VLOOKUP(D962,'Brand manager data '!A:B,2,0))</f>
        <v>#VALUE!</v>
      </c>
      <c r="L962" s="13" t="n">
        <v>0</v>
      </c>
      <c r="M962" s="13" t="str">
        <v>Yes</v>
      </c>
      <c r="N962" s="22"/>
      <c r="Q962" s="40"/>
      <c r="R962" s="13" t="b">
        <f aca="false">FALSE()</f>
        <v>0</v>
      </c>
      <c r="S962" s="13" t="n">
        <v>0</v>
      </c>
      <c r="T962" s="13" t="n">
        <f aca="false">S962*F962</f>
        <v>0</v>
      </c>
      <c r="U962" s="13" t="n">
        <v>0</v>
      </c>
      <c r="V962" s="13" t="n">
        <v>0</v>
      </c>
    </row>
    <row r="963" customFormat="false" ht="15.75" hidden="false" customHeight="false" outlineLevel="0" collapsed="false">
      <c r="A963" s="13" t="n">
        <v>0</v>
      </c>
      <c r="B963" s="13" t="str">
        <v/>
      </c>
      <c r="C963" s="13" t="n">
        <v>0</v>
      </c>
      <c r="D963" s="13" t="n">
        <v>0</v>
      </c>
      <c r="E963" s="13" t="str">
        <v/>
      </c>
      <c r="F963" s="13" t="n">
        <v>0</v>
      </c>
      <c r="G963" s="13" t="n">
        <v>0</v>
      </c>
      <c r="H963" s="13" t="n">
        <v>0</v>
      </c>
      <c r="I963" s="13" t="n">
        <v>0</v>
      </c>
      <c r="J963" s="13" t="b">
        <f aca="false">IF(ISBLANK(I963),"", IF($I$2:$I1960 = "Gohar Rehan","Overnight",IF($I$2:$I1960 = "Taufeeq Akhtar ","Overnight",IF($I$2:$I1960 = "Zeeshan Ali Malik","Audit",IF($I$2:$I1960 = "Ali Raza ","Receiving",IF($I$2:$I1960 = "Ali Ahmad","Full-In"))))))</f>
        <v>0</v>
      </c>
      <c r="K963" s="39" t="e">
        <f aca="false">IFERROR(VLOOKUP(D963,'Brand manager data '!A:B,2,0))</f>
        <v>#VALUE!</v>
      </c>
      <c r="L963" s="13" t="n">
        <v>0</v>
      </c>
      <c r="M963" s="13" t="str">
        <v>Yes</v>
      </c>
      <c r="N963" s="22"/>
      <c r="Q963" s="40"/>
      <c r="R963" s="13" t="b">
        <f aca="false">FALSE()</f>
        <v>0</v>
      </c>
      <c r="S963" s="13" t="n">
        <v>0</v>
      </c>
      <c r="T963" s="13" t="n">
        <f aca="false">S963*F963</f>
        <v>0</v>
      </c>
      <c r="U963" s="13" t="n">
        <v>0</v>
      </c>
      <c r="V963" s="13" t="n">
        <v>0</v>
      </c>
    </row>
    <row r="964" customFormat="false" ht="15.75" hidden="false" customHeight="false" outlineLevel="0" collapsed="false">
      <c r="A964" s="13" t="n">
        <v>0</v>
      </c>
      <c r="B964" s="13" t="str">
        <v/>
      </c>
      <c r="C964" s="13" t="n">
        <v>0</v>
      </c>
      <c r="D964" s="13" t="n">
        <v>0</v>
      </c>
      <c r="E964" s="13" t="str">
        <v/>
      </c>
      <c r="F964" s="13" t="n">
        <v>0</v>
      </c>
      <c r="G964" s="13" t="n">
        <v>0</v>
      </c>
      <c r="H964" s="13" t="n">
        <v>0</v>
      </c>
      <c r="I964" s="13" t="n">
        <v>0</v>
      </c>
      <c r="J964" s="13" t="b">
        <f aca="false">IF(ISBLANK(I964),"", IF($I$2:$I1961 = "Gohar Rehan","Overnight",IF($I$2:$I1961 = "Taufeeq Akhtar ","Overnight",IF($I$2:$I1961 = "Zeeshan Ali Malik","Audit",IF($I$2:$I1961 = "Ali Raza ","Receiving",IF($I$2:$I1961 = "Ali Ahmad","Full-In"))))))</f>
        <v>0</v>
      </c>
      <c r="K964" s="39" t="e">
        <f aca="false">IFERROR(VLOOKUP(D964,'Brand manager data '!A:B,2,0))</f>
        <v>#VALUE!</v>
      </c>
      <c r="L964" s="13" t="n">
        <v>0</v>
      </c>
      <c r="M964" s="13" t="str">
        <v>Yes</v>
      </c>
      <c r="N964" s="22"/>
      <c r="Q964" s="40"/>
      <c r="R964" s="13" t="b">
        <f aca="false">FALSE()</f>
        <v>0</v>
      </c>
      <c r="S964" s="13" t="n">
        <v>0</v>
      </c>
      <c r="T964" s="13" t="n">
        <f aca="false">S964*F964</f>
        <v>0</v>
      </c>
      <c r="U964" s="13" t="n">
        <v>0</v>
      </c>
      <c r="V964" s="13" t="n">
        <v>0</v>
      </c>
    </row>
    <row r="965" customFormat="false" ht="15.75" hidden="false" customHeight="false" outlineLevel="0" collapsed="false">
      <c r="A965" s="13" t="n">
        <v>0</v>
      </c>
      <c r="B965" s="13" t="str">
        <v/>
      </c>
      <c r="C965" s="13" t="n">
        <v>0</v>
      </c>
      <c r="D965" s="13" t="n">
        <v>0</v>
      </c>
      <c r="E965" s="13" t="str">
        <v/>
      </c>
      <c r="F965" s="13" t="n">
        <v>0</v>
      </c>
      <c r="G965" s="13" t="n">
        <v>0</v>
      </c>
      <c r="H965" s="13" t="n">
        <v>0</v>
      </c>
      <c r="I965" s="13" t="n">
        <v>0</v>
      </c>
      <c r="J965" s="13" t="b">
        <f aca="false">IF(ISBLANK(I965),"", IF($I$2:$I1962 = "Gohar Rehan","Overnight",IF($I$2:$I1962 = "Taufeeq Akhtar ","Overnight",IF($I$2:$I1962 = "Zeeshan Ali Malik","Audit",IF($I$2:$I1962 = "Ali Raza ","Receiving",IF($I$2:$I1962 = "Ali Ahmad","Full-In"))))))</f>
        <v>0</v>
      </c>
      <c r="K965" s="39" t="e">
        <f aca="false">IFERROR(VLOOKUP(D965,'Brand manager data '!A:B,2,0))</f>
        <v>#VALUE!</v>
      </c>
      <c r="L965" s="13" t="n">
        <v>0</v>
      </c>
      <c r="M965" s="13" t="str">
        <v>Yes</v>
      </c>
      <c r="N965" s="22"/>
      <c r="Q965" s="40"/>
      <c r="R965" s="13" t="b">
        <f aca="false">FALSE()</f>
        <v>0</v>
      </c>
      <c r="S965" s="13" t="n">
        <v>0</v>
      </c>
      <c r="T965" s="13" t="n">
        <f aca="false">S965*F965</f>
        <v>0</v>
      </c>
      <c r="U965" s="13" t="n">
        <v>0</v>
      </c>
      <c r="V965" s="13" t="n">
        <v>0</v>
      </c>
    </row>
    <row r="966" customFormat="false" ht="15.75" hidden="false" customHeight="false" outlineLevel="0" collapsed="false">
      <c r="A966" s="13" t="n">
        <v>0</v>
      </c>
      <c r="B966" s="13" t="str">
        <v/>
      </c>
      <c r="C966" s="13" t="n">
        <v>0</v>
      </c>
      <c r="D966" s="13" t="n">
        <v>0</v>
      </c>
      <c r="E966" s="13" t="str">
        <v/>
      </c>
      <c r="F966" s="13" t="n">
        <v>0</v>
      </c>
      <c r="G966" s="13" t="n">
        <v>0</v>
      </c>
      <c r="H966" s="13" t="n">
        <v>0</v>
      </c>
      <c r="I966" s="13" t="n">
        <v>0</v>
      </c>
      <c r="J966" s="13" t="b">
        <f aca="false">IF(ISBLANK(I966),"", IF($I$2:$I1963 = "Gohar Rehan","Overnight",IF($I$2:$I1963 = "Taufeeq Akhtar ","Overnight",IF($I$2:$I1963 = "Zeeshan Ali Malik","Audit",IF($I$2:$I1963 = "Ali Raza ","Receiving",IF($I$2:$I1963 = "Ali Ahmad","Full-In"))))))</f>
        <v>0</v>
      </c>
      <c r="K966" s="39" t="e">
        <f aca="false">IFERROR(VLOOKUP(D966,'Brand manager data '!A:B,2,0))</f>
        <v>#VALUE!</v>
      </c>
      <c r="L966" s="13" t="n">
        <v>0</v>
      </c>
      <c r="M966" s="13" t="str">
        <v>Yes</v>
      </c>
      <c r="N966" s="22"/>
      <c r="Q966" s="40"/>
      <c r="R966" s="13" t="b">
        <f aca="false">FALSE()</f>
        <v>0</v>
      </c>
      <c r="S966" s="13" t="n">
        <v>0</v>
      </c>
      <c r="T966" s="13" t="n">
        <f aca="false">S966*F966</f>
        <v>0</v>
      </c>
      <c r="U966" s="13" t="n">
        <v>0</v>
      </c>
      <c r="V966" s="13" t="n">
        <v>0</v>
      </c>
    </row>
    <row r="967" customFormat="false" ht="15.75" hidden="false" customHeight="false" outlineLevel="0" collapsed="false">
      <c r="A967" s="13" t="n">
        <v>0</v>
      </c>
      <c r="B967" s="13" t="str">
        <v/>
      </c>
      <c r="C967" s="13" t="n">
        <v>0</v>
      </c>
      <c r="D967" s="13" t="n">
        <v>0</v>
      </c>
      <c r="E967" s="13" t="str">
        <v/>
      </c>
      <c r="F967" s="13" t="n">
        <v>0</v>
      </c>
      <c r="G967" s="13" t="n">
        <v>0</v>
      </c>
      <c r="H967" s="13" t="n">
        <v>0</v>
      </c>
      <c r="I967" s="13" t="n">
        <v>0</v>
      </c>
      <c r="J967" s="13" t="b">
        <f aca="false">IF(ISBLANK(I967),"", IF($I$2:$I1964 = "Gohar Rehan","Overnight",IF($I$2:$I1964 = "Taufeeq Akhtar ","Overnight",IF($I$2:$I1964 = "Zeeshan Ali Malik","Audit",IF($I$2:$I1964 = "Ali Raza ","Receiving",IF($I$2:$I1964 = "Ali Ahmad","Full-In"))))))</f>
        <v>0</v>
      </c>
      <c r="K967" s="39" t="e">
        <f aca="false">IFERROR(VLOOKUP(D967,'Brand manager data '!A:B,2,0))</f>
        <v>#VALUE!</v>
      </c>
      <c r="L967" s="13" t="n">
        <v>0</v>
      </c>
      <c r="M967" s="13" t="str">
        <v>Yes</v>
      </c>
      <c r="N967" s="22"/>
      <c r="Q967" s="40"/>
      <c r="R967" s="13" t="b">
        <f aca="false">FALSE()</f>
        <v>0</v>
      </c>
      <c r="S967" s="13" t="n">
        <v>0</v>
      </c>
      <c r="T967" s="13" t="n">
        <f aca="false">S967*F967</f>
        <v>0</v>
      </c>
      <c r="U967" s="13" t="n">
        <v>0</v>
      </c>
      <c r="V967" s="13" t="n">
        <v>0</v>
      </c>
    </row>
    <row r="968" customFormat="false" ht="15.75" hidden="false" customHeight="false" outlineLevel="0" collapsed="false">
      <c r="A968" s="13" t="n">
        <v>0</v>
      </c>
      <c r="B968" s="13" t="str">
        <v/>
      </c>
      <c r="C968" s="13" t="n">
        <v>0</v>
      </c>
      <c r="D968" s="13" t="n">
        <v>0</v>
      </c>
      <c r="E968" s="13" t="str">
        <v/>
      </c>
      <c r="F968" s="13" t="n">
        <v>0</v>
      </c>
      <c r="G968" s="13" t="n">
        <v>0</v>
      </c>
      <c r="H968" s="13" t="n">
        <v>0</v>
      </c>
      <c r="I968" s="13" t="n">
        <v>0</v>
      </c>
      <c r="J968" s="13" t="b">
        <f aca="false">IF(ISBLANK(I968),"", IF($I$2:$I1965 = "Gohar Rehan","Overnight",IF($I$2:$I1965 = "Taufeeq Akhtar ","Overnight",IF($I$2:$I1965 = "Zeeshan Ali Malik","Audit",IF($I$2:$I1965 = "Ali Raza ","Receiving",IF($I$2:$I1965 = "Ali Ahmad","Full-In"))))))</f>
        <v>0</v>
      </c>
      <c r="K968" s="39" t="e">
        <f aca="false">IFERROR(VLOOKUP(D968,'Brand manager data '!A:B,2,0))</f>
        <v>#VALUE!</v>
      </c>
      <c r="L968" s="13" t="n">
        <v>0</v>
      </c>
      <c r="M968" s="13" t="str">
        <v>Yes</v>
      </c>
      <c r="N968" s="22"/>
      <c r="Q968" s="40"/>
      <c r="R968" s="13" t="b">
        <f aca="false">FALSE()</f>
        <v>0</v>
      </c>
      <c r="S968" s="13" t="n">
        <v>0</v>
      </c>
      <c r="T968" s="13" t="n">
        <f aca="false">S968*F968</f>
        <v>0</v>
      </c>
      <c r="U968" s="13" t="n">
        <v>0</v>
      </c>
      <c r="V968" s="13" t="n">
        <v>0</v>
      </c>
    </row>
    <row r="969" customFormat="false" ht="15.75" hidden="false" customHeight="false" outlineLevel="0" collapsed="false">
      <c r="A969" s="13" t="n">
        <v>0</v>
      </c>
      <c r="B969" s="13" t="str">
        <v/>
      </c>
      <c r="C969" s="13" t="n">
        <v>0</v>
      </c>
      <c r="D969" s="13" t="n">
        <v>0</v>
      </c>
      <c r="E969" s="13" t="str">
        <v/>
      </c>
      <c r="F969" s="13" t="n">
        <v>0</v>
      </c>
      <c r="G969" s="13" t="n">
        <v>0</v>
      </c>
      <c r="H969" s="13" t="n">
        <v>0</v>
      </c>
      <c r="I969" s="13" t="n">
        <v>0</v>
      </c>
      <c r="J969" s="13" t="b">
        <f aca="false">IF(ISBLANK(I969),"", IF($I$2:$I1966 = "Gohar Rehan","Overnight",IF($I$2:$I1966 = "Taufeeq Akhtar ","Overnight",IF($I$2:$I1966 = "Zeeshan Ali Malik","Audit",IF($I$2:$I1966 = "Ali Raza ","Receiving",IF($I$2:$I1966 = "Ali Ahmad","Full-In"))))))</f>
        <v>0</v>
      </c>
      <c r="K969" s="39" t="e">
        <f aca="false">IFERROR(VLOOKUP(D969,'Brand manager data '!A:B,2,0))</f>
        <v>#VALUE!</v>
      </c>
      <c r="L969" s="13" t="n">
        <v>0</v>
      </c>
      <c r="M969" s="13" t="str">
        <v>Yes</v>
      </c>
      <c r="N969" s="22"/>
      <c r="Q969" s="40"/>
      <c r="R969" s="13" t="b">
        <f aca="false">FALSE()</f>
        <v>0</v>
      </c>
      <c r="S969" s="13" t="n">
        <v>0</v>
      </c>
      <c r="T969" s="13" t="n">
        <f aca="false">S969*F969</f>
        <v>0</v>
      </c>
      <c r="U969" s="13" t="n">
        <v>0</v>
      </c>
      <c r="V969" s="13" t="n">
        <v>0</v>
      </c>
    </row>
    <row r="970" customFormat="false" ht="15.75" hidden="false" customHeight="false" outlineLevel="0" collapsed="false">
      <c r="A970" s="13" t="n">
        <v>0</v>
      </c>
      <c r="B970" s="13" t="str">
        <v/>
      </c>
      <c r="C970" s="13" t="n">
        <v>0</v>
      </c>
      <c r="D970" s="13" t="n">
        <v>0</v>
      </c>
      <c r="E970" s="13" t="str">
        <v/>
      </c>
      <c r="F970" s="13" t="n">
        <v>0</v>
      </c>
      <c r="G970" s="13" t="n">
        <v>0</v>
      </c>
      <c r="H970" s="13" t="n">
        <v>0</v>
      </c>
      <c r="I970" s="13" t="n">
        <v>0</v>
      </c>
      <c r="J970" s="13" t="b">
        <f aca="false">IF(ISBLANK(I970),"", IF($I$2:$I1967 = "Gohar Rehan","Overnight",IF($I$2:$I1967 = "Taufeeq Akhtar ","Overnight",IF($I$2:$I1967 = "Zeeshan Ali Malik","Audit",IF($I$2:$I1967 = "Ali Raza ","Receiving",IF($I$2:$I1967 = "Ali Ahmad","Full-In"))))))</f>
        <v>0</v>
      </c>
      <c r="K970" s="39" t="e">
        <f aca="false">IFERROR(VLOOKUP(D970,'Brand manager data '!A:B,2,0))</f>
        <v>#VALUE!</v>
      </c>
      <c r="L970" s="13" t="n">
        <v>0</v>
      </c>
      <c r="M970" s="13" t="str">
        <v>Yes</v>
      </c>
      <c r="N970" s="22"/>
      <c r="Q970" s="40"/>
      <c r="R970" s="13" t="b">
        <f aca="false">FALSE()</f>
        <v>0</v>
      </c>
      <c r="S970" s="13" t="n">
        <v>0</v>
      </c>
      <c r="T970" s="13" t="n">
        <f aca="false">S970*F970</f>
        <v>0</v>
      </c>
      <c r="U970" s="13" t="n">
        <v>0</v>
      </c>
      <c r="V970" s="13" t="n">
        <v>0</v>
      </c>
    </row>
    <row r="971" customFormat="false" ht="15.75" hidden="false" customHeight="false" outlineLevel="0" collapsed="false">
      <c r="A971" s="13" t="n">
        <v>0</v>
      </c>
      <c r="B971" s="13" t="str">
        <v/>
      </c>
      <c r="C971" s="13" t="n">
        <v>0</v>
      </c>
      <c r="D971" s="13" t="n">
        <v>0</v>
      </c>
      <c r="E971" s="13" t="str">
        <v/>
      </c>
      <c r="F971" s="13" t="n">
        <v>0</v>
      </c>
      <c r="G971" s="13" t="n">
        <v>0</v>
      </c>
      <c r="H971" s="13" t="n">
        <v>0</v>
      </c>
      <c r="I971" s="13" t="n">
        <v>0</v>
      </c>
      <c r="J971" s="13" t="b">
        <f aca="false">IF(ISBLANK(I971),"", IF($I$2:$I1968 = "Gohar Rehan","Overnight",IF($I$2:$I1968 = "Taufeeq Akhtar ","Overnight",IF($I$2:$I1968 = "Zeeshan Ali Malik","Audit",IF($I$2:$I1968 = "Ali Raza ","Receiving",IF($I$2:$I1968 = "Ali Ahmad","Full-In"))))))</f>
        <v>0</v>
      </c>
      <c r="K971" s="39" t="e">
        <f aca="false">IFERROR(VLOOKUP(D971,'Brand manager data '!A:B,2,0))</f>
        <v>#VALUE!</v>
      </c>
      <c r="L971" s="13" t="n">
        <v>0</v>
      </c>
      <c r="M971" s="13" t="str">
        <v>Yes</v>
      </c>
      <c r="N971" s="22"/>
      <c r="Q971" s="40"/>
      <c r="R971" s="13" t="b">
        <f aca="false">FALSE()</f>
        <v>0</v>
      </c>
      <c r="S971" s="13" t="n">
        <v>0</v>
      </c>
      <c r="T971" s="13" t="n">
        <f aca="false">S971*F971</f>
        <v>0</v>
      </c>
      <c r="U971" s="13" t="n">
        <v>0</v>
      </c>
      <c r="V971" s="13" t="n">
        <v>0</v>
      </c>
    </row>
    <row r="972" customFormat="false" ht="15.75" hidden="false" customHeight="false" outlineLevel="0" collapsed="false">
      <c r="A972" s="13" t="n">
        <v>0</v>
      </c>
      <c r="B972" s="13" t="str">
        <v/>
      </c>
      <c r="C972" s="13" t="n">
        <v>0</v>
      </c>
      <c r="D972" s="13" t="n">
        <v>0</v>
      </c>
      <c r="E972" s="13" t="str">
        <v/>
      </c>
      <c r="F972" s="13" t="n">
        <v>0</v>
      </c>
      <c r="G972" s="13" t="n">
        <v>0</v>
      </c>
      <c r="H972" s="13" t="n">
        <v>0</v>
      </c>
      <c r="I972" s="13" t="n">
        <v>0</v>
      </c>
      <c r="J972" s="13" t="b">
        <f aca="false">IF(ISBLANK(I972),"", IF($I$2:$I1969 = "Gohar Rehan","Overnight",IF($I$2:$I1969 = "Taufeeq Akhtar ","Overnight",IF($I$2:$I1969 = "Zeeshan Ali Malik","Audit",IF($I$2:$I1969 = "Ali Raza ","Receiving",IF($I$2:$I1969 = "Ali Ahmad","Full-In"))))))</f>
        <v>0</v>
      </c>
      <c r="K972" s="39" t="e">
        <f aca="false">IFERROR(VLOOKUP(D972,'Brand manager data '!A:B,2,0))</f>
        <v>#VALUE!</v>
      </c>
      <c r="L972" s="13" t="n">
        <v>0</v>
      </c>
      <c r="M972" s="13" t="str">
        <v>Yes</v>
      </c>
      <c r="N972" s="22"/>
      <c r="Q972" s="40"/>
      <c r="R972" s="13" t="b">
        <f aca="false">FALSE()</f>
        <v>0</v>
      </c>
      <c r="S972" s="13" t="n">
        <v>0</v>
      </c>
      <c r="T972" s="13" t="n">
        <f aca="false">S972*F972</f>
        <v>0</v>
      </c>
      <c r="U972" s="13" t="n">
        <v>0</v>
      </c>
      <c r="V972" s="13" t="n">
        <v>0</v>
      </c>
    </row>
    <row r="973" customFormat="false" ht="15.75" hidden="false" customHeight="false" outlineLevel="0" collapsed="false">
      <c r="A973" s="13" t="n">
        <v>0</v>
      </c>
      <c r="B973" s="13" t="str">
        <v/>
      </c>
      <c r="C973" s="13" t="n">
        <v>0</v>
      </c>
      <c r="D973" s="13" t="n">
        <v>0</v>
      </c>
      <c r="E973" s="13" t="str">
        <v/>
      </c>
      <c r="F973" s="13" t="n">
        <v>0</v>
      </c>
      <c r="G973" s="13" t="n">
        <v>0</v>
      </c>
      <c r="H973" s="13" t="n">
        <v>0</v>
      </c>
      <c r="I973" s="13" t="n">
        <v>0</v>
      </c>
      <c r="J973" s="13" t="b">
        <f aca="false">IF(ISBLANK(I973),"", IF($I$2:$I1970 = "Gohar Rehan","Overnight",IF($I$2:$I1970 = "Taufeeq Akhtar ","Overnight",IF($I$2:$I1970 = "Zeeshan Ali Malik","Audit",IF($I$2:$I1970 = "Ali Raza ","Receiving",IF($I$2:$I1970 = "Ali Ahmad","Full-In"))))))</f>
        <v>0</v>
      </c>
      <c r="K973" s="39" t="e">
        <f aca="false">IFERROR(VLOOKUP(D973,'Brand manager data '!A:B,2,0))</f>
        <v>#VALUE!</v>
      </c>
      <c r="L973" s="13" t="n">
        <v>0</v>
      </c>
      <c r="M973" s="13" t="str">
        <v>Yes</v>
      </c>
      <c r="N973" s="22"/>
      <c r="Q973" s="40"/>
      <c r="R973" s="13" t="b">
        <f aca="false">FALSE()</f>
        <v>0</v>
      </c>
      <c r="S973" s="13" t="n">
        <v>0</v>
      </c>
      <c r="T973" s="13" t="n">
        <f aca="false">S973*F973</f>
        <v>0</v>
      </c>
      <c r="U973" s="13" t="n">
        <v>0</v>
      </c>
      <c r="V973" s="13" t="n">
        <v>0</v>
      </c>
    </row>
    <row r="974" customFormat="false" ht="15.75" hidden="false" customHeight="false" outlineLevel="0" collapsed="false">
      <c r="A974" s="13" t="n">
        <v>0</v>
      </c>
      <c r="B974" s="13" t="str">
        <v/>
      </c>
      <c r="C974" s="13" t="n">
        <v>0</v>
      </c>
      <c r="D974" s="13" t="n">
        <v>0</v>
      </c>
      <c r="E974" s="13" t="str">
        <v/>
      </c>
      <c r="F974" s="13" t="n">
        <v>0</v>
      </c>
      <c r="G974" s="13" t="n">
        <v>0</v>
      </c>
      <c r="H974" s="13" t="n">
        <v>0</v>
      </c>
      <c r="I974" s="13" t="n">
        <v>0</v>
      </c>
      <c r="J974" s="13" t="b">
        <f aca="false">IF(ISBLANK(I974),"", IF($I$2:$I1971 = "Gohar Rehan","Overnight",IF($I$2:$I1971 = "Taufeeq Akhtar ","Overnight",IF($I$2:$I1971 = "Zeeshan Ali Malik","Audit",IF($I$2:$I1971 = "Ali Raza ","Receiving",IF($I$2:$I1971 = "Ali Ahmad","Full-In"))))))</f>
        <v>0</v>
      </c>
      <c r="K974" s="39" t="e">
        <f aca="false">IFERROR(VLOOKUP(D974,'Brand manager data '!A:B,2,0))</f>
        <v>#VALUE!</v>
      </c>
      <c r="L974" s="13" t="n">
        <v>0</v>
      </c>
      <c r="M974" s="13" t="str">
        <v>Yes</v>
      </c>
      <c r="N974" s="22"/>
      <c r="Q974" s="40"/>
      <c r="R974" s="13" t="b">
        <f aca="false">FALSE()</f>
        <v>0</v>
      </c>
      <c r="S974" s="13" t="n">
        <v>0</v>
      </c>
      <c r="T974" s="13" t="n">
        <f aca="false">S974*F974</f>
        <v>0</v>
      </c>
      <c r="U974" s="13" t="n">
        <v>0</v>
      </c>
      <c r="V974" s="13" t="n">
        <v>0</v>
      </c>
    </row>
    <row r="975" customFormat="false" ht="15.75" hidden="false" customHeight="false" outlineLevel="0" collapsed="false">
      <c r="A975" s="13" t="n">
        <v>0</v>
      </c>
      <c r="B975" s="13" t="str">
        <v/>
      </c>
      <c r="C975" s="13" t="n">
        <v>0</v>
      </c>
      <c r="D975" s="13" t="n">
        <v>0</v>
      </c>
      <c r="E975" s="13" t="str">
        <v/>
      </c>
      <c r="F975" s="13" t="n">
        <v>0</v>
      </c>
      <c r="G975" s="13" t="n">
        <v>0</v>
      </c>
      <c r="H975" s="13" t="n">
        <v>0</v>
      </c>
      <c r="I975" s="13" t="n">
        <v>0</v>
      </c>
      <c r="J975" s="13" t="b">
        <f aca="false">IF(ISBLANK(I975),"", IF($I$2:$I1972 = "Gohar Rehan","Overnight",IF($I$2:$I1972 = "Taufeeq Akhtar ","Overnight",IF($I$2:$I1972 = "Zeeshan Ali Malik","Audit",IF($I$2:$I1972 = "Ali Raza ","Receiving",IF($I$2:$I1972 = "Ali Ahmad","Full-In"))))))</f>
        <v>0</v>
      </c>
      <c r="K975" s="39" t="e">
        <f aca="false">IFERROR(VLOOKUP(D975,'Brand manager data '!A:B,2,0))</f>
        <v>#VALUE!</v>
      </c>
      <c r="L975" s="13" t="n">
        <v>0</v>
      </c>
      <c r="M975" s="13" t="str">
        <v>Yes</v>
      </c>
      <c r="N975" s="22"/>
      <c r="Q975" s="40"/>
      <c r="R975" s="13" t="b">
        <f aca="false">FALSE()</f>
        <v>0</v>
      </c>
      <c r="S975" s="13" t="n">
        <v>0</v>
      </c>
      <c r="T975" s="13" t="n">
        <f aca="false">S975*F975</f>
        <v>0</v>
      </c>
      <c r="U975" s="13" t="n">
        <v>0</v>
      </c>
      <c r="V975" s="13" t="n">
        <v>0</v>
      </c>
    </row>
    <row r="976" customFormat="false" ht="15.75" hidden="false" customHeight="false" outlineLevel="0" collapsed="false">
      <c r="A976" s="13" t="n">
        <v>0</v>
      </c>
      <c r="B976" s="13" t="str">
        <v/>
      </c>
      <c r="C976" s="13" t="n">
        <v>0</v>
      </c>
      <c r="D976" s="13" t="n">
        <v>0</v>
      </c>
      <c r="E976" s="13" t="str">
        <v/>
      </c>
      <c r="F976" s="13" t="n">
        <v>0</v>
      </c>
      <c r="G976" s="13" t="n">
        <v>0</v>
      </c>
      <c r="H976" s="13" t="n">
        <v>0</v>
      </c>
      <c r="I976" s="13" t="n">
        <v>0</v>
      </c>
      <c r="J976" s="13" t="b">
        <f aca="false">IF(ISBLANK(I976),"", IF($I$2:$I1973 = "Gohar Rehan","Overnight",IF($I$2:$I1973 = "Taufeeq Akhtar ","Overnight",IF($I$2:$I1973 = "Zeeshan Ali Malik","Audit",IF($I$2:$I1973 = "Ali Raza ","Receiving",IF($I$2:$I1973 = "Ali Ahmad","Full-In"))))))</f>
        <v>0</v>
      </c>
      <c r="K976" s="39" t="e">
        <f aca="false">IFERROR(VLOOKUP(D976,'Brand manager data '!A:B,2,0))</f>
        <v>#VALUE!</v>
      </c>
      <c r="L976" s="13" t="n">
        <v>0</v>
      </c>
      <c r="M976" s="13" t="str">
        <v>Yes</v>
      </c>
      <c r="N976" s="22"/>
      <c r="Q976" s="40"/>
      <c r="R976" s="13" t="b">
        <f aca="false">FALSE()</f>
        <v>0</v>
      </c>
      <c r="S976" s="13" t="n">
        <v>0</v>
      </c>
      <c r="T976" s="13" t="n">
        <f aca="false">S976*F976</f>
        <v>0</v>
      </c>
      <c r="U976" s="13" t="n">
        <v>0</v>
      </c>
      <c r="V976" s="13" t="n">
        <v>0</v>
      </c>
    </row>
    <row r="977" customFormat="false" ht="15.75" hidden="false" customHeight="false" outlineLevel="0" collapsed="false">
      <c r="A977" s="13" t="n">
        <v>0</v>
      </c>
      <c r="B977" s="13" t="str">
        <v/>
      </c>
      <c r="C977" s="13" t="n">
        <v>0</v>
      </c>
      <c r="D977" s="13" t="n">
        <v>0</v>
      </c>
      <c r="E977" s="13" t="str">
        <v/>
      </c>
      <c r="F977" s="13" t="n">
        <v>0</v>
      </c>
      <c r="G977" s="13" t="n">
        <v>0</v>
      </c>
      <c r="H977" s="13" t="n">
        <v>0</v>
      </c>
      <c r="I977" s="13" t="n">
        <v>0</v>
      </c>
      <c r="J977" s="13" t="b">
        <f aca="false">IF(ISBLANK(I977),"", IF($I$2:$I1974 = "Gohar Rehan","Overnight",IF($I$2:$I1974 = "Taufeeq Akhtar ","Overnight",IF($I$2:$I1974 = "Zeeshan Ali Malik","Audit",IF($I$2:$I1974 = "Ali Raza ","Receiving",IF($I$2:$I1974 = "Ali Ahmad","Full-In"))))))</f>
        <v>0</v>
      </c>
      <c r="K977" s="39" t="e">
        <f aca="false">IFERROR(VLOOKUP(D977,'Brand manager data '!A:B,2,0))</f>
        <v>#VALUE!</v>
      </c>
      <c r="L977" s="13" t="n">
        <v>0</v>
      </c>
      <c r="M977" s="13" t="str">
        <v>Yes</v>
      </c>
      <c r="N977" s="22"/>
      <c r="Q977" s="40"/>
      <c r="R977" s="13" t="b">
        <f aca="false">FALSE()</f>
        <v>0</v>
      </c>
      <c r="S977" s="13" t="n">
        <v>0</v>
      </c>
      <c r="T977" s="13" t="n">
        <f aca="false">S977*F977</f>
        <v>0</v>
      </c>
      <c r="U977" s="13" t="n">
        <v>0</v>
      </c>
      <c r="V977" s="13" t="n">
        <v>0</v>
      </c>
    </row>
    <row r="978" customFormat="false" ht="15.75" hidden="false" customHeight="false" outlineLevel="0" collapsed="false">
      <c r="A978" s="13" t="n">
        <v>0</v>
      </c>
      <c r="B978" s="13" t="str">
        <v/>
      </c>
      <c r="C978" s="13" t="n">
        <v>0</v>
      </c>
      <c r="D978" s="13" t="n">
        <v>0</v>
      </c>
      <c r="E978" s="13" t="str">
        <v/>
      </c>
      <c r="F978" s="13" t="n">
        <v>0</v>
      </c>
      <c r="G978" s="13" t="n">
        <v>0</v>
      </c>
      <c r="H978" s="13" t="n">
        <v>0</v>
      </c>
      <c r="I978" s="13" t="n">
        <v>0</v>
      </c>
      <c r="J978" s="13" t="b">
        <f aca="false">IF(ISBLANK(I978),"", IF($I$2:$I1975 = "Gohar Rehan","Overnight",IF($I$2:$I1975 = "Taufeeq Akhtar ","Overnight",IF($I$2:$I1975 = "Zeeshan Ali Malik","Audit",IF($I$2:$I1975 = "Ali Raza ","Receiving",IF($I$2:$I1975 = "Ali Ahmad","Full-In"))))))</f>
        <v>0</v>
      </c>
      <c r="K978" s="39" t="e">
        <f aca="false">IFERROR(VLOOKUP(D978,'Brand manager data '!A:B,2,0))</f>
        <v>#VALUE!</v>
      </c>
      <c r="L978" s="13" t="n">
        <v>0</v>
      </c>
      <c r="M978" s="13" t="str">
        <v>Yes</v>
      </c>
      <c r="N978" s="22"/>
      <c r="Q978" s="40"/>
      <c r="R978" s="13" t="b">
        <f aca="false">FALSE()</f>
        <v>0</v>
      </c>
      <c r="S978" s="13" t="n">
        <v>0</v>
      </c>
      <c r="T978" s="13" t="n">
        <f aca="false">S978*F978</f>
        <v>0</v>
      </c>
      <c r="U978" s="13" t="n">
        <v>0</v>
      </c>
      <c r="V978" s="13" t="n">
        <v>0</v>
      </c>
    </row>
    <row r="979" customFormat="false" ht="15.75" hidden="false" customHeight="false" outlineLevel="0" collapsed="false">
      <c r="A979" s="13" t="n">
        <v>0</v>
      </c>
      <c r="B979" s="13" t="str">
        <v/>
      </c>
      <c r="C979" s="13" t="n">
        <v>0</v>
      </c>
      <c r="D979" s="13" t="n">
        <v>0</v>
      </c>
      <c r="E979" s="13" t="str">
        <v/>
      </c>
      <c r="F979" s="13" t="n">
        <v>0</v>
      </c>
      <c r="G979" s="13" t="n">
        <v>0</v>
      </c>
      <c r="H979" s="13" t="n">
        <v>0</v>
      </c>
      <c r="I979" s="13" t="n">
        <v>0</v>
      </c>
      <c r="J979" s="13" t="b">
        <f aca="false">IF(ISBLANK(I979),"", IF($I$2:$I1976 = "Gohar Rehan","Overnight",IF($I$2:$I1976 = "Taufeeq Akhtar ","Overnight",IF($I$2:$I1976 = "Zeeshan Ali Malik","Audit",IF($I$2:$I1976 = "Ali Raza ","Receiving",IF($I$2:$I1976 = "Ali Ahmad","Full-In"))))))</f>
        <v>0</v>
      </c>
      <c r="K979" s="39" t="e">
        <f aca="false">IFERROR(VLOOKUP(D979,'Brand manager data '!A:B,2,0))</f>
        <v>#VALUE!</v>
      </c>
      <c r="L979" s="13" t="n">
        <v>0</v>
      </c>
      <c r="M979" s="13" t="str">
        <v>Yes</v>
      </c>
      <c r="N979" s="22"/>
      <c r="Q979" s="40"/>
      <c r="R979" s="13" t="b">
        <f aca="false">FALSE()</f>
        <v>0</v>
      </c>
      <c r="S979" s="13" t="n">
        <v>0</v>
      </c>
      <c r="T979" s="13" t="n">
        <f aca="false">S979*F979</f>
        <v>0</v>
      </c>
      <c r="U979" s="13" t="n">
        <v>0</v>
      </c>
      <c r="V979" s="13" t="n">
        <v>0</v>
      </c>
    </row>
    <row r="980" customFormat="false" ht="15.75" hidden="false" customHeight="false" outlineLevel="0" collapsed="false">
      <c r="A980" s="13" t="n">
        <v>0</v>
      </c>
      <c r="B980" s="13" t="str">
        <v/>
      </c>
      <c r="C980" s="13" t="n">
        <v>0</v>
      </c>
      <c r="D980" s="13" t="n">
        <v>0</v>
      </c>
      <c r="E980" s="13" t="str">
        <v/>
      </c>
      <c r="F980" s="13" t="n">
        <v>0</v>
      </c>
      <c r="G980" s="13" t="n">
        <v>0</v>
      </c>
      <c r="H980" s="13" t="n">
        <v>0</v>
      </c>
      <c r="I980" s="13" t="n">
        <v>0</v>
      </c>
      <c r="J980" s="13" t="b">
        <f aca="false">IF(ISBLANK(I980),"", IF($I$2:$I1977 = "Gohar Rehan","Overnight",IF($I$2:$I1977 = "Taufeeq Akhtar ","Overnight",IF($I$2:$I1977 = "Zeeshan Ali Malik","Audit",IF($I$2:$I1977 = "Ali Raza ","Receiving",IF($I$2:$I1977 = "Ali Ahmad","Full-In"))))))</f>
        <v>0</v>
      </c>
      <c r="K980" s="39" t="e">
        <f aca="false">IFERROR(VLOOKUP(D980,'Brand manager data '!A:B,2,0))</f>
        <v>#VALUE!</v>
      </c>
      <c r="L980" s="13" t="n">
        <v>0</v>
      </c>
      <c r="M980" s="13" t="str">
        <v>Yes</v>
      </c>
      <c r="N980" s="22"/>
      <c r="Q980" s="40"/>
      <c r="R980" s="13" t="b">
        <f aca="false">FALSE()</f>
        <v>0</v>
      </c>
      <c r="S980" s="13" t="n">
        <v>0</v>
      </c>
      <c r="T980" s="13" t="n">
        <f aca="false">S980*F980</f>
        <v>0</v>
      </c>
      <c r="U980" s="13" t="n">
        <v>0</v>
      </c>
      <c r="V980" s="13" t="n">
        <v>0</v>
      </c>
    </row>
    <row r="981" customFormat="false" ht="15.75" hidden="false" customHeight="false" outlineLevel="0" collapsed="false">
      <c r="A981" s="13" t="n">
        <v>0</v>
      </c>
      <c r="B981" s="13" t="str">
        <v/>
      </c>
      <c r="C981" s="13" t="n">
        <v>0</v>
      </c>
      <c r="D981" s="13" t="n">
        <v>0</v>
      </c>
      <c r="E981" s="13" t="str">
        <v/>
      </c>
      <c r="F981" s="13" t="n">
        <v>0</v>
      </c>
      <c r="G981" s="13" t="n">
        <v>0</v>
      </c>
      <c r="H981" s="13" t="n">
        <v>0</v>
      </c>
      <c r="I981" s="13" t="n">
        <v>0</v>
      </c>
      <c r="J981" s="13" t="b">
        <f aca="false">IF(ISBLANK(I981),"", IF($I$2:$I1978 = "Gohar Rehan","Overnight",IF($I$2:$I1978 = "Taufeeq Akhtar ","Overnight",IF($I$2:$I1978 = "Zeeshan Ali Malik","Audit",IF($I$2:$I1978 = "Ali Raza ","Receiving",IF($I$2:$I1978 = "Ali Ahmad","Full-In"))))))</f>
        <v>0</v>
      </c>
      <c r="K981" s="39" t="e">
        <f aca="false">IFERROR(VLOOKUP(D981,'Brand manager data '!A:B,2,0))</f>
        <v>#VALUE!</v>
      </c>
      <c r="L981" s="13" t="n">
        <v>0</v>
      </c>
      <c r="M981" s="13" t="str">
        <v>Yes</v>
      </c>
      <c r="N981" s="22"/>
      <c r="Q981" s="40"/>
      <c r="R981" s="13" t="b">
        <f aca="false">FALSE()</f>
        <v>0</v>
      </c>
      <c r="S981" s="13" t="n">
        <v>0</v>
      </c>
      <c r="T981" s="13" t="n">
        <f aca="false">S981*F981</f>
        <v>0</v>
      </c>
      <c r="U981" s="13" t="n">
        <v>0</v>
      </c>
      <c r="V981" s="13" t="n">
        <v>0</v>
      </c>
    </row>
    <row r="982" customFormat="false" ht="15.75" hidden="false" customHeight="false" outlineLevel="0" collapsed="false">
      <c r="A982" s="13" t="n">
        <v>0</v>
      </c>
      <c r="B982" s="13" t="str">
        <v/>
      </c>
      <c r="C982" s="13" t="n">
        <v>0</v>
      </c>
      <c r="D982" s="13" t="n">
        <v>0</v>
      </c>
      <c r="E982" s="13" t="str">
        <v/>
      </c>
      <c r="F982" s="13" t="n">
        <v>0</v>
      </c>
      <c r="G982" s="13" t="n">
        <v>0</v>
      </c>
      <c r="H982" s="13" t="n">
        <v>0</v>
      </c>
      <c r="I982" s="13" t="n">
        <v>0</v>
      </c>
      <c r="J982" s="13" t="b">
        <f aca="false">IF(ISBLANK(I982),"", IF($I$2:$I1979 = "Gohar Rehan","Overnight",IF($I$2:$I1979 = "Taufeeq Akhtar ","Overnight",IF($I$2:$I1979 = "Zeeshan Ali Malik","Audit",IF($I$2:$I1979 = "Ali Raza ","Receiving",IF($I$2:$I1979 = "Ali Ahmad","Full-In"))))))</f>
        <v>0</v>
      </c>
      <c r="K982" s="39" t="e">
        <f aca="false">IFERROR(VLOOKUP(D982,'Brand manager data '!A:B,2,0))</f>
        <v>#VALUE!</v>
      </c>
      <c r="L982" s="13" t="n">
        <v>0</v>
      </c>
      <c r="M982" s="13" t="str">
        <v>Yes</v>
      </c>
      <c r="N982" s="22"/>
      <c r="Q982" s="40"/>
      <c r="R982" s="13" t="b">
        <f aca="false">FALSE()</f>
        <v>0</v>
      </c>
      <c r="S982" s="13" t="n">
        <v>0</v>
      </c>
      <c r="T982" s="13" t="n">
        <f aca="false">S982*F982</f>
        <v>0</v>
      </c>
      <c r="U982" s="13" t="n">
        <v>0</v>
      </c>
      <c r="V982" s="13" t="n">
        <v>0</v>
      </c>
    </row>
    <row r="983" customFormat="false" ht="15.75" hidden="false" customHeight="false" outlineLevel="0" collapsed="false">
      <c r="A983" s="13" t="n">
        <v>0</v>
      </c>
      <c r="B983" s="13" t="str">
        <v/>
      </c>
      <c r="C983" s="13" t="n">
        <v>0</v>
      </c>
      <c r="D983" s="13" t="n">
        <v>0</v>
      </c>
      <c r="E983" s="13" t="str">
        <v/>
      </c>
      <c r="F983" s="13" t="n">
        <v>0</v>
      </c>
      <c r="G983" s="13" t="n">
        <v>0</v>
      </c>
      <c r="H983" s="13" t="n">
        <v>0</v>
      </c>
      <c r="I983" s="13" t="n">
        <v>0</v>
      </c>
      <c r="J983" s="13" t="b">
        <f aca="false">IF(ISBLANK(I983),"", IF($I$2:$I1980 = "Gohar Rehan","Overnight",IF($I$2:$I1980 = "Taufeeq Akhtar ","Overnight",IF($I$2:$I1980 = "Zeeshan Ali Malik","Audit",IF($I$2:$I1980 = "Ali Raza ","Receiving",IF($I$2:$I1980 = "Ali Ahmad","Full-In"))))))</f>
        <v>0</v>
      </c>
      <c r="K983" s="39" t="e">
        <f aca="false">IFERROR(VLOOKUP(D983,'Brand manager data '!A:B,2,0))</f>
        <v>#VALUE!</v>
      </c>
      <c r="L983" s="13" t="n">
        <v>0</v>
      </c>
      <c r="M983" s="13" t="str">
        <v>Yes</v>
      </c>
      <c r="N983" s="22"/>
      <c r="Q983" s="40"/>
      <c r="R983" s="13" t="b">
        <f aca="false">FALSE()</f>
        <v>0</v>
      </c>
      <c r="S983" s="13" t="n">
        <v>0</v>
      </c>
      <c r="T983" s="13" t="n">
        <f aca="false">S983*F983</f>
        <v>0</v>
      </c>
      <c r="U983" s="13" t="n">
        <v>0</v>
      </c>
      <c r="V983" s="13" t="n">
        <v>0</v>
      </c>
    </row>
    <row r="984" customFormat="false" ht="15.75" hidden="false" customHeight="false" outlineLevel="0" collapsed="false">
      <c r="A984" s="13" t="n">
        <v>0</v>
      </c>
      <c r="B984" s="13" t="str">
        <v/>
      </c>
      <c r="C984" s="13" t="n">
        <v>0</v>
      </c>
      <c r="D984" s="13" t="n">
        <v>0</v>
      </c>
      <c r="E984" s="13" t="str">
        <v/>
      </c>
      <c r="F984" s="13" t="n">
        <v>0</v>
      </c>
      <c r="G984" s="13" t="n">
        <v>0</v>
      </c>
      <c r="H984" s="13" t="n">
        <v>0</v>
      </c>
      <c r="I984" s="13" t="n">
        <v>0</v>
      </c>
      <c r="J984" s="13" t="b">
        <f aca="false">IF(ISBLANK(I984),"", IF($I$2:$I1981 = "Gohar Rehan","Overnight",IF($I$2:$I1981 = "Taufeeq Akhtar ","Overnight",IF($I$2:$I1981 = "Zeeshan Ali Malik","Audit",IF($I$2:$I1981 = "Ali Raza ","Receiving",IF($I$2:$I1981 = "Ali Ahmad","Full-In"))))))</f>
        <v>0</v>
      </c>
      <c r="K984" s="39" t="e">
        <f aca="false">IFERROR(VLOOKUP(D984,'Brand manager data '!A:B,2,0))</f>
        <v>#VALUE!</v>
      </c>
      <c r="L984" s="13" t="n">
        <v>0</v>
      </c>
      <c r="M984" s="13" t="str">
        <v>Yes</v>
      </c>
      <c r="N984" s="22"/>
      <c r="Q984" s="40"/>
      <c r="R984" s="13" t="b">
        <f aca="false">FALSE()</f>
        <v>0</v>
      </c>
      <c r="S984" s="13" t="n">
        <v>0</v>
      </c>
      <c r="T984" s="13" t="n">
        <f aca="false">S984*F984</f>
        <v>0</v>
      </c>
      <c r="U984" s="13" t="n">
        <v>0</v>
      </c>
      <c r="V984" s="13" t="n">
        <v>0</v>
      </c>
    </row>
    <row r="985" customFormat="false" ht="15.75" hidden="false" customHeight="false" outlineLevel="0" collapsed="false">
      <c r="A985" s="13" t="n">
        <v>0</v>
      </c>
      <c r="B985" s="13" t="str">
        <v/>
      </c>
      <c r="C985" s="13" t="n">
        <v>0</v>
      </c>
      <c r="D985" s="13" t="n">
        <v>0</v>
      </c>
      <c r="E985" s="13" t="str">
        <v/>
      </c>
      <c r="F985" s="13" t="n">
        <v>0</v>
      </c>
      <c r="G985" s="13" t="n">
        <v>0</v>
      </c>
      <c r="H985" s="13" t="n">
        <v>0</v>
      </c>
      <c r="I985" s="13" t="n">
        <v>0</v>
      </c>
      <c r="J985" s="13" t="b">
        <f aca="false">IF(ISBLANK(I985),"", IF($I$2:$I1982 = "Gohar Rehan","Overnight",IF($I$2:$I1982 = "Taufeeq Akhtar ","Overnight",IF($I$2:$I1982 = "Zeeshan Ali Malik","Audit",IF($I$2:$I1982 = "Ali Raza ","Receiving",IF($I$2:$I1982 = "Ali Ahmad","Full-In"))))))</f>
        <v>0</v>
      </c>
      <c r="K985" s="39" t="e">
        <f aca="false">IFERROR(VLOOKUP(D985,'Brand manager data '!A:B,2,0))</f>
        <v>#VALUE!</v>
      </c>
      <c r="L985" s="13" t="n">
        <v>0</v>
      </c>
      <c r="M985" s="13" t="str">
        <v>Yes</v>
      </c>
      <c r="N985" s="22"/>
      <c r="Q985" s="40"/>
      <c r="R985" s="13" t="b">
        <f aca="false">FALSE()</f>
        <v>0</v>
      </c>
      <c r="S985" s="13" t="n">
        <v>0</v>
      </c>
      <c r="T985" s="13" t="n">
        <f aca="false">S985*F985</f>
        <v>0</v>
      </c>
      <c r="U985" s="13" t="n">
        <v>0</v>
      </c>
      <c r="V985" s="13" t="n">
        <v>0</v>
      </c>
    </row>
    <row r="986" customFormat="false" ht="15.75" hidden="false" customHeight="false" outlineLevel="0" collapsed="false">
      <c r="A986" s="13" t="n">
        <v>0</v>
      </c>
      <c r="B986" s="13" t="str">
        <v/>
      </c>
      <c r="C986" s="13" t="n">
        <v>0</v>
      </c>
      <c r="D986" s="13" t="n">
        <v>0</v>
      </c>
      <c r="E986" s="13" t="str">
        <v/>
      </c>
      <c r="F986" s="13" t="n">
        <v>0</v>
      </c>
      <c r="G986" s="13" t="n">
        <v>0</v>
      </c>
      <c r="H986" s="13" t="n">
        <v>0</v>
      </c>
      <c r="I986" s="13" t="n">
        <v>0</v>
      </c>
      <c r="J986" s="13" t="b">
        <f aca="false">IF(ISBLANK(I986),"", IF($I$2:$I1983 = "Gohar Rehan","Overnight",IF($I$2:$I1983 = "Taufeeq Akhtar ","Overnight",IF($I$2:$I1983 = "Zeeshan Ali Malik","Audit",IF($I$2:$I1983 = "Ali Raza ","Receiving",IF($I$2:$I1983 = "Ali Ahmad","Full-In"))))))</f>
        <v>0</v>
      </c>
      <c r="K986" s="39" t="e">
        <f aca="false">IFERROR(VLOOKUP(D986,'Brand manager data '!A:B,2,0))</f>
        <v>#VALUE!</v>
      </c>
      <c r="L986" s="13" t="n">
        <v>0</v>
      </c>
      <c r="M986" s="13" t="str">
        <v>Yes</v>
      </c>
      <c r="N986" s="22"/>
      <c r="Q986" s="40"/>
      <c r="R986" s="13" t="b">
        <f aca="false">FALSE()</f>
        <v>0</v>
      </c>
      <c r="S986" s="13" t="n">
        <v>0</v>
      </c>
      <c r="T986" s="13" t="n">
        <f aca="false">S986*F986</f>
        <v>0</v>
      </c>
      <c r="U986" s="13" t="n">
        <v>0</v>
      </c>
      <c r="V986" s="13" t="n">
        <v>0</v>
      </c>
    </row>
    <row r="987" customFormat="false" ht="15.75" hidden="false" customHeight="false" outlineLevel="0" collapsed="false">
      <c r="A987" s="13" t="n">
        <v>0</v>
      </c>
      <c r="B987" s="13" t="str">
        <v/>
      </c>
      <c r="C987" s="13" t="n">
        <v>0</v>
      </c>
      <c r="D987" s="13" t="n">
        <v>0</v>
      </c>
      <c r="E987" s="13" t="str">
        <v/>
      </c>
      <c r="F987" s="13" t="n">
        <v>0</v>
      </c>
      <c r="G987" s="13" t="n">
        <v>0</v>
      </c>
      <c r="H987" s="13" t="n">
        <v>0</v>
      </c>
      <c r="I987" s="13" t="n">
        <v>0</v>
      </c>
      <c r="J987" s="13" t="b">
        <f aca="false">IF(ISBLANK(I987),"", IF($I$2:$I1984 = "Gohar Rehan","Overnight",IF($I$2:$I1984 = "Taufeeq Akhtar ","Overnight",IF($I$2:$I1984 = "Zeeshan Ali Malik","Audit",IF($I$2:$I1984 = "Ali Raza ","Receiving",IF($I$2:$I1984 = "Ali Ahmad","Full-In"))))))</f>
        <v>0</v>
      </c>
      <c r="K987" s="39" t="e">
        <f aca="false">IFERROR(VLOOKUP(D987,'Brand manager data '!A:B,2,0))</f>
        <v>#VALUE!</v>
      </c>
      <c r="L987" s="13" t="n">
        <v>0</v>
      </c>
      <c r="M987" s="13" t="str">
        <v>Yes</v>
      </c>
      <c r="N987" s="22"/>
      <c r="Q987" s="40"/>
      <c r="R987" s="13" t="b">
        <f aca="false">FALSE()</f>
        <v>0</v>
      </c>
      <c r="S987" s="13" t="n">
        <v>0</v>
      </c>
      <c r="T987" s="13" t="n">
        <f aca="false">S987*F987</f>
        <v>0</v>
      </c>
      <c r="U987" s="13" t="n">
        <v>0</v>
      </c>
      <c r="V987" s="13" t="n">
        <v>0</v>
      </c>
    </row>
    <row r="988" customFormat="false" ht="15.75" hidden="false" customHeight="false" outlineLevel="0" collapsed="false">
      <c r="A988" s="13" t="n">
        <v>0</v>
      </c>
      <c r="B988" s="13" t="str">
        <v/>
      </c>
      <c r="C988" s="13" t="n">
        <v>0</v>
      </c>
      <c r="D988" s="13" t="n">
        <v>0</v>
      </c>
      <c r="E988" s="13" t="str">
        <v/>
      </c>
      <c r="F988" s="13" t="n">
        <v>0</v>
      </c>
      <c r="G988" s="13" t="n">
        <v>0</v>
      </c>
      <c r="H988" s="13" t="n">
        <v>0</v>
      </c>
      <c r="I988" s="13" t="n">
        <v>0</v>
      </c>
      <c r="J988" s="13" t="b">
        <f aca="false">IF(ISBLANK(I988),"", IF($I$2:$I1985 = "Gohar Rehan","Overnight",IF($I$2:$I1985 = "Taufeeq Akhtar ","Overnight",IF($I$2:$I1985 = "Zeeshan Ali Malik","Audit",IF($I$2:$I1985 = "Ali Raza ","Receiving",IF($I$2:$I1985 = "Ali Ahmad","Full-In"))))))</f>
        <v>0</v>
      </c>
      <c r="K988" s="39" t="e">
        <f aca="false">IFERROR(VLOOKUP(D988,'Brand manager data '!A:B,2,0))</f>
        <v>#VALUE!</v>
      </c>
      <c r="L988" s="13" t="n">
        <v>0</v>
      </c>
      <c r="M988" s="13" t="str">
        <v>Yes</v>
      </c>
      <c r="N988" s="22"/>
      <c r="Q988" s="40"/>
      <c r="R988" s="13" t="b">
        <f aca="false">FALSE()</f>
        <v>0</v>
      </c>
      <c r="S988" s="13" t="n">
        <v>0</v>
      </c>
      <c r="T988" s="13" t="n">
        <f aca="false">S988*F988</f>
        <v>0</v>
      </c>
      <c r="U988" s="13" t="n">
        <v>0</v>
      </c>
      <c r="V988" s="13" t="n">
        <v>0</v>
      </c>
    </row>
    <row r="989" customFormat="false" ht="15.75" hidden="false" customHeight="false" outlineLevel="0" collapsed="false">
      <c r="A989" s="13" t="n">
        <v>0</v>
      </c>
      <c r="B989" s="13" t="str">
        <v/>
      </c>
      <c r="C989" s="13" t="n">
        <v>0</v>
      </c>
      <c r="D989" s="13" t="n">
        <v>0</v>
      </c>
      <c r="E989" s="13" t="str">
        <v/>
      </c>
      <c r="F989" s="13" t="n">
        <v>0</v>
      </c>
      <c r="G989" s="13" t="n">
        <v>0</v>
      </c>
      <c r="H989" s="13" t="n">
        <v>0</v>
      </c>
      <c r="I989" s="13" t="n">
        <v>0</v>
      </c>
      <c r="J989" s="13" t="b">
        <f aca="false">IF(ISBLANK(I989),"", IF($I$2:$I1986 = "Gohar Rehan","Overnight",IF($I$2:$I1986 = "Taufeeq Akhtar ","Overnight",IF($I$2:$I1986 = "Zeeshan Ali Malik","Audit",IF($I$2:$I1986 = "Ali Raza ","Receiving",IF($I$2:$I1986 = "Ali Ahmad","Full-In"))))))</f>
        <v>0</v>
      </c>
      <c r="K989" s="39" t="e">
        <f aca="false">IFERROR(VLOOKUP(D989,'Brand manager data '!A:B,2,0))</f>
        <v>#VALUE!</v>
      </c>
      <c r="L989" s="13" t="n">
        <v>0</v>
      </c>
      <c r="M989" s="13" t="str">
        <v>Yes</v>
      </c>
      <c r="N989" s="22"/>
      <c r="Q989" s="40"/>
      <c r="R989" s="13" t="b">
        <f aca="false">FALSE()</f>
        <v>0</v>
      </c>
      <c r="S989" s="13" t="n">
        <v>0</v>
      </c>
      <c r="T989" s="13" t="n">
        <f aca="false">S989*F989</f>
        <v>0</v>
      </c>
      <c r="U989" s="13" t="n">
        <v>0</v>
      </c>
      <c r="V989" s="13" t="n">
        <v>0</v>
      </c>
    </row>
    <row r="990" customFormat="false" ht="15.75" hidden="false" customHeight="false" outlineLevel="0" collapsed="false">
      <c r="A990" s="13" t="n">
        <v>0</v>
      </c>
      <c r="B990" s="13" t="str">
        <v/>
      </c>
      <c r="C990" s="13" t="n">
        <v>0</v>
      </c>
      <c r="D990" s="13" t="n">
        <v>0</v>
      </c>
      <c r="E990" s="13" t="str">
        <v/>
      </c>
      <c r="F990" s="13" t="n">
        <v>0</v>
      </c>
      <c r="G990" s="13" t="n">
        <v>0</v>
      </c>
      <c r="H990" s="13" t="n">
        <v>0</v>
      </c>
      <c r="I990" s="13" t="n">
        <v>0</v>
      </c>
      <c r="J990" s="13" t="b">
        <f aca="false">IF(ISBLANK(I990),"", IF($I$2:$I1987 = "Gohar Rehan","Overnight",IF($I$2:$I1987 = "Taufeeq Akhtar ","Overnight",IF($I$2:$I1987 = "Zeeshan Ali Malik","Audit",IF($I$2:$I1987 = "Ali Raza ","Receiving",IF($I$2:$I1987 = "Ali Ahmad","Full-In"))))))</f>
        <v>0</v>
      </c>
      <c r="K990" s="39" t="e">
        <f aca="false">IFERROR(VLOOKUP(D990,'Brand manager data '!A:B,2,0))</f>
        <v>#VALUE!</v>
      </c>
      <c r="L990" s="13" t="n">
        <v>0</v>
      </c>
      <c r="M990" s="13" t="str">
        <v>Yes</v>
      </c>
      <c r="N990" s="22"/>
      <c r="Q990" s="40"/>
      <c r="R990" s="13" t="b">
        <f aca="false">FALSE()</f>
        <v>0</v>
      </c>
      <c r="S990" s="13" t="n">
        <v>0</v>
      </c>
      <c r="T990" s="13" t="n">
        <f aca="false">S990*F990</f>
        <v>0</v>
      </c>
      <c r="U990" s="13" t="n">
        <v>0</v>
      </c>
      <c r="V990" s="13" t="n">
        <v>0</v>
      </c>
    </row>
    <row r="991" customFormat="false" ht="15.75" hidden="false" customHeight="false" outlineLevel="0" collapsed="false">
      <c r="A991" s="13" t="n">
        <v>0</v>
      </c>
      <c r="B991" s="13" t="str">
        <v/>
      </c>
      <c r="C991" s="13" t="n">
        <v>0</v>
      </c>
      <c r="D991" s="13" t="n">
        <v>0</v>
      </c>
      <c r="E991" s="13" t="str">
        <v/>
      </c>
      <c r="F991" s="13" t="n">
        <v>0</v>
      </c>
      <c r="G991" s="13" t="n">
        <v>0</v>
      </c>
      <c r="H991" s="13" t="n">
        <v>0</v>
      </c>
      <c r="I991" s="13" t="n">
        <v>0</v>
      </c>
      <c r="J991" s="13" t="b">
        <f aca="false">IF(ISBLANK(I991),"", IF($I$2:$I1988 = "Gohar Rehan","Overnight",IF($I$2:$I1988 = "Taufeeq Akhtar ","Overnight",IF($I$2:$I1988 = "Zeeshan Ali Malik","Audit",IF($I$2:$I1988 = "Ali Raza ","Receiving",IF($I$2:$I1988 = "Ali Ahmad","Full-In"))))))</f>
        <v>0</v>
      </c>
      <c r="K991" s="39" t="e">
        <f aca="false">IFERROR(VLOOKUP(D991,'Brand manager data '!A:B,2,0))</f>
        <v>#VALUE!</v>
      </c>
      <c r="L991" s="13" t="n">
        <v>0</v>
      </c>
      <c r="M991" s="13" t="str">
        <v>Yes</v>
      </c>
      <c r="N991" s="22"/>
      <c r="Q991" s="40"/>
      <c r="R991" s="13" t="b">
        <f aca="false">FALSE()</f>
        <v>0</v>
      </c>
      <c r="S991" s="13" t="n">
        <v>0</v>
      </c>
      <c r="T991" s="13" t="n">
        <f aca="false">S991*F991</f>
        <v>0</v>
      </c>
      <c r="U991" s="13" t="n">
        <v>0</v>
      </c>
      <c r="V991" s="13" t="n">
        <v>0</v>
      </c>
    </row>
    <row r="992" customFormat="false" ht="15.75" hidden="false" customHeight="false" outlineLevel="0" collapsed="false">
      <c r="A992" s="13" t="n">
        <v>0</v>
      </c>
      <c r="B992" s="13" t="str">
        <v/>
      </c>
      <c r="C992" s="13" t="n">
        <v>0</v>
      </c>
      <c r="D992" s="13" t="n">
        <v>0</v>
      </c>
      <c r="E992" s="13" t="str">
        <v/>
      </c>
      <c r="F992" s="13" t="n">
        <v>0</v>
      </c>
      <c r="G992" s="13" t="n">
        <v>0</v>
      </c>
      <c r="H992" s="13" t="n">
        <v>0</v>
      </c>
      <c r="I992" s="13" t="n">
        <v>0</v>
      </c>
      <c r="J992" s="13" t="b">
        <f aca="false">IF(ISBLANK(I992),"", IF($I$2:$I1989 = "Gohar Rehan","Overnight",IF($I$2:$I1989 = "Taufeeq Akhtar ","Overnight",IF($I$2:$I1989 = "Zeeshan Ali Malik","Audit",IF($I$2:$I1989 = "Ali Raza ","Receiving",IF($I$2:$I1989 = "Ali Ahmad","Full-In"))))))</f>
        <v>0</v>
      </c>
      <c r="K992" s="39" t="e">
        <f aca="false">IFERROR(VLOOKUP(D992,'Brand manager data '!A:B,2,0))</f>
        <v>#VALUE!</v>
      </c>
      <c r="L992" s="13" t="n">
        <v>0</v>
      </c>
      <c r="M992" s="13" t="str">
        <v>Yes</v>
      </c>
      <c r="N992" s="22"/>
      <c r="Q992" s="40"/>
      <c r="R992" s="13" t="b">
        <f aca="false">FALSE()</f>
        <v>0</v>
      </c>
      <c r="S992" s="13" t="n">
        <v>0</v>
      </c>
      <c r="T992" s="13" t="n">
        <f aca="false">S992*F992</f>
        <v>0</v>
      </c>
      <c r="U992" s="13" t="n">
        <v>0</v>
      </c>
      <c r="V992" s="13" t="n">
        <v>0</v>
      </c>
    </row>
    <row r="993" customFormat="false" ht="15.75" hidden="false" customHeight="false" outlineLevel="0" collapsed="false">
      <c r="A993" s="13" t="n">
        <v>0</v>
      </c>
      <c r="B993" s="13" t="str">
        <v/>
      </c>
      <c r="C993" s="13" t="n">
        <v>0</v>
      </c>
      <c r="D993" s="13" t="n">
        <v>0</v>
      </c>
      <c r="E993" s="13" t="str">
        <v/>
      </c>
      <c r="F993" s="13" t="n">
        <v>0</v>
      </c>
      <c r="G993" s="13" t="n">
        <v>0</v>
      </c>
      <c r="H993" s="13" t="n">
        <v>0</v>
      </c>
      <c r="I993" s="13" t="n">
        <v>0</v>
      </c>
      <c r="J993" s="13" t="b">
        <f aca="false">IF(ISBLANK(I993),"", IF($I$2:$I1990 = "Gohar Rehan","Overnight",IF($I$2:$I1990 = "Taufeeq Akhtar ","Overnight",IF($I$2:$I1990 = "Zeeshan Ali Malik","Audit",IF($I$2:$I1990 = "Ali Raza ","Receiving",IF($I$2:$I1990 = "Ali Ahmad","Full-In"))))))</f>
        <v>0</v>
      </c>
      <c r="K993" s="39" t="e">
        <f aca="false">IFERROR(VLOOKUP(D993,'Brand manager data '!A:B,2,0))</f>
        <v>#VALUE!</v>
      </c>
      <c r="L993" s="13" t="n">
        <v>0</v>
      </c>
      <c r="M993" s="13" t="str">
        <v>Yes</v>
      </c>
      <c r="N993" s="22"/>
      <c r="Q993" s="40"/>
      <c r="R993" s="13" t="b">
        <f aca="false">FALSE()</f>
        <v>0</v>
      </c>
      <c r="S993" s="13" t="n">
        <v>0</v>
      </c>
      <c r="T993" s="13" t="n">
        <f aca="false">S993*F993</f>
        <v>0</v>
      </c>
      <c r="U993" s="13" t="n">
        <v>0</v>
      </c>
      <c r="V993" s="13" t="n">
        <v>0</v>
      </c>
    </row>
    <row r="994" customFormat="false" ht="15.75" hidden="false" customHeight="false" outlineLevel="0" collapsed="false">
      <c r="A994" s="13" t="n">
        <v>0</v>
      </c>
      <c r="B994" s="13" t="str">
        <v/>
      </c>
      <c r="C994" s="13" t="n">
        <v>0</v>
      </c>
      <c r="D994" s="13" t="n">
        <v>0</v>
      </c>
      <c r="E994" s="13" t="str">
        <v/>
      </c>
      <c r="F994" s="13" t="n">
        <v>0</v>
      </c>
      <c r="G994" s="13" t="n">
        <v>0</v>
      </c>
      <c r="H994" s="13" t="n">
        <v>0</v>
      </c>
      <c r="I994" s="13" t="n">
        <v>0</v>
      </c>
      <c r="J994" s="13" t="b">
        <f aca="false">IF(ISBLANK(I994),"", IF($I$2:$I1991 = "Gohar Rehan","Overnight",IF($I$2:$I1991 = "Taufeeq Akhtar ","Overnight",IF($I$2:$I1991 = "Zeeshan Ali Malik","Audit",IF($I$2:$I1991 = "Ali Raza ","Receiving",IF($I$2:$I1991 = "Ali Ahmad","Full-In"))))))</f>
        <v>0</v>
      </c>
      <c r="K994" s="39" t="e">
        <f aca="false">IFERROR(VLOOKUP(D994,'Brand manager data '!A:B,2,0))</f>
        <v>#VALUE!</v>
      </c>
      <c r="L994" s="13" t="n">
        <v>0</v>
      </c>
      <c r="M994" s="13" t="str">
        <v>Yes</v>
      </c>
      <c r="N994" s="22"/>
      <c r="Q994" s="40"/>
      <c r="R994" s="13" t="b">
        <f aca="false">FALSE()</f>
        <v>0</v>
      </c>
      <c r="S994" s="13" t="n">
        <v>0</v>
      </c>
      <c r="T994" s="13" t="n">
        <f aca="false">S994*F994</f>
        <v>0</v>
      </c>
      <c r="U994" s="13" t="n">
        <v>0</v>
      </c>
      <c r="V994" s="13" t="n">
        <v>0</v>
      </c>
    </row>
    <row r="995" customFormat="false" ht="15.75" hidden="false" customHeight="false" outlineLevel="0" collapsed="false">
      <c r="A995" s="13" t="n">
        <v>0</v>
      </c>
      <c r="B995" s="13" t="str">
        <v/>
      </c>
      <c r="C995" s="13" t="n">
        <v>0</v>
      </c>
      <c r="D995" s="13" t="n">
        <v>0</v>
      </c>
      <c r="E995" s="13" t="str">
        <v/>
      </c>
      <c r="F995" s="13" t="n">
        <v>0</v>
      </c>
      <c r="G995" s="13" t="n">
        <v>0</v>
      </c>
      <c r="H995" s="13" t="n">
        <v>0</v>
      </c>
      <c r="I995" s="13" t="n">
        <v>0</v>
      </c>
      <c r="J995" s="13" t="b">
        <f aca="false">IF(ISBLANK(I995),"", IF($I$2:$I1992 = "Gohar Rehan","Overnight",IF($I$2:$I1992 = "Taufeeq Akhtar ","Overnight",IF($I$2:$I1992 = "Zeeshan Ali Malik","Audit",IF($I$2:$I1992 = "Ali Raza ","Receiving",IF($I$2:$I1992 = "Ali Ahmad","Full-In"))))))</f>
        <v>0</v>
      </c>
      <c r="K995" s="39" t="e">
        <f aca="false">IFERROR(VLOOKUP(D995,'Brand manager data '!A:B,2,0))</f>
        <v>#VALUE!</v>
      </c>
      <c r="L995" s="13" t="n">
        <v>0</v>
      </c>
      <c r="M995" s="13" t="str">
        <v>Yes</v>
      </c>
      <c r="N995" s="22"/>
      <c r="Q995" s="40"/>
      <c r="R995" s="13" t="b">
        <f aca="false">FALSE()</f>
        <v>0</v>
      </c>
      <c r="S995" s="13" t="n">
        <v>0</v>
      </c>
      <c r="T995" s="13" t="n">
        <f aca="false">S995*F995</f>
        <v>0</v>
      </c>
      <c r="U995" s="13" t="n">
        <v>0</v>
      </c>
      <c r="V995" s="13" t="n">
        <v>0</v>
      </c>
    </row>
    <row r="996" customFormat="false" ht="15.75" hidden="false" customHeight="false" outlineLevel="0" collapsed="false">
      <c r="A996" s="13" t="n">
        <v>0</v>
      </c>
      <c r="B996" s="13" t="str">
        <v/>
      </c>
      <c r="C996" s="13" t="n">
        <v>0</v>
      </c>
      <c r="D996" s="13" t="n">
        <v>0</v>
      </c>
      <c r="E996" s="13" t="str">
        <v/>
      </c>
      <c r="F996" s="13" t="n">
        <v>0</v>
      </c>
      <c r="G996" s="13" t="n">
        <v>0</v>
      </c>
      <c r="H996" s="13" t="n">
        <v>0</v>
      </c>
      <c r="I996" s="13" t="n">
        <v>0</v>
      </c>
      <c r="J996" s="13" t="b">
        <f aca="false">IF(ISBLANK(I996),"", IF($I$2:$I1993 = "Gohar Rehan","Overnight",IF($I$2:$I1993 = "Taufeeq Akhtar ","Overnight",IF($I$2:$I1993 = "Zeeshan Ali Malik","Audit",IF($I$2:$I1993 = "Ali Raza ","Receiving",IF($I$2:$I1993 = "Ali Ahmad","Full-In"))))))</f>
        <v>0</v>
      </c>
      <c r="K996" s="39" t="e">
        <f aca="false">IFERROR(VLOOKUP(D996,'Brand manager data '!A:B,2,0))</f>
        <v>#VALUE!</v>
      </c>
      <c r="L996" s="13" t="n">
        <v>0</v>
      </c>
      <c r="M996" s="13" t="str">
        <v>Yes</v>
      </c>
      <c r="N996" s="22"/>
      <c r="Q996" s="40"/>
      <c r="R996" s="13" t="b">
        <f aca="false">FALSE()</f>
        <v>0</v>
      </c>
      <c r="S996" s="13" t="n">
        <v>0</v>
      </c>
      <c r="T996" s="13" t="n">
        <f aca="false">S996*F996</f>
        <v>0</v>
      </c>
      <c r="U996" s="13" t="n">
        <v>0</v>
      </c>
      <c r="V996" s="13" t="n">
        <v>0</v>
      </c>
    </row>
    <row r="997" customFormat="false" ht="15.75" hidden="false" customHeight="false" outlineLevel="0" collapsed="false">
      <c r="A997" s="13" t="n">
        <v>0</v>
      </c>
      <c r="B997" s="13" t="str">
        <v/>
      </c>
      <c r="C997" s="13" t="n">
        <v>0</v>
      </c>
      <c r="D997" s="13" t="n">
        <v>0</v>
      </c>
      <c r="E997" s="13" t="str">
        <v/>
      </c>
      <c r="F997" s="13" t="n">
        <v>0</v>
      </c>
      <c r="G997" s="13" t="n">
        <v>0</v>
      </c>
      <c r="H997" s="13" t="n">
        <v>0</v>
      </c>
      <c r="I997" s="13" t="n">
        <v>0</v>
      </c>
      <c r="J997" s="13" t="b">
        <f aca="false">IF(ISBLANK(I997),"", IF($I$2:$I1994 = "Gohar Rehan","Overnight",IF($I$2:$I1994 = "Taufeeq Akhtar ","Overnight",IF($I$2:$I1994 = "Zeeshan Ali Malik","Audit",IF($I$2:$I1994 = "Ali Raza ","Receiving",IF($I$2:$I1994 = "Ali Ahmad","Full-In"))))))</f>
        <v>0</v>
      </c>
      <c r="K997" s="39" t="e">
        <f aca="false">IFERROR(VLOOKUP(D997,'Brand manager data '!A:B,2,0))</f>
        <v>#VALUE!</v>
      </c>
      <c r="L997" s="13" t="n">
        <v>0</v>
      </c>
      <c r="M997" s="13" t="str">
        <v>Yes</v>
      </c>
      <c r="N997" s="22"/>
      <c r="Q997" s="40"/>
      <c r="R997" s="13" t="b">
        <f aca="false">FALSE()</f>
        <v>0</v>
      </c>
      <c r="S997" s="13" t="n">
        <v>0</v>
      </c>
      <c r="T997" s="13" t="n">
        <f aca="false">S997*F997</f>
        <v>0</v>
      </c>
      <c r="U997" s="13" t="n">
        <v>0</v>
      </c>
      <c r="V997" s="13" t="n">
        <v>0</v>
      </c>
    </row>
    <row r="998" customFormat="false" ht="15.75" hidden="false" customHeight="false" outlineLevel="0" collapsed="false">
      <c r="A998" s="13" t="n">
        <v>0</v>
      </c>
      <c r="B998" s="13" t="str">
        <v/>
      </c>
      <c r="C998" s="13" t="n">
        <v>0</v>
      </c>
      <c r="D998" s="13" t="n">
        <v>0</v>
      </c>
      <c r="E998" s="13" t="str">
        <v/>
      </c>
      <c r="F998" s="13" t="n">
        <v>0</v>
      </c>
      <c r="G998" s="13" t="n">
        <v>0</v>
      </c>
      <c r="H998" s="13" t="n">
        <v>0</v>
      </c>
      <c r="I998" s="13" t="n">
        <v>0</v>
      </c>
      <c r="J998" s="13" t="b">
        <f aca="false">IF(ISBLANK(I998),"", IF($I$2:$I1995 = "Gohar Rehan","Overnight",IF($I$2:$I1995 = "Taufeeq Akhtar ","Overnight",IF($I$2:$I1995 = "Zeeshan Ali Malik","Audit",IF($I$2:$I1995 = "Ali Raza ","Receiving",IF($I$2:$I1995 = "Ali Ahmad","Full-In"))))))</f>
        <v>0</v>
      </c>
      <c r="K998" s="39" t="e">
        <f aca="false">IFERROR(VLOOKUP(D998,'Brand manager data '!A:B,2,0))</f>
        <v>#VALUE!</v>
      </c>
      <c r="L998" s="13" t="n">
        <v>0</v>
      </c>
      <c r="M998" s="13" t="str">
        <v>Yes</v>
      </c>
      <c r="N998" s="22"/>
      <c r="Q998" s="40"/>
      <c r="R998" s="13" t="b">
        <f aca="false">FALSE()</f>
        <v>0</v>
      </c>
      <c r="S998" s="13" t="n">
        <v>0</v>
      </c>
      <c r="T998" s="13" t="n">
        <f aca="false">S998*F998</f>
        <v>0</v>
      </c>
      <c r="U998" s="13" t="n">
        <v>0</v>
      </c>
      <c r="V998" s="13" t="n">
        <v>0</v>
      </c>
    </row>
    <row r="999" customFormat="false" ht="15.75" hidden="false" customHeight="false" outlineLevel="0" collapsed="false">
      <c r="A999" s="13" t="n">
        <v>0</v>
      </c>
      <c r="B999" s="13" t="str">
        <v/>
      </c>
      <c r="C999" s="13" t="n">
        <v>0</v>
      </c>
      <c r="D999" s="13" t="n">
        <v>0</v>
      </c>
      <c r="E999" s="13" t="str">
        <v/>
      </c>
      <c r="F999" s="13" t="n">
        <v>0</v>
      </c>
      <c r="G999" s="13" t="n">
        <v>0</v>
      </c>
      <c r="H999" s="13" t="n">
        <v>0</v>
      </c>
      <c r="I999" s="13" t="n">
        <v>0</v>
      </c>
      <c r="J999" s="13" t="b">
        <f aca="false">IF(ISBLANK(I999),"", IF($I$2:$I1996 = "Gohar Rehan","Overnight",IF($I$2:$I1996 = "Taufeeq Akhtar ","Overnight",IF($I$2:$I1996 = "Zeeshan Ali Malik","Audit",IF($I$2:$I1996 = "Ali Raza ","Receiving",IF($I$2:$I1996 = "Ali Ahmad","Full-In"))))))</f>
        <v>0</v>
      </c>
      <c r="K999" s="39" t="e">
        <f aca="false">IFERROR(VLOOKUP(D999,'Brand manager data '!A:B,2,0))</f>
        <v>#VALUE!</v>
      </c>
      <c r="L999" s="13" t="n">
        <v>0</v>
      </c>
      <c r="M999" s="13" t="str">
        <v>Yes</v>
      </c>
      <c r="N999" s="22"/>
      <c r="Q999" s="40"/>
      <c r="R999" s="13" t="b">
        <f aca="false">FALSE()</f>
        <v>0</v>
      </c>
      <c r="S999" s="13" t="n">
        <v>0</v>
      </c>
      <c r="T999" s="13" t="n">
        <f aca="false">S999*F999</f>
        <v>0</v>
      </c>
      <c r="U999" s="13" t="n">
        <v>0</v>
      </c>
      <c r="V999" s="13" t="n">
        <v>0</v>
      </c>
    </row>
    <row r="1000" customFormat="false" ht="15.75" hidden="false" customHeight="false" outlineLevel="0" collapsed="false">
      <c r="A1000" s="13" t="n">
        <v>0</v>
      </c>
      <c r="B1000" s="13" t="str">
        <v/>
      </c>
      <c r="C1000" s="13" t="n">
        <v>0</v>
      </c>
      <c r="D1000" s="13" t="n">
        <v>0</v>
      </c>
      <c r="E1000" s="13" t="str">
        <v/>
      </c>
      <c r="F1000" s="13" t="n">
        <v>0</v>
      </c>
      <c r="G1000" s="13" t="n">
        <v>0</v>
      </c>
      <c r="H1000" s="13" t="n">
        <v>0</v>
      </c>
      <c r="I1000" s="13" t="n">
        <v>0</v>
      </c>
      <c r="J1000" s="13" t="b">
        <f aca="false">IF(ISBLANK(I1000),"", IF($I$2:$I1997 = "Gohar Rehan","Overnight",IF($I$2:$I1997 = "Taufeeq Akhtar ","Overnight",IF($I$2:$I1997 = "Zeeshan Ali Malik","Audit",IF($I$2:$I1997 = "Ali Raza ","Receiving",IF($I$2:$I1997 = "Ali Ahmad","Full-In"))))))</f>
        <v>0</v>
      </c>
      <c r="K1000" s="39" t="e">
        <f aca="false">IFERROR(VLOOKUP(D1000,'Brand manager data '!A:B,2,0))</f>
        <v>#VALUE!</v>
      </c>
      <c r="L1000" s="13" t="n">
        <v>0</v>
      </c>
      <c r="M1000" s="13" t="str">
        <v>Yes</v>
      </c>
      <c r="N1000" s="22"/>
      <c r="Q1000" s="40"/>
      <c r="R1000" s="13" t="b">
        <f aca="false">FALSE()</f>
        <v>0</v>
      </c>
      <c r="S1000" s="13" t="n">
        <v>0</v>
      </c>
      <c r="T1000" s="13" t="n">
        <f aca="false">S1000*F1000</f>
        <v>0</v>
      </c>
      <c r="U1000" s="13" t="n">
        <v>0</v>
      </c>
      <c r="V1000" s="13" t="n">
        <v>0</v>
      </c>
    </row>
  </sheetData>
  <dataValidations count="1">
    <dataValidation allowBlank="true" errorStyle="stop" operator="between" showDropDown="false" showErrorMessage="true" showInputMessage="false" sqref="Q3:Q1000" type="list">
      <formula1>"🟢Returned to vendor ,🔵Stock replaced,🔴Discarded,🟡Internal Sale"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0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8"/>
    <col collapsed="false" customWidth="true" hidden="false" outlineLevel="0" max="6" min="6" style="0" width="3.37"/>
    <col collapsed="false" customWidth="true" hidden="false" outlineLevel="0" max="7" min="7" style="0" width="32.26"/>
    <col collapsed="false" customWidth="true" hidden="false" outlineLevel="0" max="8" min="8" style="0" width="13.13"/>
    <col collapsed="false" customWidth="true" hidden="false" outlineLevel="0" max="10" min="10" style="0" width="3.37"/>
    <col collapsed="false" customWidth="true" hidden="false" outlineLevel="0" max="17" min="17" style="0" width="3.37"/>
  </cols>
  <sheetData>
    <row r="1" customFormat="false" ht="15.75" hidden="false" customHeight="false" outlineLevel="0" collapsed="false">
      <c r="A1" s="69" t="s">
        <v>2349</v>
      </c>
      <c r="F1" s="63"/>
      <c r="G1" s="69" t="s">
        <v>2350</v>
      </c>
      <c r="J1" s="63"/>
      <c r="Q1" s="63"/>
    </row>
    <row r="2" customFormat="false" ht="15.75" hidden="false" customHeight="false" outlineLevel="0" collapsed="false">
      <c r="A2" s="14" t="s">
        <v>2164</v>
      </c>
      <c r="B2" s="14" t="s">
        <v>2340</v>
      </c>
      <c r="C2" s="14" t="s">
        <v>2165</v>
      </c>
      <c r="D2" s="14" t="s">
        <v>2351</v>
      </c>
      <c r="E2" s="14" t="s">
        <v>2352</v>
      </c>
      <c r="F2" s="21"/>
      <c r="G2" s="14" t="s">
        <v>2164</v>
      </c>
      <c r="H2" s="14" t="s">
        <v>2340</v>
      </c>
      <c r="I2" s="14" t="s">
        <v>2353</v>
      </c>
      <c r="J2" s="21"/>
      <c r="L2" s="14"/>
      <c r="M2" s="14"/>
      <c r="N2" s="14"/>
      <c r="O2" s="14"/>
      <c r="P2" s="14"/>
      <c r="Q2" s="21"/>
    </row>
    <row r="3" customFormat="false" ht="15.75" hidden="false" customHeight="false" outlineLevel="0" collapsed="false">
      <c r="A3" s="16" t="s">
        <v>2181</v>
      </c>
      <c r="B3" s="13" t="s">
        <v>2354</v>
      </c>
      <c r="C3" s="13" t="s">
        <v>1247</v>
      </c>
      <c r="D3" s="13" t="n">
        <v>1349</v>
      </c>
      <c r="E3" s="13" t="n">
        <v>393031.15</v>
      </c>
      <c r="F3" s="63"/>
      <c r="G3" s="16" t="s">
        <v>2185</v>
      </c>
      <c r="H3" s="13" t="s">
        <v>2355</v>
      </c>
      <c r="I3" s="13" t="n">
        <v>7</v>
      </c>
      <c r="J3" s="63"/>
      <c r="Q3" s="63"/>
    </row>
    <row r="4" customFormat="false" ht="15.75" hidden="false" customHeight="false" outlineLevel="0" collapsed="false">
      <c r="A4" s="13"/>
      <c r="B4" s="13"/>
      <c r="C4" s="13"/>
      <c r="D4" s="13" t="n">
        <v>30</v>
      </c>
      <c r="E4" s="13" t="n">
        <v>36900</v>
      </c>
      <c r="F4" s="63"/>
      <c r="G4" s="13"/>
      <c r="H4" s="13" t="s">
        <v>2356</v>
      </c>
      <c r="I4" s="13" t="n">
        <v>4</v>
      </c>
      <c r="J4" s="63"/>
      <c r="Q4" s="63"/>
    </row>
    <row r="5" customFormat="false" ht="15.75" hidden="false" customHeight="false" outlineLevel="0" collapsed="false">
      <c r="A5" s="13"/>
      <c r="B5" s="13"/>
      <c r="C5" s="13"/>
      <c r="D5" s="13" t="n">
        <v>16</v>
      </c>
      <c r="E5" s="13" t="n">
        <v>19680</v>
      </c>
      <c r="F5" s="63"/>
      <c r="G5" s="13"/>
      <c r="H5" s="13" t="s">
        <v>2357</v>
      </c>
      <c r="I5" s="13" t="n">
        <v>3</v>
      </c>
      <c r="J5" s="63"/>
      <c r="Q5" s="63"/>
    </row>
    <row r="6" customFormat="false" ht="15.75" hidden="false" customHeight="false" outlineLevel="0" collapsed="false">
      <c r="A6" s="13"/>
      <c r="B6" s="13" t="s">
        <v>2358</v>
      </c>
      <c r="C6" s="13"/>
      <c r="D6" s="13"/>
      <c r="E6" s="13" t="n">
        <v>449611.15</v>
      </c>
      <c r="F6" s="63"/>
      <c r="G6" s="13"/>
      <c r="H6" s="13" t="s">
        <v>2354</v>
      </c>
      <c r="I6" s="13" t="n">
        <v>2</v>
      </c>
      <c r="J6" s="63"/>
      <c r="Q6" s="63"/>
    </row>
    <row r="7" customFormat="false" ht="15.75" hidden="false" customHeight="false" outlineLevel="0" collapsed="false">
      <c r="A7" s="13"/>
      <c r="B7" s="13" t="s">
        <v>2356</v>
      </c>
      <c r="C7" s="13" t="s">
        <v>230</v>
      </c>
      <c r="D7" s="13" t="n">
        <v>576</v>
      </c>
      <c r="E7" s="13" t="n">
        <v>108570.24</v>
      </c>
      <c r="F7" s="63"/>
      <c r="G7" s="13"/>
      <c r="H7" s="13" t="s">
        <v>2359</v>
      </c>
      <c r="I7" s="13" t="n">
        <v>1</v>
      </c>
      <c r="J7" s="63"/>
      <c r="Q7" s="63"/>
    </row>
    <row r="8" customFormat="false" ht="15.75" hidden="false" customHeight="false" outlineLevel="0" collapsed="false">
      <c r="A8" s="13"/>
      <c r="B8" s="13"/>
      <c r="C8" s="13" t="s">
        <v>832</v>
      </c>
      <c r="D8" s="13" t="n">
        <v>45</v>
      </c>
      <c r="E8" s="13" t="n">
        <v>58950</v>
      </c>
      <c r="F8" s="63"/>
      <c r="G8" s="13" t="s">
        <v>2187</v>
      </c>
      <c r="H8" s="13"/>
      <c r="I8" s="13" t="n">
        <v>17</v>
      </c>
      <c r="J8" s="63"/>
      <c r="Q8" s="63"/>
    </row>
    <row r="9" customFormat="false" ht="15.75" hidden="false" customHeight="false" outlineLevel="0" collapsed="false">
      <c r="A9" s="13"/>
      <c r="B9" s="13"/>
      <c r="C9" s="13"/>
      <c r="D9" s="13" t="n">
        <v>58</v>
      </c>
      <c r="E9" s="13" t="n">
        <v>38280</v>
      </c>
      <c r="F9" s="63"/>
      <c r="G9" s="16" t="s">
        <v>2181</v>
      </c>
      <c r="H9" s="13" t="s">
        <v>2356</v>
      </c>
      <c r="I9" s="13" t="n">
        <v>5</v>
      </c>
      <c r="J9" s="63"/>
      <c r="Q9" s="63"/>
    </row>
    <row r="10" customFormat="false" ht="15.75" hidden="false" customHeight="false" outlineLevel="0" collapsed="false">
      <c r="A10" s="13"/>
      <c r="B10" s="13"/>
      <c r="C10" s="13"/>
      <c r="D10" s="13" t="n">
        <v>25</v>
      </c>
      <c r="E10" s="13" t="n">
        <v>5375</v>
      </c>
      <c r="F10" s="63"/>
      <c r="G10" s="13"/>
      <c r="H10" s="13" t="s">
        <v>2357</v>
      </c>
      <c r="I10" s="13" t="n">
        <v>3</v>
      </c>
      <c r="J10" s="63"/>
      <c r="Q10" s="63"/>
    </row>
    <row r="11" customFormat="false" ht="15.75" hidden="false" customHeight="false" outlineLevel="0" collapsed="false">
      <c r="A11" s="13"/>
      <c r="B11" s="13"/>
      <c r="C11" s="13"/>
      <c r="D11" s="13" t="n">
        <v>3</v>
      </c>
      <c r="E11" s="13" t="n">
        <v>4350</v>
      </c>
      <c r="F11" s="63"/>
      <c r="G11" s="13"/>
      <c r="H11" s="13" t="s">
        <v>2354</v>
      </c>
      <c r="I11" s="13" t="n">
        <v>3</v>
      </c>
      <c r="J11" s="63"/>
      <c r="Q11" s="63"/>
    </row>
    <row r="12" customFormat="false" ht="15.75" hidden="false" customHeight="false" outlineLevel="0" collapsed="false">
      <c r="A12" s="13"/>
      <c r="B12" s="13" t="s">
        <v>2360</v>
      </c>
      <c r="C12" s="13"/>
      <c r="D12" s="13"/>
      <c r="E12" s="13" t="n">
        <v>215525.24</v>
      </c>
      <c r="F12" s="63"/>
      <c r="G12" s="13"/>
      <c r="H12" s="13" t="s">
        <v>2355</v>
      </c>
      <c r="I12" s="13" t="n">
        <v>1</v>
      </c>
      <c r="J12" s="63"/>
      <c r="Q12" s="63"/>
    </row>
    <row r="13" customFormat="false" ht="15.75" hidden="false" customHeight="false" outlineLevel="0" collapsed="false">
      <c r="A13" s="13"/>
      <c r="B13" s="13" t="s">
        <v>2359</v>
      </c>
      <c r="C13" s="13" t="s">
        <v>85</v>
      </c>
      <c r="D13" s="13" t="n">
        <v>264</v>
      </c>
      <c r="E13" s="13" t="n">
        <v>137280</v>
      </c>
      <c r="F13" s="63"/>
      <c r="G13" s="13"/>
      <c r="H13" s="13" t="s">
        <v>2359</v>
      </c>
      <c r="I13" s="13" t="n">
        <v>1</v>
      </c>
      <c r="J13" s="63"/>
      <c r="Q13" s="63"/>
    </row>
    <row r="14" customFormat="false" ht="15.75" hidden="false" customHeight="false" outlineLevel="0" collapsed="false">
      <c r="A14" s="13"/>
      <c r="B14" s="13" t="s">
        <v>2361</v>
      </c>
      <c r="C14" s="13"/>
      <c r="D14" s="13"/>
      <c r="E14" s="13" t="n">
        <v>137280</v>
      </c>
      <c r="F14" s="63"/>
      <c r="G14" s="13" t="s">
        <v>2182</v>
      </c>
      <c r="H14" s="13"/>
      <c r="I14" s="13" t="n">
        <v>13</v>
      </c>
      <c r="J14" s="63"/>
      <c r="Q14" s="63"/>
    </row>
    <row r="15" customFormat="false" ht="15.75" hidden="false" customHeight="false" outlineLevel="0" collapsed="false">
      <c r="A15" s="13"/>
      <c r="B15" s="13" t="s">
        <v>2355</v>
      </c>
      <c r="C15" s="13" t="s">
        <v>567</v>
      </c>
      <c r="D15" s="13" t="n">
        <v>56</v>
      </c>
      <c r="E15" s="13" t="n">
        <v>85120</v>
      </c>
      <c r="F15" s="63"/>
      <c r="G15" s="16" t="s">
        <v>2188</v>
      </c>
      <c r="H15" s="13" t="s">
        <v>2357</v>
      </c>
      <c r="I15" s="13" t="n">
        <v>6</v>
      </c>
      <c r="J15" s="63"/>
      <c r="Q15" s="63"/>
    </row>
    <row r="16" customFormat="false" ht="15.75" hidden="false" customHeight="false" outlineLevel="0" collapsed="false">
      <c r="A16" s="13"/>
      <c r="B16" s="13" t="s">
        <v>2362</v>
      </c>
      <c r="C16" s="13"/>
      <c r="D16" s="13"/>
      <c r="E16" s="13" t="n">
        <v>85120</v>
      </c>
      <c r="F16" s="63"/>
      <c r="G16" s="13"/>
      <c r="H16" s="13" t="s">
        <v>2356</v>
      </c>
      <c r="I16" s="13" t="n">
        <v>2</v>
      </c>
      <c r="J16" s="63"/>
      <c r="Q16" s="63"/>
    </row>
    <row r="17" customFormat="false" ht="15.75" hidden="false" customHeight="false" outlineLevel="0" collapsed="false">
      <c r="A17" s="13"/>
      <c r="B17" s="13" t="s">
        <v>2357</v>
      </c>
      <c r="C17" s="13" t="s">
        <v>106</v>
      </c>
      <c r="D17" s="13" t="n">
        <v>203</v>
      </c>
      <c r="E17" s="13" t="n">
        <v>32441.43</v>
      </c>
      <c r="F17" s="63"/>
      <c r="G17" s="13"/>
      <c r="H17" s="13" t="s">
        <v>2355</v>
      </c>
      <c r="I17" s="13" t="n">
        <v>1</v>
      </c>
      <c r="J17" s="63"/>
      <c r="Q17" s="63"/>
    </row>
    <row r="18" customFormat="false" ht="15.75" hidden="false" customHeight="false" outlineLevel="0" collapsed="false">
      <c r="A18" s="13"/>
      <c r="B18" s="13"/>
      <c r="C18" s="13"/>
      <c r="D18" s="13" t="n">
        <v>69</v>
      </c>
      <c r="E18" s="13" t="n">
        <v>11026.2</v>
      </c>
      <c r="F18" s="63"/>
      <c r="G18" s="13" t="s">
        <v>2190</v>
      </c>
      <c r="H18" s="13"/>
      <c r="I18" s="13" t="n">
        <v>9</v>
      </c>
      <c r="J18" s="63"/>
      <c r="Q18" s="63"/>
    </row>
    <row r="19" customFormat="false" ht="15.75" hidden="false" customHeight="false" outlineLevel="0" collapsed="false">
      <c r="A19" s="13"/>
      <c r="B19" s="13"/>
      <c r="C19" s="13" t="s">
        <v>758</v>
      </c>
      <c r="D19" s="13" t="n">
        <v>39</v>
      </c>
      <c r="E19" s="13" t="n">
        <v>8424</v>
      </c>
      <c r="F19" s="63"/>
      <c r="G19" s="16" t="s">
        <v>2183</v>
      </c>
      <c r="H19" s="13" t="s">
        <v>2356</v>
      </c>
      <c r="I19" s="13" t="n">
        <v>7</v>
      </c>
      <c r="J19" s="63"/>
      <c r="Q19" s="63"/>
    </row>
    <row r="20" customFormat="false" ht="15.75" hidden="false" customHeight="false" outlineLevel="0" collapsed="false">
      <c r="A20" s="13"/>
      <c r="B20" s="13" t="s">
        <v>2363</v>
      </c>
      <c r="C20" s="13"/>
      <c r="D20" s="13"/>
      <c r="E20" s="13" t="n">
        <v>51891.63</v>
      </c>
      <c r="F20" s="63"/>
      <c r="G20" s="13"/>
      <c r="H20" s="13" t="s">
        <v>2357</v>
      </c>
      <c r="I20" s="13" t="n">
        <v>1</v>
      </c>
      <c r="J20" s="63"/>
      <c r="Q20" s="63"/>
    </row>
    <row r="21" customFormat="false" ht="15.75" hidden="false" customHeight="false" outlineLevel="0" collapsed="false">
      <c r="A21" s="13" t="s">
        <v>2182</v>
      </c>
      <c r="B21" s="13"/>
      <c r="C21" s="13"/>
      <c r="D21" s="13"/>
      <c r="E21" s="13" t="n">
        <v>939428.02</v>
      </c>
      <c r="F21" s="63"/>
      <c r="G21" s="13" t="s">
        <v>2184</v>
      </c>
      <c r="H21" s="13"/>
      <c r="I21" s="13" t="n">
        <v>8</v>
      </c>
      <c r="J21" s="63"/>
      <c r="Q21" s="63"/>
    </row>
    <row r="22" customFormat="false" ht="15.75" hidden="false" customHeight="false" outlineLevel="0" collapsed="false">
      <c r="A22" s="16" t="s">
        <v>2186</v>
      </c>
      <c r="B22" s="13" t="s">
        <v>2356</v>
      </c>
      <c r="C22" s="13" t="s">
        <v>747</v>
      </c>
      <c r="D22" s="13" t="n">
        <v>278</v>
      </c>
      <c r="E22" s="13" t="n">
        <v>611600</v>
      </c>
      <c r="F22" s="63"/>
      <c r="G22" s="16" t="s">
        <v>2186</v>
      </c>
      <c r="H22" s="13" t="s">
        <v>2357</v>
      </c>
      <c r="I22" s="13" t="n">
        <v>4</v>
      </c>
      <c r="J22" s="63"/>
      <c r="Q22" s="63"/>
    </row>
    <row r="23" customFormat="false" ht="15.75" hidden="false" customHeight="false" outlineLevel="0" collapsed="false">
      <c r="A23" s="13"/>
      <c r="B23" s="13"/>
      <c r="C23" s="13" t="s">
        <v>832</v>
      </c>
      <c r="D23" s="13" t="n">
        <v>3</v>
      </c>
      <c r="E23" s="13" t="n">
        <v>9825</v>
      </c>
      <c r="F23" s="63"/>
      <c r="G23" s="13"/>
      <c r="H23" s="13" t="s">
        <v>2356</v>
      </c>
      <c r="I23" s="13" t="n">
        <v>3</v>
      </c>
      <c r="J23" s="63"/>
      <c r="Q23" s="63"/>
    </row>
    <row r="24" customFormat="false" ht="15.75" hidden="false" customHeight="false" outlineLevel="0" collapsed="false">
      <c r="A24" s="13"/>
      <c r="B24" s="13" t="s">
        <v>2360</v>
      </c>
      <c r="C24" s="13"/>
      <c r="D24" s="13"/>
      <c r="E24" s="13" t="n">
        <v>621425</v>
      </c>
      <c r="F24" s="63"/>
      <c r="G24" s="13" t="s">
        <v>2189</v>
      </c>
      <c r="H24" s="13"/>
      <c r="I24" s="13" t="n">
        <v>7</v>
      </c>
      <c r="J24" s="63"/>
      <c r="Q24" s="63"/>
    </row>
    <row r="25" customFormat="false" ht="15.75" hidden="false" customHeight="false" outlineLevel="0" collapsed="false">
      <c r="A25" s="13"/>
      <c r="B25" s="13" t="s">
        <v>2357</v>
      </c>
      <c r="C25" s="13" t="s">
        <v>106</v>
      </c>
      <c r="D25" s="13" t="n">
        <v>80</v>
      </c>
      <c r="E25" s="13" t="n">
        <v>12784</v>
      </c>
      <c r="F25" s="63"/>
      <c r="G25" s="16" t="s">
        <v>2192</v>
      </c>
      <c r="H25" s="13" t="s">
        <v>2357</v>
      </c>
      <c r="I25" s="13" t="n">
        <v>1</v>
      </c>
      <c r="J25" s="63"/>
      <c r="Q25" s="63"/>
    </row>
    <row r="26" customFormat="false" ht="15.75" hidden="false" customHeight="false" outlineLevel="0" collapsed="false">
      <c r="A26" s="13"/>
      <c r="B26" s="13"/>
      <c r="C26" s="13"/>
      <c r="D26" s="13" t="n">
        <v>5</v>
      </c>
      <c r="E26" s="13" t="n">
        <v>2599.1</v>
      </c>
      <c r="F26" s="63"/>
      <c r="G26" s="13" t="s">
        <v>2193</v>
      </c>
      <c r="H26" s="13"/>
      <c r="I26" s="13" t="n">
        <v>1</v>
      </c>
      <c r="J26" s="63"/>
      <c r="Q26" s="63"/>
    </row>
    <row r="27" customFormat="false" ht="15.75" hidden="false" customHeight="false" outlineLevel="0" collapsed="false">
      <c r="A27" s="13"/>
      <c r="B27" s="13"/>
      <c r="C27" s="13"/>
      <c r="D27" s="13" t="n">
        <v>3</v>
      </c>
      <c r="E27" s="13" t="n">
        <v>1559.46</v>
      </c>
      <c r="F27" s="63"/>
      <c r="G27" s="16" t="s">
        <v>2179</v>
      </c>
      <c r="H27" s="13" t="s">
        <v>2357</v>
      </c>
      <c r="I27" s="13" t="n">
        <v>1</v>
      </c>
      <c r="J27" s="63"/>
      <c r="Q27" s="63"/>
    </row>
    <row r="28" customFormat="false" ht="15.75" hidden="false" customHeight="false" outlineLevel="0" collapsed="false">
      <c r="A28" s="13"/>
      <c r="B28" s="13"/>
      <c r="C28" s="13" t="s">
        <v>202</v>
      </c>
      <c r="D28" s="13" t="n">
        <v>11</v>
      </c>
      <c r="E28" s="13" t="n">
        <v>1629.54</v>
      </c>
      <c r="F28" s="63"/>
      <c r="G28" s="13" t="s">
        <v>2180</v>
      </c>
      <c r="H28" s="13"/>
      <c r="I28" s="13" t="n">
        <v>1</v>
      </c>
      <c r="J28" s="63"/>
      <c r="Q28" s="63"/>
    </row>
    <row r="29" customFormat="false" ht="15.75" hidden="false" customHeight="false" outlineLevel="0" collapsed="false">
      <c r="A29" s="13"/>
      <c r="B29" s="13" t="s">
        <v>2363</v>
      </c>
      <c r="C29" s="13"/>
      <c r="D29" s="13"/>
      <c r="E29" s="13" t="n">
        <v>18572.1</v>
      </c>
      <c r="F29" s="63"/>
      <c r="G29" s="13" t="s">
        <v>2191</v>
      </c>
      <c r="H29" s="13"/>
      <c r="I29" s="13" t="n">
        <v>56</v>
      </c>
      <c r="J29" s="63"/>
      <c r="Q29" s="63"/>
    </row>
    <row r="30" customFormat="false" ht="15.75" hidden="false" customHeight="false" outlineLevel="0" collapsed="false">
      <c r="A30" s="13" t="s">
        <v>2189</v>
      </c>
      <c r="B30" s="13"/>
      <c r="C30" s="13"/>
      <c r="D30" s="13"/>
      <c r="E30" s="13" t="n">
        <v>639997.1</v>
      </c>
      <c r="F30" s="63"/>
      <c r="J30" s="63"/>
      <c r="Q30" s="63"/>
    </row>
    <row r="31" customFormat="false" ht="15.75" hidden="false" customHeight="false" outlineLevel="0" collapsed="false">
      <c r="A31" s="16" t="s">
        <v>2185</v>
      </c>
      <c r="B31" s="13" t="s">
        <v>2355</v>
      </c>
      <c r="C31" s="13" t="s">
        <v>567</v>
      </c>
      <c r="D31" s="13" t="n">
        <v>58</v>
      </c>
      <c r="E31" s="13" t="n">
        <v>103820</v>
      </c>
      <c r="F31" s="63"/>
      <c r="J31" s="63"/>
      <c r="Q31" s="63"/>
    </row>
    <row r="32" customFormat="false" ht="15.75" hidden="false" customHeight="false" outlineLevel="0" collapsed="false">
      <c r="A32" s="13"/>
      <c r="B32" s="13"/>
      <c r="C32" s="13"/>
      <c r="D32" s="13" t="n">
        <v>21</v>
      </c>
      <c r="E32" s="13" t="n">
        <v>35178.15</v>
      </c>
      <c r="F32" s="63"/>
      <c r="J32" s="63"/>
      <c r="Q32" s="63"/>
    </row>
    <row r="33" customFormat="false" ht="15.75" hidden="false" customHeight="false" outlineLevel="0" collapsed="false">
      <c r="A33" s="13"/>
      <c r="B33" s="13"/>
      <c r="C33" s="13"/>
      <c r="D33" s="13" t="n">
        <v>1</v>
      </c>
      <c r="E33" s="13" t="n">
        <v>3465.15</v>
      </c>
      <c r="F33" s="63"/>
      <c r="J33" s="63"/>
      <c r="Q33" s="63"/>
    </row>
    <row r="34" customFormat="false" ht="15.75" hidden="false" customHeight="false" outlineLevel="0" collapsed="false">
      <c r="A34" s="13"/>
      <c r="B34" s="13"/>
      <c r="C34" s="13" t="s">
        <v>974</v>
      </c>
      <c r="D34" s="13" t="n">
        <v>98</v>
      </c>
      <c r="E34" s="13" t="n">
        <v>96040</v>
      </c>
      <c r="F34" s="63"/>
      <c r="J34" s="63"/>
      <c r="Q34" s="63"/>
    </row>
    <row r="35" customFormat="false" ht="15.75" hidden="false" customHeight="false" outlineLevel="0" collapsed="false">
      <c r="A35" s="13"/>
      <c r="B35" s="13"/>
      <c r="C35" s="13"/>
      <c r="D35" s="13" t="n">
        <v>11</v>
      </c>
      <c r="E35" s="13" t="n">
        <v>10780</v>
      </c>
      <c r="F35" s="63"/>
      <c r="J35" s="63"/>
      <c r="Q35" s="63"/>
    </row>
    <row r="36" customFormat="false" ht="15.75" hidden="false" customHeight="false" outlineLevel="0" collapsed="false">
      <c r="A36" s="13"/>
      <c r="B36" s="13"/>
      <c r="C36" s="13" t="s">
        <v>1827</v>
      </c>
      <c r="D36" s="13" t="n">
        <v>25</v>
      </c>
      <c r="E36" s="13" t="n">
        <v>53250</v>
      </c>
      <c r="F36" s="63"/>
      <c r="J36" s="63"/>
      <c r="Q36" s="63"/>
    </row>
    <row r="37" customFormat="false" ht="15.75" hidden="false" customHeight="false" outlineLevel="0" collapsed="false">
      <c r="A37" s="13"/>
      <c r="B37" s="13" t="s">
        <v>2362</v>
      </c>
      <c r="C37" s="13"/>
      <c r="D37" s="13"/>
      <c r="E37" s="13" t="n">
        <v>302533.3</v>
      </c>
      <c r="F37" s="63"/>
      <c r="J37" s="63"/>
      <c r="Q37" s="63"/>
    </row>
    <row r="38" customFormat="false" ht="15.75" hidden="false" customHeight="false" outlineLevel="0" collapsed="false">
      <c r="A38" s="13"/>
      <c r="B38" s="13" t="s">
        <v>2354</v>
      </c>
      <c r="C38" s="13" t="s">
        <v>1874</v>
      </c>
      <c r="D38" s="13" t="n">
        <v>320</v>
      </c>
      <c r="E38" s="13" t="n">
        <v>148243.2</v>
      </c>
      <c r="F38" s="63"/>
      <c r="J38" s="63"/>
      <c r="Q38" s="63"/>
    </row>
    <row r="39" customFormat="false" ht="15.75" hidden="false" customHeight="false" outlineLevel="0" collapsed="false">
      <c r="A39" s="13"/>
      <c r="B39" s="13"/>
      <c r="C39" s="13" t="s">
        <v>35</v>
      </c>
      <c r="D39" s="13" t="n">
        <v>36</v>
      </c>
      <c r="E39" s="13" t="n">
        <v>4560.12</v>
      </c>
      <c r="F39" s="63"/>
      <c r="J39" s="63"/>
      <c r="Q39" s="63"/>
    </row>
    <row r="40" customFormat="false" ht="15.75" hidden="false" customHeight="false" outlineLevel="0" collapsed="false">
      <c r="A40" s="13"/>
      <c r="B40" s="13" t="s">
        <v>2358</v>
      </c>
      <c r="C40" s="13"/>
      <c r="D40" s="13"/>
      <c r="E40" s="13" t="n">
        <v>152803.32</v>
      </c>
      <c r="F40" s="63"/>
      <c r="J40" s="63"/>
      <c r="Q40" s="63"/>
    </row>
    <row r="41" customFormat="false" ht="15.75" hidden="false" customHeight="false" outlineLevel="0" collapsed="false">
      <c r="A41" s="13"/>
      <c r="B41" s="13" t="s">
        <v>2356</v>
      </c>
      <c r="C41" s="13" t="s">
        <v>747</v>
      </c>
      <c r="D41" s="13" t="n">
        <v>40</v>
      </c>
      <c r="E41" s="13" t="n">
        <v>33852</v>
      </c>
      <c r="F41" s="63"/>
      <c r="J41" s="63"/>
      <c r="Q41" s="63"/>
    </row>
    <row r="42" customFormat="false" ht="15.75" hidden="false" customHeight="false" outlineLevel="0" collapsed="false">
      <c r="A42" s="13"/>
      <c r="B42" s="13"/>
      <c r="C42" s="13"/>
      <c r="D42" s="13" t="n">
        <v>39</v>
      </c>
      <c r="E42" s="13" t="n">
        <v>33731.1</v>
      </c>
      <c r="F42" s="63"/>
      <c r="J42" s="63"/>
      <c r="Q42" s="63"/>
    </row>
    <row r="43" customFormat="false" ht="15.75" hidden="false" customHeight="false" outlineLevel="0" collapsed="false">
      <c r="A43" s="13"/>
      <c r="B43" s="13"/>
      <c r="C43" s="13"/>
      <c r="D43" s="13" t="n">
        <v>4</v>
      </c>
      <c r="E43" s="13" t="n">
        <v>6882</v>
      </c>
      <c r="F43" s="63"/>
      <c r="J43" s="63"/>
      <c r="Q43" s="63"/>
    </row>
    <row r="44" customFormat="false" ht="15.75" hidden="false" customHeight="false" outlineLevel="0" collapsed="false">
      <c r="A44" s="13"/>
      <c r="B44" s="13"/>
      <c r="C44" s="13"/>
      <c r="D44" s="13" t="n">
        <v>1</v>
      </c>
      <c r="E44" s="13" t="n">
        <v>828</v>
      </c>
      <c r="F44" s="63"/>
      <c r="J44" s="63"/>
      <c r="Q44" s="63"/>
    </row>
    <row r="45" customFormat="false" ht="15.75" hidden="false" customHeight="false" outlineLevel="0" collapsed="false">
      <c r="A45" s="13"/>
      <c r="B45" s="13" t="s">
        <v>2360</v>
      </c>
      <c r="C45" s="13"/>
      <c r="D45" s="13"/>
      <c r="E45" s="13" t="n">
        <v>75293.1</v>
      </c>
      <c r="F45" s="63"/>
      <c r="J45" s="63"/>
      <c r="Q45" s="63"/>
    </row>
    <row r="46" customFormat="false" ht="15.75" hidden="false" customHeight="false" outlineLevel="0" collapsed="false">
      <c r="A46" s="13"/>
      <c r="B46" s="13" t="s">
        <v>2357</v>
      </c>
      <c r="C46" s="13" t="s">
        <v>121</v>
      </c>
      <c r="D46" s="13" t="n">
        <v>241</v>
      </c>
      <c r="E46" s="13" t="n">
        <v>41355.6</v>
      </c>
      <c r="F46" s="63"/>
      <c r="J46" s="63"/>
      <c r="Q46" s="63"/>
    </row>
    <row r="47" customFormat="false" ht="15.75" hidden="false" customHeight="false" outlineLevel="0" collapsed="false">
      <c r="A47" s="13"/>
      <c r="B47" s="13"/>
      <c r="C47" s="13" t="s">
        <v>895</v>
      </c>
      <c r="D47" s="13" t="n">
        <v>4</v>
      </c>
      <c r="E47" s="13" t="n">
        <v>803.2</v>
      </c>
      <c r="F47" s="63"/>
      <c r="J47" s="63"/>
      <c r="Q47" s="63"/>
    </row>
    <row r="48" customFormat="false" ht="15.75" hidden="false" customHeight="false" outlineLevel="0" collapsed="false">
      <c r="A48" s="13"/>
      <c r="B48" s="13"/>
      <c r="C48" s="13" t="s">
        <v>106</v>
      </c>
      <c r="D48" s="13" t="n">
        <v>1</v>
      </c>
      <c r="E48" s="13" t="n">
        <v>519.83</v>
      </c>
      <c r="F48" s="63"/>
      <c r="J48" s="63"/>
      <c r="Q48" s="63"/>
    </row>
    <row r="49" customFormat="false" ht="15.75" hidden="false" customHeight="false" outlineLevel="0" collapsed="false">
      <c r="A49" s="13"/>
      <c r="B49" s="13" t="s">
        <v>2363</v>
      </c>
      <c r="C49" s="13"/>
      <c r="D49" s="13"/>
      <c r="E49" s="13" t="n">
        <v>42678.63</v>
      </c>
      <c r="F49" s="63"/>
      <c r="J49" s="63"/>
      <c r="Q49" s="63"/>
    </row>
    <row r="50" customFormat="false" ht="15.75" hidden="false" customHeight="false" outlineLevel="0" collapsed="false">
      <c r="A50" s="13"/>
      <c r="B50" s="13" t="s">
        <v>2359</v>
      </c>
      <c r="C50" s="13" t="s">
        <v>268</v>
      </c>
      <c r="D50" s="13" t="n">
        <v>6</v>
      </c>
      <c r="E50" s="13" t="n">
        <v>8560.02</v>
      </c>
      <c r="F50" s="63"/>
      <c r="J50" s="63"/>
      <c r="Q50" s="63"/>
    </row>
    <row r="51" customFormat="false" ht="15.75" hidden="false" customHeight="false" outlineLevel="0" collapsed="false">
      <c r="A51" s="13"/>
      <c r="B51" s="13" t="s">
        <v>2361</v>
      </c>
      <c r="C51" s="13"/>
      <c r="D51" s="13"/>
      <c r="E51" s="13" t="n">
        <v>8560.02</v>
      </c>
      <c r="F51" s="63"/>
      <c r="J51" s="63"/>
      <c r="Q51" s="63"/>
    </row>
    <row r="52" customFormat="false" ht="15.75" hidden="false" customHeight="false" outlineLevel="0" collapsed="false">
      <c r="A52" s="13" t="s">
        <v>2187</v>
      </c>
      <c r="B52" s="13"/>
      <c r="C52" s="13"/>
      <c r="D52" s="13"/>
      <c r="E52" s="13" t="n">
        <v>581868.37</v>
      </c>
      <c r="F52" s="63"/>
      <c r="J52" s="63"/>
      <c r="Q52" s="63"/>
    </row>
    <row r="53" customFormat="false" ht="15.75" hidden="false" customHeight="false" outlineLevel="0" collapsed="false">
      <c r="A53" s="16" t="s">
        <v>2179</v>
      </c>
      <c r="B53" s="13" t="s">
        <v>2357</v>
      </c>
      <c r="C53" s="13" t="s">
        <v>65</v>
      </c>
      <c r="D53" s="13" t="n">
        <v>672</v>
      </c>
      <c r="E53" s="13" t="n">
        <v>102816</v>
      </c>
      <c r="F53" s="63"/>
      <c r="J53" s="63"/>
      <c r="Q53" s="63"/>
    </row>
    <row r="54" customFormat="false" ht="15.75" hidden="false" customHeight="false" outlineLevel="0" collapsed="false">
      <c r="A54" s="13"/>
      <c r="B54" s="13" t="s">
        <v>2363</v>
      </c>
      <c r="C54" s="13"/>
      <c r="D54" s="13"/>
      <c r="E54" s="13" t="n">
        <v>102816</v>
      </c>
      <c r="F54" s="63"/>
      <c r="J54" s="63"/>
      <c r="Q54" s="63"/>
    </row>
    <row r="55" customFormat="false" ht="15.75" hidden="false" customHeight="false" outlineLevel="0" collapsed="false">
      <c r="A55" s="13" t="s">
        <v>2180</v>
      </c>
      <c r="B55" s="13"/>
      <c r="C55" s="13"/>
      <c r="D55" s="13"/>
      <c r="E55" s="13" t="n">
        <v>102816</v>
      </c>
      <c r="F55" s="63"/>
      <c r="J55" s="63"/>
      <c r="Q55" s="63"/>
    </row>
    <row r="56" customFormat="false" ht="15.75" hidden="false" customHeight="false" outlineLevel="0" collapsed="false">
      <c r="A56" s="16" t="s">
        <v>2188</v>
      </c>
      <c r="B56" s="13" t="s">
        <v>2355</v>
      </c>
      <c r="C56" s="13" t="s">
        <v>2021</v>
      </c>
      <c r="D56" s="13" t="n">
        <v>12</v>
      </c>
      <c r="E56" s="13" t="n">
        <v>36679.2</v>
      </c>
      <c r="F56" s="63"/>
      <c r="J56" s="63"/>
      <c r="Q56" s="63"/>
    </row>
    <row r="57" customFormat="false" ht="15.75" hidden="false" customHeight="false" outlineLevel="0" collapsed="false">
      <c r="A57" s="13"/>
      <c r="B57" s="13" t="s">
        <v>2362</v>
      </c>
      <c r="C57" s="13"/>
      <c r="D57" s="13"/>
      <c r="E57" s="13" t="n">
        <v>36679.2</v>
      </c>
      <c r="F57" s="63"/>
      <c r="J57" s="63"/>
      <c r="Q57" s="63"/>
    </row>
    <row r="58" customFormat="false" ht="15.75" hidden="false" customHeight="false" outlineLevel="0" collapsed="false">
      <c r="A58" s="13"/>
      <c r="B58" s="13" t="s">
        <v>2357</v>
      </c>
      <c r="C58" s="13" t="s">
        <v>65</v>
      </c>
      <c r="D58" s="13" t="n">
        <v>38</v>
      </c>
      <c r="E58" s="13" t="n">
        <v>8037</v>
      </c>
      <c r="F58" s="63"/>
      <c r="J58" s="63"/>
      <c r="Q58" s="63"/>
    </row>
    <row r="59" customFormat="false" ht="15.75" hidden="false" customHeight="false" outlineLevel="0" collapsed="false">
      <c r="A59" s="13"/>
      <c r="B59" s="13"/>
      <c r="C59" s="13"/>
      <c r="D59" s="13" t="n">
        <v>9</v>
      </c>
      <c r="E59" s="13" t="n">
        <v>1903.5</v>
      </c>
      <c r="F59" s="63"/>
      <c r="J59" s="63"/>
      <c r="Q59" s="63"/>
    </row>
    <row r="60" customFormat="false" ht="15.75" hidden="false" customHeight="false" outlineLevel="0" collapsed="false">
      <c r="A60" s="13"/>
      <c r="B60" s="13"/>
      <c r="C60" s="13"/>
      <c r="D60" s="13" t="n">
        <v>5</v>
      </c>
      <c r="E60" s="13" t="n">
        <v>1057.5</v>
      </c>
      <c r="F60" s="63"/>
      <c r="J60" s="63"/>
      <c r="Q60" s="63"/>
    </row>
    <row r="61" customFormat="false" ht="15.75" hidden="false" customHeight="false" outlineLevel="0" collapsed="false">
      <c r="A61" s="13"/>
      <c r="B61" s="13"/>
      <c r="C61" s="13"/>
      <c r="D61" s="13" t="n">
        <v>2</v>
      </c>
      <c r="E61" s="13" t="n">
        <v>423</v>
      </c>
      <c r="F61" s="63"/>
      <c r="J61" s="63"/>
      <c r="Q61" s="63"/>
    </row>
    <row r="62" customFormat="false" ht="15.75" hidden="false" customHeight="false" outlineLevel="0" collapsed="false">
      <c r="A62" s="13"/>
      <c r="B62" s="13"/>
      <c r="C62" s="13" t="s">
        <v>895</v>
      </c>
      <c r="D62" s="13" t="n">
        <v>19</v>
      </c>
      <c r="E62" s="13" t="n">
        <v>3755.16</v>
      </c>
      <c r="F62" s="63"/>
      <c r="J62" s="63"/>
      <c r="Q62" s="63"/>
    </row>
    <row r="63" customFormat="false" ht="15.75" hidden="false" customHeight="false" outlineLevel="0" collapsed="false">
      <c r="A63" s="13"/>
      <c r="B63" s="13"/>
      <c r="C63" s="13"/>
      <c r="D63" s="13" t="n">
        <v>18</v>
      </c>
      <c r="E63" s="13" t="n">
        <v>3614.4</v>
      </c>
      <c r="F63" s="63"/>
      <c r="J63" s="63"/>
      <c r="Q63" s="63"/>
    </row>
    <row r="64" customFormat="false" ht="15.75" hidden="false" customHeight="false" outlineLevel="0" collapsed="false">
      <c r="A64" s="13"/>
      <c r="B64" s="13" t="s">
        <v>2363</v>
      </c>
      <c r="C64" s="13"/>
      <c r="D64" s="13"/>
      <c r="E64" s="13" t="n">
        <v>18790.56</v>
      </c>
      <c r="F64" s="63"/>
      <c r="J64" s="63"/>
      <c r="Q64" s="63"/>
    </row>
    <row r="65" customFormat="false" ht="15.75" hidden="false" customHeight="false" outlineLevel="0" collapsed="false">
      <c r="A65" s="13"/>
      <c r="B65" s="13" t="s">
        <v>2356</v>
      </c>
      <c r="C65" s="13" t="s">
        <v>747</v>
      </c>
      <c r="D65" s="13" t="n">
        <v>18</v>
      </c>
      <c r="E65" s="13" t="n">
        <v>15069.6</v>
      </c>
      <c r="F65" s="63"/>
      <c r="J65" s="63"/>
      <c r="Q65" s="63"/>
    </row>
    <row r="66" customFormat="false" ht="15.75" hidden="false" customHeight="false" outlineLevel="0" collapsed="false">
      <c r="A66" s="13"/>
      <c r="B66" s="13"/>
      <c r="C66" s="13"/>
      <c r="D66" s="13" t="n">
        <v>8</v>
      </c>
      <c r="E66" s="13" t="n">
        <v>2686.4</v>
      </c>
      <c r="F66" s="63"/>
      <c r="J66" s="63"/>
      <c r="Q66" s="63"/>
    </row>
    <row r="67" customFormat="false" ht="15.75" hidden="false" customHeight="false" outlineLevel="0" collapsed="false">
      <c r="A67" s="13"/>
      <c r="B67" s="13" t="s">
        <v>2360</v>
      </c>
      <c r="C67" s="13"/>
      <c r="D67" s="13"/>
      <c r="E67" s="13" t="n">
        <v>17756</v>
      </c>
      <c r="F67" s="63"/>
      <c r="J67" s="63"/>
      <c r="Q67" s="63"/>
    </row>
    <row r="68" customFormat="false" ht="15.75" hidden="false" customHeight="false" outlineLevel="0" collapsed="false">
      <c r="A68" s="13" t="s">
        <v>2190</v>
      </c>
      <c r="B68" s="13"/>
      <c r="C68" s="13"/>
      <c r="D68" s="13"/>
      <c r="E68" s="13" t="n">
        <v>73225.76</v>
      </c>
      <c r="F68" s="63"/>
      <c r="J68" s="63"/>
      <c r="Q68" s="63"/>
    </row>
    <row r="69" customFormat="false" ht="15.75" hidden="false" customHeight="false" outlineLevel="0" collapsed="false">
      <c r="A69" s="16" t="s">
        <v>2183</v>
      </c>
      <c r="B69" s="13" t="s">
        <v>2356</v>
      </c>
      <c r="C69" s="13" t="s">
        <v>19</v>
      </c>
      <c r="D69" s="13" t="n">
        <v>5</v>
      </c>
      <c r="E69" s="13" t="n">
        <v>10105</v>
      </c>
      <c r="F69" s="63"/>
      <c r="J69" s="63"/>
      <c r="Q69" s="63"/>
    </row>
    <row r="70" customFormat="false" ht="15.75" hidden="false" customHeight="false" outlineLevel="0" collapsed="false">
      <c r="A70" s="13"/>
      <c r="B70" s="13"/>
      <c r="C70" s="13"/>
      <c r="D70" s="13" t="n">
        <v>3</v>
      </c>
      <c r="E70" s="13" t="n">
        <v>8211</v>
      </c>
      <c r="F70" s="63"/>
      <c r="J70" s="63"/>
      <c r="Q70" s="63"/>
    </row>
    <row r="71" customFormat="false" ht="15.75" hidden="false" customHeight="false" outlineLevel="0" collapsed="false">
      <c r="A71" s="13"/>
      <c r="B71" s="13"/>
      <c r="C71" s="13"/>
      <c r="D71" s="13" t="n">
        <v>15</v>
      </c>
      <c r="E71" s="13" t="n">
        <v>6000</v>
      </c>
      <c r="F71" s="63"/>
      <c r="J71" s="63"/>
      <c r="Q71" s="63"/>
    </row>
    <row r="72" customFormat="false" ht="15.75" hidden="false" customHeight="false" outlineLevel="0" collapsed="false">
      <c r="A72" s="13"/>
      <c r="B72" s="13"/>
      <c r="C72" s="13"/>
      <c r="D72" s="13" t="n">
        <v>7</v>
      </c>
      <c r="E72" s="13" t="n">
        <v>5180</v>
      </c>
      <c r="F72" s="63"/>
      <c r="J72" s="63"/>
      <c r="Q72" s="63"/>
    </row>
    <row r="73" customFormat="false" ht="15.75" hidden="false" customHeight="false" outlineLevel="0" collapsed="false">
      <c r="A73" s="13"/>
      <c r="B73" s="13"/>
      <c r="C73" s="13"/>
      <c r="D73" s="13" t="n">
        <v>1</v>
      </c>
      <c r="E73" s="13" t="n">
        <v>2045</v>
      </c>
      <c r="F73" s="63"/>
      <c r="J73" s="63"/>
      <c r="Q73" s="63"/>
    </row>
    <row r="74" customFormat="false" ht="15.75" hidden="false" customHeight="false" outlineLevel="0" collapsed="false">
      <c r="A74" s="13"/>
      <c r="B74" s="13"/>
      <c r="C74" s="13"/>
      <c r="D74" s="13" t="n">
        <v>13</v>
      </c>
      <c r="E74" s="13" t="n">
        <v>1352</v>
      </c>
      <c r="F74" s="63"/>
      <c r="J74" s="63"/>
      <c r="Q74" s="63"/>
    </row>
    <row r="75" customFormat="false" ht="15.75" hidden="false" customHeight="false" outlineLevel="0" collapsed="false">
      <c r="A75" s="13"/>
      <c r="B75" s="13"/>
      <c r="C75" s="13" t="s">
        <v>487</v>
      </c>
      <c r="D75" s="13" t="n">
        <v>1</v>
      </c>
      <c r="E75" s="13" t="n">
        <v>2750</v>
      </c>
      <c r="F75" s="63"/>
      <c r="J75" s="63"/>
      <c r="Q75" s="63"/>
    </row>
    <row r="76" customFormat="false" ht="15.75" hidden="false" customHeight="false" outlineLevel="0" collapsed="false">
      <c r="A76" s="13"/>
      <c r="B76" s="13" t="s">
        <v>2360</v>
      </c>
      <c r="C76" s="13"/>
      <c r="D76" s="13"/>
      <c r="E76" s="13" t="n">
        <v>35643</v>
      </c>
      <c r="F76" s="63"/>
      <c r="J76" s="63"/>
      <c r="Q76" s="63"/>
    </row>
    <row r="77" customFormat="false" ht="15.75" hidden="false" customHeight="false" outlineLevel="0" collapsed="false">
      <c r="A77" s="13"/>
      <c r="B77" s="13" t="s">
        <v>2357</v>
      </c>
      <c r="C77" s="13" t="s">
        <v>65</v>
      </c>
      <c r="D77" s="13" t="n">
        <v>16</v>
      </c>
      <c r="E77" s="13" t="n">
        <v>3888</v>
      </c>
      <c r="F77" s="63"/>
      <c r="J77" s="63"/>
      <c r="Q77" s="63"/>
    </row>
    <row r="78" customFormat="false" ht="15.75" hidden="false" customHeight="false" outlineLevel="0" collapsed="false">
      <c r="A78" s="13"/>
      <c r="B78" s="13" t="s">
        <v>2363</v>
      </c>
      <c r="C78" s="13"/>
      <c r="D78" s="13"/>
      <c r="E78" s="13" t="n">
        <v>3888</v>
      </c>
      <c r="F78" s="63"/>
      <c r="J78" s="63"/>
      <c r="Q78" s="63"/>
    </row>
    <row r="79" customFormat="false" ht="15.75" hidden="false" customHeight="false" outlineLevel="0" collapsed="false">
      <c r="A79" s="13" t="s">
        <v>2184</v>
      </c>
      <c r="B79" s="13"/>
      <c r="C79" s="13"/>
      <c r="D79" s="13"/>
      <c r="E79" s="13" t="n">
        <v>39531</v>
      </c>
      <c r="F79" s="63"/>
      <c r="J79" s="63"/>
      <c r="Q79" s="63"/>
    </row>
    <row r="80" customFormat="false" ht="15.75" hidden="false" customHeight="false" outlineLevel="0" collapsed="false">
      <c r="A80" s="16" t="s">
        <v>2192</v>
      </c>
      <c r="B80" s="13" t="s">
        <v>2357</v>
      </c>
      <c r="C80" s="13" t="s">
        <v>106</v>
      </c>
      <c r="D80" s="13" t="n">
        <v>20</v>
      </c>
      <c r="E80" s="13" t="n">
        <v>2855.6</v>
      </c>
      <c r="F80" s="63"/>
      <c r="J80" s="63"/>
      <c r="Q80" s="63"/>
    </row>
    <row r="81" customFormat="false" ht="15.75" hidden="false" customHeight="false" outlineLevel="0" collapsed="false">
      <c r="A81" s="13"/>
      <c r="B81" s="13" t="s">
        <v>2363</v>
      </c>
      <c r="C81" s="13"/>
      <c r="D81" s="13"/>
      <c r="E81" s="13" t="n">
        <v>2855.6</v>
      </c>
      <c r="F81" s="63"/>
      <c r="J81" s="63"/>
      <c r="Q81" s="63"/>
    </row>
    <row r="82" customFormat="false" ht="15.75" hidden="false" customHeight="false" outlineLevel="0" collapsed="false">
      <c r="A82" s="13" t="s">
        <v>2193</v>
      </c>
      <c r="B82" s="13"/>
      <c r="C82" s="13"/>
      <c r="D82" s="13"/>
      <c r="E82" s="13" t="n">
        <v>2855.6</v>
      </c>
      <c r="F82" s="63"/>
      <c r="J82" s="63"/>
      <c r="Q82" s="63"/>
    </row>
    <row r="83" customFormat="false" ht="15.75" hidden="false" customHeight="false" outlineLevel="0" collapsed="false">
      <c r="A83" s="13" t="s">
        <v>2191</v>
      </c>
      <c r="B83" s="13"/>
      <c r="C83" s="13"/>
      <c r="D83" s="13"/>
      <c r="E83" s="13" t="n">
        <v>2379721.85</v>
      </c>
      <c r="F83" s="63"/>
      <c r="J83" s="63"/>
      <c r="Q83" s="63"/>
    </row>
    <row r="84" customFormat="false" ht="15.75" hidden="false" customHeight="false" outlineLevel="0" collapsed="false">
      <c r="F84" s="63"/>
      <c r="J84" s="63"/>
      <c r="Q84" s="63"/>
    </row>
    <row r="85" customFormat="false" ht="15.75" hidden="false" customHeight="false" outlineLevel="0" collapsed="false">
      <c r="F85" s="63"/>
      <c r="J85" s="63"/>
      <c r="Q85" s="63"/>
    </row>
    <row r="86" customFormat="false" ht="15.75" hidden="false" customHeight="false" outlineLevel="0" collapsed="false">
      <c r="F86" s="63"/>
      <c r="J86" s="63"/>
      <c r="Q86" s="63"/>
    </row>
    <row r="87" customFormat="false" ht="15.75" hidden="false" customHeight="false" outlineLevel="0" collapsed="false">
      <c r="F87" s="63"/>
      <c r="J87" s="63"/>
      <c r="Q87" s="63"/>
    </row>
    <row r="88" customFormat="false" ht="15.75" hidden="false" customHeight="false" outlineLevel="0" collapsed="false">
      <c r="F88" s="63"/>
      <c r="J88" s="63"/>
      <c r="Q88" s="63"/>
    </row>
    <row r="89" customFormat="false" ht="15.75" hidden="false" customHeight="false" outlineLevel="0" collapsed="false">
      <c r="F89" s="63"/>
      <c r="J89" s="63"/>
      <c r="Q89" s="63"/>
    </row>
    <row r="90" customFormat="false" ht="15.75" hidden="false" customHeight="false" outlineLevel="0" collapsed="false">
      <c r="F90" s="63"/>
      <c r="J90" s="63"/>
      <c r="Q90" s="63"/>
    </row>
    <row r="91" customFormat="false" ht="15.75" hidden="false" customHeight="false" outlineLevel="0" collapsed="false">
      <c r="F91" s="63"/>
      <c r="J91" s="63"/>
      <c r="Q91" s="63"/>
    </row>
    <row r="92" customFormat="false" ht="15.75" hidden="false" customHeight="false" outlineLevel="0" collapsed="false">
      <c r="F92" s="63"/>
      <c r="J92" s="63"/>
      <c r="Q92" s="63"/>
    </row>
    <row r="93" customFormat="false" ht="15.75" hidden="false" customHeight="false" outlineLevel="0" collapsed="false">
      <c r="F93" s="63"/>
      <c r="J93" s="63"/>
      <c r="Q93" s="63"/>
    </row>
    <row r="94" customFormat="false" ht="15.75" hidden="false" customHeight="false" outlineLevel="0" collapsed="false">
      <c r="F94" s="63"/>
      <c r="J94" s="63"/>
      <c r="Q94" s="63"/>
    </row>
    <row r="95" customFormat="false" ht="15.75" hidden="false" customHeight="false" outlineLevel="0" collapsed="false">
      <c r="F95" s="63"/>
      <c r="J95" s="63"/>
      <c r="Q95" s="63"/>
    </row>
    <row r="96" customFormat="false" ht="15.75" hidden="false" customHeight="false" outlineLevel="0" collapsed="false">
      <c r="F96" s="63"/>
      <c r="J96" s="63"/>
      <c r="Q96" s="63"/>
    </row>
    <row r="97" customFormat="false" ht="15.75" hidden="false" customHeight="false" outlineLevel="0" collapsed="false">
      <c r="F97" s="63"/>
      <c r="J97" s="63"/>
      <c r="Q97" s="63"/>
    </row>
    <row r="98" customFormat="false" ht="15.75" hidden="false" customHeight="false" outlineLevel="0" collapsed="false">
      <c r="F98" s="63"/>
      <c r="J98" s="63"/>
      <c r="Q98" s="63"/>
    </row>
    <row r="99" customFormat="false" ht="15.75" hidden="false" customHeight="false" outlineLevel="0" collapsed="false">
      <c r="F99" s="63"/>
      <c r="J99" s="63"/>
      <c r="Q99" s="63"/>
    </row>
    <row r="100" customFormat="false" ht="15.75" hidden="false" customHeight="false" outlineLevel="0" collapsed="false">
      <c r="F100" s="63"/>
      <c r="J100" s="63"/>
      <c r="Q100" s="63"/>
    </row>
    <row r="101" customFormat="false" ht="15.75" hidden="false" customHeight="false" outlineLevel="0" collapsed="false">
      <c r="F101" s="63"/>
      <c r="J101" s="63"/>
      <c r="Q101" s="63"/>
    </row>
    <row r="102" customFormat="false" ht="15.75" hidden="false" customHeight="false" outlineLevel="0" collapsed="false">
      <c r="F102" s="63"/>
      <c r="J102" s="63"/>
      <c r="Q102" s="63"/>
    </row>
    <row r="103" customFormat="false" ht="15.75" hidden="false" customHeight="false" outlineLevel="0" collapsed="false">
      <c r="F103" s="63"/>
      <c r="J103" s="63"/>
      <c r="Q103" s="63"/>
    </row>
    <row r="104" customFormat="false" ht="15.75" hidden="false" customHeight="false" outlineLevel="0" collapsed="false">
      <c r="F104" s="63"/>
      <c r="J104" s="63"/>
      <c r="Q104" s="63"/>
    </row>
    <row r="105" customFormat="false" ht="15.75" hidden="false" customHeight="false" outlineLevel="0" collapsed="false">
      <c r="F105" s="63"/>
      <c r="J105" s="63"/>
      <c r="Q105" s="63"/>
    </row>
    <row r="106" customFormat="false" ht="15.75" hidden="false" customHeight="false" outlineLevel="0" collapsed="false">
      <c r="F106" s="63"/>
      <c r="J106" s="63"/>
      <c r="Q106" s="63"/>
    </row>
    <row r="107" customFormat="false" ht="15.75" hidden="false" customHeight="false" outlineLevel="0" collapsed="false">
      <c r="F107" s="63"/>
      <c r="J107" s="63"/>
      <c r="Q107" s="63"/>
    </row>
    <row r="108" customFormat="false" ht="15.75" hidden="false" customHeight="false" outlineLevel="0" collapsed="false">
      <c r="F108" s="63"/>
      <c r="J108" s="63"/>
      <c r="Q108" s="63"/>
    </row>
    <row r="109" customFormat="false" ht="15.75" hidden="false" customHeight="false" outlineLevel="0" collapsed="false">
      <c r="F109" s="63"/>
      <c r="J109" s="63"/>
      <c r="Q109" s="63"/>
    </row>
    <row r="110" customFormat="false" ht="15.75" hidden="false" customHeight="false" outlineLevel="0" collapsed="false">
      <c r="F110" s="63"/>
      <c r="J110" s="63"/>
      <c r="Q110" s="63"/>
    </row>
    <row r="111" customFormat="false" ht="15.75" hidden="false" customHeight="false" outlineLevel="0" collapsed="false">
      <c r="F111" s="63"/>
      <c r="J111" s="63"/>
      <c r="Q111" s="63"/>
    </row>
    <row r="112" customFormat="false" ht="15.75" hidden="false" customHeight="false" outlineLevel="0" collapsed="false">
      <c r="F112" s="63"/>
      <c r="J112" s="63"/>
      <c r="Q112" s="63"/>
    </row>
    <row r="113" customFormat="false" ht="15.75" hidden="false" customHeight="false" outlineLevel="0" collapsed="false">
      <c r="F113" s="63"/>
      <c r="J113" s="63"/>
      <c r="Q113" s="63"/>
    </row>
    <row r="114" customFormat="false" ht="15.75" hidden="false" customHeight="false" outlineLevel="0" collapsed="false">
      <c r="F114" s="63"/>
      <c r="J114" s="63"/>
      <c r="Q114" s="63"/>
    </row>
    <row r="115" customFormat="false" ht="15.75" hidden="false" customHeight="false" outlineLevel="0" collapsed="false">
      <c r="F115" s="63"/>
      <c r="J115" s="63"/>
      <c r="Q115" s="63"/>
    </row>
    <row r="116" customFormat="false" ht="15.75" hidden="false" customHeight="false" outlineLevel="0" collapsed="false">
      <c r="F116" s="63"/>
      <c r="J116" s="63"/>
      <c r="Q116" s="63"/>
    </row>
    <row r="117" customFormat="false" ht="15.75" hidden="false" customHeight="false" outlineLevel="0" collapsed="false">
      <c r="F117" s="63"/>
      <c r="J117" s="63"/>
      <c r="Q117" s="63"/>
    </row>
    <row r="118" customFormat="false" ht="15.75" hidden="false" customHeight="false" outlineLevel="0" collapsed="false">
      <c r="F118" s="63"/>
      <c r="J118" s="63"/>
      <c r="Q118" s="63"/>
    </row>
    <row r="119" customFormat="false" ht="15.75" hidden="false" customHeight="false" outlineLevel="0" collapsed="false">
      <c r="F119" s="63"/>
      <c r="J119" s="63"/>
      <c r="Q119" s="63"/>
    </row>
    <row r="120" customFormat="false" ht="15.75" hidden="false" customHeight="false" outlineLevel="0" collapsed="false">
      <c r="F120" s="63"/>
      <c r="J120" s="63"/>
      <c r="Q120" s="63"/>
    </row>
    <row r="121" customFormat="false" ht="15.75" hidden="false" customHeight="false" outlineLevel="0" collapsed="false">
      <c r="F121" s="63"/>
      <c r="J121" s="63"/>
      <c r="Q121" s="63"/>
    </row>
    <row r="122" customFormat="false" ht="15.75" hidden="false" customHeight="false" outlineLevel="0" collapsed="false">
      <c r="F122" s="63"/>
      <c r="J122" s="63"/>
      <c r="Q122" s="63"/>
    </row>
    <row r="123" customFormat="false" ht="15.75" hidden="false" customHeight="false" outlineLevel="0" collapsed="false">
      <c r="F123" s="63"/>
      <c r="J123" s="63"/>
      <c r="Q123" s="63"/>
    </row>
    <row r="124" customFormat="false" ht="15.75" hidden="false" customHeight="false" outlineLevel="0" collapsed="false">
      <c r="F124" s="63"/>
      <c r="J124" s="63"/>
      <c r="Q124" s="63"/>
    </row>
    <row r="125" customFormat="false" ht="15.75" hidden="false" customHeight="false" outlineLevel="0" collapsed="false">
      <c r="F125" s="63"/>
      <c r="J125" s="63"/>
      <c r="Q125" s="63"/>
    </row>
    <row r="126" customFormat="false" ht="15.75" hidden="false" customHeight="false" outlineLevel="0" collapsed="false">
      <c r="F126" s="63"/>
      <c r="J126" s="63"/>
      <c r="Q126" s="63"/>
    </row>
    <row r="127" customFormat="false" ht="15.75" hidden="false" customHeight="false" outlineLevel="0" collapsed="false">
      <c r="F127" s="63"/>
      <c r="J127" s="63"/>
      <c r="Q127" s="63"/>
    </row>
    <row r="128" customFormat="false" ht="15.75" hidden="false" customHeight="false" outlineLevel="0" collapsed="false">
      <c r="F128" s="63"/>
      <c r="J128" s="63"/>
      <c r="Q128" s="63"/>
    </row>
    <row r="129" customFormat="false" ht="15.75" hidden="false" customHeight="false" outlineLevel="0" collapsed="false">
      <c r="F129" s="63"/>
      <c r="J129" s="63"/>
      <c r="Q129" s="63"/>
    </row>
    <row r="130" customFormat="false" ht="15.75" hidden="false" customHeight="false" outlineLevel="0" collapsed="false">
      <c r="F130" s="63"/>
      <c r="J130" s="63"/>
      <c r="Q130" s="63"/>
    </row>
    <row r="131" customFormat="false" ht="15.75" hidden="false" customHeight="false" outlineLevel="0" collapsed="false">
      <c r="F131" s="63"/>
      <c r="J131" s="63"/>
      <c r="Q131" s="63"/>
    </row>
    <row r="132" customFormat="false" ht="15.75" hidden="false" customHeight="false" outlineLevel="0" collapsed="false">
      <c r="F132" s="63"/>
      <c r="J132" s="63"/>
      <c r="Q132" s="63"/>
    </row>
    <row r="133" customFormat="false" ht="15.75" hidden="false" customHeight="false" outlineLevel="0" collapsed="false">
      <c r="F133" s="63"/>
      <c r="J133" s="63"/>
      <c r="Q133" s="63"/>
    </row>
    <row r="134" customFormat="false" ht="15.75" hidden="false" customHeight="false" outlineLevel="0" collapsed="false">
      <c r="F134" s="63"/>
      <c r="J134" s="63"/>
      <c r="Q134" s="63"/>
    </row>
    <row r="135" customFormat="false" ht="15.75" hidden="false" customHeight="false" outlineLevel="0" collapsed="false">
      <c r="F135" s="63"/>
      <c r="J135" s="63"/>
      <c r="Q135" s="63"/>
    </row>
    <row r="136" customFormat="false" ht="15.75" hidden="false" customHeight="false" outlineLevel="0" collapsed="false">
      <c r="F136" s="63"/>
      <c r="J136" s="63"/>
      <c r="Q136" s="63"/>
    </row>
    <row r="137" customFormat="false" ht="15.75" hidden="false" customHeight="false" outlineLevel="0" collapsed="false">
      <c r="F137" s="63"/>
      <c r="J137" s="63"/>
      <c r="Q137" s="63"/>
    </row>
    <row r="138" customFormat="false" ht="15.75" hidden="false" customHeight="false" outlineLevel="0" collapsed="false">
      <c r="F138" s="63"/>
      <c r="J138" s="63"/>
      <c r="Q138" s="63"/>
    </row>
    <row r="139" customFormat="false" ht="15.75" hidden="false" customHeight="false" outlineLevel="0" collapsed="false">
      <c r="F139" s="63"/>
      <c r="J139" s="63"/>
      <c r="Q139" s="63"/>
    </row>
    <row r="140" customFormat="false" ht="15.75" hidden="false" customHeight="false" outlineLevel="0" collapsed="false">
      <c r="F140" s="63"/>
      <c r="J140" s="63"/>
      <c r="Q140" s="63"/>
    </row>
    <row r="141" customFormat="false" ht="15.75" hidden="false" customHeight="false" outlineLevel="0" collapsed="false">
      <c r="F141" s="63"/>
      <c r="J141" s="63"/>
      <c r="Q141" s="63"/>
    </row>
    <row r="142" customFormat="false" ht="15.75" hidden="false" customHeight="false" outlineLevel="0" collapsed="false">
      <c r="F142" s="63"/>
      <c r="J142" s="63"/>
      <c r="Q142" s="63"/>
    </row>
    <row r="143" customFormat="false" ht="15.75" hidden="false" customHeight="false" outlineLevel="0" collapsed="false">
      <c r="F143" s="63"/>
      <c r="J143" s="63"/>
      <c r="Q143" s="63"/>
    </row>
    <row r="144" customFormat="false" ht="15.75" hidden="false" customHeight="false" outlineLevel="0" collapsed="false">
      <c r="F144" s="63"/>
      <c r="J144" s="63"/>
      <c r="Q144" s="63"/>
    </row>
    <row r="145" customFormat="false" ht="15.75" hidden="false" customHeight="false" outlineLevel="0" collapsed="false">
      <c r="F145" s="63"/>
      <c r="J145" s="63"/>
      <c r="Q145" s="63"/>
    </row>
    <row r="146" customFormat="false" ht="15.75" hidden="false" customHeight="false" outlineLevel="0" collapsed="false">
      <c r="F146" s="63"/>
      <c r="J146" s="63"/>
      <c r="Q146" s="63"/>
    </row>
    <row r="147" customFormat="false" ht="15.75" hidden="false" customHeight="false" outlineLevel="0" collapsed="false">
      <c r="F147" s="63"/>
      <c r="J147" s="63"/>
      <c r="Q147" s="63"/>
    </row>
    <row r="148" customFormat="false" ht="15.75" hidden="false" customHeight="false" outlineLevel="0" collapsed="false">
      <c r="F148" s="63"/>
      <c r="J148" s="63"/>
      <c r="Q148" s="63"/>
    </row>
    <row r="149" customFormat="false" ht="15.75" hidden="false" customHeight="false" outlineLevel="0" collapsed="false">
      <c r="F149" s="63"/>
      <c r="J149" s="63"/>
      <c r="Q149" s="63"/>
    </row>
    <row r="150" customFormat="false" ht="15.75" hidden="false" customHeight="false" outlineLevel="0" collapsed="false">
      <c r="F150" s="63"/>
      <c r="J150" s="63"/>
      <c r="Q150" s="63"/>
    </row>
    <row r="151" customFormat="false" ht="15.75" hidden="false" customHeight="false" outlineLevel="0" collapsed="false">
      <c r="F151" s="63"/>
      <c r="J151" s="63"/>
      <c r="Q151" s="63"/>
    </row>
    <row r="152" customFormat="false" ht="15.75" hidden="false" customHeight="false" outlineLevel="0" collapsed="false">
      <c r="F152" s="63"/>
      <c r="J152" s="63"/>
      <c r="Q152" s="63"/>
    </row>
    <row r="153" customFormat="false" ht="15.75" hidden="false" customHeight="false" outlineLevel="0" collapsed="false">
      <c r="F153" s="63"/>
      <c r="J153" s="63"/>
      <c r="Q153" s="63"/>
    </row>
    <row r="154" customFormat="false" ht="15.75" hidden="false" customHeight="false" outlineLevel="0" collapsed="false">
      <c r="F154" s="63"/>
      <c r="J154" s="63"/>
      <c r="Q154" s="63"/>
    </row>
    <row r="155" customFormat="false" ht="15.75" hidden="false" customHeight="false" outlineLevel="0" collapsed="false">
      <c r="F155" s="63"/>
      <c r="J155" s="63"/>
      <c r="Q155" s="63"/>
    </row>
    <row r="156" customFormat="false" ht="15.75" hidden="false" customHeight="false" outlineLevel="0" collapsed="false">
      <c r="F156" s="63"/>
      <c r="J156" s="63"/>
      <c r="Q156" s="63"/>
    </row>
    <row r="157" customFormat="false" ht="15.75" hidden="false" customHeight="false" outlineLevel="0" collapsed="false">
      <c r="F157" s="63"/>
      <c r="J157" s="63"/>
      <c r="Q157" s="63"/>
    </row>
    <row r="158" customFormat="false" ht="15.75" hidden="false" customHeight="false" outlineLevel="0" collapsed="false">
      <c r="F158" s="63"/>
      <c r="J158" s="63"/>
      <c r="Q158" s="63"/>
    </row>
    <row r="159" customFormat="false" ht="15.75" hidden="false" customHeight="false" outlineLevel="0" collapsed="false">
      <c r="F159" s="63"/>
      <c r="J159" s="63"/>
      <c r="Q159" s="63"/>
    </row>
    <row r="160" customFormat="false" ht="15.75" hidden="false" customHeight="false" outlineLevel="0" collapsed="false">
      <c r="F160" s="63"/>
      <c r="J160" s="63"/>
      <c r="Q160" s="63"/>
    </row>
    <row r="161" customFormat="false" ht="15.75" hidden="false" customHeight="false" outlineLevel="0" collapsed="false">
      <c r="F161" s="63"/>
      <c r="J161" s="63"/>
      <c r="Q161" s="63"/>
    </row>
    <row r="162" customFormat="false" ht="15.75" hidden="false" customHeight="false" outlineLevel="0" collapsed="false">
      <c r="F162" s="63"/>
      <c r="J162" s="63"/>
      <c r="Q162" s="63"/>
    </row>
    <row r="163" customFormat="false" ht="15.75" hidden="false" customHeight="false" outlineLevel="0" collapsed="false">
      <c r="F163" s="63"/>
      <c r="J163" s="63"/>
      <c r="Q163" s="63"/>
    </row>
    <row r="164" customFormat="false" ht="15.75" hidden="false" customHeight="false" outlineLevel="0" collapsed="false">
      <c r="F164" s="63"/>
      <c r="J164" s="63"/>
      <c r="Q164" s="63"/>
    </row>
    <row r="165" customFormat="false" ht="15.75" hidden="false" customHeight="false" outlineLevel="0" collapsed="false">
      <c r="F165" s="63"/>
      <c r="J165" s="63"/>
      <c r="Q165" s="63"/>
    </row>
    <row r="166" customFormat="false" ht="15.75" hidden="false" customHeight="false" outlineLevel="0" collapsed="false">
      <c r="F166" s="63"/>
      <c r="J166" s="63"/>
      <c r="Q166" s="63"/>
    </row>
    <row r="167" customFormat="false" ht="15.75" hidden="false" customHeight="false" outlineLevel="0" collapsed="false">
      <c r="F167" s="63"/>
      <c r="J167" s="63"/>
      <c r="Q167" s="63"/>
    </row>
    <row r="168" customFormat="false" ht="15.75" hidden="false" customHeight="false" outlineLevel="0" collapsed="false">
      <c r="F168" s="63"/>
      <c r="J168" s="63"/>
      <c r="Q168" s="63"/>
    </row>
    <row r="169" customFormat="false" ht="15.75" hidden="false" customHeight="false" outlineLevel="0" collapsed="false">
      <c r="F169" s="63"/>
      <c r="J169" s="63"/>
      <c r="Q169" s="63"/>
    </row>
    <row r="170" customFormat="false" ht="15.75" hidden="false" customHeight="false" outlineLevel="0" collapsed="false">
      <c r="F170" s="63"/>
      <c r="J170" s="63"/>
      <c r="Q170" s="63"/>
    </row>
    <row r="171" customFormat="false" ht="15.75" hidden="false" customHeight="false" outlineLevel="0" collapsed="false">
      <c r="F171" s="63"/>
      <c r="J171" s="63"/>
      <c r="Q171" s="63"/>
    </row>
    <row r="172" customFormat="false" ht="15.75" hidden="false" customHeight="false" outlineLevel="0" collapsed="false">
      <c r="F172" s="63"/>
      <c r="J172" s="63"/>
      <c r="Q172" s="63"/>
    </row>
    <row r="173" customFormat="false" ht="15.75" hidden="false" customHeight="false" outlineLevel="0" collapsed="false">
      <c r="F173" s="63"/>
      <c r="J173" s="63"/>
      <c r="Q173" s="63"/>
    </row>
    <row r="174" customFormat="false" ht="15.75" hidden="false" customHeight="false" outlineLevel="0" collapsed="false">
      <c r="F174" s="63"/>
      <c r="J174" s="63"/>
      <c r="Q174" s="63"/>
    </row>
    <row r="175" customFormat="false" ht="15.75" hidden="false" customHeight="false" outlineLevel="0" collapsed="false">
      <c r="F175" s="63"/>
      <c r="J175" s="63"/>
      <c r="Q175" s="63"/>
    </row>
    <row r="176" customFormat="false" ht="15.75" hidden="false" customHeight="false" outlineLevel="0" collapsed="false">
      <c r="F176" s="63"/>
      <c r="J176" s="63"/>
      <c r="Q176" s="63"/>
    </row>
    <row r="177" customFormat="false" ht="15.75" hidden="false" customHeight="false" outlineLevel="0" collapsed="false">
      <c r="F177" s="63"/>
      <c r="J177" s="63"/>
      <c r="Q177" s="63"/>
    </row>
    <row r="178" customFormat="false" ht="15.75" hidden="false" customHeight="false" outlineLevel="0" collapsed="false">
      <c r="F178" s="63"/>
      <c r="J178" s="63"/>
      <c r="Q178" s="63"/>
    </row>
    <row r="179" customFormat="false" ht="15.75" hidden="false" customHeight="false" outlineLevel="0" collapsed="false">
      <c r="F179" s="63"/>
      <c r="J179" s="63"/>
      <c r="Q179" s="63"/>
    </row>
    <row r="180" customFormat="false" ht="15.75" hidden="false" customHeight="false" outlineLevel="0" collapsed="false">
      <c r="F180" s="63"/>
      <c r="J180" s="63"/>
      <c r="Q180" s="63"/>
    </row>
    <row r="181" customFormat="false" ht="15.75" hidden="false" customHeight="false" outlineLevel="0" collapsed="false">
      <c r="F181" s="63"/>
      <c r="J181" s="63"/>
      <c r="Q181" s="63"/>
    </row>
    <row r="182" customFormat="false" ht="15.75" hidden="false" customHeight="false" outlineLevel="0" collapsed="false">
      <c r="F182" s="63"/>
      <c r="J182" s="63"/>
      <c r="Q182" s="63"/>
    </row>
    <row r="183" customFormat="false" ht="15.75" hidden="false" customHeight="false" outlineLevel="0" collapsed="false">
      <c r="F183" s="63"/>
      <c r="J183" s="63"/>
      <c r="Q183" s="63"/>
    </row>
    <row r="184" customFormat="false" ht="15.75" hidden="false" customHeight="false" outlineLevel="0" collapsed="false">
      <c r="F184" s="63"/>
      <c r="J184" s="63"/>
      <c r="Q184" s="63"/>
    </row>
    <row r="185" customFormat="false" ht="15.75" hidden="false" customHeight="false" outlineLevel="0" collapsed="false">
      <c r="F185" s="63"/>
      <c r="J185" s="63"/>
      <c r="Q185" s="63"/>
    </row>
    <row r="186" customFormat="false" ht="15.75" hidden="false" customHeight="false" outlineLevel="0" collapsed="false">
      <c r="F186" s="63"/>
      <c r="J186" s="63"/>
      <c r="Q186" s="63"/>
    </row>
    <row r="187" customFormat="false" ht="15.75" hidden="false" customHeight="false" outlineLevel="0" collapsed="false">
      <c r="F187" s="63"/>
      <c r="J187" s="63"/>
      <c r="Q187" s="63"/>
    </row>
    <row r="188" customFormat="false" ht="15.75" hidden="false" customHeight="false" outlineLevel="0" collapsed="false">
      <c r="F188" s="63"/>
      <c r="J188" s="63"/>
      <c r="Q188" s="63"/>
    </row>
    <row r="189" customFormat="false" ht="15.75" hidden="false" customHeight="false" outlineLevel="0" collapsed="false">
      <c r="F189" s="63"/>
      <c r="J189" s="63"/>
      <c r="Q189" s="63"/>
    </row>
    <row r="190" customFormat="false" ht="15.75" hidden="false" customHeight="false" outlineLevel="0" collapsed="false">
      <c r="F190" s="63"/>
      <c r="J190" s="63"/>
      <c r="Q190" s="63"/>
    </row>
    <row r="191" customFormat="false" ht="15.75" hidden="false" customHeight="false" outlineLevel="0" collapsed="false">
      <c r="F191" s="63"/>
      <c r="J191" s="63"/>
      <c r="Q191" s="63"/>
    </row>
    <row r="192" customFormat="false" ht="15.75" hidden="false" customHeight="false" outlineLevel="0" collapsed="false">
      <c r="F192" s="63"/>
      <c r="J192" s="63"/>
      <c r="Q192" s="63"/>
    </row>
    <row r="193" customFormat="false" ht="15.75" hidden="false" customHeight="false" outlineLevel="0" collapsed="false">
      <c r="F193" s="63"/>
      <c r="J193" s="63"/>
      <c r="Q193" s="63"/>
    </row>
    <row r="194" customFormat="false" ht="15.75" hidden="false" customHeight="false" outlineLevel="0" collapsed="false">
      <c r="F194" s="63"/>
      <c r="J194" s="63"/>
      <c r="Q194" s="63"/>
    </row>
    <row r="195" customFormat="false" ht="15.75" hidden="false" customHeight="false" outlineLevel="0" collapsed="false">
      <c r="F195" s="63"/>
      <c r="J195" s="63"/>
      <c r="Q195" s="63"/>
    </row>
    <row r="196" customFormat="false" ht="15.75" hidden="false" customHeight="false" outlineLevel="0" collapsed="false">
      <c r="F196" s="63"/>
      <c r="J196" s="63"/>
      <c r="Q196" s="63"/>
    </row>
    <row r="197" customFormat="false" ht="15.75" hidden="false" customHeight="false" outlineLevel="0" collapsed="false">
      <c r="F197" s="63"/>
      <c r="J197" s="63"/>
      <c r="Q197" s="63"/>
    </row>
    <row r="198" customFormat="false" ht="15.75" hidden="false" customHeight="false" outlineLevel="0" collapsed="false">
      <c r="F198" s="63"/>
      <c r="J198" s="63"/>
      <c r="Q198" s="63"/>
    </row>
    <row r="199" customFormat="false" ht="15.75" hidden="false" customHeight="false" outlineLevel="0" collapsed="false">
      <c r="F199" s="63"/>
      <c r="J199" s="63"/>
      <c r="Q199" s="63"/>
    </row>
    <row r="200" customFormat="false" ht="15.75" hidden="false" customHeight="false" outlineLevel="0" collapsed="false">
      <c r="F200" s="63"/>
      <c r="J200" s="63"/>
      <c r="Q200" s="63"/>
    </row>
    <row r="201" customFormat="false" ht="15.75" hidden="false" customHeight="false" outlineLevel="0" collapsed="false">
      <c r="F201" s="63"/>
      <c r="J201" s="63"/>
      <c r="Q201" s="63"/>
    </row>
    <row r="202" customFormat="false" ht="15.75" hidden="false" customHeight="false" outlineLevel="0" collapsed="false">
      <c r="F202" s="63"/>
      <c r="J202" s="63"/>
      <c r="Q202" s="63"/>
    </row>
    <row r="203" customFormat="false" ht="15.75" hidden="false" customHeight="false" outlineLevel="0" collapsed="false">
      <c r="F203" s="63"/>
      <c r="J203" s="63"/>
      <c r="Q203" s="63"/>
    </row>
    <row r="204" customFormat="false" ht="15.75" hidden="false" customHeight="false" outlineLevel="0" collapsed="false">
      <c r="F204" s="63"/>
      <c r="J204" s="63"/>
      <c r="Q204" s="63"/>
    </row>
    <row r="205" customFormat="false" ht="15.75" hidden="false" customHeight="false" outlineLevel="0" collapsed="false">
      <c r="F205" s="63"/>
      <c r="J205" s="63"/>
      <c r="Q205" s="63"/>
    </row>
    <row r="206" customFormat="false" ht="15.75" hidden="false" customHeight="false" outlineLevel="0" collapsed="false">
      <c r="F206" s="63"/>
      <c r="J206" s="63"/>
      <c r="Q206" s="63"/>
    </row>
    <row r="207" customFormat="false" ht="15.75" hidden="false" customHeight="false" outlineLevel="0" collapsed="false">
      <c r="F207" s="63"/>
      <c r="J207" s="63"/>
      <c r="Q207" s="63"/>
    </row>
    <row r="208" customFormat="false" ht="15.75" hidden="false" customHeight="false" outlineLevel="0" collapsed="false">
      <c r="F208" s="63"/>
      <c r="J208" s="63"/>
      <c r="Q208" s="63"/>
    </row>
    <row r="209" customFormat="false" ht="15.75" hidden="false" customHeight="false" outlineLevel="0" collapsed="false">
      <c r="F209" s="63"/>
      <c r="J209" s="63"/>
      <c r="Q209" s="63"/>
    </row>
    <row r="210" customFormat="false" ht="15.75" hidden="false" customHeight="false" outlineLevel="0" collapsed="false">
      <c r="F210" s="63"/>
      <c r="J210" s="63"/>
      <c r="Q210" s="63"/>
    </row>
    <row r="211" customFormat="false" ht="15.75" hidden="false" customHeight="false" outlineLevel="0" collapsed="false">
      <c r="F211" s="63"/>
      <c r="J211" s="63"/>
      <c r="Q211" s="63"/>
    </row>
    <row r="212" customFormat="false" ht="15.75" hidden="false" customHeight="false" outlineLevel="0" collapsed="false">
      <c r="F212" s="63"/>
      <c r="J212" s="63"/>
      <c r="Q212" s="63"/>
    </row>
    <row r="213" customFormat="false" ht="15.75" hidden="false" customHeight="false" outlineLevel="0" collapsed="false">
      <c r="F213" s="63"/>
      <c r="J213" s="63"/>
      <c r="Q213" s="63"/>
    </row>
    <row r="214" customFormat="false" ht="15.75" hidden="false" customHeight="false" outlineLevel="0" collapsed="false">
      <c r="F214" s="63"/>
      <c r="J214" s="63"/>
      <c r="Q214" s="63"/>
    </row>
    <row r="215" customFormat="false" ht="15.75" hidden="false" customHeight="false" outlineLevel="0" collapsed="false">
      <c r="F215" s="63"/>
      <c r="J215" s="63"/>
      <c r="Q215" s="63"/>
    </row>
    <row r="216" customFormat="false" ht="15.75" hidden="false" customHeight="false" outlineLevel="0" collapsed="false">
      <c r="F216" s="63"/>
      <c r="J216" s="63"/>
      <c r="Q216" s="63"/>
    </row>
    <row r="217" customFormat="false" ht="15.75" hidden="false" customHeight="false" outlineLevel="0" collapsed="false">
      <c r="F217" s="63"/>
      <c r="J217" s="63"/>
      <c r="Q217" s="63"/>
    </row>
    <row r="218" customFormat="false" ht="15.75" hidden="false" customHeight="false" outlineLevel="0" collapsed="false">
      <c r="F218" s="63"/>
      <c r="J218" s="63"/>
      <c r="Q218" s="63"/>
    </row>
    <row r="219" customFormat="false" ht="15.75" hidden="false" customHeight="false" outlineLevel="0" collapsed="false">
      <c r="F219" s="63"/>
      <c r="J219" s="63"/>
      <c r="Q219" s="63"/>
    </row>
    <row r="220" customFormat="false" ht="15.75" hidden="false" customHeight="false" outlineLevel="0" collapsed="false">
      <c r="F220" s="63"/>
      <c r="J220" s="63"/>
      <c r="Q220" s="63"/>
    </row>
    <row r="221" customFormat="false" ht="15.75" hidden="false" customHeight="false" outlineLevel="0" collapsed="false">
      <c r="F221" s="63"/>
      <c r="J221" s="63"/>
      <c r="Q221" s="63"/>
    </row>
    <row r="222" customFormat="false" ht="15.75" hidden="false" customHeight="false" outlineLevel="0" collapsed="false">
      <c r="F222" s="63"/>
      <c r="J222" s="63"/>
      <c r="Q222" s="63"/>
    </row>
    <row r="223" customFormat="false" ht="15.75" hidden="false" customHeight="false" outlineLevel="0" collapsed="false">
      <c r="F223" s="63"/>
      <c r="J223" s="63"/>
      <c r="Q223" s="63"/>
    </row>
    <row r="224" customFormat="false" ht="15.75" hidden="false" customHeight="false" outlineLevel="0" collapsed="false">
      <c r="F224" s="63"/>
      <c r="J224" s="63"/>
      <c r="Q224" s="63"/>
    </row>
    <row r="225" customFormat="false" ht="15.75" hidden="false" customHeight="false" outlineLevel="0" collapsed="false">
      <c r="F225" s="63"/>
      <c r="J225" s="63"/>
      <c r="Q225" s="63"/>
    </row>
    <row r="226" customFormat="false" ht="15.75" hidden="false" customHeight="false" outlineLevel="0" collapsed="false">
      <c r="F226" s="63"/>
      <c r="J226" s="63"/>
      <c r="Q226" s="63"/>
    </row>
    <row r="227" customFormat="false" ht="15.75" hidden="false" customHeight="false" outlineLevel="0" collapsed="false">
      <c r="F227" s="63"/>
      <c r="J227" s="63"/>
      <c r="Q227" s="63"/>
    </row>
    <row r="228" customFormat="false" ht="15.75" hidden="false" customHeight="false" outlineLevel="0" collapsed="false">
      <c r="F228" s="63"/>
      <c r="J228" s="63"/>
      <c r="Q228" s="63"/>
    </row>
    <row r="229" customFormat="false" ht="15.75" hidden="false" customHeight="false" outlineLevel="0" collapsed="false">
      <c r="F229" s="63"/>
      <c r="J229" s="63"/>
      <c r="Q229" s="63"/>
    </row>
    <row r="230" customFormat="false" ht="15.75" hidden="false" customHeight="false" outlineLevel="0" collapsed="false">
      <c r="F230" s="63"/>
      <c r="J230" s="63"/>
      <c r="Q230" s="63"/>
    </row>
    <row r="231" customFormat="false" ht="15.75" hidden="false" customHeight="false" outlineLevel="0" collapsed="false">
      <c r="F231" s="63"/>
      <c r="J231" s="63"/>
      <c r="Q231" s="63"/>
    </row>
    <row r="232" customFormat="false" ht="15.75" hidden="false" customHeight="false" outlineLevel="0" collapsed="false">
      <c r="F232" s="63"/>
      <c r="J232" s="63"/>
      <c r="Q232" s="63"/>
    </row>
    <row r="233" customFormat="false" ht="15.75" hidden="false" customHeight="false" outlineLevel="0" collapsed="false">
      <c r="F233" s="63"/>
      <c r="J233" s="63"/>
      <c r="Q233" s="63"/>
    </row>
    <row r="234" customFormat="false" ht="15.75" hidden="false" customHeight="false" outlineLevel="0" collapsed="false">
      <c r="F234" s="63"/>
      <c r="J234" s="63"/>
      <c r="Q234" s="63"/>
    </row>
    <row r="235" customFormat="false" ht="15.75" hidden="false" customHeight="false" outlineLevel="0" collapsed="false">
      <c r="F235" s="63"/>
      <c r="J235" s="63"/>
      <c r="Q235" s="63"/>
    </row>
    <row r="236" customFormat="false" ht="15.75" hidden="false" customHeight="false" outlineLevel="0" collapsed="false">
      <c r="F236" s="63"/>
      <c r="J236" s="63"/>
      <c r="Q236" s="63"/>
    </row>
    <row r="237" customFormat="false" ht="15.75" hidden="false" customHeight="false" outlineLevel="0" collapsed="false">
      <c r="F237" s="63"/>
      <c r="J237" s="63"/>
      <c r="Q237" s="63"/>
    </row>
    <row r="238" customFormat="false" ht="15.75" hidden="false" customHeight="false" outlineLevel="0" collapsed="false">
      <c r="F238" s="63"/>
      <c r="J238" s="63"/>
      <c r="Q238" s="63"/>
    </row>
    <row r="239" customFormat="false" ht="15.75" hidden="false" customHeight="false" outlineLevel="0" collapsed="false">
      <c r="F239" s="63"/>
      <c r="J239" s="63"/>
      <c r="Q239" s="63"/>
    </row>
    <row r="240" customFormat="false" ht="15.75" hidden="false" customHeight="false" outlineLevel="0" collapsed="false">
      <c r="F240" s="63"/>
      <c r="J240" s="63"/>
      <c r="Q240" s="63"/>
    </row>
    <row r="241" customFormat="false" ht="15.75" hidden="false" customHeight="false" outlineLevel="0" collapsed="false">
      <c r="F241" s="63"/>
      <c r="J241" s="63"/>
      <c r="Q241" s="63"/>
    </row>
    <row r="242" customFormat="false" ht="15.75" hidden="false" customHeight="false" outlineLevel="0" collapsed="false">
      <c r="F242" s="63"/>
      <c r="J242" s="63"/>
      <c r="Q242" s="63"/>
    </row>
    <row r="243" customFormat="false" ht="15.75" hidden="false" customHeight="false" outlineLevel="0" collapsed="false">
      <c r="F243" s="63"/>
      <c r="J243" s="63"/>
      <c r="Q243" s="63"/>
    </row>
    <row r="244" customFormat="false" ht="15.75" hidden="false" customHeight="false" outlineLevel="0" collapsed="false">
      <c r="F244" s="63"/>
      <c r="J244" s="63"/>
      <c r="Q244" s="63"/>
    </row>
    <row r="245" customFormat="false" ht="15.75" hidden="false" customHeight="false" outlineLevel="0" collapsed="false">
      <c r="F245" s="63"/>
      <c r="J245" s="63"/>
      <c r="Q245" s="63"/>
    </row>
    <row r="246" customFormat="false" ht="15.75" hidden="false" customHeight="false" outlineLevel="0" collapsed="false">
      <c r="F246" s="63"/>
      <c r="J246" s="63"/>
      <c r="Q246" s="63"/>
    </row>
    <row r="247" customFormat="false" ht="15.75" hidden="false" customHeight="false" outlineLevel="0" collapsed="false">
      <c r="F247" s="63"/>
      <c r="J247" s="63"/>
      <c r="Q247" s="63"/>
    </row>
    <row r="248" customFormat="false" ht="15.75" hidden="false" customHeight="false" outlineLevel="0" collapsed="false">
      <c r="F248" s="63"/>
      <c r="J248" s="63"/>
      <c r="Q248" s="63"/>
    </row>
    <row r="249" customFormat="false" ht="15.75" hidden="false" customHeight="false" outlineLevel="0" collapsed="false">
      <c r="F249" s="63"/>
      <c r="J249" s="63"/>
      <c r="Q249" s="63"/>
    </row>
    <row r="250" customFormat="false" ht="15.75" hidden="false" customHeight="false" outlineLevel="0" collapsed="false">
      <c r="F250" s="63"/>
      <c r="J250" s="63"/>
      <c r="Q250" s="63"/>
    </row>
    <row r="251" customFormat="false" ht="15.75" hidden="false" customHeight="false" outlineLevel="0" collapsed="false">
      <c r="F251" s="63"/>
      <c r="J251" s="63"/>
      <c r="Q251" s="63"/>
    </row>
    <row r="252" customFormat="false" ht="15.75" hidden="false" customHeight="false" outlineLevel="0" collapsed="false">
      <c r="F252" s="63"/>
      <c r="J252" s="63"/>
      <c r="Q252" s="63"/>
    </row>
    <row r="253" customFormat="false" ht="15.75" hidden="false" customHeight="false" outlineLevel="0" collapsed="false">
      <c r="F253" s="63"/>
      <c r="J253" s="63"/>
      <c r="Q253" s="63"/>
    </row>
    <row r="254" customFormat="false" ht="15.75" hidden="false" customHeight="false" outlineLevel="0" collapsed="false">
      <c r="F254" s="63"/>
      <c r="J254" s="63"/>
      <c r="Q254" s="63"/>
    </row>
    <row r="255" customFormat="false" ht="15.75" hidden="false" customHeight="false" outlineLevel="0" collapsed="false">
      <c r="F255" s="63"/>
      <c r="J255" s="63"/>
      <c r="Q255" s="63"/>
    </row>
    <row r="256" customFormat="false" ht="15.75" hidden="false" customHeight="false" outlineLevel="0" collapsed="false">
      <c r="F256" s="63"/>
      <c r="J256" s="63"/>
      <c r="Q256" s="63"/>
    </row>
    <row r="257" customFormat="false" ht="15.75" hidden="false" customHeight="false" outlineLevel="0" collapsed="false">
      <c r="F257" s="63"/>
      <c r="J257" s="63"/>
      <c r="Q257" s="63"/>
    </row>
    <row r="258" customFormat="false" ht="15.75" hidden="false" customHeight="false" outlineLevel="0" collapsed="false">
      <c r="F258" s="63"/>
      <c r="J258" s="63"/>
      <c r="Q258" s="63"/>
    </row>
    <row r="259" customFormat="false" ht="15.75" hidden="false" customHeight="false" outlineLevel="0" collapsed="false">
      <c r="F259" s="63"/>
      <c r="J259" s="63"/>
      <c r="Q259" s="63"/>
    </row>
    <row r="260" customFormat="false" ht="15.75" hidden="false" customHeight="false" outlineLevel="0" collapsed="false">
      <c r="F260" s="63"/>
      <c r="J260" s="63"/>
      <c r="Q260" s="63"/>
    </row>
    <row r="261" customFormat="false" ht="15.75" hidden="false" customHeight="false" outlineLevel="0" collapsed="false">
      <c r="F261" s="63"/>
      <c r="J261" s="63"/>
      <c r="Q261" s="63"/>
    </row>
    <row r="262" customFormat="false" ht="15.75" hidden="false" customHeight="false" outlineLevel="0" collapsed="false">
      <c r="F262" s="63"/>
      <c r="J262" s="63"/>
      <c r="Q262" s="63"/>
    </row>
    <row r="263" customFormat="false" ht="15.75" hidden="false" customHeight="false" outlineLevel="0" collapsed="false">
      <c r="F263" s="63"/>
      <c r="J263" s="63"/>
      <c r="Q263" s="63"/>
    </row>
    <row r="264" customFormat="false" ht="15.75" hidden="false" customHeight="false" outlineLevel="0" collapsed="false">
      <c r="F264" s="63"/>
      <c r="J264" s="63"/>
      <c r="Q264" s="63"/>
    </row>
    <row r="265" customFormat="false" ht="15.75" hidden="false" customHeight="false" outlineLevel="0" collapsed="false">
      <c r="F265" s="63"/>
      <c r="J265" s="63"/>
      <c r="Q265" s="63"/>
    </row>
    <row r="266" customFormat="false" ht="15.75" hidden="false" customHeight="false" outlineLevel="0" collapsed="false">
      <c r="F266" s="63"/>
      <c r="J266" s="63"/>
      <c r="Q266" s="63"/>
    </row>
    <row r="267" customFormat="false" ht="15.75" hidden="false" customHeight="false" outlineLevel="0" collapsed="false">
      <c r="F267" s="63"/>
      <c r="J267" s="63"/>
      <c r="Q267" s="63"/>
    </row>
    <row r="268" customFormat="false" ht="15.75" hidden="false" customHeight="false" outlineLevel="0" collapsed="false">
      <c r="F268" s="63"/>
      <c r="J268" s="63"/>
      <c r="Q268" s="63"/>
    </row>
    <row r="269" customFormat="false" ht="15.75" hidden="false" customHeight="false" outlineLevel="0" collapsed="false">
      <c r="F269" s="63"/>
      <c r="J269" s="63"/>
      <c r="Q269" s="63"/>
    </row>
    <row r="270" customFormat="false" ht="15.75" hidden="false" customHeight="false" outlineLevel="0" collapsed="false">
      <c r="F270" s="63"/>
      <c r="J270" s="63"/>
      <c r="Q270" s="63"/>
    </row>
    <row r="271" customFormat="false" ht="15.75" hidden="false" customHeight="false" outlineLevel="0" collapsed="false">
      <c r="F271" s="63"/>
      <c r="J271" s="63"/>
      <c r="Q271" s="63"/>
    </row>
    <row r="272" customFormat="false" ht="15.75" hidden="false" customHeight="false" outlineLevel="0" collapsed="false">
      <c r="F272" s="63"/>
      <c r="J272" s="63"/>
      <c r="Q272" s="63"/>
    </row>
    <row r="273" customFormat="false" ht="15.75" hidden="false" customHeight="false" outlineLevel="0" collapsed="false">
      <c r="F273" s="63"/>
      <c r="J273" s="63"/>
      <c r="Q273" s="63"/>
    </row>
    <row r="274" customFormat="false" ht="15.75" hidden="false" customHeight="false" outlineLevel="0" collapsed="false">
      <c r="F274" s="63"/>
      <c r="J274" s="63"/>
      <c r="Q274" s="63"/>
    </row>
    <row r="275" customFormat="false" ht="15.75" hidden="false" customHeight="false" outlineLevel="0" collapsed="false">
      <c r="F275" s="63"/>
      <c r="J275" s="63"/>
      <c r="Q275" s="63"/>
    </row>
    <row r="276" customFormat="false" ht="15.75" hidden="false" customHeight="false" outlineLevel="0" collapsed="false">
      <c r="F276" s="63"/>
      <c r="J276" s="63"/>
      <c r="Q276" s="63"/>
    </row>
    <row r="277" customFormat="false" ht="15.75" hidden="false" customHeight="false" outlineLevel="0" collapsed="false">
      <c r="F277" s="63"/>
      <c r="J277" s="63"/>
      <c r="Q277" s="63"/>
    </row>
    <row r="278" customFormat="false" ht="15.75" hidden="false" customHeight="false" outlineLevel="0" collapsed="false">
      <c r="F278" s="63"/>
      <c r="J278" s="63"/>
      <c r="Q278" s="63"/>
    </row>
    <row r="279" customFormat="false" ht="15.75" hidden="false" customHeight="false" outlineLevel="0" collapsed="false">
      <c r="F279" s="63"/>
      <c r="J279" s="63"/>
      <c r="Q279" s="63"/>
    </row>
    <row r="280" customFormat="false" ht="15.75" hidden="false" customHeight="false" outlineLevel="0" collapsed="false">
      <c r="F280" s="63"/>
      <c r="J280" s="63"/>
      <c r="Q280" s="63"/>
    </row>
    <row r="281" customFormat="false" ht="15.75" hidden="false" customHeight="false" outlineLevel="0" collapsed="false">
      <c r="F281" s="63"/>
      <c r="J281" s="63"/>
      <c r="Q281" s="63"/>
    </row>
    <row r="282" customFormat="false" ht="15.75" hidden="false" customHeight="false" outlineLevel="0" collapsed="false">
      <c r="F282" s="63"/>
      <c r="J282" s="63"/>
      <c r="Q282" s="63"/>
    </row>
    <row r="283" customFormat="false" ht="15.75" hidden="false" customHeight="false" outlineLevel="0" collapsed="false">
      <c r="F283" s="63"/>
      <c r="J283" s="63"/>
      <c r="Q283" s="63"/>
    </row>
    <row r="284" customFormat="false" ht="15.75" hidden="false" customHeight="false" outlineLevel="0" collapsed="false">
      <c r="F284" s="63"/>
      <c r="J284" s="63"/>
      <c r="Q284" s="63"/>
    </row>
    <row r="285" customFormat="false" ht="15.75" hidden="false" customHeight="false" outlineLevel="0" collapsed="false">
      <c r="F285" s="63"/>
      <c r="J285" s="63"/>
      <c r="Q285" s="63"/>
    </row>
    <row r="286" customFormat="false" ht="15.75" hidden="false" customHeight="false" outlineLevel="0" collapsed="false">
      <c r="F286" s="63"/>
      <c r="J286" s="63"/>
      <c r="Q286" s="63"/>
    </row>
    <row r="287" customFormat="false" ht="15.75" hidden="false" customHeight="false" outlineLevel="0" collapsed="false">
      <c r="F287" s="63"/>
      <c r="J287" s="63"/>
      <c r="Q287" s="63"/>
    </row>
    <row r="288" customFormat="false" ht="15.75" hidden="false" customHeight="false" outlineLevel="0" collapsed="false">
      <c r="F288" s="63"/>
      <c r="J288" s="63"/>
      <c r="Q288" s="63"/>
    </row>
    <row r="289" customFormat="false" ht="15.75" hidden="false" customHeight="false" outlineLevel="0" collapsed="false">
      <c r="F289" s="63"/>
      <c r="J289" s="63"/>
      <c r="Q289" s="63"/>
    </row>
    <row r="290" customFormat="false" ht="15.75" hidden="false" customHeight="false" outlineLevel="0" collapsed="false">
      <c r="F290" s="63"/>
      <c r="J290" s="63"/>
      <c r="Q290" s="63"/>
    </row>
    <row r="291" customFormat="false" ht="15.75" hidden="false" customHeight="false" outlineLevel="0" collapsed="false">
      <c r="F291" s="63"/>
      <c r="J291" s="63"/>
      <c r="Q291" s="63"/>
    </row>
    <row r="292" customFormat="false" ht="15.75" hidden="false" customHeight="false" outlineLevel="0" collapsed="false">
      <c r="F292" s="63"/>
      <c r="J292" s="63"/>
      <c r="Q292" s="63"/>
    </row>
    <row r="293" customFormat="false" ht="15.75" hidden="false" customHeight="false" outlineLevel="0" collapsed="false">
      <c r="F293" s="63"/>
      <c r="J293" s="63"/>
      <c r="Q293" s="63"/>
    </row>
    <row r="294" customFormat="false" ht="15.75" hidden="false" customHeight="false" outlineLevel="0" collapsed="false">
      <c r="F294" s="63"/>
      <c r="J294" s="63"/>
      <c r="Q294" s="63"/>
    </row>
    <row r="295" customFormat="false" ht="15.75" hidden="false" customHeight="false" outlineLevel="0" collapsed="false">
      <c r="F295" s="63"/>
      <c r="J295" s="63"/>
      <c r="Q295" s="63"/>
    </row>
    <row r="296" customFormat="false" ht="15.75" hidden="false" customHeight="false" outlineLevel="0" collapsed="false">
      <c r="F296" s="63"/>
      <c r="J296" s="63"/>
      <c r="Q296" s="63"/>
    </row>
    <row r="297" customFormat="false" ht="15.75" hidden="false" customHeight="false" outlineLevel="0" collapsed="false">
      <c r="F297" s="63"/>
      <c r="J297" s="63"/>
      <c r="Q297" s="63"/>
    </row>
    <row r="298" customFormat="false" ht="15.75" hidden="false" customHeight="false" outlineLevel="0" collapsed="false">
      <c r="F298" s="63"/>
      <c r="J298" s="63"/>
      <c r="Q298" s="63"/>
    </row>
    <row r="299" customFormat="false" ht="15.75" hidden="false" customHeight="false" outlineLevel="0" collapsed="false">
      <c r="F299" s="63"/>
      <c r="J299" s="63"/>
      <c r="Q299" s="63"/>
    </row>
    <row r="300" customFormat="false" ht="15.75" hidden="false" customHeight="false" outlineLevel="0" collapsed="false">
      <c r="F300" s="63"/>
      <c r="J300" s="63"/>
      <c r="Q300" s="63"/>
    </row>
    <row r="301" customFormat="false" ht="15.75" hidden="false" customHeight="false" outlineLevel="0" collapsed="false">
      <c r="F301" s="63"/>
      <c r="J301" s="63"/>
      <c r="Q301" s="63"/>
    </row>
    <row r="302" customFormat="false" ht="15.75" hidden="false" customHeight="false" outlineLevel="0" collapsed="false">
      <c r="F302" s="63"/>
      <c r="J302" s="63"/>
      <c r="Q302" s="63"/>
    </row>
    <row r="303" customFormat="false" ht="15.75" hidden="false" customHeight="false" outlineLevel="0" collapsed="false">
      <c r="F303" s="63"/>
      <c r="J303" s="63"/>
      <c r="Q303" s="63"/>
    </row>
    <row r="304" customFormat="false" ht="15.75" hidden="false" customHeight="false" outlineLevel="0" collapsed="false">
      <c r="F304" s="63"/>
      <c r="J304" s="63"/>
      <c r="Q304" s="63"/>
    </row>
    <row r="305" customFormat="false" ht="15.75" hidden="false" customHeight="false" outlineLevel="0" collapsed="false">
      <c r="F305" s="63"/>
      <c r="J305" s="63"/>
      <c r="Q305" s="63"/>
    </row>
    <row r="306" customFormat="false" ht="15.75" hidden="false" customHeight="false" outlineLevel="0" collapsed="false">
      <c r="F306" s="63"/>
      <c r="J306" s="63"/>
      <c r="Q306" s="63"/>
    </row>
    <row r="307" customFormat="false" ht="15.75" hidden="false" customHeight="false" outlineLevel="0" collapsed="false">
      <c r="F307" s="63"/>
      <c r="J307" s="63"/>
      <c r="Q307" s="63"/>
    </row>
    <row r="308" customFormat="false" ht="15.75" hidden="false" customHeight="false" outlineLevel="0" collapsed="false">
      <c r="F308" s="63"/>
      <c r="J308" s="63"/>
      <c r="Q308" s="63"/>
    </row>
    <row r="309" customFormat="false" ht="15.75" hidden="false" customHeight="false" outlineLevel="0" collapsed="false">
      <c r="F309" s="63"/>
      <c r="J309" s="63"/>
      <c r="Q309" s="63"/>
    </row>
    <row r="310" customFormat="false" ht="15.75" hidden="false" customHeight="false" outlineLevel="0" collapsed="false">
      <c r="F310" s="63"/>
      <c r="J310" s="63"/>
      <c r="Q310" s="63"/>
    </row>
    <row r="311" customFormat="false" ht="15.75" hidden="false" customHeight="false" outlineLevel="0" collapsed="false">
      <c r="F311" s="63"/>
      <c r="J311" s="63"/>
      <c r="Q311" s="63"/>
    </row>
    <row r="312" customFormat="false" ht="15.75" hidden="false" customHeight="false" outlineLevel="0" collapsed="false">
      <c r="F312" s="63"/>
      <c r="J312" s="63"/>
      <c r="Q312" s="63"/>
    </row>
    <row r="313" customFormat="false" ht="15.75" hidden="false" customHeight="false" outlineLevel="0" collapsed="false">
      <c r="F313" s="63"/>
      <c r="J313" s="63"/>
      <c r="Q313" s="63"/>
    </row>
    <row r="314" customFormat="false" ht="15.75" hidden="false" customHeight="false" outlineLevel="0" collapsed="false">
      <c r="F314" s="63"/>
      <c r="J314" s="63"/>
      <c r="Q314" s="63"/>
    </row>
    <row r="315" customFormat="false" ht="15.75" hidden="false" customHeight="false" outlineLevel="0" collapsed="false">
      <c r="F315" s="63"/>
      <c r="J315" s="63"/>
      <c r="Q315" s="63"/>
    </row>
    <row r="316" customFormat="false" ht="15.75" hidden="false" customHeight="false" outlineLevel="0" collapsed="false">
      <c r="F316" s="63"/>
      <c r="J316" s="63"/>
      <c r="Q316" s="63"/>
    </row>
    <row r="317" customFormat="false" ht="15.75" hidden="false" customHeight="false" outlineLevel="0" collapsed="false">
      <c r="F317" s="63"/>
      <c r="J317" s="63"/>
      <c r="Q317" s="63"/>
    </row>
    <row r="318" customFormat="false" ht="15.75" hidden="false" customHeight="false" outlineLevel="0" collapsed="false">
      <c r="F318" s="63"/>
      <c r="J318" s="63"/>
      <c r="Q318" s="63"/>
    </row>
    <row r="319" customFormat="false" ht="15.75" hidden="false" customHeight="false" outlineLevel="0" collapsed="false">
      <c r="F319" s="63"/>
      <c r="J319" s="63"/>
      <c r="Q319" s="63"/>
    </row>
    <row r="320" customFormat="false" ht="15.75" hidden="false" customHeight="false" outlineLevel="0" collapsed="false">
      <c r="F320" s="63"/>
      <c r="J320" s="63"/>
      <c r="Q320" s="63"/>
    </row>
    <row r="321" customFormat="false" ht="15.75" hidden="false" customHeight="false" outlineLevel="0" collapsed="false">
      <c r="F321" s="63"/>
      <c r="J321" s="63"/>
      <c r="Q321" s="63"/>
    </row>
    <row r="322" customFormat="false" ht="15.75" hidden="false" customHeight="false" outlineLevel="0" collapsed="false">
      <c r="F322" s="63"/>
      <c r="J322" s="63"/>
      <c r="Q322" s="63"/>
    </row>
    <row r="323" customFormat="false" ht="15.75" hidden="false" customHeight="false" outlineLevel="0" collapsed="false">
      <c r="F323" s="63"/>
      <c r="J323" s="63"/>
      <c r="Q323" s="63"/>
    </row>
    <row r="324" customFormat="false" ht="15.75" hidden="false" customHeight="false" outlineLevel="0" collapsed="false">
      <c r="F324" s="63"/>
      <c r="J324" s="63"/>
      <c r="Q324" s="63"/>
    </row>
    <row r="325" customFormat="false" ht="15.75" hidden="false" customHeight="false" outlineLevel="0" collapsed="false">
      <c r="F325" s="63"/>
      <c r="J325" s="63"/>
      <c r="Q325" s="63"/>
    </row>
    <row r="326" customFormat="false" ht="15.75" hidden="false" customHeight="false" outlineLevel="0" collapsed="false">
      <c r="F326" s="63"/>
      <c r="J326" s="63"/>
      <c r="Q326" s="63"/>
    </row>
    <row r="327" customFormat="false" ht="15.75" hidden="false" customHeight="false" outlineLevel="0" collapsed="false">
      <c r="F327" s="63"/>
      <c r="J327" s="63"/>
      <c r="Q327" s="63"/>
    </row>
    <row r="328" customFormat="false" ht="15.75" hidden="false" customHeight="false" outlineLevel="0" collapsed="false">
      <c r="F328" s="63"/>
      <c r="J328" s="63"/>
      <c r="Q328" s="63"/>
    </row>
    <row r="329" customFormat="false" ht="15.75" hidden="false" customHeight="false" outlineLevel="0" collapsed="false">
      <c r="F329" s="63"/>
      <c r="J329" s="63"/>
      <c r="Q329" s="63"/>
    </row>
    <row r="330" customFormat="false" ht="15.75" hidden="false" customHeight="false" outlineLevel="0" collapsed="false">
      <c r="F330" s="63"/>
      <c r="J330" s="63"/>
      <c r="Q330" s="63"/>
    </row>
    <row r="331" customFormat="false" ht="15.75" hidden="false" customHeight="false" outlineLevel="0" collapsed="false">
      <c r="F331" s="63"/>
      <c r="J331" s="63"/>
      <c r="Q331" s="63"/>
    </row>
    <row r="332" customFormat="false" ht="15.75" hidden="false" customHeight="false" outlineLevel="0" collapsed="false">
      <c r="F332" s="63"/>
      <c r="J332" s="63"/>
      <c r="Q332" s="63"/>
    </row>
    <row r="333" customFormat="false" ht="15.75" hidden="false" customHeight="false" outlineLevel="0" collapsed="false">
      <c r="F333" s="63"/>
      <c r="J333" s="63"/>
      <c r="Q333" s="63"/>
    </row>
    <row r="334" customFormat="false" ht="15.75" hidden="false" customHeight="false" outlineLevel="0" collapsed="false">
      <c r="F334" s="63"/>
      <c r="J334" s="63"/>
      <c r="Q334" s="63"/>
    </row>
    <row r="335" customFormat="false" ht="15.75" hidden="false" customHeight="false" outlineLevel="0" collapsed="false">
      <c r="F335" s="63"/>
      <c r="J335" s="63"/>
      <c r="Q335" s="63"/>
    </row>
    <row r="336" customFormat="false" ht="15.75" hidden="false" customHeight="false" outlineLevel="0" collapsed="false">
      <c r="F336" s="63"/>
      <c r="J336" s="63"/>
      <c r="Q336" s="63"/>
    </row>
    <row r="337" customFormat="false" ht="15.75" hidden="false" customHeight="false" outlineLevel="0" collapsed="false">
      <c r="F337" s="63"/>
      <c r="J337" s="63"/>
      <c r="Q337" s="63"/>
    </row>
    <row r="338" customFormat="false" ht="15.75" hidden="false" customHeight="false" outlineLevel="0" collapsed="false">
      <c r="F338" s="63"/>
      <c r="J338" s="63"/>
      <c r="Q338" s="63"/>
    </row>
    <row r="339" customFormat="false" ht="15.75" hidden="false" customHeight="false" outlineLevel="0" collapsed="false">
      <c r="F339" s="63"/>
      <c r="J339" s="63"/>
      <c r="Q339" s="63"/>
    </row>
    <row r="340" customFormat="false" ht="15.75" hidden="false" customHeight="false" outlineLevel="0" collapsed="false">
      <c r="F340" s="63"/>
      <c r="J340" s="63"/>
      <c r="Q340" s="63"/>
    </row>
    <row r="341" customFormat="false" ht="15.75" hidden="false" customHeight="false" outlineLevel="0" collapsed="false">
      <c r="F341" s="63"/>
      <c r="J341" s="63"/>
      <c r="Q341" s="63"/>
    </row>
    <row r="342" customFormat="false" ht="15.75" hidden="false" customHeight="false" outlineLevel="0" collapsed="false">
      <c r="F342" s="63"/>
      <c r="J342" s="63"/>
      <c r="Q342" s="63"/>
    </row>
    <row r="343" customFormat="false" ht="15.75" hidden="false" customHeight="false" outlineLevel="0" collapsed="false">
      <c r="F343" s="63"/>
      <c r="J343" s="63"/>
      <c r="Q343" s="63"/>
    </row>
    <row r="344" customFormat="false" ht="15.75" hidden="false" customHeight="false" outlineLevel="0" collapsed="false">
      <c r="F344" s="63"/>
      <c r="J344" s="63"/>
      <c r="Q344" s="63"/>
    </row>
    <row r="345" customFormat="false" ht="15.75" hidden="false" customHeight="false" outlineLevel="0" collapsed="false">
      <c r="F345" s="63"/>
      <c r="J345" s="63"/>
      <c r="Q345" s="63"/>
    </row>
    <row r="346" customFormat="false" ht="15.75" hidden="false" customHeight="false" outlineLevel="0" collapsed="false">
      <c r="F346" s="63"/>
      <c r="J346" s="63"/>
      <c r="Q346" s="63"/>
    </row>
    <row r="347" customFormat="false" ht="15.75" hidden="false" customHeight="false" outlineLevel="0" collapsed="false">
      <c r="F347" s="63"/>
      <c r="J347" s="63"/>
      <c r="Q347" s="63"/>
    </row>
    <row r="348" customFormat="false" ht="15.75" hidden="false" customHeight="false" outlineLevel="0" collapsed="false">
      <c r="F348" s="63"/>
      <c r="J348" s="63"/>
      <c r="Q348" s="63"/>
    </row>
    <row r="349" customFormat="false" ht="15.75" hidden="false" customHeight="false" outlineLevel="0" collapsed="false">
      <c r="F349" s="63"/>
      <c r="J349" s="63"/>
      <c r="Q349" s="63"/>
    </row>
    <row r="350" customFormat="false" ht="15.75" hidden="false" customHeight="false" outlineLevel="0" collapsed="false">
      <c r="F350" s="63"/>
      <c r="J350" s="63"/>
      <c r="Q350" s="63"/>
    </row>
    <row r="351" customFormat="false" ht="15.75" hidden="false" customHeight="false" outlineLevel="0" collapsed="false">
      <c r="F351" s="63"/>
      <c r="J351" s="63"/>
      <c r="Q351" s="63"/>
    </row>
    <row r="352" customFormat="false" ht="15.75" hidden="false" customHeight="false" outlineLevel="0" collapsed="false">
      <c r="F352" s="63"/>
      <c r="J352" s="63"/>
      <c r="Q352" s="63"/>
    </row>
    <row r="353" customFormat="false" ht="15.75" hidden="false" customHeight="false" outlineLevel="0" collapsed="false">
      <c r="F353" s="63"/>
      <c r="J353" s="63"/>
      <c r="Q353" s="63"/>
    </row>
    <row r="354" customFormat="false" ht="15.75" hidden="false" customHeight="false" outlineLevel="0" collapsed="false">
      <c r="F354" s="63"/>
      <c r="J354" s="63"/>
      <c r="Q354" s="63"/>
    </row>
    <row r="355" customFormat="false" ht="15.75" hidden="false" customHeight="false" outlineLevel="0" collapsed="false">
      <c r="F355" s="63"/>
      <c r="J355" s="63"/>
      <c r="Q355" s="63"/>
    </row>
    <row r="356" customFormat="false" ht="15.75" hidden="false" customHeight="false" outlineLevel="0" collapsed="false">
      <c r="F356" s="63"/>
      <c r="J356" s="63"/>
      <c r="Q356" s="63"/>
    </row>
    <row r="357" customFormat="false" ht="15.75" hidden="false" customHeight="false" outlineLevel="0" collapsed="false">
      <c r="F357" s="63"/>
      <c r="J357" s="63"/>
      <c r="Q357" s="63"/>
    </row>
    <row r="358" customFormat="false" ht="15.75" hidden="false" customHeight="false" outlineLevel="0" collapsed="false">
      <c r="F358" s="63"/>
      <c r="J358" s="63"/>
      <c r="Q358" s="63"/>
    </row>
    <row r="359" customFormat="false" ht="15.75" hidden="false" customHeight="false" outlineLevel="0" collapsed="false">
      <c r="F359" s="63"/>
      <c r="J359" s="63"/>
      <c r="Q359" s="63"/>
    </row>
    <row r="360" customFormat="false" ht="15.75" hidden="false" customHeight="false" outlineLevel="0" collapsed="false">
      <c r="F360" s="63"/>
      <c r="J360" s="63"/>
      <c r="Q360" s="63"/>
    </row>
    <row r="361" customFormat="false" ht="15.75" hidden="false" customHeight="false" outlineLevel="0" collapsed="false">
      <c r="F361" s="63"/>
      <c r="J361" s="63"/>
      <c r="Q361" s="63"/>
    </row>
    <row r="362" customFormat="false" ht="15.75" hidden="false" customHeight="false" outlineLevel="0" collapsed="false">
      <c r="F362" s="63"/>
      <c r="J362" s="63"/>
      <c r="Q362" s="63"/>
    </row>
    <row r="363" customFormat="false" ht="15.75" hidden="false" customHeight="false" outlineLevel="0" collapsed="false">
      <c r="F363" s="63"/>
      <c r="J363" s="63"/>
      <c r="Q363" s="63"/>
    </row>
    <row r="364" customFormat="false" ht="15.75" hidden="false" customHeight="false" outlineLevel="0" collapsed="false">
      <c r="F364" s="63"/>
      <c r="J364" s="63"/>
      <c r="Q364" s="63"/>
    </row>
    <row r="365" customFormat="false" ht="15.75" hidden="false" customHeight="false" outlineLevel="0" collapsed="false">
      <c r="F365" s="63"/>
      <c r="J365" s="63"/>
      <c r="Q365" s="63"/>
    </row>
    <row r="366" customFormat="false" ht="15.75" hidden="false" customHeight="false" outlineLevel="0" collapsed="false">
      <c r="F366" s="63"/>
      <c r="J366" s="63"/>
      <c r="Q366" s="63"/>
    </row>
    <row r="367" customFormat="false" ht="15.75" hidden="false" customHeight="false" outlineLevel="0" collapsed="false">
      <c r="F367" s="63"/>
      <c r="J367" s="63"/>
      <c r="Q367" s="63"/>
    </row>
    <row r="368" customFormat="false" ht="15.75" hidden="false" customHeight="false" outlineLevel="0" collapsed="false">
      <c r="F368" s="63"/>
      <c r="J368" s="63"/>
      <c r="Q368" s="63"/>
    </row>
    <row r="369" customFormat="false" ht="15.75" hidden="false" customHeight="false" outlineLevel="0" collapsed="false">
      <c r="F369" s="63"/>
      <c r="J369" s="63"/>
      <c r="Q369" s="63"/>
    </row>
    <row r="370" customFormat="false" ht="15.75" hidden="false" customHeight="false" outlineLevel="0" collapsed="false">
      <c r="F370" s="63"/>
      <c r="J370" s="63"/>
      <c r="Q370" s="63"/>
    </row>
    <row r="371" customFormat="false" ht="15.75" hidden="false" customHeight="false" outlineLevel="0" collapsed="false">
      <c r="F371" s="63"/>
      <c r="J371" s="63"/>
      <c r="Q371" s="63"/>
    </row>
    <row r="372" customFormat="false" ht="15.75" hidden="false" customHeight="false" outlineLevel="0" collapsed="false">
      <c r="F372" s="63"/>
      <c r="J372" s="63"/>
      <c r="Q372" s="63"/>
    </row>
    <row r="373" customFormat="false" ht="15.75" hidden="false" customHeight="false" outlineLevel="0" collapsed="false">
      <c r="F373" s="63"/>
      <c r="J373" s="63"/>
      <c r="Q373" s="63"/>
    </row>
    <row r="374" customFormat="false" ht="15.75" hidden="false" customHeight="false" outlineLevel="0" collapsed="false">
      <c r="F374" s="63"/>
      <c r="J374" s="63"/>
      <c r="Q374" s="63"/>
    </row>
    <row r="375" customFormat="false" ht="15.75" hidden="false" customHeight="false" outlineLevel="0" collapsed="false">
      <c r="F375" s="63"/>
      <c r="J375" s="63"/>
      <c r="Q375" s="63"/>
    </row>
    <row r="376" customFormat="false" ht="15.75" hidden="false" customHeight="false" outlineLevel="0" collapsed="false">
      <c r="F376" s="63"/>
      <c r="J376" s="63"/>
      <c r="Q376" s="63"/>
    </row>
    <row r="377" customFormat="false" ht="15.75" hidden="false" customHeight="false" outlineLevel="0" collapsed="false">
      <c r="F377" s="63"/>
      <c r="J377" s="63"/>
      <c r="Q377" s="63"/>
    </row>
    <row r="378" customFormat="false" ht="15.75" hidden="false" customHeight="false" outlineLevel="0" collapsed="false">
      <c r="F378" s="63"/>
      <c r="J378" s="63"/>
      <c r="Q378" s="63"/>
    </row>
    <row r="379" customFormat="false" ht="15.75" hidden="false" customHeight="false" outlineLevel="0" collapsed="false">
      <c r="F379" s="63"/>
      <c r="J379" s="63"/>
      <c r="Q379" s="63"/>
    </row>
    <row r="380" customFormat="false" ht="15.75" hidden="false" customHeight="false" outlineLevel="0" collapsed="false">
      <c r="F380" s="63"/>
      <c r="J380" s="63"/>
      <c r="Q380" s="63"/>
    </row>
    <row r="381" customFormat="false" ht="15.75" hidden="false" customHeight="false" outlineLevel="0" collapsed="false">
      <c r="F381" s="63"/>
      <c r="J381" s="63"/>
      <c r="Q381" s="63"/>
    </row>
    <row r="382" customFormat="false" ht="15.75" hidden="false" customHeight="false" outlineLevel="0" collapsed="false">
      <c r="F382" s="63"/>
      <c r="J382" s="63"/>
      <c r="Q382" s="63"/>
    </row>
    <row r="383" customFormat="false" ht="15.75" hidden="false" customHeight="false" outlineLevel="0" collapsed="false">
      <c r="F383" s="63"/>
      <c r="J383" s="63"/>
      <c r="Q383" s="63"/>
    </row>
    <row r="384" customFormat="false" ht="15.75" hidden="false" customHeight="false" outlineLevel="0" collapsed="false">
      <c r="F384" s="63"/>
      <c r="J384" s="63"/>
      <c r="Q384" s="63"/>
    </row>
    <row r="385" customFormat="false" ht="15.75" hidden="false" customHeight="false" outlineLevel="0" collapsed="false">
      <c r="F385" s="63"/>
      <c r="J385" s="63"/>
      <c r="Q385" s="63"/>
    </row>
    <row r="386" customFormat="false" ht="15.75" hidden="false" customHeight="false" outlineLevel="0" collapsed="false">
      <c r="F386" s="63"/>
      <c r="J386" s="63"/>
      <c r="Q386" s="63"/>
    </row>
    <row r="387" customFormat="false" ht="15.75" hidden="false" customHeight="false" outlineLevel="0" collapsed="false">
      <c r="F387" s="63"/>
      <c r="J387" s="63"/>
      <c r="Q387" s="63"/>
    </row>
    <row r="388" customFormat="false" ht="15.75" hidden="false" customHeight="false" outlineLevel="0" collapsed="false">
      <c r="F388" s="63"/>
      <c r="J388" s="63"/>
      <c r="Q388" s="63"/>
    </row>
    <row r="389" customFormat="false" ht="15.75" hidden="false" customHeight="false" outlineLevel="0" collapsed="false">
      <c r="F389" s="63"/>
      <c r="J389" s="63"/>
      <c r="Q389" s="63"/>
    </row>
    <row r="390" customFormat="false" ht="15.75" hidden="false" customHeight="false" outlineLevel="0" collapsed="false">
      <c r="F390" s="63"/>
      <c r="J390" s="63"/>
      <c r="Q390" s="63"/>
    </row>
    <row r="391" customFormat="false" ht="15.75" hidden="false" customHeight="false" outlineLevel="0" collapsed="false">
      <c r="F391" s="63"/>
      <c r="J391" s="63"/>
      <c r="Q391" s="63"/>
    </row>
    <row r="392" customFormat="false" ht="15.75" hidden="false" customHeight="false" outlineLevel="0" collapsed="false">
      <c r="F392" s="63"/>
      <c r="J392" s="63"/>
      <c r="Q392" s="63"/>
    </row>
    <row r="393" customFormat="false" ht="15.75" hidden="false" customHeight="false" outlineLevel="0" collapsed="false">
      <c r="F393" s="63"/>
      <c r="J393" s="63"/>
      <c r="Q393" s="63"/>
    </row>
    <row r="394" customFormat="false" ht="15.75" hidden="false" customHeight="false" outlineLevel="0" collapsed="false">
      <c r="F394" s="63"/>
      <c r="J394" s="63"/>
      <c r="Q394" s="63"/>
    </row>
    <row r="395" customFormat="false" ht="15.75" hidden="false" customHeight="false" outlineLevel="0" collapsed="false">
      <c r="F395" s="63"/>
      <c r="J395" s="63"/>
      <c r="Q395" s="63"/>
    </row>
    <row r="396" customFormat="false" ht="15.75" hidden="false" customHeight="false" outlineLevel="0" collapsed="false">
      <c r="F396" s="63"/>
      <c r="J396" s="63"/>
      <c r="Q396" s="63"/>
    </row>
    <row r="397" customFormat="false" ht="15.75" hidden="false" customHeight="false" outlineLevel="0" collapsed="false">
      <c r="F397" s="63"/>
      <c r="J397" s="63"/>
      <c r="Q397" s="63"/>
    </row>
    <row r="398" customFormat="false" ht="15.75" hidden="false" customHeight="false" outlineLevel="0" collapsed="false">
      <c r="F398" s="63"/>
      <c r="J398" s="63"/>
      <c r="Q398" s="63"/>
    </row>
    <row r="399" customFormat="false" ht="15.75" hidden="false" customHeight="false" outlineLevel="0" collapsed="false">
      <c r="F399" s="63"/>
      <c r="J399" s="63"/>
      <c r="Q399" s="63"/>
    </row>
    <row r="400" customFormat="false" ht="15.75" hidden="false" customHeight="false" outlineLevel="0" collapsed="false">
      <c r="F400" s="63"/>
      <c r="J400" s="63"/>
      <c r="Q400" s="63"/>
    </row>
    <row r="401" customFormat="false" ht="15.75" hidden="false" customHeight="false" outlineLevel="0" collapsed="false">
      <c r="F401" s="63"/>
      <c r="J401" s="63"/>
      <c r="Q401" s="63"/>
    </row>
    <row r="402" customFormat="false" ht="15.75" hidden="false" customHeight="false" outlineLevel="0" collapsed="false">
      <c r="F402" s="63"/>
      <c r="J402" s="63"/>
      <c r="Q402" s="63"/>
    </row>
    <row r="403" customFormat="false" ht="15.75" hidden="false" customHeight="false" outlineLevel="0" collapsed="false">
      <c r="F403" s="63"/>
      <c r="J403" s="63"/>
      <c r="Q403" s="63"/>
    </row>
    <row r="404" customFormat="false" ht="15.75" hidden="false" customHeight="false" outlineLevel="0" collapsed="false">
      <c r="F404" s="63"/>
      <c r="J404" s="63"/>
      <c r="Q404" s="63"/>
    </row>
    <row r="405" customFormat="false" ht="15.75" hidden="false" customHeight="false" outlineLevel="0" collapsed="false">
      <c r="F405" s="63"/>
      <c r="J405" s="63"/>
      <c r="Q405" s="63"/>
    </row>
    <row r="406" customFormat="false" ht="15.75" hidden="false" customHeight="false" outlineLevel="0" collapsed="false">
      <c r="F406" s="63"/>
      <c r="J406" s="63"/>
      <c r="Q406" s="63"/>
    </row>
    <row r="407" customFormat="false" ht="15.75" hidden="false" customHeight="false" outlineLevel="0" collapsed="false">
      <c r="F407" s="63"/>
      <c r="J407" s="63"/>
      <c r="Q407" s="63"/>
    </row>
    <row r="408" customFormat="false" ht="15.75" hidden="false" customHeight="false" outlineLevel="0" collapsed="false">
      <c r="F408" s="63"/>
      <c r="J408" s="63"/>
      <c r="Q408" s="63"/>
    </row>
    <row r="409" customFormat="false" ht="15.75" hidden="false" customHeight="false" outlineLevel="0" collapsed="false">
      <c r="F409" s="63"/>
      <c r="J409" s="63"/>
      <c r="Q409" s="63"/>
    </row>
    <row r="410" customFormat="false" ht="15.75" hidden="false" customHeight="false" outlineLevel="0" collapsed="false">
      <c r="F410" s="63"/>
      <c r="J410" s="63"/>
      <c r="Q410" s="63"/>
    </row>
    <row r="411" customFormat="false" ht="15.75" hidden="false" customHeight="false" outlineLevel="0" collapsed="false">
      <c r="F411" s="63"/>
      <c r="J411" s="63"/>
      <c r="Q411" s="63"/>
    </row>
    <row r="412" customFormat="false" ht="15.75" hidden="false" customHeight="false" outlineLevel="0" collapsed="false">
      <c r="F412" s="63"/>
      <c r="J412" s="63"/>
      <c r="Q412" s="63"/>
    </row>
    <row r="413" customFormat="false" ht="15.75" hidden="false" customHeight="false" outlineLevel="0" collapsed="false">
      <c r="F413" s="63"/>
      <c r="J413" s="63"/>
      <c r="Q413" s="63"/>
    </row>
    <row r="414" customFormat="false" ht="15.75" hidden="false" customHeight="false" outlineLevel="0" collapsed="false">
      <c r="F414" s="63"/>
      <c r="J414" s="63"/>
      <c r="Q414" s="63"/>
    </row>
    <row r="415" customFormat="false" ht="15.75" hidden="false" customHeight="false" outlineLevel="0" collapsed="false">
      <c r="F415" s="63"/>
      <c r="J415" s="63"/>
      <c r="Q415" s="63"/>
    </row>
    <row r="416" customFormat="false" ht="15.75" hidden="false" customHeight="false" outlineLevel="0" collapsed="false">
      <c r="F416" s="63"/>
      <c r="J416" s="63"/>
      <c r="Q416" s="63"/>
    </row>
    <row r="417" customFormat="false" ht="15.75" hidden="false" customHeight="false" outlineLevel="0" collapsed="false">
      <c r="F417" s="63"/>
      <c r="J417" s="63"/>
      <c r="Q417" s="63"/>
    </row>
    <row r="418" customFormat="false" ht="15.75" hidden="false" customHeight="false" outlineLevel="0" collapsed="false">
      <c r="F418" s="63"/>
      <c r="J418" s="63"/>
      <c r="Q418" s="63"/>
    </row>
    <row r="419" customFormat="false" ht="15.75" hidden="false" customHeight="false" outlineLevel="0" collapsed="false">
      <c r="F419" s="63"/>
      <c r="J419" s="63"/>
      <c r="Q419" s="63"/>
    </row>
    <row r="420" customFormat="false" ht="15.75" hidden="false" customHeight="false" outlineLevel="0" collapsed="false">
      <c r="F420" s="63"/>
      <c r="J420" s="63"/>
      <c r="Q420" s="63"/>
    </row>
    <row r="421" customFormat="false" ht="15.75" hidden="false" customHeight="false" outlineLevel="0" collapsed="false">
      <c r="F421" s="63"/>
      <c r="J421" s="63"/>
      <c r="Q421" s="63"/>
    </row>
    <row r="422" customFormat="false" ht="15.75" hidden="false" customHeight="false" outlineLevel="0" collapsed="false">
      <c r="F422" s="63"/>
      <c r="J422" s="63"/>
      <c r="Q422" s="63"/>
    </row>
    <row r="423" customFormat="false" ht="15.75" hidden="false" customHeight="false" outlineLevel="0" collapsed="false">
      <c r="F423" s="63"/>
      <c r="J423" s="63"/>
      <c r="Q423" s="63"/>
    </row>
    <row r="424" customFormat="false" ht="15.75" hidden="false" customHeight="false" outlineLevel="0" collapsed="false">
      <c r="F424" s="63"/>
      <c r="J424" s="63"/>
      <c r="Q424" s="63"/>
    </row>
    <row r="425" customFormat="false" ht="15.75" hidden="false" customHeight="false" outlineLevel="0" collapsed="false">
      <c r="F425" s="63"/>
      <c r="J425" s="63"/>
      <c r="Q425" s="63"/>
    </row>
    <row r="426" customFormat="false" ht="15.75" hidden="false" customHeight="false" outlineLevel="0" collapsed="false">
      <c r="F426" s="63"/>
      <c r="J426" s="63"/>
      <c r="Q426" s="63"/>
    </row>
    <row r="427" customFormat="false" ht="15.75" hidden="false" customHeight="false" outlineLevel="0" collapsed="false">
      <c r="F427" s="63"/>
      <c r="J427" s="63"/>
      <c r="Q427" s="63"/>
    </row>
    <row r="428" customFormat="false" ht="15.75" hidden="false" customHeight="false" outlineLevel="0" collapsed="false">
      <c r="F428" s="63"/>
      <c r="J428" s="63"/>
      <c r="Q428" s="63"/>
    </row>
    <row r="429" customFormat="false" ht="15.75" hidden="false" customHeight="false" outlineLevel="0" collapsed="false">
      <c r="F429" s="63"/>
      <c r="J429" s="63"/>
      <c r="Q429" s="63"/>
    </row>
    <row r="430" customFormat="false" ht="15.75" hidden="false" customHeight="false" outlineLevel="0" collapsed="false">
      <c r="F430" s="63"/>
      <c r="J430" s="63"/>
      <c r="Q430" s="63"/>
    </row>
    <row r="431" customFormat="false" ht="15.75" hidden="false" customHeight="false" outlineLevel="0" collapsed="false">
      <c r="F431" s="63"/>
      <c r="J431" s="63"/>
      <c r="Q431" s="63"/>
    </row>
    <row r="432" customFormat="false" ht="15.75" hidden="false" customHeight="false" outlineLevel="0" collapsed="false">
      <c r="F432" s="63"/>
      <c r="J432" s="63"/>
      <c r="Q432" s="63"/>
    </row>
    <row r="433" customFormat="false" ht="15.75" hidden="false" customHeight="false" outlineLevel="0" collapsed="false">
      <c r="F433" s="63"/>
      <c r="J433" s="63"/>
      <c r="Q433" s="63"/>
    </row>
    <row r="434" customFormat="false" ht="15.75" hidden="false" customHeight="false" outlineLevel="0" collapsed="false">
      <c r="F434" s="63"/>
      <c r="J434" s="63"/>
      <c r="Q434" s="63"/>
    </row>
    <row r="435" customFormat="false" ht="15.75" hidden="false" customHeight="false" outlineLevel="0" collapsed="false">
      <c r="F435" s="63"/>
      <c r="J435" s="63"/>
      <c r="Q435" s="63"/>
    </row>
    <row r="436" customFormat="false" ht="15.75" hidden="false" customHeight="false" outlineLevel="0" collapsed="false">
      <c r="F436" s="63"/>
      <c r="J436" s="63"/>
      <c r="Q436" s="63"/>
    </row>
    <row r="437" customFormat="false" ht="15.75" hidden="false" customHeight="false" outlineLevel="0" collapsed="false">
      <c r="F437" s="63"/>
      <c r="J437" s="63"/>
      <c r="Q437" s="63"/>
    </row>
    <row r="438" customFormat="false" ht="15.75" hidden="false" customHeight="false" outlineLevel="0" collapsed="false">
      <c r="F438" s="63"/>
      <c r="J438" s="63"/>
      <c r="Q438" s="63"/>
    </row>
    <row r="439" customFormat="false" ht="15.75" hidden="false" customHeight="false" outlineLevel="0" collapsed="false">
      <c r="F439" s="63"/>
      <c r="J439" s="63"/>
      <c r="Q439" s="63"/>
    </row>
    <row r="440" customFormat="false" ht="15.75" hidden="false" customHeight="false" outlineLevel="0" collapsed="false">
      <c r="F440" s="63"/>
      <c r="J440" s="63"/>
      <c r="Q440" s="63"/>
    </row>
    <row r="441" customFormat="false" ht="15.75" hidden="false" customHeight="false" outlineLevel="0" collapsed="false">
      <c r="F441" s="63"/>
      <c r="J441" s="63"/>
      <c r="Q441" s="63"/>
    </row>
    <row r="442" customFormat="false" ht="15.75" hidden="false" customHeight="false" outlineLevel="0" collapsed="false">
      <c r="F442" s="63"/>
      <c r="J442" s="63"/>
      <c r="Q442" s="63"/>
    </row>
    <row r="443" customFormat="false" ht="15.75" hidden="false" customHeight="false" outlineLevel="0" collapsed="false">
      <c r="F443" s="63"/>
      <c r="J443" s="63"/>
      <c r="Q443" s="63"/>
    </row>
    <row r="444" customFormat="false" ht="15.75" hidden="false" customHeight="false" outlineLevel="0" collapsed="false">
      <c r="F444" s="63"/>
      <c r="J444" s="63"/>
      <c r="Q444" s="63"/>
    </row>
    <row r="445" customFormat="false" ht="15.75" hidden="false" customHeight="false" outlineLevel="0" collapsed="false">
      <c r="F445" s="63"/>
      <c r="J445" s="63"/>
      <c r="Q445" s="63"/>
    </row>
    <row r="446" customFormat="false" ht="15.75" hidden="false" customHeight="false" outlineLevel="0" collapsed="false">
      <c r="F446" s="63"/>
      <c r="J446" s="63"/>
      <c r="Q446" s="63"/>
    </row>
    <row r="447" customFormat="false" ht="15.75" hidden="false" customHeight="false" outlineLevel="0" collapsed="false">
      <c r="F447" s="63"/>
      <c r="J447" s="63"/>
      <c r="Q447" s="63"/>
    </row>
    <row r="448" customFormat="false" ht="15.75" hidden="false" customHeight="false" outlineLevel="0" collapsed="false">
      <c r="F448" s="63"/>
      <c r="J448" s="63"/>
      <c r="Q448" s="63"/>
    </row>
    <row r="449" customFormat="false" ht="15.75" hidden="false" customHeight="false" outlineLevel="0" collapsed="false">
      <c r="F449" s="63"/>
      <c r="J449" s="63"/>
      <c r="Q449" s="63"/>
    </row>
    <row r="450" customFormat="false" ht="15.75" hidden="false" customHeight="false" outlineLevel="0" collapsed="false">
      <c r="F450" s="63"/>
      <c r="J450" s="63"/>
      <c r="Q450" s="63"/>
    </row>
    <row r="451" customFormat="false" ht="15.75" hidden="false" customHeight="false" outlineLevel="0" collapsed="false">
      <c r="F451" s="63"/>
      <c r="J451" s="63"/>
      <c r="Q451" s="63"/>
    </row>
    <row r="452" customFormat="false" ht="15.75" hidden="false" customHeight="false" outlineLevel="0" collapsed="false">
      <c r="F452" s="63"/>
      <c r="J452" s="63"/>
      <c r="Q452" s="63"/>
    </row>
    <row r="453" customFormat="false" ht="15.75" hidden="false" customHeight="false" outlineLevel="0" collapsed="false">
      <c r="F453" s="63"/>
      <c r="J453" s="63"/>
      <c r="Q453" s="63"/>
    </row>
    <row r="454" customFormat="false" ht="15.75" hidden="false" customHeight="false" outlineLevel="0" collapsed="false">
      <c r="F454" s="63"/>
      <c r="J454" s="63"/>
      <c r="Q454" s="63"/>
    </row>
    <row r="455" customFormat="false" ht="15.75" hidden="false" customHeight="false" outlineLevel="0" collapsed="false">
      <c r="F455" s="63"/>
      <c r="J455" s="63"/>
      <c r="Q455" s="63"/>
    </row>
    <row r="456" customFormat="false" ht="15.75" hidden="false" customHeight="false" outlineLevel="0" collapsed="false">
      <c r="F456" s="63"/>
      <c r="J456" s="63"/>
      <c r="Q456" s="63"/>
    </row>
    <row r="457" customFormat="false" ht="15.75" hidden="false" customHeight="false" outlineLevel="0" collapsed="false">
      <c r="F457" s="63"/>
      <c r="J457" s="63"/>
      <c r="Q457" s="63"/>
    </row>
    <row r="458" customFormat="false" ht="15.75" hidden="false" customHeight="false" outlineLevel="0" collapsed="false">
      <c r="F458" s="63"/>
      <c r="J458" s="63"/>
      <c r="Q458" s="63"/>
    </row>
    <row r="459" customFormat="false" ht="15.75" hidden="false" customHeight="false" outlineLevel="0" collapsed="false">
      <c r="F459" s="63"/>
      <c r="J459" s="63"/>
      <c r="Q459" s="63"/>
    </row>
    <row r="460" customFormat="false" ht="15.75" hidden="false" customHeight="false" outlineLevel="0" collapsed="false">
      <c r="F460" s="63"/>
      <c r="J460" s="63"/>
      <c r="Q460" s="63"/>
    </row>
    <row r="461" customFormat="false" ht="15.75" hidden="false" customHeight="false" outlineLevel="0" collapsed="false">
      <c r="F461" s="63"/>
      <c r="J461" s="63"/>
      <c r="Q461" s="63"/>
    </row>
    <row r="462" customFormat="false" ht="15.75" hidden="false" customHeight="false" outlineLevel="0" collapsed="false">
      <c r="F462" s="63"/>
      <c r="J462" s="63"/>
      <c r="Q462" s="63"/>
    </row>
    <row r="463" customFormat="false" ht="15.75" hidden="false" customHeight="false" outlineLevel="0" collapsed="false">
      <c r="F463" s="63"/>
      <c r="J463" s="63"/>
      <c r="Q463" s="63"/>
    </row>
    <row r="464" customFormat="false" ht="15.75" hidden="false" customHeight="false" outlineLevel="0" collapsed="false">
      <c r="F464" s="63"/>
      <c r="J464" s="63"/>
      <c r="Q464" s="63"/>
    </row>
    <row r="465" customFormat="false" ht="15.75" hidden="false" customHeight="false" outlineLevel="0" collapsed="false">
      <c r="F465" s="63"/>
      <c r="J465" s="63"/>
      <c r="Q465" s="63"/>
    </row>
    <row r="466" customFormat="false" ht="15.75" hidden="false" customHeight="false" outlineLevel="0" collapsed="false">
      <c r="F466" s="63"/>
      <c r="J466" s="63"/>
      <c r="Q466" s="63"/>
    </row>
    <row r="467" customFormat="false" ht="15.75" hidden="false" customHeight="false" outlineLevel="0" collapsed="false">
      <c r="F467" s="63"/>
      <c r="J467" s="63"/>
      <c r="Q467" s="63"/>
    </row>
    <row r="468" customFormat="false" ht="15.75" hidden="false" customHeight="false" outlineLevel="0" collapsed="false">
      <c r="F468" s="63"/>
      <c r="J468" s="63"/>
      <c r="Q468" s="63"/>
    </row>
    <row r="469" customFormat="false" ht="15.75" hidden="false" customHeight="false" outlineLevel="0" collapsed="false">
      <c r="F469" s="63"/>
      <c r="J469" s="63"/>
      <c r="Q469" s="63"/>
    </row>
    <row r="470" customFormat="false" ht="15.75" hidden="false" customHeight="false" outlineLevel="0" collapsed="false">
      <c r="F470" s="63"/>
      <c r="J470" s="63"/>
      <c r="Q470" s="63"/>
    </row>
    <row r="471" customFormat="false" ht="15.75" hidden="false" customHeight="false" outlineLevel="0" collapsed="false">
      <c r="F471" s="63"/>
      <c r="J471" s="63"/>
      <c r="Q471" s="63"/>
    </row>
    <row r="472" customFormat="false" ht="15.75" hidden="false" customHeight="false" outlineLevel="0" collapsed="false">
      <c r="F472" s="63"/>
      <c r="J472" s="63"/>
      <c r="Q472" s="63"/>
    </row>
    <row r="473" customFormat="false" ht="15.75" hidden="false" customHeight="false" outlineLevel="0" collapsed="false">
      <c r="F473" s="63"/>
      <c r="J473" s="63"/>
      <c r="Q473" s="63"/>
    </row>
    <row r="474" customFormat="false" ht="15.75" hidden="false" customHeight="false" outlineLevel="0" collapsed="false">
      <c r="F474" s="63"/>
      <c r="J474" s="63"/>
      <c r="Q474" s="63"/>
    </row>
    <row r="475" customFormat="false" ht="15.75" hidden="false" customHeight="false" outlineLevel="0" collapsed="false">
      <c r="F475" s="63"/>
      <c r="J475" s="63"/>
      <c r="Q475" s="63"/>
    </row>
    <row r="476" customFormat="false" ht="15.75" hidden="false" customHeight="false" outlineLevel="0" collapsed="false">
      <c r="F476" s="63"/>
      <c r="J476" s="63"/>
      <c r="Q476" s="63"/>
    </row>
    <row r="477" customFormat="false" ht="15.75" hidden="false" customHeight="false" outlineLevel="0" collapsed="false">
      <c r="F477" s="63"/>
      <c r="J477" s="63"/>
      <c r="Q477" s="63"/>
    </row>
    <row r="478" customFormat="false" ht="15.75" hidden="false" customHeight="false" outlineLevel="0" collapsed="false">
      <c r="F478" s="63"/>
      <c r="J478" s="63"/>
      <c r="Q478" s="63"/>
    </row>
    <row r="479" customFormat="false" ht="15.75" hidden="false" customHeight="false" outlineLevel="0" collapsed="false">
      <c r="F479" s="63"/>
      <c r="J479" s="63"/>
      <c r="Q479" s="63"/>
    </row>
    <row r="480" customFormat="false" ht="15.75" hidden="false" customHeight="false" outlineLevel="0" collapsed="false">
      <c r="F480" s="63"/>
      <c r="J480" s="63"/>
      <c r="Q480" s="63"/>
    </row>
    <row r="481" customFormat="false" ht="15.75" hidden="false" customHeight="false" outlineLevel="0" collapsed="false">
      <c r="F481" s="63"/>
      <c r="J481" s="63"/>
      <c r="Q481" s="63"/>
    </row>
    <row r="482" customFormat="false" ht="15.75" hidden="false" customHeight="false" outlineLevel="0" collapsed="false">
      <c r="F482" s="63"/>
      <c r="J482" s="63"/>
      <c r="Q482" s="63"/>
    </row>
    <row r="483" customFormat="false" ht="15.75" hidden="false" customHeight="false" outlineLevel="0" collapsed="false">
      <c r="F483" s="63"/>
      <c r="J483" s="63"/>
      <c r="Q483" s="63"/>
    </row>
    <row r="484" customFormat="false" ht="15.75" hidden="false" customHeight="false" outlineLevel="0" collapsed="false">
      <c r="F484" s="63"/>
      <c r="J484" s="63"/>
      <c r="Q484" s="63"/>
    </row>
    <row r="485" customFormat="false" ht="15.75" hidden="false" customHeight="false" outlineLevel="0" collapsed="false">
      <c r="F485" s="63"/>
      <c r="J485" s="63"/>
      <c r="Q485" s="63"/>
    </row>
    <row r="486" customFormat="false" ht="15.75" hidden="false" customHeight="false" outlineLevel="0" collapsed="false">
      <c r="F486" s="63"/>
      <c r="J486" s="63"/>
      <c r="Q486" s="63"/>
    </row>
    <row r="487" customFormat="false" ht="15.75" hidden="false" customHeight="false" outlineLevel="0" collapsed="false">
      <c r="F487" s="63"/>
      <c r="J487" s="63"/>
      <c r="Q487" s="63"/>
    </row>
    <row r="488" customFormat="false" ht="15.75" hidden="false" customHeight="false" outlineLevel="0" collapsed="false">
      <c r="F488" s="63"/>
      <c r="J488" s="63"/>
      <c r="Q488" s="63"/>
    </row>
    <row r="489" customFormat="false" ht="15.75" hidden="false" customHeight="false" outlineLevel="0" collapsed="false">
      <c r="F489" s="63"/>
      <c r="J489" s="63"/>
      <c r="Q489" s="63"/>
    </row>
    <row r="490" customFormat="false" ht="15.75" hidden="false" customHeight="false" outlineLevel="0" collapsed="false">
      <c r="F490" s="63"/>
      <c r="J490" s="63"/>
      <c r="Q490" s="63"/>
    </row>
    <row r="491" customFormat="false" ht="15.75" hidden="false" customHeight="false" outlineLevel="0" collapsed="false">
      <c r="F491" s="63"/>
      <c r="J491" s="63"/>
      <c r="Q491" s="63"/>
    </row>
    <row r="492" customFormat="false" ht="15.75" hidden="false" customHeight="false" outlineLevel="0" collapsed="false">
      <c r="F492" s="63"/>
      <c r="J492" s="63"/>
      <c r="Q492" s="63"/>
    </row>
    <row r="493" customFormat="false" ht="15.75" hidden="false" customHeight="false" outlineLevel="0" collapsed="false">
      <c r="F493" s="63"/>
      <c r="J493" s="63"/>
      <c r="Q493" s="63"/>
    </row>
    <row r="494" customFormat="false" ht="15.75" hidden="false" customHeight="false" outlineLevel="0" collapsed="false">
      <c r="F494" s="63"/>
      <c r="J494" s="63"/>
      <c r="Q494" s="63"/>
    </row>
    <row r="495" customFormat="false" ht="15.75" hidden="false" customHeight="false" outlineLevel="0" collapsed="false">
      <c r="F495" s="63"/>
      <c r="J495" s="63"/>
      <c r="Q495" s="63"/>
    </row>
    <row r="496" customFormat="false" ht="15.75" hidden="false" customHeight="false" outlineLevel="0" collapsed="false">
      <c r="F496" s="63"/>
      <c r="J496" s="63"/>
      <c r="Q496" s="63"/>
    </row>
    <row r="497" customFormat="false" ht="15.75" hidden="false" customHeight="false" outlineLevel="0" collapsed="false">
      <c r="F497" s="63"/>
      <c r="J497" s="63"/>
      <c r="Q497" s="63"/>
    </row>
    <row r="498" customFormat="false" ht="15.75" hidden="false" customHeight="false" outlineLevel="0" collapsed="false">
      <c r="F498" s="63"/>
      <c r="J498" s="63"/>
      <c r="Q498" s="63"/>
    </row>
    <row r="499" customFormat="false" ht="15.75" hidden="false" customHeight="false" outlineLevel="0" collapsed="false">
      <c r="F499" s="63"/>
      <c r="J499" s="63"/>
      <c r="Q499" s="63"/>
    </row>
    <row r="500" customFormat="false" ht="15.75" hidden="false" customHeight="false" outlineLevel="0" collapsed="false">
      <c r="F500" s="63"/>
      <c r="J500" s="63"/>
      <c r="Q500" s="63"/>
    </row>
    <row r="501" customFormat="false" ht="15.75" hidden="false" customHeight="false" outlineLevel="0" collapsed="false">
      <c r="F501" s="63"/>
      <c r="J501" s="63"/>
      <c r="Q501" s="63"/>
    </row>
    <row r="502" customFormat="false" ht="15.75" hidden="false" customHeight="false" outlineLevel="0" collapsed="false">
      <c r="F502" s="63"/>
      <c r="J502" s="63"/>
      <c r="Q502" s="63"/>
    </row>
    <row r="503" customFormat="false" ht="15.75" hidden="false" customHeight="false" outlineLevel="0" collapsed="false">
      <c r="F503" s="63"/>
      <c r="J503" s="63"/>
      <c r="Q503" s="63"/>
    </row>
    <row r="504" customFormat="false" ht="15.75" hidden="false" customHeight="false" outlineLevel="0" collapsed="false">
      <c r="F504" s="63"/>
      <c r="J504" s="63"/>
      <c r="Q504" s="63"/>
    </row>
    <row r="505" customFormat="false" ht="15.75" hidden="false" customHeight="false" outlineLevel="0" collapsed="false">
      <c r="F505" s="63"/>
      <c r="J505" s="63"/>
      <c r="Q505" s="63"/>
    </row>
    <row r="506" customFormat="false" ht="15.75" hidden="false" customHeight="false" outlineLevel="0" collapsed="false">
      <c r="F506" s="63"/>
      <c r="J506" s="63"/>
      <c r="Q506" s="63"/>
    </row>
    <row r="507" customFormat="false" ht="15.75" hidden="false" customHeight="false" outlineLevel="0" collapsed="false">
      <c r="F507" s="63"/>
      <c r="J507" s="63"/>
      <c r="Q507" s="63"/>
    </row>
    <row r="508" customFormat="false" ht="15.75" hidden="false" customHeight="false" outlineLevel="0" collapsed="false">
      <c r="F508" s="63"/>
      <c r="J508" s="63"/>
      <c r="Q508" s="63"/>
    </row>
    <row r="509" customFormat="false" ht="15.75" hidden="false" customHeight="false" outlineLevel="0" collapsed="false">
      <c r="F509" s="63"/>
      <c r="J509" s="63"/>
      <c r="Q509" s="63"/>
    </row>
    <row r="510" customFormat="false" ht="15.75" hidden="false" customHeight="false" outlineLevel="0" collapsed="false">
      <c r="F510" s="63"/>
      <c r="J510" s="63"/>
      <c r="Q510" s="63"/>
    </row>
    <row r="511" customFormat="false" ht="15.75" hidden="false" customHeight="false" outlineLevel="0" collapsed="false">
      <c r="F511" s="63"/>
      <c r="J511" s="63"/>
      <c r="Q511" s="63"/>
    </row>
    <row r="512" customFormat="false" ht="15.75" hidden="false" customHeight="false" outlineLevel="0" collapsed="false">
      <c r="F512" s="63"/>
      <c r="J512" s="63"/>
      <c r="Q512" s="63"/>
    </row>
    <row r="513" customFormat="false" ht="15.75" hidden="false" customHeight="false" outlineLevel="0" collapsed="false">
      <c r="F513" s="63"/>
      <c r="J513" s="63"/>
      <c r="Q513" s="63"/>
    </row>
    <row r="514" customFormat="false" ht="15.75" hidden="false" customHeight="false" outlineLevel="0" collapsed="false">
      <c r="F514" s="63"/>
      <c r="J514" s="63"/>
      <c r="Q514" s="63"/>
    </row>
    <row r="515" customFormat="false" ht="15.75" hidden="false" customHeight="false" outlineLevel="0" collapsed="false">
      <c r="F515" s="63"/>
      <c r="J515" s="63"/>
      <c r="Q515" s="63"/>
    </row>
    <row r="516" customFormat="false" ht="15.75" hidden="false" customHeight="false" outlineLevel="0" collapsed="false">
      <c r="F516" s="63"/>
      <c r="J516" s="63"/>
      <c r="Q516" s="63"/>
    </row>
    <row r="517" customFormat="false" ht="15.75" hidden="false" customHeight="false" outlineLevel="0" collapsed="false">
      <c r="F517" s="63"/>
      <c r="J517" s="63"/>
      <c r="Q517" s="63"/>
    </row>
    <row r="518" customFormat="false" ht="15.75" hidden="false" customHeight="false" outlineLevel="0" collapsed="false">
      <c r="F518" s="63"/>
      <c r="J518" s="63"/>
      <c r="Q518" s="63"/>
    </row>
    <row r="519" customFormat="false" ht="15.75" hidden="false" customHeight="false" outlineLevel="0" collapsed="false">
      <c r="F519" s="63"/>
      <c r="J519" s="63"/>
      <c r="Q519" s="63"/>
    </row>
    <row r="520" customFormat="false" ht="15.75" hidden="false" customHeight="false" outlineLevel="0" collapsed="false">
      <c r="F520" s="63"/>
      <c r="J520" s="63"/>
      <c r="Q520" s="63"/>
    </row>
    <row r="521" customFormat="false" ht="15.75" hidden="false" customHeight="false" outlineLevel="0" collapsed="false">
      <c r="F521" s="63"/>
      <c r="J521" s="63"/>
      <c r="Q521" s="63"/>
    </row>
    <row r="522" customFormat="false" ht="15.75" hidden="false" customHeight="false" outlineLevel="0" collapsed="false">
      <c r="F522" s="63"/>
      <c r="J522" s="63"/>
      <c r="Q522" s="63"/>
    </row>
    <row r="523" customFormat="false" ht="15.75" hidden="false" customHeight="false" outlineLevel="0" collapsed="false">
      <c r="F523" s="63"/>
      <c r="J523" s="63"/>
      <c r="Q523" s="63"/>
    </row>
    <row r="524" customFormat="false" ht="15.75" hidden="false" customHeight="false" outlineLevel="0" collapsed="false">
      <c r="F524" s="63"/>
      <c r="J524" s="63"/>
      <c r="Q524" s="63"/>
    </row>
    <row r="525" customFormat="false" ht="15.75" hidden="false" customHeight="false" outlineLevel="0" collapsed="false">
      <c r="F525" s="63"/>
      <c r="J525" s="63"/>
      <c r="Q525" s="63"/>
    </row>
    <row r="526" customFormat="false" ht="15.75" hidden="false" customHeight="false" outlineLevel="0" collapsed="false">
      <c r="F526" s="63"/>
      <c r="J526" s="63"/>
      <c r="Q526" s="63"/>
    </row>
    <row r="527" customFormat="false" ht="15.75" hidden="false" customHeight="false" outlineLevel="0" collapsed="false">
      <c r="F527" s="63"/>
      <c r="J527" s="63"/>
      <c r="Q527" s="63"/>
    </row>
    <row r="528" customFormat="false" ht="15.75" hidden="false" customHeight="false" outlineLevel="0" collapsed="false">
      <c r="F528" s="63"/>
      <c r="J528" s="63"/>
      <c r="Q528" s="63"/>
    </row>
    <row r="529" customFormat="false" ht="15.75" hidden="false" customHeight="false" outlineLevel="0" collapsed="false">
      <c r="F529" s="63"/>
      <c r="J529" s="63"/>
      <c r="Q529" s="63"/>
    </row>
    <row r="530" customFormat="false" ht="15.75" hidden="false" customHeight="false" outlineLevel="0" collapsed="false">
      <c r="F530" s="63"/>
      <c r="J530" s="63"/>
      <c r="Q530" s="63"/>
    </row>
    <row r="531" customFormat="false" ht="15.75" hidden="false" customHeight="false" outlineLevel="0" collapsed="false">
      <c r="F531" s="63"/>
      <c r="J531" s="63"/>
      <c r="Q531" s="63"/>
    </row>
    <row r="532" customFormat="false" ht="15.75" hidden="false" customHeight="false" outlineLevel="0" collapsed="false">
      <c r="F532" s="63"/>
      <c r="J532" s="63"/>
      <c r="Q532" s="63"/>
    </row>
    <row r="533" customFormat="false" ht="15.75" hidden="false" customHeight="false" outlineLevel="0" collapsed="false">
      <c r="F533" s="63"/>
      <c r="J533" s="63"/>
      <c r="Q533" s="63"/>
    </row>
    <row r="534" customFormat="false" ht="15.75" hidden="false" customHeight="false" outlineLevel="0" collapsed="false">
      <c r="F534" s="63"/>
      <c r="J534" s="63"/>
      <c r="Q534" s="63"/>
    </row>
    <row r="535" customFormat="false" ht="15.75" hidden="false" customHeight="false" outlineLevel="0" collapsed="false">
      <c r="F535" s="63"/>
      <c r="J535" s="63"/>
      <c r="Q535" s="63"/>
    </row>
    <row r="536" customFormat="false" ht="15.75" hidden="false" customHeight="false" outlineLevel="0" collapsed="false">
      <c r="F536" s="63"/>
      <c r="J536" s="63"/>
      <c r="Q536" s="63"/>
    </row>
    <row r="537" customFormat="false" ht="15.75" hidden="false" customHeight="false" outlineLevel="0" collapsed="false">
      <c r="F537" s="63"/>
      <c r="J537" s="63"/>
      <c r="Q537" s="63"/>
    </row>
    <row r="538" customFormat="false" ht="15.75" hidden="false" customHeight="false" outlineLevel="0" collapsed="false">
      <c r="F538" s="63"/>
      <c r="J538" s="63"/>
      <c r="Q538" s="63"/>
    </row>
    <row r="539" customFormat="false" ht="15.75" hidden="false" customHeight="false" outlineLevel="0" collapsed="false">
      <c r="F539" s="63"/>
      <c r="J539" s="63"/>
      <c r="Q539" s="63"/>
    </row>
    <row r="540" customFormat="false" ht="15.75" hidden="false" customHeight="false" outlineLevel="0" collapsed="false">
      <c r="F540" s="63"/>
      <c r="J540" s="63"/>
      <c r="Q540" s="63"/>
    </row>
    <row r="541" customFormat="false" ht="15.75" hidden="false" customHeight="false" outlineLevel="0" collapsed="false">
      <c r="F541" s="63"/>
      <c r="J541" s="63"/>
      <c r="Q541" s="63"/>
    </row>
    <row r="542" customFormat="false" ht="15.75" hidden="false" customHeight="false" outlineLevel="0" collapsed="false">
      <c r="F542" s="63"/>
      <c r="J542" s="63"/>
      <c r="Q542" s="63"/>
    </row>
    <row r="543" customFormat="false" ht="15.75" hidden="false" customHeight="false" outlineLevel="0" collapsed="false">
      <c r="F543" s="63"/>
      <c r="J543" s="63"/>
      <c r="Q543" s="63"/>
    </row>
    <row r="544" customFormat="false" ht="15.75" hidden="false" customHeight="false" outlineLevel="0" collapsed="false">
      <c r="F544" s="63"/>
      <c r="J544" s="63"/>
      <c r="Q544" s="63"/>
    </row>
    <row r="545" customFormat="false" ht="15.75" hidden="false" customHeight="false" outlineLevel="0" collapsed="false">
      <c r="F545" s="63"/>
      <c r="J545" s="63"/>
      <c r="Q545" s="63"/>
    </row>
    <row r="546" customFormat="false" ht="15.75" hidden="false" customHeight="false" outlineLevel="0" collapsed="false">
      <c r="F546" s="63"/>
      <c r="J546" s="63"/>
      <c r="Q546" s="63"/>
    </row>
    <row r="547" customFormat="false" ht="15.75" hidden="false" customHeight="false" outlineLevel="0" collapsed="false">
      <c r="F547" s="63"/>
      <c r="J547" s="63"/>
      <c r="Q547" s="63"/>
    </row>
    <row r="548" customFormat="false" ht="15.75" hidden="false" customHeight="false" outlineLevel="0" collapsed="false">
      <c r="F548" s="63"/>
      <c r="J548" s="63"/>
      <c r="Q548" s="63"/>
    </row>
    <row r="549" customFormat="false" ht="15.75" hidden="false" customHeight="false" outlineLevel="0" collapsed="false">
      <c r="F549" s="63"/>
      <c r="J549" s="63"/>
      <c r="Q549" s="63"/>
    </row>
    <row r="550" customFormat="false" ht="15.75" hidden="false" customHeight="false" outlineLevel="0" collapsed="false">
      <c r="F550" s="63"/>
      <c r="J550" s="63"/>
      <c r="Q550" s="63"/>
    </row>
    <row r="551" customFormat="false" ht="15.75" hidden="false" customHeight="false" outlineLevel="0" collapsed="false">
      <c r="F551" s="63"/>
      <c r="J551" s="63"/>
      <c r="Q551" s="63"/>
    </row>
    <row r="552" customFormat="false" ht="15.75" hidden="false" customHeight="false" outlineLevel="0" collapsed="false">
      <c r="F552" s="63"/>
      <c r="J552" s="63"/>
      <c r="Q552" s="63"/>
    </row>
    <row r="553" customFormat="false" ht="15.75" hidden="false" customHeight="false" outlineLevel="0" collapsed="false">
      <c r="F553" s="63"/>
      <c r="J553" s="63"/>
      <c r="Q553" s="63"/>
    </row>
    <row r="554" customFormat="false" ht="15.75" hidden="false" customHeight="false" outlineLevel="0" collapsed="false">
      <c r="F554" s="63"/>
      <c r="J554" s="63"/>
      <c r="Q554" s="63"/>
    </row>
    <row r="555" customFormat="false" ht="15.75" hidden="false" customHeight="false" outlineLevel="0" collapsed="false">
      <c r="F555" s="63"/>
      <c r="J555" s="63"/>
      <c r="Q555" s="63"/>
    </row>
    <row r="556" customFormat="false" ht="15.75" hidden="false" customHeight="false" outlineLevel="0" collapsed="false">
      <c r="F556" s="63"/>
      <c r="J556" s="63"/>
      <c r="Q556" s="63"/>
    </row>
    <row r="557" customFormat="false" ht="15.75" hidden="false" customHeight="false" outlineLevel="0" collapsed="false">
      <c r="F557" s="63"/>
      <c r="J557" s="63"/>
      <c r="Q557" s="63"/>
    </row>
    <row r="558" customFormat="false" ht="15.75" hidden="false" customHeight="false" outlineLevel="0" collapsed="false">
      <c r="F558" s="63"/>
      <c r="J558" s="63"/>
      <c r="Q558" s="63"/>
    </row>
    <row r="559" customFormat="false" ht="15.75" hidden="false" customHeight="false" outlineLevel="0" collapsed="false">
      <c r="F559" s="63"/>
      <c r="J559" s="63"/>
      <c r="Q559" s="63"/>
    </row>
    <row r="560" customFormat="false" ht="15.75" hidden="false" customHeight="false" outlineLevel="0" collapsed="false">
      <c r="F560" s="63"/>
      <c r="J560" s="63"/>
      <c r="Q560" s="63"/>
    </row>
    <row r="561" customFormat="false" ht="15.75" hidden="false" customHeight="false" outlineLevel="0" collapsed="false">
      <c r="F561" s="63"/>
      <c r="J561" s="63"/>
      <c r="Q561" s="63"/>
    </row>
    <row r="562" customFormat="false" ht="15.75" hidden="false" customHeight="false" outlineLevel="0" collapsed="false">
      <c r="F562" s="63"/>
      <c r="J562" s="63"/>
      <c r="Q562" s="63"/>
    </row>
    <row r="563" customFormat="false" ht="15.75" hidden="false" customHeight="false" outlineLevel="0" collapsed="false">
      <c r="F563" s="63"/>
      <c r="J563" s="63"/>
      <c r="Q563" s="63"/>
    </row>
    <row r="564" customFormat="false" ht="15.75" hidden="false" customHeight="false" outlineLevel="0" collapsed="false">
      <c r="F564" s="63"/>
      <c r="J564" s="63"/>
      <c r="Q564" s="63"/>
    </row>
    <row r="565" customFormat="false" ht="15.75" hidden="false" customHeight="false" outlineLevel="0" collapsed="false">
      <c r="F565" s="63"/>
      <c r="J565" s="63"/>
      <c r="Q565" s="63"/>
    </row>
    <row r="566" customFormat="false" ht="15.75" hidden="false" customHeight="false" outlineLevel="0" collapsed="false">
      <c r="F566" s="63"/>
      <c r="J566" s="63"/>
      <c r="Q566" s="63"/>
    </row>
    <row r="567" customFormat="false" ht="15.75" hidden="false" customHeight="false" outlineLevel="0" collapsed="false">
      <c r="F567" s="63"/>
      <c r="J567" s="63"/>
      <c r="Q567" s="63"/>
    </row>
    <row r="568" customFormat="false" ht="15.75" hidden="false" customHeight="false" outlineLevel="0" collapsed="false">
      <c r="F568" s="63"/>
      <c r="J568" s="63"/>
      <c r="Q568" s="63"/>
    </row>
    <row r="569" customFormat="false" ht="15.75" hidden="false" customHeight="false" outlineLevel="0" collapsed="false">
      <c r="F569" s="63"/>
      <c r="J569" s="63"/>
      <c r="Q569" s="63"/>
    </row>
    <row r="570" customFormat="false" ht="15.75" hidden="false" customHeight="false" outlineLevel="0" collapsed="false">
      <c r="F570" s="63"/>
      <c r="J570" s="63"/>
      <c r="Q570" s="63"/>
    </row>
    <row r="571" customFormat="false" ht="15.75" hidden="false" customHeight="false" outlineLevel="0" collapsed="false">
      <c r="F571" s="63"/>
      <c r="J571" s="63"/>
      <c r="Q571" s="63"/>
    </row>
    <row r="572" customFormat="false" ht="15.75" hidden="false" customHeight="false" outlineLevel="0" collapsed="false">
      <c r="F572" s="63"/>
      <c r="J572" s="63"/>
      <c r="Q572" s="63"/>
    </row>
    <row r="573" customFormat="false" ht="15.75" hidden="false" customHeight="false" outlineLevel="0" collapsed="false">
      <c r="F573" s="63"/>
      <c r="J573" s="63"/>
      <c r="Q573" s="63"/>
    </row>
    <row r="574" customFormat="false" ht="15.75" hidden="false" customHeight="false" outlineLevel="0" collapsed="false">
      <c r="F574" s="63"/>
      <c r="J574" s="63"/>
      <c r="Q574" s="63"/>
    </row>
    <row r="575" customFormat="false" ht="15.75" hidden="false" customHeight="false" outlineLevel="0" collapsed="false">
      <c r="F575" s="63"/>
      <c r="J575" s="63"/>
      <c r="Q575" s="63"/>
    </row>
    <row r="576" customFormat="false" ht="15.75" hidden="false" customHeight="false" outlineLevel="0" collapsed="false">
      <c r="F576" s="63"/>
      <c r="J576" s="63"/>
      <c r="Q576" s="63"/>
    </row>
    <row r="577" customFormat="false" ht="15.75" hidden="false" customHeight="false" outlineLevel="0" collapsed="false">
      <c r="F577" s="63"/>
      <c r="J577" s="63"/>
      <c r="Q577" s="63"/>
    </row>
    <row r="578" customFormat="false" ht="15.75" hidden="false" customHeight="false" outlineLevel="0" collapsed="false">
      <c r="F578" s="63"/>
      <c r="J578" s="63"/>
      <c r="Q578" s="63"/>
    </row>
    <row r="579" customFormat="false" ht="15.75" hidden="false" customHeight="false" outlineLevel="0" collapsed="false">
      <c r="F579" s="63"/>
      <c r="J579" s="63"/>
      <c r="Q579" s="63"/>
    </row>
    <row r="580" customFormat="false" ht="15.75" hidden="false" customHeight="false" outlineLevel="0" collapsed="false">
      <c r="F580" s="63"/>
      <c r="J580" s="63"/>
      <c r="Q580" s="63"/>
    </row>
    <row r="581" customFormat="false" ht="15.75" hidden="false" customHeight="false" outlineLevel="0" collapsed="false">
      <c r="F581" s="63"/>
      <c r="J581" s="63"/>
      <c r="Q581" s="63"/>
    </row>
    <row r="582" customFormat="false" ht="15.75" hidden="false" customHeight="false" outlineLevel="0" collapsed="false">
      <c r="F582" s="63"/>
      <c r="J582" s="63"/>
      <c r="Q582" s="63"/>
    </row>
    <row r="583" customFormat="false" ht="15.75" hidden="false" customHeight="false" outlineLevel="0" collapsed="false">
      <c r="F583" s="63"/>
      <c r="J583" s="63"/>
      <c r="Q583" s="63"/>
    </row>
    <row r="584" customFormat="false" ht="15.75" hidden="false" customHeight="false" outlineLevel="0" collapsed="false">
      <c r="F584" s="63"/>
      <c r="J584" s="63"/>
      <c r="Q584" s="63"/>
    </row>
    <row r="585" customFormat="false" ht="15.75" hidden="false" customHeight="false" outlineLevel="0" collapsed="false">
      <c r="F585" s="63"/>
      <c r="J585" s="63"/>
      <c r="Q585" s="63"/>
    </row>
    <row r="586" customFormat="false" ht="15.75" hidden="false" customHeight="false" outlineLevel="0" collapsed="false">
      <c r="F586" s="63"/>
      <c r="J586" s="63"/>
      <c r="Q586" s="63"/>
    </row>
    <row r="587" customFormat="false" ht="15.75" hidden="false" customHeight="false" outlineLevel="0" collapsed="false">
      <c r="F587" s="63"/>
      <c r="J587" s="63"/>
      <c r="Q587" s="63"/>
    </row>
    <row r="588" customFormat="false" ht="15.75" hidden="false" customHeight="false" outlineLevel="0" collapsed="false">
      <c r="F588" s="63"/>
      <c r="J588" s="63"/>
      <c r="Q588" s="63"/>
    </row>
    <row r="589" customFormat="false" ht="15.75" hidden="false" customHeight="false" outlineLevel="0" collapsed="false">
      <c r="F589" s="63"/>
      <c r="J589" s="63"/>
      <c r="Q589" s="63"/>
    </row>
    <row r="590" customFormat="false" ht="15.75" hidden="false" customHeight="false" outlineLevel="0" collapsed="false">
      <c r="F590" s="63"/>
      <c r="J590" s="63"/>
      <c r="Q590" s="63"/>
    </row>
    <row r="591" customFormat="false" ht="15.75" hidden="false" customHeight="false" outlineLevel="0" collapsed="false">
      <c r="F591" s="63"/>
      <c r="J591" s="63"/>
      <c r="Q591" s="63"/>
    </row>
    <row r="592" customFormat="false" ht="15.75" hidden="false" customHeight="false" outlineLevel="0" collapsed="false">
      <c r="F592" s="63"/>
      <c r="J592" s="63"/>
      <c r="Q592" s="63"/>
    </row>
    <row r="593" customFormat="false" ht="15.75" hidden="false" customHeight="false" outlineLevel="0" collapsed="false">
      <c r="F593" s="63"/>
      <c r="J593" s="63"/>
      <c r="Q593" s="63"/>
    </row>
    <row r="594" customFormat="false" ht="15.75" hidden="false" customHeight="false" outlineLevel="0" collapsed="false">
      <c r="F594" s="63"/>
      <c r="J594" s="63"/>
      <c r="Q594" s="63"/>
    </row>
    <row r="595" customFormat="false" ht="15.75" hidden="false" customHeight="false" outlineLevel="0" collapsed="false">
      <c r="F595" s="63"/>
      <c r="J595" s="63"/>
      <c r="Q595" s="63"/>
    </row>
    <row r="596" customFormat="false" ht="15.75" hidden="false" customHeight="false" outlineLevel="0" collapsed="false">
      <c r="F596" s="63"/>
      <c r="J596" s="63"/>
      <c r="Q596" s="63"/>
    </row>
    <row r="597" customFormat="false" ht="15.75" hidden="false" customHeight="false" outlineLevel="0" collapsed="false">
      <c r="F597" s="63"/>
      <c r="J597" s="63"/>
      <c r="Q597" s="63"/>
    </row>
    <row r="598" customFormat="false" ht="15.75" hidden="false" customHeight="false" outlineLevel="0" collapsed="false">
      <c r="F598" s="63"/>
      <c r="J598" s="63"/>
      <c r="Q598" s="63"/>
    </row>
    <row r="599" customFormat="false" ht="15.75" hidden="false" customHeight="false" outlineLevel="0" collapsed="false">
      <c r="F599" s="63"/>
      <c r="J599" s="63"/>
      <c r="Q599" s="63"/>
    </row>
    <row r="600" customFormat="false" ht="15.75" hidden="false" customHeight="false" outlineLevel="0" collapsed="false">
      <c r="F600" s="63"/>
      <c r="J600" s="63"/>
      <c r="Q600" s="63"/>
    </row>
    <row r="601" customFormat="false" ht="15.75" hidden="false" customHeight="false" outlineLevel="0" collapsed="false">
      <c r="F601" s="63"/>
      <c r="J601" s="63"/>
      <c r="Q601" s="63"/>
    </row>
    <row r="602" customFormat="false" ht="15.75" hidden="false" customHeight="false" outlineLevel="0" collapsed="false">
      <c r="F602" s="63"/>
      <c r="J602" s="63"/>
      <c r="Q602" s="63"/>
    </row>
    <row r="603" customFormat="false" ht="15.75" hidden="false" customHeight="false" outlineLevel="0" collapsed="false">
      <c r="F603" s="63"/>
      <c r="J603" s="63"/>
      <c r="Q603" s="63"/>
    </row>
    <row r="604" customFormat="false" ht="15.75" hidden="false" customHeight="false" outlineLevel="0" collapsed="false">
      <c r="F604" s="63"/>
      <c r="J604" s="63"/>
      <c r="Q604" s="63"/>
    </row>
    <row r="605" customFormat="false" ht="15.75" hidden="false" customHeight="false" outlineLevel="0" collapsed="false">
      <c r="F605" s="63"/>
      <c r="J605" s="63"/>
      <c r="Q605" s="63"/>
    </row>
    <row r="606" customFormat="false" ht="15.75" hidden="false" customHeight="false" outlineLevel="0" collapsed="false">
      <c r="F606" s="63"/>
      <c r="J606" s="63"/>
      <c r="Q606" s="63"/>
    </row>
    <row r="607" customFormat="false" ht="15.75" hidden="false" customHeight="false" outlineLevel="0" collapsed="false">
      <c r="F607" s="63"/>
      <c r="J607" s="63"/>
      <c r="Q607" s="63"/>
    </row>
    <row r="608" customFormat="false" ht="15.75" hidden="false" customHeight="false" outlineLevel="0" collapsed="false">
      <c r="F608" s="63"/>
      <c r="J608" s="63"/>
      <c r="Q608" s="63"/>
    </row>
    <row r="609" customFormat="false" ht="15.75" hidden="false" customHeight="false" outlineLevel="0" collapsed="false">
      <c r="F609" s="63"/>
      <c r="J609" s="63"/>
      <c r="Q609" s="63"/>
    </row>
    <row r="610" customFormat="false" ht="15.75" hidden="false" customHeight="false" outlineLevel="0" collapsed="false">
      <c r="F610" s="63"/>
      <c r="J610" s="63"/>
      <c r="Q610" s="63"/>
    </row>
    <row r="611" customFormat="false" ht="15.75" hidden="false" customHeight="false" outlineLevel="0" collapsed="false">
      <c r="F611" s="63"/>
      <c r="J611" s="63"/>
      <c r="Q611" s="63"/>
    </row>
    <row r="612" customFormat="false" ht="15.75" hidden="false" customHeight="false" outlineLevel="0" collapsed="false">
      <c r="F612" s="63"/>
      <c r="J612" s="63"/>
      <c r="Q612" s="63"/>
    </row>
    <row r="613" customFormat="false" ht="15.75" hidden="false" customHeight="false" outlineLevel="0" collapsed="false">
      <c r="F613" s="63"/>
      <c r="J613" s="63"/>
      <c r="Q613" s="63"/>
    </row>
    <row r="614" customFormat="false" ht="15.75" hidden="false" customHeight="false" outlineLevel="0" collapsed="false">
      <c r="F614" s="63"/>
      <c r="J614" s="63"/>
      <c r="Q614" s="63"/>
    </row>
    <row r="615" customFormat="false" ht="15.75" hidden="false" customHeight="false" outlineLevel="0" collapsed="false">
      <c r="F615" s="63"/>
      <c r="J615" s="63"/>
      <c r="Q615" s="63"/>
    </row>
    <row r="616" customFormat="false" ht="15.75" hidden="false" customHeight="false" outlineLevel="0" collapsed="false">
      <c r="F616" s="63"/>
      <c r="J616" s="63"/>
      <c r="Q616" s="63"/>
    </row>
    <row r="617" customFormat="false" ht="15.75" hidden="false" customHeight="false" outlineLevel="0" collapsed="false">
      <c r="F617" s="63"/>
      <c r="J617" s="63"/>
      <c r="Q617" s="63"/>
    </row>
    <row r="618" customFormat="false" ht="15.75" hidden="false" customHeight="false" outlineLevel="0" collapsed="false">
      <c r="F618" s="63"/>
      <c r="J618" s="63"/>
      <c r="Q618" s="63"/>
    </row>
    <row r="619" customFormat="false" ht="15.75" hidden="false" customHeight="false" outlineLevel="0" collapsed="false">
      <c r="F619" s="63"/>
      <c r="J619" s="63"/>
      <c r="Q619" s="63"/>
    </row>
    <row r="620" customFormat="false" ht="15.75" hidden="false" customHeight="false" outlineLevel="0" collapsed="false">
      <c r="F620" s="63"/>
      <c r="J620" s="63"/>
      <c r="Q620" s="63"/>
    </row>
    <row r="621" customFormat="false" ht="15.75" hidden="false" customHeight="false" outlineLevel="0" collapsed="false">
      <c r="F621" s="63"/>
      <c r="J621" s="63"/>
      <c r="Q621" s="63"/>
    </row>
    <row r="622" customFormat="false" ht="15.75" hidden="false" customHeight="false" outlineLevel="0" collapsed="false">
      <c r="F622" s="63"/>
      <c r="J622" s="63"/>
      <c r="Q622" s="63"/>
    </row>
    <row r="623" customFormat="false" ht="15.75" hidden="false" customHeight="false" outlineLevel="0" collapsed="false">
      <c r="F623" s="63"/>
      <c r="J623" s="63"/>
      <c r="Q623" s="63"/>
    </row>
    <row r="624" customFormat="false" ht="15.75" hidden="false" customHeight="false" outlineLevel="0" collapsed="false">
      <c r="F624" s="63"/>
      <c r="J624" s="63"/>
      <c r="Q624" s="63"/>
    </row>
    <row r="625" customFormat="false" ht="15.75" hidden="false" customHeight="false" outlineLevel="0" collapsed="false">
      <c r="F625" s="63"/>
      <c r="J625" s="63"/>
      <c r="Q625" s="63"/>
    </row>
    <row r="626" customFormat="false" ht="15.75" hidden="false" customHeight="false" outlineLevel="0" collapsed="false">
      <c r="F626" s="63"/>
      <c r="J626" s="63"/>
      <c r="Q626" s="63"/>
    </row>
    <row r="627" customFormat="false" ht="15.75" hidden="false" customHeight="false" outlineLevel="0" collapsed="false">
      <c r="F627" s="63"/>
      <c r="J627" s="63"/>
      <c r="Q627" s="63"/>
    </row>
    <row r="628" customFormat="false" ht="15.75" hidden="false" customHeight="false" outlineLevel="0" collapsed="false">
      <c r="F628" s="63"/>
      <c r="J628" s="63"/>
      <c r="Q628" s="63"/>
    </row>
    <row r="629" customFormat="false" ht="15.75" hidden="false" customHeight="false" outlineLevel="0" collapsed="false">
      <c r="F629" s="63"/>
      <c r="J629" s="63"/>
      <c r="Q629" s="63"/>
    </row>
    <row r="630" customFormat="false" ht="15.75" hidden="false" customHeight="false" outlineLevel="0" collapsed="false">
      <c r="F630" s="63"/>
      <c r="J630" s="63"/>
      <c r="Q630" s="63"/>
    </row>
    <row r="631" customFormat="false" ht="15.75" hidden="false" customHeight="false" outlineLevel="0" collapsed="false">
      <c r="F631" s="63"/>
      <c r="J631" s="63"/>
      <c r="Q631" s="63"/>
    </row>
    <row r="632" customFormat="false" ht="15.75" hidden="false" customHeight="false" outlineLevel="0" collapsed="false">
      <c r="F632" s="63"/>
      <c r="J632" s="63"/>
      <c r="Q632" s="63"/>
    </row>
    <row r="633" customFormat="false" ht="15.75" hidden="false" customHeight="false" outlineLevel="0" collapsed="false">
      <c r="F633" s="63"/>
      <c r="J633" s="63"/>
      <c r="Q633" s="63"/>
    </row>
    <row r="634" customFormat="false" ht="15.75" hidden="false" customHeight="false" outlineLevel="0" collapsed="false">
      <c r="F634" s="63"/>
      <c r="J634" s="63"/>
      <c r="Q634" s="63"/>
    </row>
    <row r="635" customFormat="false" ht="15.75" hidden="false" customHeight="false" outlineLevel="0" collapsed="false">
      <c r="F635" s="63"/>
      <c r="J635" s="63"/>
      <c r="Q635" s="63"/>
    </row>
    <row r="636" customFormat="false" ht="15.75" hidden="false" customHeight="false" outlineLevel="0" collapsed="false">
      <c r="F636" s="63"/>
      <c r="J636" s="63"/>
      <c r="Q636" s="63"/>
    </row>
    <row r="637" customFormat="false" ht="15.75" hidden="false" customHeight="false" outlineLevel="0" collapsed="false">
      <c r="F637" s="63"/>
      <c r="J637" s="63"/>
      <c r="Q637" s="63"/>
    </row>
    <row r="638" customFormat="false" ht="15.75" hidden="false" customHeight="false" outlineLevel="0" collapsed="false">
      <c r="F638" s="63"/>
      <c r="J638" s="63"/>
      <c r="Q638" s="63"/>
    </row>
    <row r="639" customFormat="false" ht="15.75" hidden="false" customHeight="false" outlineLevel="0" collapsed="false">
      <c r="F639" s="63"/>
      <c r="J639" s="63"/>
      <c r="Q639" s="63"/>
    </row>
    <row r="640" customFormat="false" ht="15.75" hidden="false" customHeight="false" outlineLevel="0" collapsed="false">
      <c r="F640" s="63"/>
      <c r="J640" s="63"/>
      <c r="Q640" s="63"/>
    </row>
    <row r="641" customFormat="false" ht="15.75" hidden="false" customHeight="false" outlineLevel="0" collapsed="false">
      <c r="F641" s="63"/>
      <c r="J641" s="63"/>
      <c r="Q641" s="63"/>
    </row>
    <row r="642" customFormat="false" ht="15.75" hidden="false" customHeight="false" outlineLevel="0" collapsed="false">
      <c r="F642" s="63"/>
      <c r="J642" s="63"/>
      <c r="Q642" s="63"/>
    </row>
    <row r="643" customFormat="false" ht="15.75" hidden="false" customHeight="false" outlineLevel="0" collapsed="false">
      <c r="F643" s="63"/>
      <c r="J643" s="63"/>
      <c r="Q643" s="63"/>
    </row>
    <row r="644" customFormat="false" ht="15.75" hidden="false" customHeight="false" outlineLevel="0" collapsed="false">
      <c r="F644" s="63"/>
      <c r="J644" s="63"/>
      <c r="Q644" s="63"/>
    </row>
    <row r="645" customFormat="false" ht="15.75" hidden="false" customHeight="false" outlineLevel="0" collapsed="false">
      <c r="F645" s="63"/>
      <c r="J645" s="63"/>
      <c r="Q645" s="63"/>
    </row>
    <row r="646" customFormat="false" ht="15.75" hidden="false" customHeight="false" outlineLevel="0" collapsed="false">
      <c r="F646" s="63"/>
      <c r="J646" s="63"/>
      <c r="Q646" s="63"/>
    </row>
    <row r="647" customFormat="false" ht="15.75" hidden="false" customHeight="false" outlineLevel="0" collapsed="false">
      <c r="F647" s="63"/>
      <c r="J647" s="63"/>
      <c r="Q647" s="63"/>
    </row>
    <row r="648" customFormat="false" ht="15.75" hidden="false" customHeight="false" outlineLevel="0" collapsed="false">
      <c r="F648" s="63"/>
      <c r="J648" s="63"/>
      <c r="Q648" s="63"/>
    </row>
    <row r="649" customFormat="false" ht="15.75" hidden="false" customHeight="false" outlineLevel="0" collapsed="false">
      <c r="F649" s="63"/>
      <c r="J649" s="63"/>
      <c r="Q649" s="63"/>
    </row>
    <row r="650" customFormat="false" ht="15.75" hidden="false" customHeight="false" outlineLevel="0" collapsed="false">
      <c r="F650" s="63"/>
      <c r="J650" s="63"/>
      <c r="Q650" s="63"/>
    </row>
    <row r="651" customFormat="false" ht="15.75" hidden="false" customHeight="false" outlineLevel="0" collapsed="false">
      <c r="F651" s="63"/>
      <c r="J651" s="63"/>
      <c r="Q651" s="63"/>
    </row>
    <row r="652" customFormat="false" ht="15.75" hidden="false" customHeight="false" outlineLevel="0" collapsed="false">
      <c r="F652" s="63"/>
      <c r="J652" s="63"/>
      <c r="Q652" s="63"/>
    </row>
    <row r="653" customFormat="false" ht="15.75" hidden="false" customHeight="false" outlineLevel="0" collapsed="false">
      <c r="F653" s="63"/>
      <c r="J653" s="63"/>
      <c r="Q653" s="63"/>
    </row>
    <row r="654" customFormat="false" ht="15.75" hidden="false" customHeight="false" outlineLevel="0" collapsed="false">
      <c r="F654" s="63"/>
      <c r="J654" s="63"/>
      <c r="Q654" s="63"/>
    </row>
    <row r="655" customFormat="false" ht="15.75" hidden="false" customHeight="false" outlineLevel="0" collapsed="false">
      <c r="F655" s="63"/>
      <c r="J655" s="63"/>
      <c r="Q655" s="63"/>
    </row>
    <row r="656" customFormat="false" ht="15.75" hidden="false" customHeight="false" outlineLevel="0" collapsed="false">
      <c r="F656" s="63"/>
      <c r="J656" s="63"/>
      <c r="Q656" s="63"/>
    </row>
    <row r="657" customFormat="false" ht="15.75" hidden="false" customHeight="false" outlineLevel="0" collapsed="false">
      <c r="F657" s="63"/>
      <c r="J657" s="63"/>
      <c r="Q657" s="63"/>
    </row>
    <row r="658" customFormat="false" ht="15.75" hidden="false" customHeight="false" outlineLevel="0" collapsed="false">
      <c r="F658" s="63"/>
      <c r="J658" s="63"/>
      <c r="Q658" s="63"/>
    </row>
    <row r="659" customFormat="false" ht="15.75" hidden="false" customHeight="false" outlineLevel="0" collapsed="false">
      <c r="F659" s="63"/>
      <c r="J659" s="63"/>
      <c r="Q659" s="63"/>
    </row>
    <row r="660" customFormat="false" ht="15.75" hidden="false" customHeight="false" outlineLevel="0" collapsed="false">
      <c r="F660" s="63"/>
      <c r="J660" s="63"/>
      <c r="Q660" s="63"/>
    </row>
    <row r="661" customFormat="false" ht="15.75" hidden="false" customHeight="false" outlineLevel="0" collapsed="false">
      <c r="F661" s="63"/>
      <c r="J661" s="63"/>
      <c r="Q661" s="63"/>
    </row>
    <row r="662" customFormat="false" ht="15.75" hidden="false" customHeight="false" outlineLevel="0" collapsed="false">
      <c r="F662" s="63"/>
      <c r="J662" s="63"/>
      <c r="Q662" s="63"/>
    </row>
    <row r="663" customFormat="false" ht="15.75" hidden="false" customHeight="false" outlineLevel="0" collapsed="false">
      <c r="F663" s="63"/>
      <c r="J663" s="63"/>
      <c r="Q663" s="63"/>
    </row>
    <row r="664" customFormat="false" ht="15.75" hidden="false" customHeight="false" outlineLevel="0" collapsed="false">
      <c r="F664" s="63"/>
      <c r="J664" s="63"/>
      <c r="Q664" s="63"/>
    </row>
    <row r="665" customFormat="false" ht="15.75" hidden="false" customHeight="false" outlineLevel="0" collapsed="false">
      <c r="F665" s="63"/>
      <c r="J665" s="63"/>
      <c r="Q665" s="63"/>
    </row>
    <row r="666" customFormat="false" ht="15.75" hidden="false" customHeight="false" outlineLevel="0" collapsed="false">
      <c r="F666" s="63"/>
      <c r="J666" s="63"/>
      <c r="Q666" s="63"/>
    </row>
    <row r="667" customFormat="false" ht="15.75" hidden="false" customHeight="false" outlineLevel="0" collapsed="false">
      <c r="F667" s="63"/>
      <c r="J667" s="63"/>
      <c r="Q667" s="63"/>
    </row>
    <row r="668" customFormat="false" ht="15.75" hidden="false" customHeight="false" outlineLevel="0" collapsed="false">
      <c r="F668" s="63"/>
      <c r="J668" s="63"/>
      <c r="Q668" s="63"/>
    </row>
    <row r="669" customFormat="false" ht="15.75" hidden="false" customHeight="false" outlineLevel="0" collapsed="false">
      <c r="F669" s="63"/>
      <c r="J669" s="63"/>
      <c r="Q669" s="63"/>
    </row>
    <row r="670" customFormat="false" ht="15.75" hidden="false" customHeight="false" outlineLevel="0" collapsed="false">
      <c r="F670" s="63"/>
      <c r="J670" s="63"/>
      <c r="Q670" s="63"/>
    </row>
    <row r="671" customFormat="false" ht="15.75" hidden="false" customHeight="false" outlineLevel="0" collapsed="false">
      <c r="F671" s="63"/>
      <c r="J671" s="63"/>
      <c r="Q671" s="63"/>
    </row>
    <row r="672" customFormat="false" ht="15.75" hidden="false" customHeight="false" outlineLevel="0" collapsed="false">
      <c r="F672" s="63"/>
      <c r="J672" s="63"/>
      <c r="Q672" s="63"/>
    </row>
    <row r="673" customFormat="false" ht="15.75" hidden="false" customHeight="false" outlineLevel="0" collapsed="false">
      <c r="F673" s="63"/>
      <c r="J673" s="63"/>
      <c r="Q673" s="63"/>
    </row>
    <row r="674" customFormat="false" ht="15.75" hidden="false" customHeight="false" outlineLevel="0" collapsed="false">
      <c r="F674" s="63"/>
      <c r="J674" s="63"/>
      <c r="Q674" s="63"/>
    </row>
    <row r="675" customFormat="false" ht="15.75" hidden="false" customHeight="false" outlineLevel="0" collapsed="false">
      <c r="F675" s="63"/>
      <c r="J675" s="63"/>
      <c r="Q675" s="63"/>
    </row>
    <row r="676" customFormat="false" ht="15.75" hidden="false" customHeight="false" outlineLevel="0" collapsed="false">
      <c r="F676" s="63"/>
      <c r="J676" s="63"/>
      <c r="Q676" s="63"/>
    </row>
    <row r="677" customFormat="false" ht="15.75" hidden="false" customHeight="false" outlineLevel="0" collapsed="false">
      <c r="F677" s="63"/>
      <c r="J677" s="63"/>
      <c r="Q677" s="63"/>
    </row>
    <row r="678" customFormat="false" ht="15.75" hidden="false" customHeight="false" outlineLevel="0" collapsed="false">
      <c r="F678" s="63"/>
      <c r="J678" s="63"/>
      <c r="Q678" s="63"/>
    </row>
    <row r="679" customFormat="false" ht="15.75" hidden="false" customHeight="false" outlineLevel="0" collapsed="false">
      <c r="F679" s="63"/>
      <c r="J679" s="63"/>
      <c r="Q679" s="63"/>
    </row>
    <row r="680" customFormat="false" ht="15.75" hidden="false" customHeight="false" outlineLevel="0" collapsed="false">
      <c r="F680" s="63"/>
      <c r="J680" s="63"/>
      <c r="Q680" s="63"/>
    </row>
    <row r="681" customFormat="false" ht="15.75" hidden="false" customHeight="false" outlineLevel="0" collapsed="false">
      <c r="F681" s="63"/>
      <c r="J681" s="63"/>
      <c r="Q681" s="63"/>
    </row>
    <row r="682" customFormat="false" ht="15.75" hidden="false" customHeight="false" outlineLevel="0" collapsed="false">
      <c r="F682" s="63"/>
      <c r="J682" s="63"/>
      <c r="Q682" s="63"/>
    </row>
    <row r="683" customFormat="false" ht="15.75" hidden="false" customHeight="false" outlineLevel="0" collapsed="false">
      <c r="F683" s="63"/>
      <c r="J683" s="63"/>
      <c r="Q683" s="63"/>
    </row>
    <row r="684" customFormat="false" ht="15.75" hidden="false" customHeight="false" outlineLevel="0" collapsed="false">
      <c r="F684" s="63"/>
      <c r="J684" s="63"/>
      <c r="Q684" s="63"/>
    </row>
    <row r="685" customFormat="false" ht="15.75" hidden="false" customHeight="false" outlineLevel="0" collapsed="false">
      <c r="F685" s="63"/>
      <c r="J685" s="63"/>
      <c r="Q685" s="63"/>
    </row>
    <row r="686" customFormat="false" ht="15.75" hidden="false" customHeight="false" outlineLevel="0" collapsed="false">
      <c r="F686" s="63"/>
      <c r="J686" s="63"/>
      <c r="Q686" s="63"/>
    </row>
    <row r="687" customFormat="false" ht="15.75" hidden="false" customHeight="false" outlineLevel="0" collapsed="false">
      <c r="F687" s="63"/>
      <c r="J687" s="63"/>
      <c r="Q687" s="63"/>
    </row>
    <row r="688" customFormat="false" ht="15.75" hidden="false" customHeight="false" outlineLevel="0" collapsed="false">
      <c r="F688" s="63"/>
      <c r="J688" s="63"/>
      <c r="Q688" s="63"/>
    </row>
    <row r="689" customFormat="false" ht="15.75" hidden="false" customHeight="false" outlineLevel="0" collapsed="false">
      <c r="F689" s="63"/>
      <c r="J689" s="63"/>
      <c r="Q689" s="63"/>
    </row>
    <row r="690" customFormat="false" ht="15.75" hidden="false" customHeight="false" outlineLevel="0" collapsed="false">
      <c r="F690" s="63"/>
      <c r="J690" s="63"/>
      <c r="Q690" s="63"/>
    </row>
    <row r="691" customFormat="false" ht="15.75" hidden="false" customHeight="false" outlineLevel="0" collapsed="false">
      <c r="F691" s="63"/>
      <c r="J691" s="63"/>
      <c r="Q691" s="63"/>
    </row>
    <row r="692" customFormat="false" ht="15.75" hidden="false" customHeight="false" outlineLevel="0" collapsed="false">
      <c r="F692" s="63"/>
      <c r="J692" s="63"/>
      <c r="Q692" s="63"/>
    </row>
    <row r="693" customFormat="false" ht="15.75" hidden="false" customHeight="false" outlineLevel="0" collapsed="false">
      <c r="F693" s="63"/>
      <c r="J693" s="63"/>
      <c r="Q693" s="63"/>
    </row>
    <row r="694" customFormat="false" ht="15.75" hidden="false" customHeight="false" outlineLevel="0" collapsed="false">
      <c r="F694" s="63"/>
      <c r="J694" s="63"/>
      <c r="Q694" s="63"/>
    </row>
    <row r="695" customFormat="false" ht="15.75" hidden="false" customHeight="false" outlineLevel="0" collapsed="false">
      <c r="F695" s="63"/>
      <c r="J695" s="63"/>
      <c r="Q695" s="63"/>
    </row>
    <row r="696" customFormat="false" ht="15.75" hidden="false" customHeight="false" outlineLevel="0" collapsed="false">
      <c r="F696" s="63"/>
      <c r="J696" s="63"/>
      <c r="Q696" s="63"/>
    </row>
    <row r="697" customFormat="false" ht="15.75" hidden="false" customHeight="false" outlineLevel="0" collapsed="false">
      <c r="F697" s="63"/>
      <c r="J697" s="63"/>
      <c r="Q697" s="63"/>
    </row>
    <row r="698" customFormat="false" ht="15.75" hidden="false" customHeight="false" outlineLevel="0" collapsed="false">
      <c r="F698" s="63"/>
      <c r="J698" s="63"/>
      <c r="Q698" s="63"/>
    </row>
    <row r="699" customFormat="false" ht="15.75" hidden="false" customHeight="false" outlineLevel="0" collapsed="false">
      <c r="F699" s="63"/>
      <c r="J699" s="63"/>
      <c r="Q699" s="63"/>
    </row>
    <row r="700" customFormat="false" ht="15.75" hidden="false" customHeight="false" outlineLevel="0" collapsed="false">
      <c r="F700" s="63"/>
      <c r="J700" s="63"/>
      <c r="Q700" s="63"/>
    </row>
    <row r="701" customFormat="false" ht="15.75" hidden="false" customHeight="false" outlineLevel="0" collapsed="false">
      <c r="F701" s="63"/>
      <c r="J701" s="63"/>
      <c r="Q701" s="63"/>
    </row>
    <row r="702" customFormat="false" ht="15.75" hidden="false" customHeight="false" outlineLevel="0" collapsed="false">
      <c r="F702" s="63"/>
      <c r="J702" s="63"/>
      <c r="Q702" s="63"/>
    </row>
    <row r="703" customFormat="false" ht="15.75" hidden="false" customHeight="false" outlineLevel="0" collapsed="false">
      <c r="F703" s="63"/>
      <c r="J703" s="63"/>
      <c r="Q703" s="63"/>
    </row>
    <row r="704" customFormat="false" ht="15.75" hidden="false" customHeight="false" outlineLevel="0" collapsed="false">
      <c r="F704" s="63"/>
      <c r="J704" s="63"/>
      <c r="Q704" s="63"/>
    </row>
    <row r="705" customFormat="false" ht="15.75" hidden="false" customHeight="false" outlineLevel="0" collapsed="false">
      <c r="F705" s="63"/>
      <c r="J705" s="63"/>
      <c r="Q705" s="63"/>
    </row>
    <row r="706" customFormat="false" ht="15.75" hidden="false" customHeight="false" outlineLevel="0" collapsed="false">
      <c r="F706" s="63"/>
      <c r="J706" s="63"/>
      <c r="Q706" s="63"/>
    </row>
    <row r="707" customFormat="false" ht="15.75" hidden="false" customHeight="false" outlineLevel="0" collapsed="false">
      <c r="F707" s="63"/>
      <c r="J707" s="63"/>
      <c r="Q707" s="63"/>
    </row>
    <row r="708" customFormat="false" ht="15.75" hidden="false" customHeight="false" outlineLevel="0" collapsed="false">
      <c r="F708" s="63"/>
      <c r="J708" s="63"/>
      <c r="Q708" s="63"/>
    </row>
    <row r="709" customFormat="false" ht="15.75" hidden="false" customHeight="false" outlineLevel="0" collapsed="false">
      <c r="F709" s="63"/>
      <c r="J709" s="63"/>
      <c r="Q709" s="63"/>
    </row>
    <row r="710" customFormat="false" ht="15.75" hidden="false" customHeight="false" outlineLevel="0" collapsed="false">
      <c r="F710" s="63"/>
      <c r="J710" s="63"/>
      <c r="Q710" s="63"/>
    </row>
    <row r="711" customFormat="false" ht="15.75" hidden="false" customHeight="false" outlineLevel="0" collapsed="false">
      <c r="F711" s="63"/>
      <c r="J711" s="63"/>
      <c r="Q711" s="63"/>
    </row>
    <row r="712" customFormat="false" ht="15.75" hidden="false" customHeight="false" outlineLevel="0" collapsed="false">
      <c r="F712" s="63"/>
      <c r="J712" s="63"/>
      <c r="Q712" s="63"/>
    </row>
    <row r="713" customFormat="false" ht="15.75" hidden="false" customHeight="false" outlineLevel="0" collapsed="false">
      <c r="F713" s="63"/>
      <c r="J713" s="63"/>
      <c r="Q713" s="63"/>
    </row>
    <row r="714" customFormat="false" ht="15.75" hidden="false" customHeight="false" outlineLevel="0" collapsed="false">
      <c r="F714" s="63"/>
      <c r="J714" s="63"/>
      <c r="Q714" s="63"/>
    </row>
    <row r="715" customFormat="false" ht="15.75" hidden="false" customHeight="false" outlineLevel="0" collapsed="false">
      <c r="F715" s="63"/>
      <c r="J715" s="63"/>
      <c r="Q715" s="63"/>
    </row>
    <row r="716" customFormat="false" ht="15.75" hidden="false" customHeight="false" outlineLevel="0" collapsed="false">
      <c r="F716" s="63"/>
      <c r="J716" s="63"/>
      <c r="Q716" s="63"/>
    </row>
    <row r="717" customFormat="false" ht="15.75" hidden="false" customHeight="false" outlineLevel="0" collapsed="false">
      <c r="F717" s="63"/>
      <c r="J717" s="63"/>
      <c r="Q717" s="63"/>
    </row>
    <row r="718" customFormat="false" ht="15.75" hidden="false" customHeight="false" outlineLevel="0" collapsed="false">
      <c r="F718" s="63"/>
      <c r="J718" s="63"/>
      <c r="Q718" s="63"/>
    </row>
    <row r="719" customFormat="false" ht="15.75" hidden="false" customHeight="false" outlineLevel="0" collapsed="false">
      <c r="F719" s="63"/>
      <c r="J719" s="63"/>
      <c r="Q719" s="63"/>
    </row>
    <row r="720" customFormat="false" ht="15.75" hidden="false" customHeight="false" outlineLevel="0" collapsed="false">
      <c r="F720" s="63"/>
      <c r="J720" s="63"/>
      <c r="Q720" s="63"/>
    </row>
    <row r="721" customFormat="false" ht="15.75" hidden="false" customHeight="false" outlineLevel="0" collapsed="false">
      <c r="F721" s="63"/>
      <c r="J721" s="63"/>
      <c r="Q721" s="63"/>
    </row>
    <row r="722" customFormat="false" ht="15.75" hidden="false" customHeight="false" outlineLevel="0" collapsed="false">
      <c r="F722" s="63"/>
      <c r="J722" s="63"/>
      <c r="Q722" s="63"/>
    </row>
    <row r="723" customFormat="false" ht="15.75" hidden="false" customHeight="false" outlineLevel="0" collapsed="false">
      <c r="F723" s="63"/>
      <c r="J723" s="63"/>
      <c r="Q723" s="63"/>
    </row>
    <row r="724" customFormat="false" ht="15.75" hidden="false" customHeight="false" outlineLevel="0" collapsed="false">
      <c r="F724" s="63"/>
      <c r="J724" s="63"/>
      <c r="Q724" s="63"/>
    </row>
    <row r="725" customFormat="false" ht="15.75" hidden="false" customHeight="false" outlineLevel="0" collapsed="false">
      <c r="F725" s="63"/>
      <c r="J725" s="63"/>
      <c r="Q725" s="63"/>
    </row>
    <row r="726" customFormat="false" ht="15.75" hidden="false" customHeight="false" outlineLevel="0" collapsed="false">
      <c r="F726" s="63"/>
      <c r="J726" s="63"/>
      <c r="Q726" s="63"/>
    </row>
    <row r="727" customFormat="false" ht="15.75" hidden="false" customHeight="false" outlineLevel="0" collapsed="false">
      <c r="F727" s="63"/>
      <c r="J727" s="63"/>
      <c r="Q727" s="63"/>
    </row>
    <row r="728" customFormat="false" ht="15.75" hidden="false" customHeight="false" outlineLevel="0" collapsed="false">
      <c r="F728" s="63"/>
      <c r="J728" s="63"/>
      <c r="Q728" s="63"/>
    </row>
    <row r="729" customFormat="false" ht="15.75" hidden="false" customHeight="false" outlineLevel="0" collapsed="false">
      <c r="F729" s="63"/>
      <c r="J729" s="63"/>
      <c r="Q729" s="63"/>
    </row>
    <row r="730" customFormat="false" ht="15.75" hidden="false" customHeight="false" outlineLevel="0" collapsed="false">
      <c r="F730" s="63"/>
      <c r="J730" s="63"/>
      <c r="Q730" s="63"/>
    </row>
    <row r="731" customFormat="false" ht="15.75" hidden="false" customHeight="false" outlineLevel="0" collapsed="false">
      <c r="F731" s="63"/>
      <c r="J731" s="63"/>
      <c r="Q731" s="63"/>
    </row>
    <row r="732" customFormat="false" ht="15.75" hidden="false" customHeight="false" outlineLevel="0" collapsed="false">
      <c r="F732" s="63"/>
      <c r="J732" s="63"/>
      <c r="Q732" s="63"/>
    </row>
    <row r="733" customFormat="false" ht="15.75" hidden="false" customHeight="false" outlineLevel="0" collapsed="false">
      <c r="F733" s="63"/>
      <c r="J733" s="63"/>
      <c r="Q733" s="63"/>
    </row>
    <row r="734" customFormat="false" ht="15.75" hidden="false" customHeight="false" outlineLevel="0" collapsed="false">
      <c r="F734" s="63"/>
      <c r="J734" s="63"/>
      <c r="Q734" s="63"/>
    </row>
    <row r="735" customFormat="false" ht="15.75" hidden="false" customHeight="false" outlineLevel="0" collapsed="false">
      <c r="F735" s="63"/>
      <c r="J735" s="63"/>
      <c r="Q735" s="63"/>
    </row>
    <row r="736" customFormat="false" ht="15.75" hidden="false" customHeight="false" outlineLevel="0" collapsed="false">
      <c r="F736" s="63"/>
      <c r="J736" s="63"/>
      <c r="Q736" s="63"/>
    </row>
    <row r="737" customFormat="false" ht="15.75" hidden="false" customHeight="false" outlineLevel="0" collapsed="false">
      <c r="F737" s="63"/>
      <c r="J737" s="63"/>
      <c r="Q737" s="63"/>
    </row>
    <row r="738" customFormat="false" ht="15.75" hidden="false" customHeight="false" outlineLevel="0" collapsed="false">
      <c r="F738" s="63"/>
      <c r="J738" s="63"/>
      <c r="Q738" s="63"/>
    </row>
    <row r="739" customFormat="false" ht="15.75" hidden="false" customHeight="false" outlineLevel="0" collapsed="false">
      <c r="F739" s="63"/>
      <c r="J739" s="63"/>
      <c r="Q739" s="63"/>
    </row>
    <row r="740" customFormat="false" ht="15.75" hidden="false" customHeight="false" outlineLevel="0" collapsed="false">
      <c r="F740" s="63"/>
      <c r="J740" s="63"/>
      <c r="Q740" s="63"/>
    </row>
    <row r="741" customFormat="false" ht="15.75" hidden="false" customHeight="false" outlineLevel="0" collapsed="false">
      <c r="F741" s="63"/>
      <c r="J741" s="63"/>
      <c r="Q741" s="63"/>
    </row>
    <row r="742" customFormat="false" ht="15.75" hidden="false" customHeight="false" outlineLevel="0" collapsed="false">
      <c r="F742" s="63"/>
      <c r="J742" s="63"/>
      <c r="Q742" s="63"/>
    </row>
    <row r="743" customFormat="false" ht="15.75" hidden="false" customHeight="false" outlineLevel="0" collapsed="false">
      <c r="F743" s="63"/>
      <c r="J743" s="63"/>
      <c r="Q743" s="63"/>
    </row>
    <row r="744" customFormat="false" ht="15.75" hidden="false" customHeight="false" outlineLevel="0" collapsed="false">
      <c r="F744" s="63"/>
      <c r="J744" s="63"/>
      <c r="Q744" s="63"/>
    </row>
    <row r="745" customFormat="false" ht="15.75" hidden="false" customHeight="false" outlineLevel="0" collapsed="false">
      <c r="F745" s="63"/>
      <c r="J745" s="63"/>
      <c r="Q745" s="63"/>
    </row>
    <row r="746" customFormat="false" ht="15.75" hidden="false" customHeight="false" outlineLevel="0" collapsed="false">
      <c r="F746" s="63"/>
      <c r="J746" s="63"/>
      <c r="Q746" s="63"/>
    </row>
    <row r="747" customFormat="false" ht="15.75" hidden="false" customHeight="false" outlineLevel="0" collapsed="false">
      <c r="F747" s="63"/>
      <c r="J747" s="63"/>
      <c r="Q747" s="63"/>
    </row>
    <row r="748" customFormat="false" ht="15.75" hidden="false" customHeight="false" outlineLevel="0" collapsed="false">
      <c r="F748" s="63"/>
      <c r="J748" s="63"/>
      <c r="Q748" s="63"/>
    </row>
    <row r="749" customFormat="false" ht="15.75" hidden="false" customHeight="false" outlineLevel="0" collapsed="false">
      <c r="F749" s="63"/>
      <c r="J749" s="63"/>
      <c r="Q749" s="63"/>
    </row>
    <row r="750" customFormat="false" ht="15.75" hidden="false" customHeight="false" outlineLevel="0" collapsed="false">
      <c r="F750" s="63"/>
      <c r="J750" s="63"/>
      <c r="Q750" s="63"/>
    </row>
    <row r="751" customFormat="false" ht="15.75" hidden="false" customHeight="false" outlineLevel="0" collapsed="false">
      <c r="F751" s="63"/>
      <c r="J751" s="63"/>
      <c r="Q751" s="63"/>
    </row>
    <row r="752" customFormat="false" ht="15.75" hidden="false" customHeight="false" outlineLevel="0" collapsed="false">
      <c r="F752" s="63"/>
      <c r="J752" s="63"/>
      <c r="Q752" s="63"/>
    </row>
    <row r="753" customFormat="false" ht="15.75" hidden="false" customHeight="false" outlineLevel="0" collapsed="false">
      <c r="F753" s="63"/>
      <c r="J753" s="63"/>
      <c r="Q753" s="63"/>
    </row>
    <row r="754" customFormat="false" ht="15.75" hidden="false" customHeight="false" outlineLevel="0" collapsed="false">
      <c r="F754" s="63"/>
      <c r="J754" s="63"/>
      <c r="Q754" s="63"/>
    </row>
    <row r="755" customFormat="false" ht="15.75" hidden="false" customHeight="false" outlineLevel="0" collapsed="false">
      <c r="F755" s="63"/>
      <c r="J755" s="63"/>
      <c r="Q755" s="63"/>
    </row>
    <row r="756" customFormat="false" ht="15.75" hidden="false" customHeight="false" outlineLevel="0" collapsed="false">
      <c r="F756" s="63"/>
      <c r="J756" s="63"/>
      <c r="Q756" s="63"/>
    </row>
    <row r="757" customFormat="false" ht="15.75" hidden="false" customHeight="false" outlineLevel="0" collapsed="false">
      <c r="F757" s="63"/>
      <c r="J757" s="63"/>
      <c r="Q757" s="63"/>
    </row>
    <row r="758" customFormat="false" ht="15.75" hidden="false" customHeight="false" outlineLevel="0" collapsed="false">
      <c r="F758" s="63"/>
      <c r="J758" s="63"/>
      <c r="Q758" s="63"/>
    </row>
    <row r="759" customFormat="false" ht="15.75" hidden="false" customHeight="false" outlineLevel="0" collapsed="false">
      <c r="F759" s="63"/>
      <c r="J759" s="63"/>
      <c r="Q759" s="63"/>
    </row>
    <row r="760" customFormat="false" ht="15.75" hidden="false" customHeight="false" outlineLevel="0" collapsed="false">
      <c r="F760" s="63"/>
      <c r="J760" s="63"/>
      <c r="Q760" s="63"/>
    </row>
    <row r="761" customFormat="false" ht="15.75" hidden="false" customHeight="false" outlineLevel="0" collapsed="false">
      <c r="F761" s="63"/>
      <c r="J761" s="63"/>
      <c r="Q761" s="63"/>
    </row>
    <row r="762" customFormat="false" ht="15.75" hidden="false" customHeight="false" outlineLevel="0" collapsed="false">
      <c r="F762" s="63"/>
      <c r="J762" s="63"/>
      <c r="Q762" s="63"/>
    </row>
    <row r="763" customFormat="false" ht="15.75" hidden="false" customHeight="false" outlineLevel="0" collapsed="false">
      <c r="F763" s="63"/>
      <c r="J763" s="63"/>
      <c r="Q763" s="63"/>
    </row>
    <row r="764" customFormat="false" ht="15.75" hidden="false" customHeight="false" outlineLevel="0" collapsed="false">
      <c r="F764" s="63"/>
      <c r="J764" s="63"/>
      <c r="Q764" s="63"/>
    </row>
    <row r="765" customFormat="false" ht="15.75" hidden="false" customHeight="false" outlineLevel="0" collapsed="false">
      <c r="F765" s="63"/>
      <c r="J765" s="63"/>
      <c r="Q765" s="63"/>
    </row>
    <row r="766" customFormat="false" ht="15.75" hidden="false" customHeight="false" outlineLevel="0" collapsed="false">
      <c r="F766" s="63"/>
      <c r="J766" s="63"/>
      <c r="Q766" s="63"/>
    </row>
    <row r="767" customFormat="false" ht="15.75" hidden="false" customHeight="false" outlineLevel="0" collapsed="false">
      <c r="F767" s="63"/>
      <c r="J767" s="63"/>
      <c r="Q767" s="63"/>
    </row>
    <row r="768" customFormat="false" ht="15.75" hidden="false" customHeight="false" outlineLevel="0" collapsed="false">
      <c r="F768" s="63"/>
      <c r="J768" s="63"/>
      <c r="Q768" s="63"/>
    </row>
    <row r="769" customFormat="false" ht="15.75" hidden="false" customHeight="false" outlineLevel="0" collapsed="false">
      <c r="F769" s="63"/>
      <c r="J769" s="63"/>
      <c r="Q769" s="63"/>
    </row>
    <row r="770" customFormat="false" ht="15.75" hidden="false" customHeight="false" outlineLevel="0" collapsed="false">
      <c r="F770" s="63"/>
      <c r="J770" s="63"/>
      <c r="Q770" s="63"/>
    </row>
    <row r="771" customFormat="false" ht="15.75" hidden="false" customHeight="false" outlineLevel="0" collapsed="false">
      <c r="F771" s="63"/>
      <c r="J771" s="63"/>
      <c r="Q771" s="63"/>
    </row>
    <row r="772" customFormat="false" ht="15.75" hidden="false" customHeight="false" outlineLevel="0" collapsed="false">
      <c r="F772" s="63"/>
      <c r="J772" s="63"/>
      <c r="Q772" s="63"/>
    </row>
    <row r="773" customFormat="false" ht="15.75" hidden="false" customHeight="false" outlineLevel="0" collapsed="false">
      <c r="F773" s="63"/>
      <c r="J773" s="63"/>
      <c r="Q773" s="63"/>
    </row>
    <row r="774" customFormat="false" ht="15.75" hidden="false" customHeight="false" outlineLevel="0" collapsed="false">
      <c r="F774" s="63"/>
      <c r="J774" s="63"/>
      <c r="Q774" s="63"/>
    </row>
    <row r="775" customFormat="false" ht="15.75" hidden="false" customHeight="false" outlineLevel="0" collapsed="false">
      <c r="F775" s="63"/>
      <c r="J775" s="63"/>
      <c r="Q775" s="63"/>
    </row>
    <row r="776" customFormat="false" ht="15.75" hidden="false" customHeight="false" outlineLevel="0" collapsed="false">
      <c r="F776" s="63"/>
      <c r="J776" s="63"/>
      <c r="Q776" s="63"/>
    </row>
    <row r="777" customFormat="false" ht="15.75" hidden="false" customHeight="false" outlineLevel="0" collapsed="false">
      <c r="F777" s="63"/>
      <c r="J777" s="63"/>
      <c r="Q777" s="63"/>
    </row>
    <row r="778" customFormat="false" ht="15.75" hidden="false" customHeight="false" outlineLevel="0" collapsed="false">
      <c r="F778" s="63"/>
      <c r="J778" s="63"/>
      <c r="Q778" s="63"/>
    </row>
    <row r="779" customFormat="false" ht="15.75" hidden="false" customHeight="false" outlineLevel="0" collapsed="false">
      <c r="F779" s="63"/>
      <c r="J779" s="63"/>
      <c r="Q779" s="63"/>
    </row>
    <row r="780" customFormat="false" ht="15.75" hidden="false" customHeight="false" outlineLevel="0" collapsed="false">
      <c r="F780" s="63"/>
      <c r="J780" s="63"/>
      <c r="Q780" s="63"/>
    </row>
    <row r="781" customFormat="false" ht="15.75" hidden="false" customHeight="false" outlineLevel="0" collapsed="false">
      <c r="F781" s="63"/>
      <c r="J781" s="63"/>
      <c r="Q781" s="63"/>
    </row>
    <row r="782" customFormat="false" ht="15.75" hidden="false" customHeight="false" outlineLevel="0" collapsed="false">
      <c r="F782" s="63"/>
      <c r="J782" s="63"/>
      <c r="Q782" s="63"/>
    </row>
    <row r="783" customFormat="false" ht="15.75" hidden="false" customHeight="false" outlineLevel="0" collapsed="false">
      <c r="F783" s="63"/>
      <c r="J783" s="63"/>
      <c r="Q783" s="63"/>
    </row>
    <row r="784" customFormat="false" ht="15.75" hidden="false" customHeight="false" outlineLevel="0" collapsed="false">
      <c r="F784" s="63"/>
      <c r="J784" s="63"/>
      <c r="Q784" s="63"/>
    </row>
    <row r="785" customFormat="false" ht="15.75" hidden="false" customHeight="false" outlineLevel="0" collapsed="false">
      <c r="F785" s="63"/>
      <c r="J785" s="63"/>
      <c r="Q785" s="63"/>
    </row>
    <row r="786" customFormat="false" ht="15.75" hidden="false" customHeight="false" outlineLevel="0" collapsed="false">
      <c r="F786" s="63"/>
      <c r="J786" s="63"/>
      <c r="Q786" s="63"/>
    </row>
    <row r="787" customFormat="false" ht="15.75" hidden="false" customHeight="false" outlineLevel="0" collapsed="false">
      <c r="F787" s="63"/>
      <c r="J787" s="63"/>
      <c r="Q787" s="63"/>
    </row>
    <row r="788" customFormat="false" ht="15.75" hidden="false" customHeight="false" outlineLevel="0" collapsed="false">
      <c r="F788" s="63"/>
      <c r="J788" s="63"/>
      <c r="Q788" s="63"/>
    </row>
    <row r="789" customFormat="false" ht="15.75" hidden="false" customHeight="false" outlineLevel="0" collapsed="false">
      <c r="F789" s="63"/>
      <c r="J789" s="63"/>
      <c r="Q789" s="63"/>
    </row>
    <row r="790" customFormat="false" ht="15.75" hidden="false" customHeight="false" outlineLevel="0" collapsed="false">
      <c r="F790" s="63"/>
      <c r="J790" s="63"/>
      <c r="Q790" s="63"/>
    </row>
    <row r="791" customFormat="false" ht="15.75" hidden="false" customHeight="false" outlineLevel="0" collapsed="false">
      <c r="F791" s="63"/>
      <c r="J791" s="63"/>
      <c r="Q791" s="63"/>
    </row>
    <row r="792" customFormat="false" ht="15.75" hidden="false" customHeight="false" outlineLevel="0" collapsed="false">
      <c r="F792" s="63"/>
      <c r="J792" s="63"/>
      <c r="Q792" s="63"/>
    </row>
    <row r="793" customFormat="false" ht="15.75" hidden="false" customHeight="false" outlineLevel="0" collapsed="false">
      <c r="F793" s="63"/>
      <c r="J793" s="63"/>
      <c r="Q793" s="63"/>
    </row>
    <row r="794" customFormat="false" ht="15.75" hidden="false" customHeight="false" outlineLevel="0" collapsed="false">
      <c r="F794" s="63"/>
      <c r="J794" s="63"/>
      <c r="Q794" s="63"/>
    </row>
    <row r="795" customFormat="false" ht="15.75" hidden="false" customHeight="false" outlineLevel="0" collapsed="false">
      <c r="F795" s="63"/>
      <c r="J795" s="63"/>
      <c r="Q795" s="63"/>
    </row>
    <row r="796" customFormat="false" ht="15.75" hidden="false" customHeight="false" outlineLevel="0" collapsed="false">
      <c r="F796" s="63"/>
      <c r="J796" s="63"/>
      <c r="Q796" s="63"/>
    </row>
    <row r="797" customFormat="false" ht="15.75" hidden="false" customHeight="false" outlineLevel="0" collapsed="false">
      <c r="F797" s="63"/>
      <c r="J797" s="63"/>
      <c r="Q797" s="63"/>
    </row>
    <row r="798" customFormat="false" ht="15.75" hidden="false" customHeight="false" outlineLevel="0" collapsed="false">
      <c r="F798" s="63"/>
      <c r="J798" s="63"/>
      <c r="Q798" s="63"/>
    </row>
    <row r="799" customFormat="false" ht="15.75" hidden="false" customHeight="false" outlineLevel="0" collapsed="false">
      <c r="F799" s="63"/>
      <c r="J799" s="63"/>
      <c r="Q799" s="63"/>
    </row>
    <row r="800" customFormat="false" ht="15.75" hidden="false" customHeight="false" outlineLevel="0" collapsed="false">
      <c r="F800" s="63"/>
      <c r="J800" s="63"/>
      <c r="Q800" s="63"/>
    </row>
    <row r="801" customFormat="false" ht="15.75" hidden="false" customHeight="false" outlineLevel="0" collapsed="false">
      <c r="F801" s="63"/>
      <c r="J801" s="63"/>
      <c r="Q801" s="63"/>
    </row>
    <row r="802" customFormat="false" ht="15.75" hidden="false" customHeight="false" outlineLevel="0" collapsed="false">
      <c r="F802" s="63"/>
      <c r="J802" s="63"/>
      <c r="Q802" s="63"/>
    </row>
    <row r="803" customFormat="false" ht="15.75" hidden="false" customHeight="false" outlineLevel="0" collapsed="false">
      <c r="F803" s="63"/>
      <c r="J803" s="63"/>
      <c r="Q803" s="63"/>
    </row>
    <row r="804" customFormat="false" ht="15.75" hidden="false" customHeight="false" outlineLevel="0" collapsed="false">
      <c r="F804" s="63"/>
      <c r="J804" s="63"/>
      <c r="Q804" s="63"/>
    </row>
    <row r="805" customFormat="false" ht="15.75" hidden="false" customHeight="false" outlineLevel="0" collapsed="false">
      <c r="F805" s="63"/>
      <c r="J805" s="63"/>
      <c r="Q805" s="63"/>
    </row>
    <row r="806" customFormat="false" ht="15.75" hidden="false" customHeight="false" outlineLevel="0" collapsed="false">
      <c r="F806" s="63"/>
      <c r="J806" s="63"/>
      <c r="Q806" s="63"/>
    </row>
    <row r="807" customFormat="false" ht="15.75" hidden="false" customHeight="false" outlineLevel="0" collapsed="false">
      <c r="F807" s="63"/>
      <c r="J807" s="63"/>
      <c r="Q807" s="63"/>
    </row>
    <row r="808" customFormat="false" ht="15.75" hidden="false" customHeight="false" outlineLevel="0" collapsed="false">
      <c r="F808" s="63"/>
      <c r="J808" s="63"/>
      <c r="Q808" s="63"/>
    </row>
    <row r="809" customFormat="false" ht="15.75" hidden="false" customHeight="false" outlineLevel="0" collapsed="false">
      <c r="F809" s="63"/>
      <c r="J809" s="63"/>
      <c r="Q809" s="63"/>
    </row>
    <row r="810" customFormat="false" ht="15.75" hidden="false" customHeight="false" outlineLevel="0" collapsed="false">
      <c r="F810" s="63"/>
      <c r="J810" s="63"/>
      <c r="Q810" s="63"/>
    </row>
    <row r="811" customFormat="false" ht="15.75" hidden="false" customHeight="false" outlineLevel="0" collapsed="false">
      <c r="F811" s="63"/>
      <c r="J811" s="63"/>
      <c r="Q811" s="63"/>
    </row>
    <row r="812" customFormat="false" ht="15.75" hidden="false" customHeight="false" outlineLevel="0" collapsed="false">
      <c r="F812" s="63"/>
      <c r="J812" s="63"/>
      <c r="Q812" s="63"/>
    </row>
    <row r="813" customFormat="false" ht="15.75" hidden="false" customHeight="false" outlineLevel="0" collapsed="false">
      <c r="F813" s="63"/>
      <c r="J813" s="63"/>
      <c r="Q813" s="63"/>
    </row>
    <row r="814" customFormat="false" ht="15.75" hidden="false" customHeight="false" outlineLevel="0" collapsed="false">
      <c r="F814" s="63"/>
      <c r="J814" s="63"/>
      <c r="Q814" s="63"/>
    </row>
    <row r="815" customFormat="false" ht="15.75" hidden="false" customHeight="false" outlineLevel="0" collapsed="false">
      <c r="F815" s="63"/>
      <c r="J815" s="63"/>
      <c r="Q815" s="63"/>
    </row>
    <row r="816" customFormat="false" ht="15.75" hidden="false" customHeight="false" outlineLevel="0" collapsed="false">
      <c r="F816" s="63"/>
      <c r="J816" s="63"/>
      <c r="Q816" s="63"/>
    </row>
    <row r="817" customFormat="false" ht="15.75" hidden="false" customHeight="false" outlineLevel="0" collapsed="false">
      <c r="F817" s="63"/>
      <c r="J817" s="63"/>
      <c r="Q817" s="63"/>
    </row>
    <row r="818" customFormat="false" ht="15.75" hidden="false" customHeight="false" outlineLevel="0" collapsed="false">
      <c r="F818" s="63"/>
      <c r="J818" s="63"/>
      <c r="Q818" s="63"/>
    </row>
    <row r="819" customFormat="false" ht="15.75" hidden="false" customHeight="false" outlineLevel="0" collapsed="false">
      <c r="F819" s="63"/>
      <c r="J819" s="63"/>
      <c r="Q819" s="63"/>
    </row>
    <row r="820" customFormat="false" ht="15.75" hidden="false" customHeight="false" outlineLevel="0" collapsed="false">
      <c r="F820" s="63"/>
      <c r="J820" s="63"/>
      <c r="Q820" s="63"/>
    </row>
    <row r="821" customFormat="false" ht="15.75" hidden="false" customHeight="false" outlineLevel="0" collapsed="false">
      <c r="F821" s="63"/>
      <c r="J821" s="63"/>
      <c r="Q821" s="63"/>
    </row>
    <row r="822" customFormat="false" ht="15.75" hidden="false" customHeight="false" outlineLevel="0" collapsed="false">
      <c r="F822" s="63"/>
      <c r="J822" s="63"/>
      <c r="Q822" s="63"/>
    </row>
    <row r="823" customFormat="false" ht="15.75" hidden="false" customHeight="false" outlineLevel="0" collapsed="false">
      <c r="F823" s="63"/>
      <c r="J823" s="63"/>
      <c r="Q823" s="63"/>
    </row>
    <row r="824" customFormat="false" ht="15.75" hidden="false" customHeight="false" outlineLevel="0" collapsed="false">
      <c r="F824" s="63"/>
      <c r="J824" s="63"/>
      <c r="Q824" s="63"/>
    </row>
    <row r="825" customFormat="false" ht="15.75" hidden="false" customHeight="false" outlineLevel="0" collapsed="false">
      <c r="F825" s="63"/>
      <c r="J825" s="63"/>
      <c r="Q825" s="63"/>
    </row>
    <row r="826" customFormat="false" ht="15.75" hidden="false" customHeight="false" outlineLevel="0" collapsed="false">
      <c r="F826" s="63"/>
      <c r="J826" s="63"/>
      <c r="Q826" s="63"/>
    </row>
    <row r="827" customFormat="false" ht="15.75" hidden="false" customHeight="false" outlineLevel="0" collapsed="false">
      <c r="F827" s="63"/>
      <c r="J827" s="63"/>
      <c r="Q827" s="63"/>
    </row>
    <row r="828" customFormat="false" ht="15.75" hidden="false" customHeight="false" outlineLevel="0" collapsed="false">
      <c r="F828" s="63"/>
      <c r="J828" s="63"/>
      <c r="Q828" s="63"/>
    </row>
    <row r="829" customFormat="false" ht="15.75" hidden="false" customHeight="false" outlineLevel="0" collapsed="false">
      <c r="F829" s="63"/>
      <c r="J829" s="63"/>
      <c r="Q829" s="63"/>
    </row>
    <row r="830" customFormat="false" ht="15.75" hidden="false" customHeight="false" outlineLevel="0" collapsed="false">
      <c r="F830" s="63"/>
      <c r="J830" s="63"/>
      <c r="Q830" s="63"/>
    </row>
    <row r="831" customFormat="false" ht="15.75" hidden="false" customHeight="false" outlineLevel="0" collapsed="false">
      <c r="F831" s="63"/>
      <c r="J831" s="63"/>
      <c r="Q831" s="63"/>
    </row>
    <row r="832" customFormat="false" ht="15.75" hidden="false" customHeight="false" outlineLevel="0" collapsed="false">
      <c r="F832" s="63"/>
      <c r="J832" s="63"/>
      <c r="Q832" s="63"/>
    </row>
    <row r="833" customFormat="false" ht="15.75" hidden="false" customHeight="false" outlineLevel="0" collapsed="false">
      <c r="F833" s="63"/>
      <c r="J833" s="63"/>
      <c r="Q833" s="63"/>
    </row>
    <row r="834" customFormat="false" ht="15.75" hidden="false" customHeight="false" outlineLevel="0" collapsed="false">
      <c r="F834" s="63"/>
      <c r="J834" s="63"/>
      <c r="Q834" s="63"/>
    </row>
    <row r="835" customFormat="false" ht="15.75" hidden="false" customHeight="false" outlineLevel="0" collapsed="false">
      <c r="F835" s="63"/>
      <c r="J835" s="63"/>
      <c r="Q835" s="63"/>
    </row>
    <row r="836" customFormat="false" ht="15.75" hidden="false" customHeight="false" outlineLevel="0" collapsed="false">
      <c r="F836" s="63"/>
      <c r="J836" s="63"/>
      <c r="Q836" s="63"/>
    </row>
    <row r="837" customFormat="false" ht="15.75" hidden="false" customHeight="false" outlineLevel="0" collapsed="false">
      <c r="F837" s="63"/>
      <c r="J837" s="63"/>
      <c r="Q837" s="63"/>
    </row>
    <row r="838" customFormat="false" ht="15.75" hidden="false" customHeight="false" outlineLevel="0" collapsed="false">
      <c r="F838" s="63"/>
      <c r="J838" s="63"/>
      <c r="Q838" s="63"/>
    </row>
    <row r="839" customFormat="false" ht="15.75" hidden="false" customHeight="false" outlineLevel="0" collapsed="false">
      <c r="F839" s="63"/>
      <c r="J839" s="63"/>
      <c r="Q839" s="63"/>
    </row>
    <row r="840" customFormat="false" ht="15.75" hidden="false" customHeight="false" outlineLevel="0" collapsed="false">
      <c r="F840" s="63"/>
      <c r="J840" s="63"/>
      <c r="Q840" s="63"/>
    </row>
    <row r="841" customFormat="false" ht="15.75" hidden="false" customHeight="false" outlineLevel="0" collapsed="false">
      <c r="F841" s="63"/>
      <c r="J841" s="63"/>
      <c r="Q841" s="63"/>
    </row>
    <row r="842" customFormat="false" ht="15.75" hidden="false" customHeight="false" outlineLevel="0" collapsed="false">
      <c r="F842" s="63"/>
      <c r="J842" s="63"/>
      <c r="Q842" s="63"/>
    </row>
    <row r="843" customFormat="false" ht="15.75" hidden="false" customHeight="false" outlineLevel="0" collapsed="false">
      <c r="F843" s="63"/>
      <c r="J843" s="63"/>
      <c r="Q843" s="63"/>
    </row>
    <row r="844" customFormat="false" ht="15.75" hidden="false" customHeight="false" outlineLevel="0" collapsed="false">
      <c r="F844" s="63"/>
      <c r="J844" s="63"/>
      <c r="Q844" s="63"/>
    </row>
    <row r="845" customFormat="false" ht="15.75" hidden="false" customHeight="false" outlineLevel="0" collapsed="false">
      <c r="F845" s="63"/>
      <c r="J845" s="63"/>
      <c r="Q845" s="63"/>
    </row>
    <row r="846" customFormat="false" ht="15.75" hidden="false" customHeight="false" outlineLevel="0" collapsed="false">
      <c r="F846" s="63"/>
      <c r="J846" s="63"/>
      <c r="Q846" s="63"/>
    </row>
    <row r="847" customFormat="false" ht="15.75" hidden="false" customHeight="false" outlineLevel="0" collapsed="false">
      <c r="F847" s="63"/>
      <c r="J847" s="63"/>
      <c r="Q847" s="63"/>
    </row>
    <row r="848" customFormat="false" ht="15.75" hidden="false" customHeight="false" outlineLevel="0" collapsed="false">
      <c r="F848" s="63"/>
      <c r="J848" s="63"/>
      <c r="Q848" s="63"/>
    </row>
    <row r="849" customFormat="false" ht="15.75" hidden="false" customHeight="false" outlineLevel="0" collapsed="false">
      <c r="F849" s="63"/>
      <c r="J849" s="63"/>
      <c r="Q849" s="63"/>
    </row>
    <row r="850" customFormat="false" ht="15.75" hidden="false" customHeight="false" outlineLevel="0" collapsed="false">
      <c r="F850" s="63"/>
      <c r="J850" s="63"/>
      <c r="Q850" s="63"/>
    </row>
    <row r="851" customFormat="false" ht="15.75" hidden="false" customHeight="false" outlineLevel="0" collapsed="false">
      <c r="F851" s="63"/>
      <c r="J851" s="63"/>
      <c r="Q851" s="63"/>
    </row>
    <row r="852" customFormat="false" ht="15.75" hidden="false" customHeight="false" outlineLevel="0" collapsed="false">
      <c r="F852" s="63"/>
      <c r="J852" s="63"/>
      <c r="Q852" s="63"/>
    </row>
    <row r="853" customFormat="false" ht="15.75" hidden="false" customHeight="false" outlineLevel="0" collapsed="false">
      <c r="F853" s="63"/>
      <c r="J853" s="63"/>
      <c r="Q853" s="63"/>
    </row>
    <row r="854" customFormat="false" ht="15.75" hidden="false" customHeight="false" outlineLevel="0" collapsed="false">
      <c r="F854" s="63"/>
      <c r="J854" s="63"/>
      <c r="Q854" s="63"/>
    </row>
    <row r="855" customFormat="false" ht="15.75" hidden="false" customHeight="false" outlineLevel="0" collapsed="false">
      <c r="F855" s="63"/>
      <c r="J855" s="63"/>
      <c r="Q855" s="63"/>
    </row>
    <row r="856" customFormat="false" ht="15.75" hidden="false" customHeight="false" outlineLevel="0" collapsed="false">
      <c r="F856" s="63"/>
      <c r="J856" s="63"/>
      <c r="Q856" s="63"/>
    </row>
    <row r="857" customFormat="false" ht="15.75" hidden="false" customHeight="false" outlineLevel="0" collapsed="false">
      <c r="F857" s="63"/>
      <c r="J857" s="63"/>
      <c r="Q857" s="63"/>
    </row>
    <row r="858" customFormat="false" ht="15.75" hidden="false" customHeight="false" outlineLevel="0" collapsed="false">
      <c r="F858" s="63"/>
      <c r="J858" s="63"/>
      <c r="Q858" s="63"/>
    </row>
    <row r="859" customFormat="false" ht="15.75" hidden="false" customHeight="false" outlineLevel="0" collapsed="false">
      <c r="F859" s="63"/>
      <c r="J859" s="63"/>
      <c r="Q859" s="63"/>
    </row>
    <row r="860" customFormat="false" ht="15.75" hidden="false" customHeight="false" outlineLevel="0" collapsed="false">
      <c r="F860" s="63"/>
      <c r="J860" s="63"/>
      <c r="Q860" s="63"/>
    </row>
    <row r="861" customFormat="false" ht="15.75" hidden="false" customHeight="false" outlineLevel="0" collapsed="false">
      <c r="F861" s="63"/>
      <c r="J861" s="63"/>
      <c r="Q861" s="63"/>
    </row>
    <row r="862" customFormat="false" ht="15.75" hidden="false" customHeight="false" outlineLevel="0" collapsed="false">
      <c r="F862" s="63"/>
      <c r="J862" s="63"/>
      <c r="Q862" s="63"/>
    </row>
    <row r="863" customFormat="false" ht="15.75" hidden="false" customHeight="false" outlineLevel="0" collapsed="false">
      <c r="F863" s="63"/>
      <c r="J863" s="63"/>
      <c r="Q863" s="63"/>
    </row>
    <row r="864" customFormat="false" ht="15.75" hidden="false" customHeight="false" outlineLevel="0" collapsed="false">
      <c r="F864" s="63"/>
      <c r="J864" s="63"/>
      <c r="Q864" s="63"/>
    </row>
    <row r="865" customFormat="false" ht="15.75" hidden="false" customHeight="false" outlineLevel="0" collapsed="false">
      <c r="F865" s="63"/>
      <c r="J865" s="63"/>
      <c r="Q865" s="63"/>
    </row>
    <row r="866" customFormat="false" ht="15.75" hidden="false" customHeight="false" outlineLevel="0" collapsed="false">
      <c r="F866" s="63"/>
      <c r="J866" s="63"/>
      <c r="Q866" s="63"/>
    </row>
    <row r="867" customFormat="false" ht="15.75" hidden="false" customHeight="false" outlineLevel="0" collapsed="false">
      <c r="F867" s="63"/>
      <c r="J867" s="63"/>
      <c r="Q867" s="63"/>
    </row>
    <row r="868" customFormat="false" ht="15.75" hidden="false" customHeight="false" outlineLevel="0" collapsed="false">
      <c r="F868" s="63"/>
      <c r="J868" s="63"/>
      <c r="Q868" s="63"/>
    </row>
    <row r="869" customFormat="false" ht="15.75" hidden="false" customHeight="false" outlineLevel="0" collapsed="false">
      <c r="F869" s="63"/>
      <c r="J869" s="63"/>
      <c r="Q869" s="63"/>
    </row>
    <row r="870" customFormat="false" ht="15.75" hidden="false" customHeight="false" outlineLevel="0" collapsed="false">
      <c r="F870" s="63"/>
      <c r="J870" s="63"/>
      <c r="Q870" s="63"/>
    </row>
    <row r="871" customFormat="false" ht="15.75" hidden="false" customHeight="false" outlineLevel="0" collapsed="false">
      <c r="F871" s="63"/>
      <c r="J871" s="63"/>
      <c r="Q871" s="63"/>
    </row>
    <row r="872" customFormat="false" ht="15.75" hidden="false" customHeight="false" outlineLevel="0" collapsed="false">
      <c r="F872" s="63"/>
      <c r="J872" s="63"/>
      <c r="Q872" s="63"/>
    </row>
    <row r="873" customFormat="false" ht="15.75" hidden="false" customHeight="false" outlineLevel="0" collapsed="false">
      <c r="F873" s="63"/>
      <c r="J873" s="63"/>
      <c r="Q873" s="63"/>
    </row>
    <row r="874" customFormat="false" ht="15.75" hidden="false" customHeight="false" outlineLevel="0" collapsed="false">
      <c r="F874" s="63"/>
      <c r="J874" s="63"/>
      <c r="Q874" s="63"/>
    </row>
    <row r="875" customFormat="false" ht="15.75" hidden="false" customHeight="false" outlineLevel="0" collapsed="false">
      <c r="F875" s="63"/>
      <c r="J875" s="63"/>
      <c r="Q875" s="63"/>
    </row>
    <row r="876" customFormat="false" ht="15.75" hidden="false" customHeight="false" outlineLevel="0" collapsed="false">
      <c r="F876" s="63"/>
      <c r="J876" s="63"/>
      <c r="Q876" s="63"/>
    </row>
    <row r="877" customFormat="false" ht="15.75" hidden="false" customHeight="false" outlineLevel="0" collapsed="false">
      <c r="F877" s="63"/>
      <c r="J877" s="63"/>
      <c r="Q877" s="63"/>
    </row>
    <row r="878" customFormat="false" ht="15.75" hidden="false" customHeight="false" outlineLevel="0" collapsed="false">
      <c r="F878" s="63"/>
      <c r="J878" s="63"/>
      <c r="Q878" s="63"/>
    </row>
    <row r="879" customFormat="false" ht="15.75" hidden="false" customHeight="false" outlineLevel="0" collapsed="false">
      <c r="F879" s="63"/>
      <c r="J879" s="63"/>
      <c r="Q879" s="63"/>
    </row>
    <row r="880" customFormat="false" ht="15.75" hidden="false" customHeight="false" outlineLevel="0" collapsed="false">
      <c r="F880" s="63"/>
      <c r="J880" s="63"/>
      <c r="Q880" s="63"/>
    </row>
    <row r="881" customFormat="false" ht="15.75" hidden="false" customHeight="false" outlineLevel="0" collapsed="false">
      <c r="F881" s="63"/>
      <c r="J881" s="63"/>
      <c r="Q881" s="63"/>
    </row>
    <row r="882" customFormat="false" ht="15.75" hidden="false" customHeight="false" outlineLevel="0" collapsed="false">
      <c r="F882" s="63"/>
      <c r="J882" s="63"/>
      <c r="Q882" s="63"/>
    </row>
    <row r="883" customFormat="false" ht="15.75" hidden="false" customHeight="false" outlineLevel="0" collapsed="false">
      <c r="F883" s="63"/>
      <c r="J883" s="63"/>
      <c r="Q883" s="63"/>
    </row>
    <row r="884" customFormat="false" ht="15.75" hidden="false" customHeight="false" outlineLevel="0" collapsed="false">
      <c r="F884" s="63"/>
      <c r="J884" s="63"/>
      <c r="Q884" s="63"/>
    </row>
    <row r="885" customFormat="false" ht="15.75" hidden="false" customHeight="false" outlineLevel="0" collapsed="false">
      <c r="F885" s="63"/>
      <c r="J885" s="63"/>
      <c r="Q885" s="63"/>
    </row>
    <row r="886" customFormat="false" ht="15.75" hidden="false" customHeight="false" outlineLevel="0" collapsed="false">
      <c r="F886" s="63"/>
      <c r="J886" s="63"/>
      <c r="Q886" s="63"/>
    </row>
    <row r="887" customFormat="false" ht="15.75" hidden="false" customHeight="false" outlineLevel="0" collapsed="false">
      <c r="F887" s="63"/>
      <c r="J887" s="63"/>
      <c r="Q887" s="63"/>
    </row>
    <row r="888" customFormat="false" ht="15.75" hidden="false" customHeight="false" outlineLevel="0" collapsed="false">
      <c r="F888" s="63"/>
      <c r="J888" s="63"/>
      <c r="Q888" s="63"/>
    </row>
    <row r="889" customFormat="false" ht="15.75" hidden="false" customHeight="false" outlineLevel="0" collapsed="false">
      <c r="F889" s="63"/>
      <c r="J889" s="63"/>
      <c r="Q889" s="63"/>
    </row>
    <row r="890" customFormat="false" ht="15.75" hidden="false" customHeight="false" outlineLevel="0" collapsed="false">
      <c r="F890" s="63"/>
      <c r="J890" s="63"/>
      <c r="Q890" s="63"/>
    </row>
    <row r="891" customFormat="false" ht="15.75" hidden="false" customHeight="false" outlineLevel="0" collapsed="false">
      <c r="F891" s="63"/>
      <c r="J891" s="63"/>
      <c r="Q891" s="63"/>
    </row>
    <row r="892" customFormat="false" ht="15.75" hidden="false" customHeight="false" outlineLevel="0" collapsed="false">
      <c r="F892" s="63"/>
      <c r="J892" s="63"/>
      <c r="Q892" s="63"/>
    </row>
    <row r="893" customFormat="false" ht="15.75" hidden="false" customHeight="false" outlineLevel="0" collapsed="false">
      <c r="F893" s="63"/>
      <c r="J893" s="63"/>
      <c r="Q893" s="63"/>
    </row>
    <row r="894" customFormat="false" ht="15.75" hidden="false" customHeight="false" outlineLevel="0" collapsed="false">
      <c r="F894" s="63"/>
      <c r="J894" s="63"/>
      <c r="Q894" s="63"/>
    </row>
    <row r="895" customFormat="false" ht="15.75" hidden="false" customHeight="false" outlineLevel="0" collapsed="false">
      <c r="F895" s="63"/>
      <c r="J895" s="63"/>
      <c r="Q895" s="63"/>
    </row>
    <row r="896" customFormat="false" ht="15.75" hidden="false" customHeight="false" outlineLevel="0" collapsed="false">
      <c r="F896" s="63"/>
      <c r="J896" s="63"/>
      <c r="Q896" s="63"/>
    </row>
    <row r="897" customFormat="false" ht="15.75" hidden="false" customHeight="false" outlineLevel="0" collapsed="false">
      <c r="F897" s="63"/>
      <c r="J897" s="63"/>
      <c r="Q897" s="63"/>
    </row>
    <row r="898" customFormat="false" ht="15.75" hidden="false" customHeight="false" outlineLevel="0" collapsed="false">
      <c r="F898" s="63"/>
      <c r="J898" s="63"/>
      <c r="Q898" s="63"/>
    </row>
    <row r="899" customFormat="false" ht="15.75" hidden="false" customHeight="false" outlineLevel="0" collapsed="false">
      <c r="F899" s="63"/>
      <c r="J899" s="63"/>
      <c r="Q899" s="63"/>
    </row>
    <row r="900" customFormat="false" ht="15.75" hidden="false" customHeight="false" outlineLevel="0" collapsed="false">
      <c r="F900" s="63"/>
      <c r="J900" s="63"/>
      <c r="Q900" s="63"/>
    </row>
    <row r="901" customFormat="false" ht="15.75" hidden="false" customHeight="false" outlineLevel="0" collapsed="false">
      <c r="F901" s="63"/>
      <c r="J901" s="63"/>
      <c r="Q901" s="63"/>
    </row>
    <row r="902" customFormat="false" ht="15.75" hidden="false" customHeight="false" outlineLevel="0" collapsed="false">
      <c r="F902" s="63"/>
      <c r="J902" s="63"/>
      <c r="Q902" s="63"/>
    </row>
    <row r="903" customFormat="false" ht="15.75" hidden="false" customHeight="false" outlineLevel="0" collapsed="false">
      <c r="F903" s="63"/>
      <c r="J903" s="63"/>
      <c r="Q903" s="63"/>
    </row>
    <row r="904" customFormat="false" ht="15.75" hidden="false" customHeight="false" outlineLevel="0" collapsed="false">
      <c r="F904" s="63"/>
      <c r="J904" s="63"/>
      <c r="Q904" s="63"/>
    </row>
    <row r="905" customFormat="false" ht="15.75" hidden="false" customHeight="false" outlineLevel="0" collapsed="false">
      <c r="F905" s="63"/>
      <c r="J905" s="63"/>
      <c r="Q905" s="63"/>
    </row>
    <row r="906" customFormat="false" ht="15.75" hidden="false" customHeight="false" outlineLevel="0" collapsed="false">
      <c r="F906" s="63"/>
      <c r="J906" s="63"/>
      <c r="Q906" s="63"/>
    </row>
    <row r="907" customFormat="false" ht="15.75" hidden="false" customHeight="false" outlineLevel="0" collapsed="false">
      <c r="F907" s="63"/>
      <c r="J907" s="63"/>
      <c r="Q907" s="63"/>
    </row>
    <row r="908" customFormat="false" ht="15.75" hidden="false" customHeight="false" outlineLevel="0" collapsed="false">
      <c r="F908" s="63"/>
      <c r="J908" s="63"/>
      <c r="Q908" s="63"/>
    </row>
    <row r="909" customFormat="false" ht="15.75" hidden="false" customHeight="false" outlineLevel="0" collapsed="false">
      <c r="F909" s="63"/>
      <c r="J909" s="63"/>
      <c r="Q909" s="63"/>
    </row>
    <row r="910" customFormat="false" ht="15.75" hidden="false" customHeight="false" outlineLevel="0" collapsed="false">
      <c r="F910" s="63"/>
      <c r="J910" s="63"/>
      <c r="Q910" s="63"/>
    </row>
    <row r="911" customFormat="false" ht="15.75" hidden="false" customHeight="false" outlineLevel="0" collapsed="false">
      <c r="F911" s="63"/>
      <c r="J911" s="63"/>
      <c r="Q911" s="63"/>
    </row>
    <row r="912" customFormat="false" ht="15.75" hidden="false" customHeight="false" outlineLevel="0" collapsed="false">
      <c r="F912" s="63"/>
      <c r="J912" s="63"/>
      <c r="Q912" s="63"/>
    </row>
    <row r="913" customFormat="false" ht="15.75" hidden="false" customHeight="false" outlineLevel="0" collapsed="false">
      <c r="F913" s="63"/>
      <c r="J913" s="63"/>
      <c r="Q913" s="63"/>
    </row>
    <row r="914" customFormat="false" ht="15.75" hidden="false" customHeight="false" outlineLevel="0" collapsed="false">
      <c r="F914" s="63"/>
      <c r="J914" s="63"/>
      <c r="Q914" s="63"/>
    </row>
    <row r="915" customFormat="false" ht="15.75" hidden="false" customHeight="false" outlineLevel="0" collapsed="false">
      <c r="F915" s="63"/>
      <c r="J915" s="63"/>
      <c r="Q915" s="63"/>
    </row>
    <row r="916" customFormat="false" ht="15.75" hidden="false" customHeight="false" outlineLevel="0" collapsed="false">
      <c r="F916" s="63"/>
      <c r="J916" s="63"/>
      <c r="Q916" s="63"/>
    </row>
    <row r="917" customFormat="false" ht="15.75" hidden="false" customHeight="false" outlineLevel="0" collapsed="false">
      <c r="F917" s="63"/>
      <c r="J917" s="63"/>
      <c r="Q917" s="63"/>
    </row>
    <row r="918" customFormat="false" ht="15.75" hidden="false" customHeight="false" outlineLevel="0" collapsed="false">
      <c r="F918" s="63"/>
      <c r="J918" s="63"/>
      <c r="Q918" s="63"/>
    </row>
    <row r="919" customFormat="false" ht="15.75" hidden="false" customHeight="false" outlineLevel="0" collapsed="false">
      <c r="F919" s="63"/>
      <c r="J919" s="63"/>
      <c r="Q919" s="63"/>
    </row>
    <row r="920" customFormat="false" ht="15.75" hidden="false" customHeight="false" outlineLevel="0" collapsed="false">
      <c r="F920" s="63"/>
      <c r="J920" s="63"/>
      <c r="Q920" s="63"/>
    </row>
    <row r="921" customFormat="false" ht="15.75" hidden="false" customHeight="false" outlineLevel="0" collapsed="false">
      <c r="F921" s="63"/>
      <c r="J921" s="63"/>
      <c r="Q921" s="63"/>
    </row>
    <row r="922" customFormat="false" ht="15.75" hidden="false" customHeight="false" outlineLevel="0" collapsed="false">
      <c r="F922" s="63"/>
      <c r="J922" s="63"/>
      <c r="Q922" s="63"/>
    </row>
    <row r="923" customFormat="false" ht="15.75" hidden="false" customHeight="false" outlineLevel="0" collapsed="false">
      <c r="F923" s="63"/>
      <c r="J923" s="63"/>
      <c r="Q923" s="63"/>
    </row>
    <row r="924" customFormat="false" ht="15.75" hidden="false" customHeight="false" outlineLevel="0" collapsed="false">
      <c r="F924" s="63"/>
      <c r="J924" s="63"/>
      <c r="Q924" s="63"/>
    </row>
    <row r="925" customFormat="false" ht="15.75" hidden="false" customHeight="false" outlineLevel="0" collapsed="false">
      <c r="F925" s="63"/>
      <c r="J925" s="63"/>
      <c r="Q925" s="63"/>
    </row>
    <row r="926" customFormat="false" ht="15.75" hidden="false" customHeight="false" outlineLevel="0" collapsed="false">
      <c r="F926" s="63"/>
      <c r="J926" s="63"/>
      <c r="Q926" s="63"/>
    </row>
    <row r="927" customFormat="false" ht="15.75" hidden="false" customHeight="false" outlineLevel="0" collapsed="false">
      <c r="F927" s="63"/>
      <c r="J927" s="63"/>
      <c r="Q927" s="63"/>
    </row>
    <row r="928" customFormat="false" ht="15.75" hidden="false" customHeight="false" outlineLevel="0" collapsed="false">
      <c r="F928" s="63"/>
      <c r="J928" s="63"/>
      <c r="Q928" s="63"/>
    </row>
    <row r="929" customFormat="false" ht="15.75" hidden="false" customHeight="false" outlineLevel="0" collapsed="false">
      <c r="F929" s="63"/>
      <c r="J929" s="63"/>
      <c r="Q929" s="63"/>
    </row>
    <row r="930" customFormat="false" ht="15.75" hidden="false" customHeight="false" outlineLevel="0" collapsed="false">
      <c r="F930" s="63"/>
      <c r="J930" s="63"/>
      <c r="Q930" s="63"/>
    </row>
    <row r="931" customFormat="false" ht="15.75" hidden="false" customHeight="false" outlineLevel="0" collapsed="false">
      <c r="F931" s="63"/>
      <c r="J931" s="63"/>
      <c r="Q931" s="63"/>
    </row>
    <row r="932" customFormat="false" ht="15.75" hidden="false" customHeight="false" outlineLevel="0" collapsed="false">
      <c r="F932" s="63"/>
      <c r="J932" s="63"/>
      <c r="Q932" s="63"/>
    </row>
    <row r="933" customFormat="false" ht="15.75" hidden="false" customHeight="false" outlineLevel="0" collapsed="false">
      <c r="F933" s="63"/>
      <c r="J933" s="63"/>
      <c r="Q933" s="63"/>
    </row>
    <row r="934" customFormat="false" ht="15.75" hidden="false" customHeight="false" outlineLevel="0" collapsed="false">
      <c r="F934" s="63"/>
      <c r="J934" s="63"/>
      <c r="Q934" s="63"/>
    </row>
    <row r="935" customFormat="false" ht="15.75" hidden="false" customHeight="false" outlineLevel="0" collapsed="false">
      <c r="F935" s="63"/>
      <c r="J935" s="63"/>
      <c r="Q935" s="63"/>
    </row>
    <row r="936" customFormat="false" ht="15.75" hidden="false" customHeight="false" outlineLevel="0" collapsed="false">
      <c r="F936" s="63"/>
      <c r="J936" s="63"/>
      <c r="Q936" s="63"/>
    </row>
    <row r="937" customFormat="false" ht="15.75" hidden="false" customHeight="false" outlineLevel="0" collapsed="false">
      <c r="F937" s="63"/>
      <c r="J937" s="63"/>
      <c r="Q937" s="63"/>
    </row>
    <row r="938" customFormat="false" ht="15.75" hidden="false" customHeight="false" outlineLevel="0" collapsed="false">
      <c r="F938" s="63"/>
      <c r="J938" s="63"/>
      <c r="Q938" s="63"/>
    </row>
    <row r="939" customFormat="false" ht="15.75" hidden="false" customHeight="false" outlineLevel="0" collapsed="false">
      <c r="F939" s="63"/>
      <c r="J939" s="63"/>
      <c r="Q939" s="63"/>
    </row>
    <row r="940" customFormat="false" ht="15.75" hidden="false" customHeight="false" outlineLevel="0" collapsed="false">
      <c r="F940" s="63"/>
      <c r="J940" s="63"/>
      <c r="Q940" s="63"/>
    </row>
    <row r="941" customFormat="false" ht="15.75" hidden="false" customHeight="false" outlineLevel="0" collapsed="false">
      <c r="F941" s="63"/>
      <c r="J941" s="63"/>
      <c r="Q941" s="63"/>
    </row>
    <row r="942" customFormat="false" ht="15.75" hidden="false" customHeight="false" outlineLevel="0" collapsed="false">
      <c r="F942" s="63"/>
      <c r="J942" s="63"/>
      <c r="Q942" s="63"/>
    </row>
    <row r="943" customFormat="false" ht="15.75" hidden="false" customHeight="false" outlineLevel="0" collapsed="false">
      <c r="F943" s="63"/>
      <c r="J943" s="63"/>
      <c r="Q943" s="63"/>
    </row>
    <row r="944" customFormat="false" ht="15.75" hidden="false" customHeight="false" outlineLevel="0" collapsed="false">
      <c r="F944" s="63"/>
      <c r="J944" s="63"/>
      <c r="Q944" s="63"/>
    </row>
    <row r="945" customFormat="false" ht="15.75" hidden="false" customHeight="false" outlineLevel="0" collapsed="false">
      <c r="F945" s="63"/>
      <c r="J945" s="63"/>
      <c r="Q945" s="63"/>
    </row>
    <row r="946" customFormat="false" ht="15.75" hidden="false" customHeight="false" outlineLevel="0" collapsed="false">
      <c r="F946" s="63"/>
      <c r="J946" s="63"/>
      <c r="Q946" s="63"/>
    </row>
    <row r="947" customFormat="false" ht="15.75" hidden="false" customHeight="false" outlineLevel="0" collapsed="false">
      <c r="F947" s="63"/>
      <c r="J947" s="63"/>
      <c r="Q947" s="63"/>
    </row>
    <row r="948" customFormat="false" ht="15.75" hidden="false" customHeight="false" outlineLevel="0" collapsed="false">
      <c r="F948" s="63"/>
      <c r="J948" s="63"/>
      <c r="Q948" s="63"/>
    </row>
    <row r="949" customFormat="false" ht="15.75" hidden="false" customHeight="false" outlineLevel="0" collapsed="false">
      <c r="F949" s="63"/>
      <c r="J949" s="63"/>
      <c r="Q949" s="63"/>
    </row>
    <row r="950" customFormat="false" ht="15.75" hidden="false" customHeight="false" outlineLevel="0" collapsed="false">
      <c r="F950" s="63"/>
      <c r="J950" s="63"/>
      <c r="Q950" s="63"/>
    </row>
    <row r="951" customFormat="false" ht="15.75" hidden="false" customHeight="false" outlineLevel="0" collapsed="false">
      <c r="F951" s="63"/>
      <c r="J951" s="63"/>
      <c r="Q951" s="63"/>
    </row>
    <row r="952" customFormat="false" ht="15.75" hidden="false" customHeight="false" outlineLevel="0" collapsed="false">
      <c r="F952" s="63"/>
      <c r="J952" s="63"/>
      <c r="Q952" s="63"/>
    </row>
    <row r="953" customFormat="false" ht="15.75" hidden="false" customHeight="false" outlineLevel="0" collapsed="false">
      <c r="F953" s="63"/>
      <c r="J953" s="63"/>
      <c r="Q953" s="63"/>
    </row>
    <row r="954" customFormat="false" ht="15.75" hidden="false" customHeight="false" outlineLevel="0" collapsed="false">
      <c r="F954" s="63"/>
      <c r="J954" s="63"/>
      <c r="Q954" s="63"/>
    </row>
    <row r="955" customFormat="false" ht="15.75" hidden="false" customHeight="false" outlineLevel="0" collapsed="false">
      <c r="F955" s="63"/>
      <c r="J955" s="63"/>
      <c r="Q955" s="63"/>
    </row>
    <row r="956" customFormat="false" ht="15.75" hidden="false" customHeight="false" outlineLevel="0" collapsed="false">
      <c r="F956" s="63"/>
      <c r="J956" s="63"/>
      <c r="Q956" s="63"/>
    </row>
    <row r="957" customFormat="false" ht="15.75" hidden="false" customHeight="false" outlineLevel="0" collapsed="false">
      <c r="F957" s="63"/>
      <c r="J957" s="63"/>
      <c r="Q957" s="63"/>
    </row>
    <row r="958" customFormat="false" ht="15.75" hidden="false" customHeight="false" outlineLevel="0" collapsed="false">
      <c r="F958" s="63"/>
      <c r="J958" s="63"/>
      <c r="Q958" s="63"/>
    </row>
    <row r="959" customFormat="false" ht="15.75" hidden="false" customHeight="false" outlineLevel="0" collapsed="false">
      <c r="F959" s="63"/>
      <c r="J959" s="63"/>
      <c r="Q959" s="63"/>
    </row>
    <row r="960" customFormat="false" ht="15.75" hidden="false" customHeight="false" outlineLevel="0" collapsed="false">
      <c r="F960" s="63"/>
      <c r="J960" s="63"/>
      <c r="Q960" s="63"/>
    </row>
    <row r="961" customFormat="false" ht="15.75" hidden="false" customHeight="false" outlineLevel="0" collapsed="false">
      <c r="F961" s="63"/>
      <c r="J961" s="63"/>
      <c r="Q961" s="63"/>
    </row>
    <row r="962" customFormat="false" ht="15.75" hidden="false" customHeight="false" outlineLevel="0" collapsed="false">
      <c r="F962" s="63"/>
      <c r="J962" s="63"/>
      <c r="Q962" s="63"/>
    </row>
    <row r="963" customFormat="false" ht="15.75" hidden="false" customHeight="false" outlineLevel="0" collapsed="false">
      <c r="F963" s="63"/>
      <c r="J963" s="63"/>
      <c r="Q963" s="63"/>
    </row>
    <row r="964" customFormat="false" ht="15.75" hidden="false" customHeight="false" outlineLevel="0" collapsed="false">
      <c r="F964" s="63"/>
      <c r="J964" s="63"/>
      <c r="Q964" s="63"/>
    </row>
    <row r="965" customFormat="false" ht="15.75" hidden="false" customHeight="false" outlineLevel="0" collapsed="false">
      <c r="F965" s="63"/>
      <c r="J965" s="63"/>
      <c r="Q965" s="63"/>
    </row>
    <row r="966" customFormat="false" ht="15.75" hidden="false" customHeight="false" outlineLevel="0" collapsed="false">
      <c r="F966" s="63"/>
      <c r="J966" s="63"/>
      <c r="Q966" s="63"/>
    </row>
    <row r="967" customFormat="false" ht="15.75" hidden="false" customHeight="false" outlineLevel="0" collapsed="false">
      <c r="F967" s="63"/>
      <c r="J967" s="63"/>
      <c r="Q967" s="63"/>
    </row>
    <row r="968" customFormat="false" ht="15.75" hidden="false" customHeight="false" outlineLevel="0" collapsed="false">
      <c r="F968" s="63"/>
      <c r="J968" s="63"/>
      <c r="Q968" s="63"/>
    </row>
    <row r="969" customFormat="false" ht="15.75" hidden="false" customHeight="false" outlineLevel="0" collapsed="false">
      <c r="F969" s="63"/>
      <c r="J969" s="63"/>
      <c r="Q969" s="63"/>
    </row>
    <row r="970" customFormat="false" ht="15.75" hidden="false" customHeight="false" outlineLevel="0" collapsed="false">
      <c r="F970" s="63"/>
      <c r="J970" s="63"/>
      <c r="Q970" s="63"/>
    </row>
    <row r="971" customFormat="false" ht="15.75" hidden="false" customHeight="false" outlineLevel="0" collapsed="false">
      <c r="F971" s="63"/>
      <c r="J971" s="63"/>
      <c r="Q971" s="63"/>
    </row>
    <row r="972" customFormat="false" ht="15.75" hidden="false" customHeight="false" outlineLevel="0" collapsed="false">
      <c r="F972" s="63"/>
      <c r="J972" s="63"/>
      <c r="Q972" s="63"/>
    </row>
    <row r="973" customFormat="false" ht="15.75" hidden="false" customHeight="false" outlineLevel="0" collapsed="false">
      <c r="F973" s="63"/>
      <c r="J973" s="63"/>
      <c r="Q973" s="63"/>
    </row>
    <row r="974" customFormat="false" ht="15.75" hidden="false" customHeight="false" outlineLevel="0" collapsed="false">
      <c r="F974" s="63"/>
      <c r="J974" s="63"/>
      <c r="Q974" s="63"/>
    </row>
    <row r="975" customFormat="false" ht="15.75" hidden="false" customHeight="false" outlineLevel="0" collapsed="false">
      <c r="F975" s="63"/>
      <c r="J975" s="63"/>
      <c r="Q975" s="63"/>
    </row>
    <row r="976" customFormat="false" ht="15.75" hidden="false" customHeight="false" outlineLevel="0" collapsed="false">
      <c r="F976" s="63"/>
      <c r="J976" s="63"/>
      <c r="Q976" s="63"/>
    </row>
    <row r="977" customFormat="false" ht="15.75" hidden="false" customHeight="false" outlineLevel="0" collapsed="false">
      <c r="F977" s="63"/>
      <c r="J977" s="63"/>
      <c r="Q977" s="63"/>
    </row>
    <row r="978" customFormat="false" ht="15.75" hidden="false" customHeight="false" outlineLevel="0" collapsed="false">
      <c r="F978" s="63"/>
      <c r="J978" s="63"/>
      <c r="Q978" s="63"/>
    </row>
    <row r="979" customFormat="false" ht="15.75" hidden="false" customHeight="false" outlineLevel="0" collapsed="false">
      <c r="F979" s="63"/>
      <c r="J979" s="63"/>
      <c r="Q979" s="63"/>
    </row>
    <row r="980" customFormat="false" ht="15.75" hidden="false" customHeight="false" outlineLevel="0" collapsed="false">
      <c r="F980" s="63"/>
      <c r="J980" s="63"/>
      <c r="Q980" s="63"/>
    </row>
    <row r="981" customFormat="false" ht="15.75" hidden="false" customHeight="false" outlineLevel="0" collapsed="false">
      <c r="F981" s="63"/>
      <c r="J981" s="63"/>
      <c r="Q981" s="63"/>
    </row>
    <row r="982" customFormat="false" ht="15.75" hidden="false" customHeight="false" outlineLevel="0" collapsed="false">
      <c r="F982" s="63"/>
      <c r="J982" s="63"/>
      <c r="Q982" s="63"/>
    </row>
    <row r="983" customFormat="false" ht="15.75" hidden="false" customHeight="false" outlineLevel="0" collapsed="false">
      <c r="F983" s="63"/>
      <c r="J983" s="63"/>
      <c r="Q983" s="63"/>
    </row>
    <row r="984" customFormat="false" ht="15.75" hidden="false" customHeight="false" outlineLevel="0" collapsed="false">
      <c r="F984" s="63"/>
      <c r="J984" s="63"/>
      <c r="Q984" s="63"/>
    </row>
    <row r="985" customFormat="false" ht="15.75" hidden="false" customHeight="false" outlineLevel="0" collapsed="false">
      <c r="F985" s="63"/>
      <c r="J985" s="63"/>
      <c r="Q985" s="63"/>
    </row>
    <row r="986" customFormat="false" ht="15.75" hidden="false" customHeight="false" outlineLevel="0" collapsed="false">
      <c r="F986" s="63"/>
      <c r="J986" s="63"/>
      <c r="Q986" s="63"/>
    </row>
    <row r="987" customFormat="false" ht="15.75" hidden="false" customHeight="false" outlineLevel="0" collapsed="false">
      <c r="F987" s="63"/>
      <c r="J987" s="63"/>
      <c r="Q987" s="63"/>
    </row>
    <row r="988" customFormat="false" ht="15.75" hidden="false" customHeight="false" outlineLevel="0" collapsed="false">
      <c r="F988" s="63"/>
      <c r="J988" s="63"/>
      <c r="Q988" s="63"/>
    </row>
    <row r="989" customFormat="false" ht="15.75" hidden="false" customHeight="false" outlineLevel="0" collapsed="false">
      <c r="F989" s="63"/>
      <c r="J989" s="63"/>
      <c r="Q989" s="63"/>
    </row>
    <row r="990" customFormat="false" ht="15.75" hidden="false" customHeight="false" outlineLevel="0" collapsed="false">
      <c r="F990" s="63"/>
      <c r="J990" s="63"/>
      <c r="Q990" s="63"/>
    </row>
    <row r="991" customFormat="false" ht="15.75" hidden="false" customHeight="false" outlineLevel="0" collapsed="false">
      <c r="F991" s="63"/>
      <c r="J991" s="63"/>
      <c r="Q991" s="63"/>
    </row>
    <row r="992" customFormat="false" ht="15.75" hidden="false" customHeight="false" outlineLevel="0" collapsed="false">
      <c r="F992" s="63"/>
      <c r="J992" s="63"/>
      <c r="Q992" s="63"/>
    </row>
    <row r="993" customFormat="false" ht="15.75" hidden="false" customHeight="false" outlineLevel="0" collapsed="false">
      <c r="F993" s="63"/>
      <c r="J993" s="63"/>
      <c r="Q993" s="63"/>
    </row>
    <row r="994" customFormat="false" ht="15.75" hidden="false" customHeight="false" outlineLevel="0" collapsed="false">
      <c r="F994" s="63"/>
      <c r="J994" s="63"/>
      <c r="Q994" s="63"/>
    </row>
    <row r="995" customFormat="false" ht="15.75" hidden="false" customHeight="false" outlineLevel="0" collapsed="false">
      <c r="F995" s="63"/>
      <c r="J995" s="63"/>
      <c r="Q995" s="63"/>
    </row>
    <row r="996" customFormat="false" ht="15.75" hidden="false" customHeight="false" outlineLevel="0" collapsed="false">
      <c r="F996" s="63"/>
      <c r="J996" s="63"/>
      <c r="Q996" s="63"/>
    </row>
    <row r="997" customFormat="false" ht="15.75" hidden="false" customHeight="false" outlineLevel="0" collapsed="false">
      <c r="F997" s="63"/>
      <c r="J997" s="63"/>
      <c r="Q997" s="63"/>
    </row>
    <row r="998" customFormat="false" ht="15.75" hidden="false" customHeight="false" outlineLevel="0" collapsed="false">
      <c r="F998" s="63"/>
      <c r="J998" s="63"/>
      <c r="Q998" s="63"/>
    </row>
    <row r="999" customFormat="false" ht="15.75" hidden="false" customHeight="false" outlineLevel="0" collapsed="false">
      <c r="F999" s="63"/>
      <c r="J999" s="63"/>
      <c r="Q999" s="63"/>
    </row>
    <row r="1000" customFormat="false" ht="15.75" hidden="false" customHeight="false" outlineLevel="0" collapsed="false">
      <c r="F1000" s="63"/>
      <c r="J1000" s="63"/>
      <c r="Q1000" s="63"/>
    </row>
    <row r="1001" customFormat="false" ht="15.75" hidden="false" customHeight="false" outlineLevel="0" collapsed="false">
      <c r="F1001" s="63"/>
      <c r="J1001" s="63"/>
      <c r="Q1001" s="6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13.13"/>
  </cols>
  <sheetData>
    <row r="1" customFormat="false" ht="15.75" hidden="false" customHeight="false" outlineLevel="0" collapsed="false">
      <c r="A1" s="69" t="s">
        <v>2350</v>
      </c>
    </row>
    <row r="2" customFormat="false" ht="15.75" hidden="false" customHeight="false" outlineLevel="0" collapsed="false">
      <c r="A2" s="14" t="s">
        <v>2164</v>
      </c>
      <c r="B2" s="14" t="s">
        <v>2340</v>
      </c>
      <c r="C2" s="14" t="s">
        <v>2353</v>
      </c>
    </row>
    <row r="3" customFormat="false" ht="15.75" hidden="false" customHeight="false" outlineLevel="0" collapsed="false">
      <c r="A3" s="16" t="s">
        <v>2185</v>
      </c>
      <c r="B3" s="13" t="s">
        <v>2355</v>
      </c>
      <c r="C3" s="13" t="n">
        <v>7</v>
      </c>
    </row>
    <row r="4" customFormat="false" ht="15.75" hidden="false" customHeight="false" outlineLevel="0" collapsed="false">
      <c r="A4" s="13"/>
      <c r="B4" s="13" t="s">
        <v>2356</v>
      </c>
      <c r="C4" s="13" t="n">
        <v>4</v>
      </c>
    </row>
    <row r="5" customFormat="false" ht="15.75" hidden="false" customHeight="false" outlineLevel="0" collapsed="false">
      <c r="A5" s="13"/>
      <c r="B5" s="13" t="s">
        <v>2357</v>
      </c>
      <c r="C5" s="13" t="n">
        <v>3</v>
      </c>
    </row>
    <row r="6" customFormat="false" ht="15.75" hidden="false" customHeight="false" outlineLevel="0" collapsed="false">
      <c r="A6" s="13"/>
      <c r="B6" s="13" t="s">
        <v>2354</v>
      </c>
      <c r="C6" s="13" t="n">
        <v>2</v>
      </c>
    </row>
    <row r="7" customFormat="false" ht="15.75" hidden="false" customHeight="false" outlineLevel="0" collapsed="false">
      <c r="A7" s="13"/>
      <c r="B7" s="13" t="s">
        <v>2359</v>
      </c>
      <c r="C7" s="13" t="n">
        <v>1</v>
      </c>
    </row>
    <row r="8" customFormat="false" ht="15.75" hidden="false" customHeight="false" outlineLevel="0" collapsed="false">
      <c r="A8" s="16" t="s">
        <v>2181</v>
      </c>
      <c r="B8" s="13" t="s">
        <v>2356</v>
      </c>
      <c r="C8" s="13" t="n">
        <v>5</v>
      </c>
    </row>
    <row r="9" customFormat="false" ht="15.75" hidden="false" customHeight="false" outlineLevel="0" collapsed="false">
      <c r="A9" s="13"/>
      <c r="B9" s="13" t="s">
        <v>2357</v>
      </c>
      <c r="C9" s="13" t="n">
        <v>3</v>
      </c>
    </row>
    <row r="10" customFormat="false" ht="15.75" hidden="false" customHeight="false" outlineLevel="0" collapsed="false">
      <c r="A10" s="13"/>
      <c r="B10" s="13" t="s">
        <v>2354</v>
      </c>
      <c r="C10" s="13" t="n">
        <v>3</v>
      </c>
    </row>
    <row r="11" customFormat="false" ht="15.75" hidden="false" customHeight="false" outlineLevel="0" collapsed="false">
      <c r="A11" s="13"/>
      <c r="B11" s="13" t="s">
        <v>2355</v>
      </c>
      <c r="C11" s="13" t="n">
        <v>1</v>
      </c>
    </row>
    <row r="12" customFormat="false" ht="15.75" hidden="false" customHeight="false" outlineLevel="0" collapsed="false">
      <c r="A12" s="13"/>
      <c r="B12" s="13" t="s">
        <v>2359</v>
      </c>
      <c r="C12" s="13" t="n">
        <v>1</v>
      </c>
    </row>
    <row r="13" customFormat="false" ht="15.75" hidden="false" customHeight="false" outlineLevel="0" collapsed="false">
      <c r="A13" s="16" t="s">
        <v>2188</v>
      </c>
      <c r="B13" s="13" t="s">
        <v>2357</v>
      </c>
      <c r="C13" s="13" t="n">
        <v>6</v>
      </c>
    </row>
    <row r="14" customFormat="false" ht="15.75" hidden="false" customHeight="false" outlineLevel="0" collapsed="false">
      <c r="A14" s="13"/>
      <c r="B14" s="13" t="s">
        <v>2356</v>
      </c>
      <c r="C14" s="13" t="n">
        <v>2</v>
      </c>
    </row>
    <row r="15" customFormat="false" ht="15.75" hidden="false" customHeight="false" outlineLevel="0" collapsed="false">
      <c r="A15" s="13"/>
      <c r="B15" s="13" t="s">
        <v>2355</v>
      </c>
      <c r="C15" s="13" t="n">
        <v>1</v>
      </c>
    </row>
    <row r="16" customFormat="false" ht="15.75" hidden="false" customHeight="false" outlineLevel="0" collapsed="false">
      <c r="A16" s="16" t="s">
        <v>2183</v>
      </c>
      <c r="B16" s="13" t="s">
        <v>2356</v>
      </c>
      <c r="C16" s="13" t="n">
        <v>7</v>
      </c>
    </row>
    <row r="17" customFormat="false" ht="15.75" hidden="false" customHeight="false" outlineLevel="0" collapsed="false">
      <c r="A17" s="13"/>
      <c r="B17" s="13" t="s">
        <v>2357</v>
      </c>
      <c r="C17" s="13" t="n">
        <v>1</v>
      </c>
    </row>
    <row r="18" customFormat="false" ht="15.75" hidden="false" customHeight="false" outlineLevel="0" collapsed="false">
      <c r="A18" s="16" t="s">
        <v>2186</v>
      </c>
      <c r="B18" s="13" t="s">
        <v>2357</v>
      </c>
      <c r="C18" s="13" t="n">
        <v>4</v>
      </c>
    </row>
    <row r="19" customFormat="false" ht="15.75" hidden="false" customHeight="false" outlineLevel="0" collapsed="false">
      <c r="A19" s="13"/>
      <c r="B19" s="13" t="s">
        <v>2356</v>
      </c>
      <c r="C19" s="13" t="n">
        <v>3</v>
      </c>
    </row>
    <row r="20" customFormat="false" ht="15.75" hidden="false" customHeight="false" outlineLevel="0" collapsed="false">
      <c r="A20" s="16" t="s">
        <v>2192</v>
      </c>
      <c r="B20" s="13" t="s">
        <v>2357</v>
      </c>
      <c r="C20" s="13" t="n">
        <v>1</v>
      </c>
    </row>
    <row r="21" customFormat="false" ht="15.75" hidden="false" customHeight="false" outlineLevel="0" collapsed="false">
      <c r="A21" s="16" t="s">
        <v>2179</v>
      </c>
      <c r="B21" s="13" t="s">
        <v>2357</v>
      </c>
      <c r="C21" s="13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40625" defaultRowHeight="15.75" zeroHeight="false" outlineLevelRow="0" outlineLevelCol="0"/>
  <cols>
    <col collapsed="false" customWidth="true" hidden="false" outlineLevel="0" max="6" min="6" style="0" width="14.01"/>
  </cols>
  <sheetData>
    <row r="1" customFormat="false" ht="15.75" hidden="false" customHeight="false" outlineLevel="0" collapsed="false">
      <c r="A1" s="70" t="s">
        <v>2165</v>
      </c>
      <c r="B1" s="70" t="s">
        <v>2340</v>
      </c>
      <c r="C1" s="70"/>
      <c r="F1" s="71" t="s">
        <v>2340</v>
      </c>
      <c r="G1" s="72" t="s">
        <v>2364</v>
      </c>
    </row>
    <row r="2" customFormat="false" ht="15.75" hidden="false" customHeight="false" outlineLevel="0" collapsed="false">
      <c r="A2" s="52" t="s">
        <v>55</v>
      </c>
      <c r="B2" s="52" t="s">
        <v>2354</v>
      </c>
      <c r="C2" s="52" t="s">
        <v>2365</v>
      </c>
      <c r="F2" s="73" t="s">
        <v>2354</v>
      </c>
      <c r="G2" s="74" t="n">
        <f aca="false">COUNTIF(B:B,F2)</f>
        <v>33</v>
      </c>
    </row>
    <row r="3" customFormat="false" ht="15.75" hidden="false" customHeight="false" outlineLevel="0" collapsed="false">
      <c r="A3" s="52" t="s">
        <v>783</v>
      </c>
      <c r="B3" s="52" t="s">
        <v>2354</v>
      </c>
      <c r="C3" s="52" t="s">
        <v>2365</v>
      </c>
      <c r="F3" s="73" t="s">
        <v>2356</v>
      </c>
      <c r="G3" s="74" t="n">
        <f aca="false">COUNTIF(B:B,F3)</f>
        <v>54</v>
      </c>
    </row>
    <row r="4" customFormat="false" ht="15.75" hidden="false" customHeight="false" outlineLevel="0" collapsed="false">
      <c r="A4" s="52" t="s">
        <v>2366</v>
      </c>
      <c r="B4" s="52" t="s">
        <v>2354</v>
      </c>
      <c r="C4" s="52" t="s">
        <v>2367</v>
      </c>
      <c r="F4" s="73" t="s">
        <v>2368</v>
      </c>
      <c r="G4" s="74" t="n">
        <f aca="false">COUNTIF(B:B,F4)</f>
        <v>36</v>
      </c>
    </row>
    <row r="5" customFormat="false" ht="15.75" hidden="false" customHeight="false" outlineLevel="0" collapsed="false">
      <c r="A5" s="52" t="s">
        <v>2369</v>
      </c>
      <c r="B5" s="52" t="s">
        <v>2354</v>
      </c>
      <c r="C5" s="52" t="s">
        <v>2365</v>
      </c>
      <c r="F5" s="73" t="s">
        <v>2357</v>
      </c>
      <c r="G5" s="74" t="n">
        <f aca="false">COUNTIF(B:B,F5)</f>
        <v>37</v>
      </c>
    </row>
    <row r="6" customFormat="false" ht="15.75" hidden="false" customHeight="false" outlineLevel="0" collapsed="false">
      <c r="A6" s="52" t="s">
        <v>2370</v>
      </c>
      <c r="B6" s="52" t="s">
        <v>2354</v>
      </c>
      <c r="C6" s="52" t="s">
        <v>2365</v>
      </c>
      <c r="F6" s="73" t="s">
        <v>2371</v>
      </c>
      <c r="G6" s="74" t="n">
        <f aca="false">COUNTIF(B:B,F6)</f>
        <v>44</v>
      </c>
    </row>
    <row r="7" customFormat="false" ht="15.75" hidden="false" customHeight="false" outlineLevel="0" collapsed="false">
      <c r="A7" s="52" t="s">
        <v>27</v>
      </c>
      <c r="B7" s="52" t="s">
        <v>2354</v>
      </c>
      <c r="C7" s="52" t="s">
        <v>2372</v>
      </c>
      <c r="F7" s="73" t="s">
        <v>2373</v>
      </c>
      <c r="G7" s="74" t="n">
        <f aca="false">COUNTIF(B:B,F7)</f>
        <v>39</v>
      </c>
    </row>
    <row r="8" customFormat="false" ht="15.75" hidden="false" customHeight="false" outlineLevel="0" collapsed="false">
      <c r="A8" s="52" t="s">
        <v>2374</v>
      </c>
      <c r="B8" s="52" t="s">
        <v>2354</v>
      </c>
      <c r="C8" s="52"/>
      <c r="F8" s="73" t="s">
        <v>2359</v>
      </c>
      <c r="G8" s="74" t="n">
        <f aca="false">COUNTIF(B:B,F8)</f>
        <v>27</v>
      </c>
    </row>
    <row r="9" customFormat="false" ht="15.75" hidden="false" customHeight="false" outlineLevel="0" collapsed="false">
      <c r="A9" s="52" t="s">
        <v>1874</v>
      </c>
      <c r="B9" s="52" t="s">
        <v>2354</v>
      </c>
      <c r="C9" s="52"/>
      <c r="F9" s="73" t="s">
        <v>2355</v>
      </c>
      <c r="G9" s="74" t="n">
        <f aca="false">COUNTIF(B:B,F9)</f>
        <v>15</v>
      </c>
    </row>
    <row r="10" customFormat="false" ht="15.75" hidden="false" customHeight="false" outlineLevel="0" collapsed="false">
      <c r="A10" s="52" t="s">
        <v>2375</v>
      </c>
      <c r="B10" s="52" t="s">
        <v>2354</v>
      </c>
      <c r="C10" s="52"/>
      <c r="F10" s="73" t="s">
        <v>2376</v>
      </c>
      <c r="G10" s="74" t="n">
        <f aca="false">COUNTIF(B:B,F10)</f>
        <v>1</v>
      </c>
    </row>
    <row r="11" customFormat="false" ht="15.75" hidden="false" customHeight="false" outlineLevel="0" collapsed="false">
      <c r="A11" s="52" t="s">
        <v>2377</v>
      </c>
      <c r="B11" s="52" t="s">
        <v>2354</v>
      </c>
      <c r="C11" s="52" t="s">
        <v>2365</v>
      </c>
      <c r="F11" s="73" t="s">
        <v>2378</v>
      </c>
      <c r="G11" s="74" t="n">
        <f aca="false">COUNTIF(B:B,F11)</f>
        <v>1</v>
      </c>
    </row>
    <row r="12" customFormat="false" ht="15.75" hidden="false" customHeight="false" outlineLevel="0" collapsed="false">
      <c r="A12" s="52" t="s">
        <v>27</v>
      </c>
      <c r="B12" s="52" t="s">
        <v>2354</v>
      </c>
      <c r="C12" s="52"/>
      <c r="F12" s="73" t="s">
        <v>2379</v>
      </c>
      <c r="G12" s="74" t="n">
        <f aca="false">SUM(G2:G11)</f>
        <v>287</v>
      </c>
    </row>
    <row r="13" customFormat="false" ht="15.75" hidden="false" customHeight="false" outlineLevel="0" collapsed="false">
      <c r="A13" s="52" t="s">
        <v>2380</v>
      </c>
      <c r="B13" s="52" t="s">
        <v>2354</v>
      </c>
      <c r="C13" s="52" t="s">
        <v>2381</v>
      </c>
    </row>
    <row r="14" customFormat="false" ht="15.75" hidden="false" customHeight="false" outlineLevel="0" collapsed="false">
      <c r="A14" s="52" t="s">
        <v>2382</v>
      </c>
      <c r="B14" s="52" t="s">
        <v>2354</v>
      </c>
      <c r="C14" s="52"/>
    </row>
    <row r="15" customFormat="false" ht="15.75" hidden="false" customHeight="false" outlineLevel="0" collapsed="false">
      <c r="A15" s="52" t="s">
        <v>2383</v>
      </c>
      <c r="B15" s="52" t="s">
        <v>2354</v>
      </c>
      <c r="C15" s="52" t="s">
        <v>2365</v>
      </c>
    </row>
    <row r="16" customFormat="false" ht="15.75" hidden="false" customHeight="false" outlineLevel="0" collapsed="false">
      <c r="A16" s="52" t="s">
        <v>35</v>
      </c>
      <c r="B16" s="52" t="s">
        <v>2354</v>
      </c>
      <c r="C16" s="52"/>
    </row>
    <row r="17" customFormat="false" ht="15.75" hidden="false" customHeight="false" outlineLevel="0" collapsed="false">
      <c r="A17" s="52" t="s">
        <v>842</v>
      </c>
      <c r="B17" s="52" t="s">
        <v>2354</v>
      </c>
      <c r="C17" s="52" t="s">
        <v>2384</v>
      </c>
    </row>
    <row r="18" customFormat="false" ht="15.75" hidden="false" customHeight="false" outlineLevel="0" collapsed="false">
      <c r="A18" s="52" t="s">
        <v>2385</v>
      </c>
      <c r="B18" s="52" t="s">
        <v>2354</v>
      </c>
      <c r="C18" s="52"/>
    </row>
    <row r="19" customFormat="false" ht="15.75" hidden="false" customHeight="false" outlineLevel="0" collapsed="false">
      <c r="A19" s="52" t="s">
        <v>187</v>
      </c>
      <c r="B19" s="52" t="s">
        <v>2354</v>
      </c>
      <c r="C19" s="52" t="s">
        <v>2367</v>
      </c>
    </row>
    <row r="20" customFormat="false" ht="15.75" hidden="false" customHeight="false" outlineLevel="0" collapsed="false">
      <c r="A20" s="52" t="s">
        <v>2386</v>
      </c>
      <c r="B20" s="52" t="s">
        <v>2354</v>
      </c>
      <c r="C20" s="52" t="s">
        <v>2384</v>
      </c>
    </row>
    <row r="21" customFormat="false" ht="15.75" hidden="false" customHeight="false" outlineLevel="0" collapsed="false">
      <c r="A21" s="52" t="s">
        <v>1247</v>
      </c>
      <c r="B21" s="52" t="s">
        <v>2354</v>
      </c>
      <c r="C21" s="52" t="s">
        <v>2381</v>
      </c>
    </row>
    <row r="22" customFormat="false" ht="15.75" hidden="false" customHeight="false" outlineLevel="0" collapsed="false">
      <c r="A22" s="52" t="s">
        <v>174</v>
      </c>
      <c r="B22" s="52" t="s">
        <v>2354</v>
      </c>
      <c r="C22" s="52" t="s">
        <v>2387</v>
      </c>
    </row>
    <row r="23" customFormat="false" ht="15.75" hidden="false" customHeight="false" outlineLevel="0" collapsed="false">
      <c r="A23" s="52" t="s">
        <v>2388</v>
      </c>
      <c r="B23" s="52" t="s">
        <v>2354</v>
      </c>
      <c r="C23" s="52"/>
    </row>
    <row r="24" customFormat="false" ht="15.75" hidden="false" customHeight="false" outlineLevel="0" collapsed="false">
      <c r="A24" s="52" t="s">
        <v>2389</v>
      </c>
      <c r="B24" s="52" t="s">
        <v>2354</v>
      </c>
      <c r="C24" s="52" t="s">
        <v>2390</v>
      </c>
    </row>
    <row r="25" customFormat="false" ht="15.75" hidden="false" customHeight="false" outlineLevel="0" collapsed="false">
      <c r="A25" s="52" t="s">
        <v>187</v>
      </c>
      <c r="B25" s="52" t="s">
        <v>2354</v>
      </c>
      <c r="C25" s="52" t="s">
        <v>2372</v>
      </c>
    </row>
    <row r="26" customFormat="false" ht="15.75" hidden="false" customHeight="false" outlineLevel="0" collapsed="false">
      <c r="A26" s="52" t="s">
        <v>2391</v>
      </c>
      <c r="B26" s="52" t="s">
        <v>2354</v>
      </c>
      <c r="C26" s="52" t="s">
        <v>2365</v>
      </c>
    </row>
    <row r="27" customFormat="false" ht="15.75" hidden="false" customHeight="false" outlineLevel="0" collapsed="false">
      <c r="A27" s="52" t="s">
        <v>1062</v>
      </c>
      <c r="B27" s="52" t="s">
        <v>2354</v>
      </c>
      <c r="C27" s="52" t="s">
        <v>2390</v>
      </c>
    </row>
    <row r="28" customFormat="false" ht="15.75" hidden="false" customHeight="false" outlineLevel="0" collapsed="false">
      <c r="A28" s="52" t="s">
        <v>80</v>
      </c>
      <c r="B28" s="52" t="s">
        <v>2354</v>
      </c>
      <c r="C28" s="52"/>
    </row>
    <row r="29" customFormat="false" ht="15.75" hidden="false" customHeight="false" outlineLevel="0" collapsed="false">
      <c r="A29" s="52" t="s">
        <v>2392</v>
      </c>
      <c r="B29" s="52" t="s">
        <v>2354</v>
      </c>
      <c r="C29" s="52" t="s">
        <v>2390</v>
      </c>
    </row>
    <row r="30" customFormat="false" ht="15.75" hidden="false" customHeight="false" outlineLevel="0" collapsed="false">
      <c r="A30" s="52" t="s">
        <v>2393</v>
      </c>
      <c r="B30" s="52" t="s">
        <v>2354</v>
      </c>
      <c r="C30" s="52" t="s">
        <v>2390</v>
      </c>
    </row>
    <row r="31" customFormat="false" ht="15.75" hidden="false" customHeight="false" outlineLevel="0" collapsed="false">
      <c r="A31" s="52" t="s">
        <v>487</v>
      </c>
      <c r="B31" s="52" t="s">
        <v>2356</v>
      </c>
      <c r="C31" s="52" t="s">
        <v>2394</v>
      </c>
    </row>
    <row r="32" customFormat="false" ht="15.75" hidden="false" customHeight="false" outlineLevel="0" collapsed="false">
      <c r="A32" s="52" t="s">
        <v>2395</v>
      </c>
      <c r="B32" s="52" t="s">
        <v>2356</v>
      </c>
      <c r="C32" s="52" t="s">
        <v>2396</v>
      </c>
    </row>
    <row r="33" customFormat="false" ht="15.75" hidden="false" customHeight="false" outlineLevel="0" collapsed="false">
      <c r="A33" s="52" t="s">
        <v>127</v>
      </c>
      <c r="B33" s="52" t="s">
        <v>2356</v>
      </c>
      <c r="C33" s="52"/>
    </row>
    <row r="34" customFormat="false" ht="15.75" hidden="false" customHeight="false" outlineLevel="0" collapsed="false">
      <c r="A34" s="52" t="s">
        <v>2397</v>
      </c>
      <c r="B34" s="52" t="s">
        <v>2356</v>
      </c>
      <c r="C34" s="52"/>
    </row>
    <row r="35" customFormat="false" ht="15.75" hidden="false" customHeight="false" outlineLevel="0" collapsed="false">
      <c r="A35" s="52" t="s">
        <v>2398</v>
      </c>
      <c r="B35" s="52" t="s">
        <v>2356</v>
      </c>
      <c r="C35" s="52"/>
    </row>
    <row r="36" customFormat="false" ht="15.75" hidden="false" customHeight="false" outlineLevel="0" collapsed="false">
      <c r="A36" s="52" t="s">
        <v>832</v>
      </c>
      <c r="B36" s="52" t="s">
        <v>2356</v>
      </c>
      <c r="C36" s="52"/>
    </row>
    <row r="37" customFormat="false" ht="15.75" hidden="false" customHeight="false" outlineLevel="0" collapsed="false">
      <c r="A37" s="52" t="s">
        <v>89</v>
      </c>
      <c r="B37" s="52" t="s">
        <v>2356</v>
      </c>
      <c r="C37" s="52" t="s">
        <v>2399</v>
      </c>
    </row>
    <row r="38" customFormat="false" ht="15.75" hidden="false" customHeight="false" outlineLevel="0" collapsed="false">
      <c r="A38" s="52" t="s">
        <v>854</v>
      </c>
      <c r="B38" s="52" t="s">
        <v>2356</v>
      </c>
      <c r="C38" s="52" t="s">
        <v>2400</v>
      </c>
    </row>
    <row r="39" customFormat="false" ht="15.75" hidden="false" customHeight="false" outlineLevel="0" collapsed="false">
      <c r="A39" s="52" t="s">
        <v>2401</v>
      </c>
      <c r="B39" s="52" t="s">
        <v>2356</v>
      </c>
      <c r="C39" s="52"/>
    </row>
    <row r="40" customFormat="false" ht="15.75" hidden="false" customHeight="false" outlineLevel="0" collapsed="false">
      <c r="A40" s="52" t="s">
        <v>2402</v>
      </c>
      <c r="B40" s="52" t="s">
        <v>2356</v>
      </c>
      <c r="C40" s="52"/>
    </row>
    <row r="41" customFormat="false" ht="15.75" hidden="false" customHeight="false" outlineLevel="0" collapsed="false">
      <c r="A41" s="52" t="s">
        <v>2403</v>
      </c>
      <c r="B41" s="52" t="s">
        <v>2356</v>
      </c>
      <c r="C41" s="52"/>
    </row>
    <row r="42" customFormat="false" ht="15.75" hidden="false" customHeight="false" outlineLevel="0" collapsed="false">
      <c r="A42" s="52" t="s">
        <v>2404</v>
      </c>
      <c r="B42" s="52" t="s">
        <v>2356</v>
      </c>
      <c r="C42" s="52" t="s">
        <v>2405</v>
      </c>
    </row>
    <row r="43" customFormat="false" ht="15.75" hidden="false" customHeight="false" outlineLevel="0" collapsed="false">
      <c r="A43" s="52" t="s">
        <v>923</v>
      </c>
      <c r="B43" s="52" t="s">
        <v>2356</v>
      </c>
      <c r="C43" s="52" t="s">
        <v>2406</v>
      </c>
    </row>
    <row r="44" customFormat="false" ht="15.75" hidden="false" customHeight="false" outlineLevel="0" collapsed="false">
      <c r="A44" s="52" t="s">
        <v>1632</v>
      </c>
      <c r="B44" s="52" t="s">
        <v>2356</v>
      </c>
      <c r="C44" s="52" t="s">
        <v>2407</v>
      </c>
    </row>
    <row r="45" customFormat="false" ht="15.75" hidden="false" customHeight="false" outlineLevel="0" collapsed="false">
      <c r="A45" s="52" t="s">
        <v>2408</v>
      </c>
      <c r="B45" s="52" t="s">
        <v>2356</v>
      </c>
      <c r="C45" s="52"/>
    </row>
    <row r="46" customFormat="false" ht="15.75" hidden="false" customHeight="false" outlineLevel="0" collapsed="false">
      <c r="A46" s="52" t="s">
        <v>2409</v>
      </c>
      <c r="B46" s="52" t="s">
        <v>2356</v>
      </c>
      <c r="C46" s="52"/>
    </row>
    <row r="47" customFormat="false" ht="15.75" hidden="false" customHeight="false" outlineLevel="0" collapsed="false">
      <c r="A47" s="52" t="s">
        <v>19</v>
      </c>
      <c r="B47" s="52" t="s">
        <v>2356</v>
      </c>
      <c r="C47" s="52" t="s">
        <v>2410</v>
      </c>
    </row>
    <row r="48" customFormat="false" ht="15.75" hidden="false" customHeight="false" outlineLevel="0" collapsed="false">
      <c r="A48" s="52" t="s">
        <v>1274</v>
      </c>
      <c r="B48" s="52" t="s">
        <v>2356</v>
      </c>
      <c r="C48" s="52"/>
    </row>
    <row r="49" customFormat="false" ht="15.75" hidden="false" customHeight="false" outlineLevel="0" collapsed="false">
      <c r="A49" s="52" t="s">
        <v>2411</v>
      </c>
      <c r="B49" s="52" t="s">
        <v>2356</v>
      </c>
      <c r="C49" s="52"/>
    </row>
    <row r="50" customFormat="false" ht="15.75" hidden="false" customHeight="false" outlineLevel="0" collapsed="false">
      <c r="A50" s="52" t="s">
        <v>1756</v>
      </c>
      <c r="B50" s="52" t="s">
        <v>2356</v>
      </c>
      <c r="C50" s="52" t="s">
        <v>2407</v>
      </c>
    </row>
    <row r="51" customFormat="false" ht="15.75" hidden="false" customHeight="false" outlineLevel="0" collapsed="false">
      <c r="A51" s="52" t="s">
        <v>2412</v>
      </c>
      <c r="B51" s="52" t="s">
        <v>2356</v>
      </c>
      <c r="C51" s="52"/>
    </row>
    <row r="52" customFormat="false" ht="15.75" hidden="false" customHeight="false" outlineLevel="0" collapsed="false">
      <c r="A52" s="52" t="s">
        <v>2033</v>
      </c>
      <c r="B52" s="52" t="s">
        <v>2356</v>
      </c>
      <c r="C52" s="52"/>
    </row>
    <row r="53" customFormat="false" ht="15.75" hidden="false" customHeight="false" outlineLevel="0" collapsed="false">
      <c r="A53" s="52" t="s">
        <v>2413</v>
      </c>
      <c r="B53" s="52" t="s">
        <v>2356</v>
      </c>
      <c r="C53" s="52" t="s">
        <v>2405</v>
      </c>
    </row>
    <row r="54" customFormat="false" ht="15.75" hidden="false" customHeight="false" outlineLevel="0" collapsed="false">
      <c r="A54" s="52" t="s">
        <v>854</v>
      </c>
      <c r="B54" s="52" t="s">
        <v>2356</v>
      </c>
      <c r="C54" s="52"/>
    </row>
    <row r="55" customFormat="false" ht="15.75" hidden="false" customHeight="false" outlineLevel="0" collapsed="false">
      <c r="A55" s="52" t="s">
        <v>2414</v>
      </c>
      <c r="B55" s="52" t="s">
        <v>2356</v>
      </c>
      <c r="C55" s="52" t="s">
        <v>2407</v>
      </c>
    </row>
    <row r="56" customFormat="false" ht="15.75" hidden="false" customHeight="false" outlineLevel="0" collapsed="false">
      <c r="A56" s="52" t="s">
        <v>89</v>
      </c>
      <c r="B56" s="52" t="s">
        <v>2356</v>
      </c>
      <c r="C56" s="52"/>
    </row>
    <row r="57" customFormat="false" ht="15.75" hidden="false" customHeight="false" outlineLevel="0" collapsed="false">
      <c r="A57" s="52" t="s">
        <v>2415</v>
      </c>
      <c r="B57" s="52" t="s">
        <v>2356</v>
      </c>
      <c r="C57" s="52" t="s">
        <v>2416</v>
      </c>
    </row>
    <row r="58" customFormat="false" ht="15.75" hidden="false" customHeight="false" outlineLevel="0" collapsed="false">
      <c r="A58" s="52" t="s">
        <v>2417</v>
      </c>
      <c r="B58" s="52" t="s">
        <v>2356</v>
      </c>
      <c r="C58" s="52"/>
    </row>
    <row r="59" customFormat="false" ht="15.75" hidden="false" customHeight="false" outlineLevel="0" collapsed="false">
      <c r="A59" s="52" t="s">
        <v>2418</v>
      </c>
      <c r="B59" s="52" t="s">
        <v>2356</v>
      </c>
      <c r="C59" s="52"/>
    </row>
    <row r="60" customFormat="false" ht="15.75" hidden="false" customHeight="false" outlineLevel="0" collapsed="false">
      <c r="A60" s="52" t="s">
        <v>2419</v>
      </c>
      <c r="B60" s="52" t="s">
        <v>2356</v>
      </c>
      <c r="C60" s="52"/>
    </row>
    <row r="61" customFormat="false" ht="15.75" hidden="false" customHeight="false" outlineLevel="0" collapsed="false">
      <c r="A61" s="52" t="s">
        <v>2420</v>
      </c>
      <c r="B61" s="52" t="s">
        <v>2356</v>
      </c>
      <c r="C61" s="52"/>
    </row>
    <row r="62" customFormat="false" ht="15.75" hidden="false" customHeight="false" outlineLevel="0" collapsed="false">
      <c r="A62" s="52" t="s">
        <v>230</v>
      </c>
      <c r="B62" s="52" t="s">
        <v>2356</v>
      </c>
      <c r="C62" s="52"/>
    </row>
    <row r="63" customFormat="false" ht="15.75" hidden="false" customHeight="false" outlineLevel="0" collapsed="false">
      <c r="A63" s="52" t="s">
        <v>747</v>
      </c>
      <c r="B63" s="52" t="s">
        <v>2356</v>
      </c>
      <c r="C63" s="52"/>
    </row>
    <row r="64" customFormat="false" ht="15.75" hidden="false" customHeight="false" outlineLevel="0" collapsed="false">
      <c r="A64" s="52" t="s">
        <v>2421</v>
      </c>
      <c r="B64" s="52" t="s">
        <v>2356</v>
      </c>
      <c r="C64" s="52"/>
    </row>
    <row r="65" customFormat="false" ht="15.75" hidden="false" customHeight="false" outlineLevel="0" collapsed="false">
      <c r="A65" s="52" t="s">
        <v>2422</v>
      </c>
      <c r="B65" s="52" t="s">
        <v>2356</v>
      </c>
      <c r="C65" s="52"/>
    </row>
    <row r="66" customFormat="false" ht="15.75" hidden="false" customHeight="false" outlineLevel="0" collapsed="false">
      <c r="A66" s="52" t="s">
        <v>2423</v>
      </c>
      <c r="B66" s="52" t="s">
        <v>2356</v>
      </c>
      <c r="C66" s="52"/>
    </row>
    <row r="67" customFormat="false" ht="15.75" hidden="false" customHeight="false" outlineLevel="0" collapsed="false">
      <c r="A67" s="52" t="s">
        <v>2424</v>
      </c>
      <c r="B67" s="52" t="s">
        <v>2356</v>
      </c>
      <c r="C67" s="52" t="s">
        <v>2407</v>
      </c>
    </row>
    <row r="68" customFormat="false" ht="15.75" hidden="false" customHeight="false" outlineLevel="0" collapsed="false">
      <c r="A68" s="52" t="s">
        <v>2425</v>
      </c>
      <c r="B68" s="52" t="s">
        <v>2356</v>
      </c>
      <c r="C68" s="52" t="s">
        <v>2407</v>
      </c>
    </row>
    <row r="69" customFormat="false" ht="15.75" hidden="false" customHeight="false" outlineLevel="0" collapsed="false">
      <c r="A69" s="52" t="s">
        <v>2426</v>
      </c>
      <c r="B69" s="52" t="s">
        <v>2356</v>
      </c>
      <c r="C69" s="52"/>
    </row>
    <row r="70" customFormat="false" ht="15.75" hidden="false" customHeight="false" outlineLevel="0" collapsed="false">
      <c r="A70" s="52" t="s">
        <v>19</v>
      </c>
      <c r="B70" s="52" t="s">
        <v>2356</v>
      </c>
      <c r="C70" s="52" t="s">
        <v>2427</v>
      </c>
    </row>
    <row r="71" customFormat="false" ht="15.75" hidden="false" customHeight="false" outlineLevel="0" collapsed="false">
      <c r="A71" s="52" t="s">
        <v>2428</v>
      </c>
      <c r="B71" s="52" t="s">
        <v>2356</v>
      </c>
      <c r="C71" s="52"/>
    </row>
    <row r="72" customFormat="false" ht="15.75" hidden="false" customHeight="false" outlineLevel="0" collapsed="false">
      <c r="A72" s="52" t="s">
        <v>2429</v>
      </c>
      <c r="B72" s="52" t="s">
        <v>2356</v>
      </c>
      <c r="C72" s="52"/>
    </row>
    <row r="73" customFormat="false" ht="15.75" hidden="false" customHeight="false" outlineLevel="0" collapsed="false">
      <c r="A73" s="52" t="s">
        <v>819</v>
      </c>
      <c r="B73" s="52" t="s">
        <v>2356</v>
      </c>
      <c r="C73" s="52" t="s">
        <v>2430</v>
      </c>
    </row>
    <row r="74" customFormat="false" ht="15.75" hidden="false" customHeight="false" outlineLevel="0" collapsed="false">
      <c r="A74" s="52" t="s">
        <v>2431</v>
      </c>
      <c r="B74" s="52" t="s">
        <v>2356</v>
      </c>
      <c r="C74" s="52" t="s">
        <v>2432</v>
      </c>
    </row>
    <row r="75" customFormat="false" ht="15.75" hidden="false" customHeight="false" outlineLevel="0" collapsed="false">
      <c r="A75" s="52" t="s">
        <v>2433</v>
      </c>
      <c r="B75" s="52" t="s">
        <v>2356</v>
      </c>
      <c r="C75" s="52"/>
    </row>
    <row r="76" customFormat="false" ht="15.75" hidden="false" customHeight="false" outlineLevel="0" collapsed="false">
      <c r="A76" s="52" t="s">
        <v>2434</v>
      </c>
      <c r="B76" s="52" t="s">
        <v>2356</v>
      </c>
      <c r="C76" s="52"/>
    </row>
    <row r="77" customFormat="false" ht="15.75" hidden="false" customHeight="false" outlineLevel="0" collapsed="false">
      <c r="A77" s="52" t="s">
        <v>2435</v>
      </c>
      <c r="B77" s="52" t="s">
        <v>2356</v>
      </c>
      <c r="C77" s="52"/>
    </row>
    <row r="78" customFormat="false" ht="15.75" hidden="false" customHeight="false" outlineLevel="0" collapsed="false">
      <c r="A78" s="52" t="s">
        <v>2436</v>
      </c>
      <c r="B78" s="52" t="s">
        <v>2356</v>
      </c>
      <c r="C78" s="52" t="s">
        <v>2437</v>
      </c>
    </row>
    <row r="79" customFormat="false" ht="15.75" hidden="false" customHeight="false" outlineLevel="0" collapsed="false">
      <c r="A79" s="52" t="s">
        <v>2438</v>
      </c>
      <c r="B79" s="52" t="s">
        <v>2368</v>
      </c>
      <c r="C79" s="52"/>
    </row>
    <row r="80" customFormat="false" ht="15.75" hidden="false" customHeight="false" outlineLevel="0" collapsed="false">
      <c r="A80" s="52" t="s">
        <v>2439</v>
      </c>
      <c r="B80" s="52" t="s">
        <v>2368</v>
      </c>
      <c r="C80" s="52"/>
    </row>
    <row r="81" customFormat="false" ht="15.75" hidden="false" customHeight="false" outlineLevel="0" collapsed="false">
      <c r="A81" s="52" t="s">
        <v>2440</v>
      </c>
      <c r="B81" s="52" t="s">
        <v>2368</v>
      </c>
      <c r="C81" s="52" t="s">
        <v>2441</v>
      </c>
    </row>
    <row r="82" customFormat="false" ht="15.75" hidden="false" customHeight="false" outlineLevel="0" collapsed="false">
      <c r="A82" s="52" t="s">
        <v>2442</v>
      </c>
      <c r="B82" s="52" t="s">
        <v>2368</v>
      </c>
      <c r="C82" s="52"/>
    </row>
    <row r="83" customFormat="false" ht="15.75" hidden="false" customHeight="false" outlineLevel="0" collapsed="false">
      <c r="A83" s="52" t="s">
        <v>2443</v>
      </c>
      <c r="B83" s="52" t="s">
        <v>2368</v>
      </c>
      <c r="C83" s="52"/>
    </row>
    <row r="84" customFormat="false" ht="15.75" hidden="false" customHeight="false" outlineLevel="0" collapsed="false">
      <c r="A84" s="52" t="s">
        <v>2444</v>
      </c>
      <c r="B84" s="52" t="s">
        <v>2368</v>
      </c>
      <c r="C84" s="52" t="s">
        <v>2445</v>
      </c>
    </row>
    <row r="85" customFormat="false" ht="15.75" hidden="false" customHeight="false" outlineLevel="0" collapsed="false">
      <c r="A85" s="52" t="s">
        <v>2446</v>
      </c>
      <c r="B85" s="52" t="s">
        <v>2368</v>
      </c>
      <c r="C85" s="52" t="s">
        <v>2447</v>
      </c>
    </row>
    <row r="86" customFormat="false" ht="15.75" hidden="false" customHeight="false" outlineLevel="0" collapsed="false">
      <c r="A86" s="52" t="s">
        <v>762</v>
      </c>
      <c r="B86" s="52" t="s">
        <v>2368</v>
      </c>
      <c r="C86" s="52"/>
    </row>
    <row r="87" customFormat="false" ht="15.75" hidden="false" customHeight="false" outlineLevel="0" collapsed="false">
      <c r="A87" s="52" t="s">
        <v>2448</v>
      </c>
      <c r="B87" s="52" t="s">
        <v>2368</v>
      </c>
      <c r="C87" s="52"/>
    </row>
    <row r="88" customFormat="false" ht="15.75" hidden="false" customHeight="false" outlineLevel="0" collapsed="false">
      <c r="A88" s="52" t="s">
        <v>2449</v>
      </c>
      <c r="B88" s="52" t="s">
        <v>2368</v>
      </c>
      <c r="C88" s="52"/>
    </row>
    <row r="89" customFormat="false" ht="15.75" hidden="false" customHeight="false" outlineLevel="0" collapsed="false">
      <c r="A89" s="52" t="s">
        <v>2450</v>
      </c>
      <c r="B89" s="52" t="s">
        <v>2368</v>
      </c>
      <c r="C89" s="52"/>
    </row>
    <row r="90" customFormat="false" ht="15.75" hidden="false" customHeight="false" outlineLevel="0" collapsed="false">
      <c r="A90" s="52" t="s">
        <v>2451</v>
      </c>
      <c r="B90" s="52" t="s">
        <v>2368</v>
      </c>
      <c r="C90" s="52"/>
    </row>
    <row r="91" customFormat="false" ht="15.75" hidden="false" customHeight="false" outlineLevel="0" collapsed="false">
      <c r="A91" s="52" t="s">
        <v>2452</v>
      </c>
      <c r="B91" s="52" t="s">
        <v>2368</v>
      </c>
      <c r="C91" s="52"/>
    </row>
    <row r="92" customFormat="false" ht="15.75" hidden="false" customHeight="false" outlineLevel="0" collapsed="false">
      <c r="A92" s="52" t="s">
        <v>762</v>
      </c>
      <c r="B92" s="52" t="s">
        <v>2368</v>
      </c>
      <c r="C92" s="52" t="s">
        <v>2453</v>
      </c>
    </row>
    <row r="93" customFormat="false" ht="15.75" hidden="false" customHeight="false" outlineLevel="0" collapsed="false">
      <c r="A93" s="52" t="s">
        <v>2454</v>
      </c>
      <c r="B93" s="52" t="s">
        <v>2368</v>
      </c>
      <c r="C93" s="52" t="s">
        <v>2455</v>
      </c>
    </row>
    <row r="94" customFormat="false" ht="15.75" hidden="false" customHeight="false" outlineLevel="0" collapsed="false">
      <c r="A94" s="52" t="s">
        <v>2456</v>
      </c>
      <c r="B94" s="52" t="s">
        <v>2368</v>
      </c>
      <c r="C94" s="52"/>
    </row>
    <row r="95" customFormat="false" ht="15.75" hidden="false" customHeight="false" outlineLevel="0" collapsed="false">
      <c r="A95" s="52" t="s">
        <v>735</v>
      </c>
      <c r="B95" s="52" t="s">
        <v>2368</v>
      </c>
      <c r="C95" s="52" t="s">
        <v>2457</v>
      </c>
    </row>
    <row r="96" customFormat="false" ht="15.75" hidden="false" customHeight="false" outlineLevel="0" collapsed="false">
      <c r="A96" s="52" t="s">
        <v>2458</v>
      </c>
      <c r="B96" s="52" t="s">
        <v>2368</v>
      </c>
      <c r="C96" s="52" t="s">
        <v>2459</v>
      </c>
    </row>
    <row r="97" customFormat="false" ht="15.75" hidden="false" customHeight="false" outlineLevel="0" collapsed="false">
      <c r="A97" s="52" t="s">
        <v>2460</v>
      </c>
      <c r="B97" s="52" t="s">
        <v>2368</v>
      </c>
      <c r="C97" s="52"/>
    </row>
    <row r="98" customFormat="false" ht="15.75" hidden="false" customHeight="false" outlineLevel="0" collapsed="false">
      <c r="A98" s="52" t="s">
        <v>527</v>
      </c>
      <c r="B98" s="52" t="s">
        <v>2357</v>
      </c>
      <c r="C98" s="52" t="s">
        <v>2461</v>
      </c>
    </row>
    <row r="99" customFormat="false" ht="15.75" hidden="false" customHeight="false" outlineLevel="0" collapsed="false">
      <c r="A99" s="52" t="s">
        <v>527</v>
      </c>
      <c r="B99" s="52" t="s">
        <v>2357</v>
      </c>
      <c r="C99" s="52"/>
    </row>
    <row r="100" customFormat="false" ht="15.75" hidden="false" customHeight="false" outlineLevel="0" collapsed="false">
      <c r="A100" s="52" t="s">
        <v>2462</v>
      </c>
      <c r="B100" s="52" t="s">
        <v>2357</v>
      </c>
      <c r="C100" s="52" t="s">
        <v>2463</v>
      </c>
    </row>
    <row r="101" customFormat="false" ht="15.75" hidden="false" customHeight="false" outlineLevel="0" collapsed="false">
      <c r="A101" s="52" t="s">
        <v>478</v>
      </c>
      <c r="B101" s="52" t="s">
        <v>2357</v>
      </c>
      <c r="C101" s="52" t="s">
        <v>2464</v>
      </c>
    </row>
    <row r="102" customFormat="false" ht="15.75" hidden="false" customHeight="false" outlineLevel="0" collapsed="false">
      <c r="A102" s="52" t="s">
        <v>1628</v>
      </c>
      <c r="B102" s="52" t="s">
        <v>2357</v>
      </c>
      <c r="C102" s="52" t="s">
        <v>2465</v>
      </c>
    </row>
    <row r="103" customFormat="false" ht="15.75" hidden="false" customHeight="false" outlineLevel="0" collapsed="false">
      <c r="A103" s="52" t="s">
        <v>2466</v>
      </c>
      <c r="B103" s="52" t="s">
        <v>2357</v>
      </c>
      <c r="C103" s="52"/>
    </row>
    <row r="104" customFormat="false" ht="15.75" hidden="false" customHeight="false" outlineLevel="0" collapsed="false">
      <c r="A104" s="52" t="s">
        <v>2081</v>
      </c>
      <c r="B104" s="52" t="s">
        <v>2357</v>
      </c>
      <c r="C104" s="52"/>
    </row>
    <row r="105" customFormat="false" ht="15.75" hidden="false" customHeight="false" outlineLevel="0" collapsed="false">
      <c r="A105" s="52" t="s">
        <v>121</v>
      </c>
      <c r="B105" s="52" t="s">
        <v>2357</v>
      </c>
      <c r="C105" s="52"/>
    </row>
    <row r="106" customFormat="false" ht="15.75" hidden="false" customHeight="false" outlineLevel="0" collapsed="false">
      <c r="A106" s="52" t="s">
        <v>202</v>
      </c>
      <c r="B106" s="52" t="s">
        <v>2357</v>
      </c>
      <c r="C106" s="52"/>
    </row>
    <row r="107" customFormat="false" ht="15.75" hidden="false" customHeight="false" outlineLevel="0" collapsed="false">
      <c r="A107" s="52" t="s">
        <v>106</v>
      </c>
      <c r="B107" s="52" t="s">
        <v>2357</v>
      </c>
      <c r="C107" s="52"/>
    </row>
    <row r="108" customFormat="false" ht="15.75" hidden="false" customHeight="false" outlineLevel="0" collapsed="false">
      <c r="A108" s="52" t="s">
        <v>65</v>
      </c>
      <c r="B108" s="52" t="s">
        <v>2357</v>
      </c>
      <c r="C108" s="52"/>
    </row>
    <row r="109" customFormat="false" ht="15.75" hidden="false" customHeight="false" outlineLevel="0" collapsed="false">
      <c r="A109" s="52" t="s">
        <v>895</v>
      </c>
      <c r="B109" s="52" t="s">
        <v>2357</v>
      </c>
      <c r="C109" s="52"/>
    </row>
    <row r="110" customFormat="false" ht="15.75" hidden="false" customHeight="false" outlineLevel="0" collapsed="false">
      <c r="A110" s="52" t="s">
        <v>850</v>
      </c>
      <c r="B110" s="52" t="s">
        <v>2357</v>
      </c>
      <c r="C110" s="52" t="s">
        <v>2467</v>
      </c>
    </row>
    <row r="111" customFormat="false" ht="15.75" hidden="false" customHeight="false" outlineLevel="0" collapsed="false">
      <c r="A111" s="52" t="s">
        <v>2468</v>
      </c>
      <c r="B111" s="52" t="s">
        <v>2357</v>
      </c>
      <c r="C111" s="52" t="s">
        <v>2469</v>
      </c>
    </row>
    <row r="112" customFormat="false" ht="15.75" hidden="false" customHeight="false" outlineLevel="0" collapsed="false">
      <c r="A112" s="52" t="s">
        <v>758</v>
      </c>
      <c r="B112" s="52" t="s">
        <v>2357</v>
      </c>
      <c r="C112" s="52"/>
    </row>
    <row r="113" customFormat="false" ht="15.75" hidden="false" customHeight="false" outlineLevel="0" collapsed="false">
      <c r="A113" s="52" t="s">
        <v>560</v>
      </c>
      <c r="B113" s="52" t="s">
        <v>2357</v>
      </c>
      <c r="C113" s="52"/>
    </row>
    <row r="114" customFormat="false" ht="15.75" hidden="false" customHeight="false" outlineLevel="0" collapsed="false">
      <c r="A114" s="52" t="s">
        <v>2470</v>
      </c>
      <c r="B114" s="52" t="s">
        <v>2357</v>
      </c>
      <c r="C114" s="52"/>
    </row>
    <row r="115" customFormat="false" ht="15.75" hidden="false" customHeight="false" outlineLevel="0" collapsed="false">
      <c r="A115" s="52" t="s">
        <v>2471</v>
      </c>
      <c r="B115" s="52" t="s">
        <v>2357</v>
      </c>
      <c r="C115" s="52" t="s">
        <v>2465</v>
      </c>
    </row>
    <row r="116" customFormat="false" ht="15.75" hidden="false" customHeight="false" outlineLevel="0" collapsed="false">
      <c r="A116" s="52" t="s">
        <v>2472</v>
      </c>
      <c r="B116" s="52" t="s">
        <v>2357</v>
      </c>
      <c r="C116" s="52"/>
    </row>
    <row r="117" customFormat="false" ht="15.75" hidden="false" customHeight="false" outlineLevel="0" collapsed="false">
      <c r="A117" s="52" t="s">
        <v>2473</v>
      </c>
      <c r="B117" s="52" t="s">
        <v>2357</v>
      </c>
      <c r="C117" s="52"/>
    </row>
    <row r="118" customFormat="false" ht="15.75" hidden="false" customHeight="false" outlineLevel="0" collapsed="false">
      <c r="A118" s="52" t="s">
        <v>147</v>
      </c>
      <c r="B118" s="52" t="s">
        <v>2357</v>
      </c>
      <c r="C118" s="52"/>
    </row>
    <row r="119" customFormat="false" ht="15.75" hidden="false" customHeight="false" outlineLevel="0" collapsed="false">
      <c r="A119" s="52" t="s">
        <v>2474</v>
      </c>
      <c r="B119" s="52" t="s">
        <v>2357</v>
      </c>
      <c r="C119" s="52"/>
    </row>
    <row r="120" customFormat="false" ht="15.75" hidden="false" customHeight="false" outlineLevel="0" collapsed="false">
      <c r="A120" s="52" t="s">
        <v>2475</v>
      </c>
      <c r="B120" s="52" t="s">
        <v>2357</v>
      </c>
      <c r="C120" s="52" t="s">
        <v>2476</v>
      </c>
    </row>
    <row r="121" customFormat="false" ht="15.75" hidden="false" customHeight="false" outlineLevel="0" collapsed="false">
      <c r="A121" s="52" t="s">
        <v>2477</v>
      </c>
      <c r="B121" s="52" t="s">
        <v>2357</v>
      </c>
      <c r="C121" s="52" t="s">
        <v>2469</v>
      </c>
    </row>
    <row r="122" customFormat="false" ht="15.75" hidden="false" customHeight="false" outlineLevel="0" collapsed="false">
      <c r="A122" s="52" t="s">
        <v>153</v>
      </c>
      <c r="B122" s="52" t="s">
        <v>2357</v>
      </c>
      <c r="C122" s="52" t="s">
        <v>2478</v>
      </c>
    </row>
    <row r="123" customFormat="false" ht="15.75" hidden="false" customHeight="false" outlineLevel="0" collapsed="false">
      <c r="A123" s="52" t="s">
        <v>74</v>
      </c>
      <c r="B123" s="52" t="s">
        <v>2357</v>
      </c>
      <c r="C123" s="52"/>
    </row>
    <row r="124" customFormat="false" ht="15.75" hidden="false" customHeight="false" outlineLevel="0" collapsed="false">
      <c r="A124" s="52" t="s">
        <v>2479</v>
      </c>
      <c r="B124" s="52" t="s">
        <v>2357</v>
      </c>
      <c r="C124" s="52" t="s">
        <v>2465</v>
      </c>
    </row>
    <row r="125" customFormat="false" ht="15.75" hidden="false" customHeight="false" outlineLevel="0" collapsed="false">
      <c r="A125" s="52" t="s">
        <v>2480</v>
      </c>
      <c r="B125" s="52" t="s">
        <v>2357</v>
      </c>
      <c r="C125" s="52"/>
    </row>
    <row r="126" customFormat="false" ht="15.75" hidden="false" customHeight="false" outlineLevel="0" collapsed="false">
      <c r="A126" s="52" t="s">
        <v>255</v>
      </c>
      <c r="B126" s="52" t="s">
        <v>2371</v>
      </c>
      <c r="C126" s="52" t="s">
        <v>2481</v>
      </c>
    </row>
    <row r="127" customFormat="false" ht="15.75" hidden="false" customHeight="false" outlineLevel="0" collapsed="false">
      <c r="A127" s="52" t="s">
        <v>999</v>
      </c>
      <c r="B127" s="52" t="s">
        <v>2371</v>
      </c>
      <c r="C127" s="52" t="s">
        <v>2482</v>
      </c>
    </row>
    <row r="128" customFormat="false" ht="15.75" hidden="false" customHeight="false" outlineLevel="0" collapsed="false">
      <c r="A128" s="52" t="s">
        <v>580</v>
      </c>
      <c r="B128" s="52" t="s">
        <v>2371</v>
      </c>
      <c r="C128" s="52" t="s">
        <v>2482</v>
      </c>
    </row>
    <row r="129" customFormat="false" ht="15.75" hidden="false" customHeight="false" outlineLevel="0" collapsed="false">
      <c r="A129" s="52" t="s">
        <v>497</v>
      </c>
      <c r="B129" s="52" t="s">
        <v>2371</v>
      </c>
      <c r="C129" s="52" t="s">
        <v>2483</v>
      </c>
    </row>
    <row r="130" customFormat="false" ht="15.75" hidden="false" customHeight="false" outlineLevel="0" collapsed="false">
      <c r="A130" s="52" t="s">
        <v>937</v>
      </c>
      <c r="B130" s="52" t="s">
        <v>2371</v>
      </c>
      <c r="C130" s="52" t="s">
        <v>2482</v>
      </c>
    </row>
    <row r="131" customFormat="false" ht="15.75" hidden="false" customHeight="false" outlineLevel="0" collapsed="false">
      <c r="A131" s="52" t="s">
        <v>2484</v>
      </c>
      <c r="B131" s="52" t="s">
        <v>2371</v>
      </c>
      <c r="C131" s="52" t="s">
        <v>2482</v>
      </c>
    </row>
    <row r="132" customFormat="false" ht="15.75" hidden="false" customHeight="false" outlineLevel="0" collapsed="false">
      <c r="A132" s="52" t="s">
        <v>2485</v>
      </c>
      <c r="B132" s="52" t="s">
        <v>2371</v>
      </c>
      <c r="C132" s="52" t="s">
        <v>2486</v>
      </c>
    </row>
    <row r="133" customFormat="false" ht="15.75" hidden="false" customHeight="false" outlineLevel="0" collapsed="false">
      <c r="A133" s="52" t="s">
        <v>70</v>
      </c>
      <c r="B133" s="52" t="s">
        <v>2371</v>
      </c>
      <c r="C133" s="52" t="s">
        <v>2483</v>
      </c>
    </row>
    <row r="134" customFormat="false" ht="15.75" hidden="false" customHeight="false" outlineLevel="0" collapsed="false">
      <c r="A134" s="52" t="s">
        <v>2487</v>
      </c>
      <c r="B134" s="52" t="s">
        <v>2371</v>
      </c>
      <c r="C134" s="52" t="s">
        <v>2486</v>
      </c>
    </row>
    <row r="135" customFormat="false" ht="15.75" hidden="false" customHeight="false" outlineLevel="0" collapsed="false">
      <c r="A135" s="52" t="s">
        <v>2488</v>
      </c>
      <c r="B135" s="52" t="s">
        <v>2371</v>
      </c>
      <c r="C135" s="52" t="s">
        <v>2482</v>
      </c>
    </row>
    <row r="136" customFormat="false" ht="15.75" hidden="false" customHeight="false" outlineLevel="0" collapsed="false">
      <c r="A136" s="52" t="s">
        <v>792</v>
      </c>
      <c r="B136" s="52" t="s">
        <v>2371</v>
      </c>
      <c r="C136" s="52" t="s">
        <v>2482</v>
      </c>
    </row>
    <row r="137" customFormat="false" ht="15.75" hidden="false" customHeight="false" outlineLevel="0" collapsed="false">
      <c r="A137" s="52" t="s">
        <v>95</v>
      </c>
      <c r="B137" s="52" t="s">
        <v>2371</v>
      </c>
      <c r="C137" s="52" t="s">
        <v>2482</v>
      </c>
    </row>
    <row r="138" customFormat="false" ht="15.75" hidden="false" customHeight="false" outlineLevel="0" collapsed="false">
      <c r="A138" s="52" t="s">
        <v>1450</v>
      </c>
      <c r="B138" s="52" t="s">
        <v>2371</v>
      </c>
      <c r="C138" s="52" t="s">
        <v>2483</v>
      </c>
    </row>
    <row r="139" customFormat="false" ht="15.75" hidden="false" customHeight="false" outlineLevel="0" collapsed="false">
      <c r="A139" s="52" t="s">
        <v>754</v>
      </c>
      <c r="B139" s="52" t="s">
        <v>2371</v>
      </c>
      <c r="C139" s="52" t="s">
        <v>2489</v>
      </c>
    </row>
    <row r="140" customFormat="false" ht="15.75" hidden="false" customHeight="false" outlineLevel="0" collapsed="false">
      <c r="A140" s="52" t="s">
        <v>1183</v>
      </c>
      <c r="B140" s="52" t="s">
        <v>2371</v>
      </c>
      <c r="C140" s="52" t="s">
        <v>2481</v>
      </c>
    </row>
    <row r="141" customFormat="false" ht="15.75" hidden="false" customHeight="false" outlineLevel="0" collapsed="false">
      <c r="A141" s="52" t="s">
        <v>1489</v>
      </c>
      <c r="B141" s="52" t="s">
        <v>2371</v>
      </c>
      <c r="C141" s="52" t="s">
        <v>2486</v>
      </c>
    </row>
    <row r="142" customFormat="false" ht="15.75" hidden="false" customHeight="false" outlineLevel="0" collapsed="false">
      <c r="A142" s="52" t="s">
        <v>1391</v>
      </c>
      <c r="B142" s="52" t="s">
        <v>2371</v>
      </c>
      <c r="C142" s="52" t="s">
        <v>2481</v>
      </c>
    </row>
    <row r="143" customFormat="false" ht="15.75" hidden="false" customHeight="false" outlineLevel="0" collapsed="false">
      <c r="A143" s="52" t="s">
        <v>552</v>
      </c>
      <c r="B143" s="52" t="s">
        <v>2371</v>
      </c>
      <c r="C143" s="52" t="s">
        <v>2481</v>
      </c>
    </row>
    <row r="144" customFormat="false" ht="15.75" hidden="false" customHeight="false" outlineLevel="0" collapsed="false">
      <c r="A144" s="52" t="s">
        <v>2490</v>
      </c>
      <c r="B144" s="52" t="s">
        <v>2371</v>
      </c>
      <c r="C144" s="52" t="s">
        <v>2481</v>
      </c>
    </row>
    <row r="145" customFormat="false" ht="15.75" hidden="false" customHeight="false" outlineLevel="0" collapsed="false">
      <c r="A145" s="52" t="s">
        <v>421</v>
      </c>
      <c r="B145" s="52" t="s">
        <v>2371</v>
      </c>
      <c r="C145" s="52" t="s">
        <v>2483</v>
      </c>
    </row>
    <row r="146" customFormat="false" ht="15.75" hidden="false" customHeight="false" outlineLevel="0" collapsed="false">
      <c r="A146" s="52" t="s">
        <v>207</v>
      </c>
      <c r="B146" s="52" t="s">
        <v>2371</v>
      </c>
      <c r="C146" s="52" t="s">
        <v>2489</v>
      </c>
    </row>
    <row r="147" customFormat="false" ht="15.75" hidden="false" customHeight="false" outlineLevel="0" collapsed="false">
      <c r="A147" s="52" t="s">
        <v>644</v>
      </c>
      <c r="B147" s="52" t="s">
        <v>2371</v>
      </c>
      <c r="C147" s="52" t="s">
        <v>2481</v>
      </c>
    </row>
    <row r="148" customFormat="false" ht="15.75" hidden="false" customHeight="false" outlineLevel="0" collapsed="false">
      <c r="A148" s="52" t="s">
        <v>212</v>
      </c>
      <c r="B148" s="52" t="s">
        <v>2371</v>
      </c>
      <c r="C148" s="52" t="s">
        <v>2482</v>
      </c>
    </row>
    <row r="149" customFormat="false" ht="15.75" hidden="false" customHeight="false" outlineLevel="0" collapsed="false">
      <c r="A149" s="52" t="s">
        <v>1640</v>
      </c>
      <c r="B149" s="52" t="s">
        <v>2371</v>
      </c>
      <c r="C149" s="52" t="s">
        <v>2482</v>
      </c>
    </row>
    <row r="150" customFormat="false" ht="15.75" hidden="false" customHeight="false" outlineLevel="0" collapsed="false">
      <c r="A150" s="52" t="s">
        <v>466</v>
      </c>
      <c r="B150" s="52" t="s">
        <v>2371</v>
      </c>
      <c r="C150" s="52" t="s">
        <v>2489</v>
      </c>
    </row>
    <row r="151" customFormat="false" ht="15.75" hidden="false" customHeight="false" outlineLevel="0" collapsed="false">
      <c r="A151" s="52" t="s">
        <v>426</v>
      </c>
      <c r="B151" s="52" t="s">
        <v>2371</v>
      </c>
      <c r="C151" s="52" t="s">
        <v>2481</v>
      </c>
    </row>
    <row r="152" customFormat="false" ht="15.75" hidden="false" customHeight="false" outlineLevel="0" collapsed="false">
      <c r="A152" s="52" t="s">
        <v>2491</v>
      </c>
      <c r="B152" s="52" t="s">
        <v>2371</v>
      </c>
      <c r="C152" s="52" t="s">
        <v>2492</v>
      </c>
    </row>
    <row r="153" customFormat="false" ht="15.75" hidden="false" customHeight="false" outlineLevel="0" collapsed="false">
      <c r="A153" s="52" t="s">
        <v>2493</v>
      </c>
      <c r="B153" s="52" t="s">
        <v>2371</v>
      </c>
      <c r="C153" s="52" t="s">
        <v>2483</v>
      </c>
    </row>
    <row r="154" customFormat="false" ht="15.75" hidden="false" customHeight="false" outlineLevel="0" collapsed="false">
      <c r="A154" s="52" t="s">
        <v>101</v>
      </c>
      <c r="B154" s="52" t="s">
        <v>2371</v>
      </c>
      <c r="C154" s="52" t="s">
        <v>2481</v>
      </c>
    </row>
    <row r="155" customFormat="false" ht="15.75" hidden="false" customHeight="false" outlineLevel="0" collapsed="false">
      <c r="A155" s="52" t="s">
        <v>308</v>
      </c>
      <c r="B155" s="52" t="s">
        <v>2371</v>
      </c>
      <c r="C155" s="52" t="s">
        <v>2481</v>
      </c>
    </row>
    <row r="156" customFormat="false" ht="15.75" hidden="false" customHeight="false" outlineLevel="0" collapsed="false">
      <c r="A156" s="52" t="s">
        <v>2494</v>
      </c>
      <c r="B156" s="52" t="s">
        <v>2371</v>
      </c>
      <c r="C156" s="52" t="s">
        <v>2486</v>
      </c>
    </row>
    <row r="157" customFormat="false" ht="15.75" hidden="false" customHeight="false" outlineLevel="0" collapsed="false">
      <c r="A157" s="52" t="s">
        <v>2495</v>
      </c>
      <c r="B157" s="52" t="s">
        <v>2371</v>
      </c>
      <c r="C157" s="52" t="s">
        <v>2482</v>
      </c>
    </row>
    <row r="158" customFormat="false" ht="15.75" hidden="false" customHeight="false" outlineLevel="0" collapsed="false">
      <c r="A158" s="52" t="s">
        <v>2496</v>
      </c>
      <c r="B158" s="52" t="s">
        <v>2371</v>
      </c>
      <c r="C158" s="52" t="s">
        <v>2483</v>
      </c>
    </row>
    <row r="159" customFormat="false" ht="15.75" hidden="false" customHeight="false" outlineLevel="0" collapsed="false">
      <c r="A159" s="52" t="s">
        <v>337</v>
      </c>
      <c r="B159" s="52" t="s">
        <v>2371</v>
      </c>
      <c r="C159" s="52" t="s">
        <v>2482</v>
      </c>
    </row>
    <row r="160" customFormat="false" ht="15.75" hidden="false" customHeight="false" outlineLevel="0" collapsed="false">
      <c r="A160" s="52" t="s">
        <v>2497</v>
      </c>
      <c r="B160" s="52" t="s">
        <v>2371</v>
      </c>
      <c r="C160" s="52" t="s">
        <v>2489</v>
      </c>
    </row>
    <row r="161" customFormat="false" ht="15.75" hidden="false" customHeight="false" outlineLevel="0" collapsed="false">
      <c r="A161" s="52" t="s">
        <v>483</v>
      </c>
      <c r="B161" s="52" t="s">
        <v>2371</v>
      </c>
      <c r="C161" s="52" t="s">
        <v>2481</v>
      </c>
    </row>
    <row r="162" customFormat="false" ht="15.75" hidden="false" customHeight="false" outlineLevel="0" collapsed="false">
      <c r="A162" s="52" t="s">
        <v>132</v>
      </c>
      <c r="B162" s="52" t="s">
        <v>2371</v>
      </c>
      <c r="C162" s="52" t="s">
        <v>2483</v>
      </c>
    </row>
    <row r="163" customFormat="false" ht="15.75" hidden="false" customHeight="false" outlineLevel="0" collapsed="false">
      <c r="A163" s="52" t="s">
        <v>2498</v>
      </c>
      <c r="B163" s="52" t="s">
        <v>2373</v>
      </c>
      <c r="C163" s="52"/>
    </row>
    <row r="164" customFormat="false" ht="15.75" hidden="false" customHeight="false" outlineLevel="0" collapsed="false">
      <c r="A164" s="52" t="s">
        <v>2499</v>
      </c>
      <c r="B164" s="52" t="s">
        <v>2373</v>
      </c>
      <c r="C164" s="52" t="s">
        <v>2500</v>
      </c>
    </row>
    <row r="165" customFormat="false" ht="15.75" hidden="false" customHeight="false" outlineLevel="0" collapsed="false">
      <c r="A165" s="52" t="s">
        <v>676</v>
      </c>
      <c r="B165" s="52" t="s">
        <v>2373</v>
      </c>
      <c r="C165" s="52" t="s">
        <v>2501</v>
      </c>
    </row>
    <row r="166" customFormat="false" ht="15.75" hidden="false" customHeight="false" outlineLevel="0" collapsed="false">
      <c r="A166" s="52" t="s">
        <v>2502</v>
      </c>
      <c r="B166" s="52" t="s">
        <v>2373</v>
      </c>
      <c r="C166" s="52" t="s">
        <v>2503</v>
      </c>
    </row>
    <row r="167" customFormat="false" ht="15.75" hidden="false" customHeight="false" outlineLevel="0" collapsed="false">
      <c r="A167" s="52" t="s">
        <v>2504</v>
      </c>
      <c r="B167" s="52" t="s">
        <v>2373</v>
      </c>
      <c r="C167" s="52" t="s">
        <v>2501</v>
      </c>
    </row>
    <row r="168" customFormat="false" ht="15.75" hidden="false" customHeight="false" outlineLevel="0" collapsed="false">
      <c r="A168" s="52" t="s">
        <v>2505</v>
      </c>
      <c r="B168" s="52" t="s">
        <v>2373</v>
      </c>
      <c r="C168" s="52" t="s">
        <v>2506</v>
      </c>
    </row>
    <row r="169" customFormat="false" ht="15.75" hidden="false" customHeight="false" outlineLevel="0" collapsed="false">
      <c r="A169" s="52" t="s">
        <v>2507</v>
      </c>
      <c r="B169" s="52" t="s">
        <v>2373</v>
      </c>
      <c r="C169" s="52" t="s">
        <v>2508</v>
      </c>
    </row>
    <row r="170" customFormat="false" ht="15.75" hidden="false" customHeight="false" outlineLevel="0" collapsed="false">
      <c r="A170" s="52" t="s">
        <v>2509</v>
      </c>
      <c r="B170" s="52" t="s">
        <v>2373</v>
      </c>
      <c r="C170" s="52"/>
    </row>
    <row r="171" customFormat="false" ht="15.75" hidden="false" customHeight="false" outlineLevel="0" collapsed="false">
      <c r="A171" s="52" t="s">
        <v>633</v>
      </c>
      <c r="B171" s="52" t="s">
        <v>2373</v>
      </c>
      <c r="C171" s="52"/>
    </row>
    <row r="172" customFormat="false" ht="15.75" hidden="false" customHeight="false" outlineLevel="0" collapsed="false">
      <c r="A172" s="52" t="s">
        <v>2510</v>
      </c>
      <c r="B172" s="52" t="s">
        <v>2373</v>
      </c>
      <c r="C172" s="52" t="s">
        <v>2511</v>
      </c>
    </row>
    <row r="173" customFormat="false" ht="15.75" hidden="false" customHeight="false" outlineLevel="0" collapsed="false">
      <c r="A173" s="52" t="s">
        <v>2512</v>
      </c>
      <c r="B173" s="52" t="s">
        <v>2373</v>
      </c>
      <c r="C173" s="52"/>
    </row>
    <row r="174" customFormat="false" ht="15.75" hidden="false" customHeight="false" outlineLevel="0" collapsed="false">
      <c r="A174" s="52" t="s">
        <v>2513</v>
      </c>
      <c r="B174" s="52" t="s">
        <v>2373</v>
      </c>
      <c r="C174" s="52" t="s">
        <v>2503</v>
      </c>
    </row>
    <row r="175" customFormat="false" ht="15.75" hidden="false" customHeight="false" outlineLevel="0" collapsed="false">
      <c r="A175" s="52" t="s">
        <v>2514</v>
      </c>
      <c r="B175" s="52" t="s">
        <v>2373</v>
      </c>
      <c r="C175" s="52"/>
    </row>
    <row r="176" customFormat="false" ht="15.75" hidden="false" customHeight="false" outlineLevel="0" collapsed="false">
      <c r="A176" s="52" t="s">
        <v>2515</v>
      </c>
      <c r="B176" s="52" t="s">
        <v>2373</v>
      </c>
      <c r="C176" s="52" t="s">
        <v>2501</v>
      </c>
    </row>
    <row r="177" customFormat="false" ht="15.75" hidden="false" customHeight="false" outlineLevel="0" collapsed="false">
      <c r="A177" s="52" t="s">
        <v>2516</v>
      </c>
      <c r="B177" s="52" t="s">
        <v>2373</v>
      </c>
      <c r="C177" s="52"/>
    </row>
    <row r="178" customFormat="false" ht="15.75" hidden="false" customHeight="false" outlineLevel="0" collapsed="false">
      <c r="A178" s="52" t="s">
        <v>2517</v>
      </c>
      <c r="B178" s="52" t="s">
        <v>2373</v>
      </c>
      <c r="C178" s="52" t="s">
        <v>2506</v>
      </c>
    </row>
    <row r="179" customFormat="false" ht="15.75" hidden="false" customHeight="false" outlineLevel="0" collapsed="false">
      <c r="A179" s="52" t="s">
        <v>2518</v>
      </c>
      <c r="B179" s="52" t="s">
        <v>2373</v>
      </c>
      <c r="C179" s="52"/>
    </row>
    <row r="180" customFormat="false" ht="15.75" hidden="false" customHeight="false" outlineLevel="0" collapsed="false">
      <c r="A180" s="52" t="s">
        <v>2519</v>
      </c>
      <c r="B180" s="52" t="s">
        <v>2373</v>
      </c>
      <c r="C180" s="52"/>
    </row>
    <row r="181" customFormat="false" ht="15.75" hidden="false" customHeight="false" outlineLevel="0" collapsed="false">
      <c r="A181" s="52" t="s">
        <v>2520</v>
      </c>
      <c r="B181" s="52" t="s">
        <v>2373</v>
      </c>
      <c r="C181" s="52" t="s">
        <v>2506</v>
      </c>
    </row>
    <row r="182" customFormat="false" ht="15.75" hidden="false" customHeight="false" outlineLevel="0" collapsed="false">
      <c r="A182" s="52" t="s">
        <v>2521</v>
      </c>
      <c r="B182" s="52" t="s">
        <v>2373</v>
      </c>
      <c r="C182" s="52" t="s">
        <v>2500</v>
      </c>
    </row>
    <row r="183" customFormat="false" ht="15.75" hidden="false" customHeight="false" outlineLevel="0" collapsed="false">
      <c r="A183" s="52" t="s">
        <v>1004</v>
      </c>
      <c r="B183" s="52" t="s">
        <v>2373</v>
      </c>
      <c r="C183" s="52"/>
    </row>
    <row r="184" customFormat="false" ht="15.75" hidden="false" customHeight="false" outlineLevel="0" collapsed="false">
      <c r="A184" s="52" t="s">
        <v>2522</v>
      </c>
      <c r="B184" s="52" t="s">
        <v>2373</v>
      </c>
      <c r="C184" s="52" t="s">
        <v>2508</v>
      </c>
    </row>
    <row r="185" customFormat="false" ht="15.75" hidden="false" customHeight="false" outlineLevel="0" collapsed="false">
      <c r="A185" s="52" t="s">
        <v>2523</v>
      </c>
      <c r="B185" s="52" t="s">
        <v>2373</v>
      </c>
      <c r="C185" s="52"/>
    </row>
    <row r="186" customFormat="false" ht="15.75" hidden="false" customHeight="false" outlineLevel="0" collapsed="false">
      <c r="A186" s="52" t="s">
        <v>2524</v>
      </c>
      <c r="B186" s="52" t="s">
        <v>2373</v>
      </c>
      <c r="C186" s="52" t="s">
        <v>2503</v>
      </c>
    </row>
    <row r="187" customFormat="false" ht="15.75" hidden="false" customHeight="false" outlineLevel="0" collapsed="false">
      <c r="A187" s="52" t="s">
        <v>1159</v>
      </c>
      <c r="B187" s="52" t="s">
        <v>2373</v>
      </c>
      <c r="C187" s="52"/>
    </row>
    <row r="188" customFormat="false" ht="15.75" hidden="false" customHeight="false" outlineLevel="0" collapsed="false">
      <c r="A188" s="52" t="s">
        <v>1313</v>
      </c>
      <c r="B188" s="52" t="s">
        <v>2373</v>
      </c>
      <c r="C188" s="52" t="s">
        <v>2506</v>
      </c>
    </row>
    <row r="189" customFormat="false" ht="15.75" hidden="false" customHeight="false" outlineLevel="0" collapsed="false">
      <c r="A189" s="52" t="s">
        <v>2525</v>
      </c>
      <c r="B189" s="52" t="s">
        <v>2373</v>
      </c>
      <c r="C189" s="52" t="s">
        <v>2526</v>
      </c>
    </row>
    <row r="190" customFormat="false" ht="15.75" hidden="false" customHeight="false" outlineLevel="0" collapsed="false">
      <c r="A190" s="52" t="s">
        <v>2527</v>
      </c>
      <c r="B190" s="52" t="s">
        <v>2373</v>
      </c>
      <c r="C190" s="52"/>
    </row>
    <row r="191" customFormat="false" ht="15.75" hidden="false" customHeight="false" outlineLevel="0" collapsed="false">
      <c r="A191" s="52" t="s">
        <v>2528</v>
      </c>
      <c r="B191" s="52" t="s">
        <v>2373</v>
      </c>
      <c r="C191" s="52" t="s">
        <v>2506</v>
      </c>
    </row>
    <row r="192" customFormat="false" ht="15.75" hidden="false" customHeight="false" outlineLevel="0" collapsed="false">
      <c r="A192" s="52" t="s">
        <v>2529</v>
      </c>
      <c r="B192" s="52" t="s">
        <v>2373</v>
      </c>
      <c r="C192" s="52" t="s">
        <v>2506</v>
      </c>
    </row>
    <row r="193" customFormat="false" ht="15.75" hidden="false" customHeight="false" outlineLevel="0" collapsed="false">
      <c r="A193" s="52" t="s">
        <v>2530</v>
      </c>
      <c r="B193" s="52" t="s">
        <v>2373</v>
      </c>
      <c r="C193" s="52"/>
    </row>
    <row r="194" customFormat="false" ht="15.75" hidden="false" customHeight="false" outlineLevel="0" collapsed="false">
      <c r="A194" s="52" t="s">
        <v>2531</v>
      </c>
      <c r="B194" s="52" t="s">
        <v>2373</v>
      </c>
      <c r="C194" s="52"/>
    </row>
    <row r="195" customFormat="false" ht="15.75" hidden="false" customHeight="false" outlineLevel="0" collapsed="false">
      <c r="A195" s="52" t="s">
        <v>2532</v>
      </c>
      <c r="B195" s="52" t="s">
        <v>2373</v>
      </c>
      <c r="C195" s="52" t="s">
        <v>2506</v>
      </c>
    </row>
    <row r="196" customFormat="false" ht="15.75" hidden="false" customHeight="false" outlineLevel="0" collapsed="false">
      <c r="A196" s="52" t="s">
        <v>2533</v>
      </c>
      <c r="B196" s="52" t="s">
        <v>2373</v>
      </c>
      <c r="C196" s="52"/>
    </row>
    <row r="197" customFormat="false" ht="15.75" hidden="false" customHeight="false" outlineLevel="0" collapsed="false">
      <c r="A197" s="52" t="s">
        <v>779</v>
      </c>
      <c r="B197" s="52" t="s">
        <v>2359</v>
      </c>
      <c r="C197" s="52" t="s">
        <v>2534</v>
      </c>
    </row>
    <row r="198" customFormat="false" ht="15.75" hidden="false" customHeight="false" outlineLevel="0" collapsed="false">
      <c r="A198" s="52" t="s">
        <v>2535</v>
      </c>
      <c r="B198" s="52" t="s">
        <v>2359</v>
      </c>
      <c r="C198" s="52"/>
    </row>
    <row r="199" customFormat="false" ht="15.75" hidden="false" customHeight="false" outlineLevel="0" collapsed="false">
      <c r="A199" s="52" t="s">
        <v>268</v>
      </c>
      <c r="B199" s="52" t="s">
        <v>2359</v>
      </c>
      <c r="C199" s="52" t="s">
        <v>2481</v>
      </c>
    </row>
    <row r="200" customFormat="false" ht="15.75" hidden="false" customHeight="false" outlineLevel="0" collapsed="false">
      <c r="A200" s="52" t="s">
        <v>2536</v>
      </c>
      <c r="B200" s="52" t="s">
        <v>2359</v>
      </c>
      <c r="C200" s="52" t="s">
        <v>2381</v>
      </c>
    </row>
    <row r="201" customFormat="false" ht="15.75" hidden="false" customHeight="false" outlineLevel="0" collapsed="false">
      <c r="A201" s="52" t="s">
        <v>2537</v>
      </c>
      <c r="B201" s="52" t="s">
        <v>2359</v>
      </c>
      <c r="C201" s="52" t="s">
        <v>2534</v>
      </c>
    </row>
    <row r="202" customFormat="false" ht="15.75" hidden="false" customHeight="false" outlineLevel="0" collapsed="false">
      <c r="A202" s="52" t="s">
        <v>1767</v>
      </c>
      <c r="B202" s="52" t="s">
        <v>2359</v>
      </c>
      <c r="C202" s="52" t="s">
        <v>2538</v>
      </c>
    </row>
    <row r="203" customFormat="false" ht="15.75" hidden="false" customHeight="false" outlineLevel="0" collapsed="false">
      <c r="A203" s="52" t="s">
        <v>652</v>
      </c>
      <c r="B203" s="52" t="s">
        <v>2359</v>
      </c>
      <c r="C203" s="52" t="s">
        <v>2538</v>
      </c>
    </row>
    <row r="204" customFormat="false" ht="15.75" hidden="false" customHeight="false" outlineLevel="0" collapsed="false">
      <c r="A204" s="52" t="s">
        <v>1142</v>
      </c>
      <c r="B204" s="52" t="s">
        <v>2359</v>
      </c>
      <c r="C204" s="52" t="s">
        <v>2534</v>
      </c>
    </row>
    <row r="205" customFormat="false" ht="15.75" hidden="false" customHeight="false" outlineLevel="0" collapsed="false">
      <c r="A205" s="52" t="s">
        <v>949</v>
      </c>
      <c r="B205" s="52" t="s">
        <v>2359</v>
      </c>
      <c r="C205" s="52" t="s">
        <v>2534</v>
      </c>
    </row>
    <row r="206" customFormat="false" ht="15.75" hidden="false" customHeight="false" outlineLevel="0" collapsed="false">
      <c r="A206" s="52" t="s">
        <v>304</v>
      </c>
      <c r="B206" s="52" t="s">
        <v>2359</v>
      </c>
      <c r="C206" s="52"/>
    </row>
    <row r="207" customFormat="false" ht="15.75" hidden="false" customHeight="false" outlineLevel="0" collapsed="false">
      <c r="A207" s="52" t="s">
        <v>300</v>
      </c>
      <c r="B207" s="52" t="s">
        <v>2359</v>
      </c>
      <c r="C207" s="52" t="s">
        <v>2481</v>
      </c>
    </row>
    <row r="208" customFormat="false" ht="15.75" hidden="false" customHeight="false" outlineLevel="0" collapsed="false">
      <c r="A208" s="52" t="s">
        <v>2539</v>
      </c>
      <c r="B208" s="52" t="s">
        <v>2359</v>
      </c>
      <c r="C208" s="52"/>
    </row>
    <row r="209" customFormat="false" ht="15.75" hidden="false" customHeight="false" outlineLevel="0" collapsed="false">
      <c r="A209" s="52" t="s">
        <v>85</v>
      </c>
      <c r="B209" s="52" t="s">
        <v>2359</v>
      </c>
      <c r="C209" s="52" t="s">
        <v>2534</v>
      </c>
    </row>
    <row r="210" customFormat="false" ht="15.75" hidden="false" customHeight="false" outlineLevel="0" collapsed="false">
      <c r="A210" s="52" t="s">
        <v>659</v>
      </c>
      <c r="B210" s="52" t="s">
        <v>2359</v>
      </c>
      <c r="C210" s="52" t="s">
        <v>2534</v>
      </c>
    </row>
    <row r="211" customFormat="false" ht="15.75" hidden="false" customHeight="false" outlineLevel="0" collapsed="false">
      <c r="A211" s="52" t="s">
        <v>2540</v>
      </c>
      <c r="B211" s="52" t="s">
        <v>2359</v>
      </c>
      <c r="C211" s="52"/>
    </row>
    <row r="212" customFormat="false" ht="15.75" hidden="false" customHeight="false" outlineLevel="0" collapsed="false">
      <c r="A212" s="52" t="s">
        <v>1316</v>
      </c>
      <c r="B212" s="52" t="s">
        <v>2359</v>
      </c>
      <c r="C212" s="52" t="s">
        <v>2534</v>
      </c>
    </row>
    <row r="213" customFormat="false" ht="15.75" hidden="false" customHeight="false" outlineLevel="0" collapsed="false">
      <c r="A213" s="52" t="s">
        <v>142</v>
      </c>
      <c r="B213" s="52" t="s">
        <v>2359</v>
      </c>
      <c r="C213" s="52" t="s">
        <v>2538</v>
      </c>
    </row>
    <row r="214" customFormat="false" ht="15.75" hidden="false" customHeight="false" outlineLevel="0" collapsed="false">
      <c r="A214" s="52" t="s">
        <v>2541</v>
      </c>
      <c r="B214" s="52" t="s">
        <v>2359</v>
      </c>
      <c r="C214" s="52"/>
    </row>
    <row r="215" customFormat="false" ht="15.75" hidden="false" customHeight="false" outlineLevel="0" collapsed="false">
      <c r="A215" s="52" t="s">
        <v>1827</v>
      </c>
      <c r="B215" s="52" t="s">
        <v>2355</v>
      </c>
      <c r="C215" s="52" t="s">
        <v>2542</v>
      </c>
    </row>
    <row r="216" customFormat="false" ht="15.75" hidden="false" customHeight="false" outlineLevel="0" collapsed="false">
      <c r="A216" s="52" t="s">
        <v>974</v>
      </c>
      <c r="B216" s="52" t="s">
        <v>2355</v>
      </c>
      <c r="C216" s="52" t="s">
        <v>2542</v>
      </c>
    </row>
    <row r="217" customFormat="false" ht="15.75" hidden="false" customHeight="false" outlineLevel="0" collapsed="false">
      <c r="A217" s="52" t="s">
        <v>2543</v>
      </c>
      <c r="B217" s="52" t="s">
        <v>2355</v>
      </c>
      <c r="C217" s="52" t="s">
        <v>2381</v>
      </c>
    </row>
    <row r="218" customFormat="false" ht="15.75" hidden="false" customHeight="false" outlineLevel="0" collapsed="false">
      <c r="A218" s="52" t="s">
        <v>2544</v>
      </c>
      <c r="B218" s="52" t="s">
        <v>2355</v>
      </c>
      <c r="C218" s="52" t="s">
        <v>2381</v>
      </c>
    </row>
    <row r="219" customFormat="false" ht="15.75" hidden="false" customHeight="false" outlineLevel="0" collapsed="false">
      <c r="A219" s="52" t="s">
        <v>567</v>
      </c>
      <c r="B219" s="52" t="s">
        <v>2355</v>
      </c>
      <c r="C219" s="52" t="s">
        <v>2542</v>
      </c>
    </row>
    <row r="220" customFormat="false" ht="15.75" hidden="false" customHeight="false" outlineLevel="0" collapsed="false">
      <c r="A220" s="52" t="s">
        <v>2021</v>
      </c>
      <c r="B220" s="52" t="s">
        <v>2355</v>
      </c>
      <c r="C220" s="52" t="s">
        <v>2381</v>
      </c>
    </row>
    <row r="221" customFormat="false" ht="15.75" hidden="false" customHeight="false" outlineLevel="0" collapsed="false">
      <c r="A221" s="52" t="s">
        <v>2545</v>
      </c>
      <c r="B221" s="52" t="s">
        <v>2355</v>
      </c>
      <c r="C221" s="52"/>
    </row>
    <row r="222" customFormat="false" ht="15.75" hidden="false" customHeight="false" outlineLevel="0" collapsed="false">
      <c r="A222" s="52" t="s">
        <v>2546</v>
      </c>
      <c r="B222" s="52" t="s">
        <v>2355</v>
      </c>
      <c r="C222" s="52" t="s">
        <v>2547</v>
      </c>
    </row>
    <row r="223" customFormat="false" ht="15.75" hidden="false" customHeight="false" outlineLevel="0" collapsed="false">
      <c r="A223" s="52" t="s">
        <v>2548</v>
      </c>
      <c r="B223" s="52" t="s">
        <v>2355</v>
      </c>
      <c r="C223" s="52" t="s">
        <v>2381</v>
      </c>
    </row>
    <row r="224" customFormat="false" ht="15.75" hidden="false" customHeight="false" outlineLevel="0" collapsed="false">
      <c r="A224" s="52" t="s">
        <v>2549</v>
      </c>
      <c r="B224" s="52" t="s">
        <v>2355</v>
      </c>
      <c r="C224" s="52" t="s">
        <v>2381</v>
      </c>
    </row>
    <row r="225" customFormat="false" ht="15.75" hidden="false" customHeight="false" outlineLevel="0" collapsed="false">
      <c r="A225" s="52" t="s">
        <v>1601</v>
      </c>
      <c r="B225" s="52" t="s">
        <v>2355</v>
      </c>
      <c r="C225" s="52" t="s">
        <v>2381</v>
      </c>
    </row>
    <row r="226" customFormat="false" ht="15.75" hidden="false" customHeight="false" outlineLevel="0" collapsed="false">
      <c r="A226" s="52" t="s">
        <v>2550</v>
      </c>
      <c r="B226" s="52" t="s">
        <v>2355</v>
      </c>
      <c r="C226" s="52" t="s">
        <v>2551</v>
      </c>
    </row>
    <row r="227" customFormat="false" ht="15.75" hidden="false" customHeight="false" outlineLevel="0" collapsed="false">
      <c r="A227" s="52" t="s">
        <v>2552</v>
      </c>
      <c r="B227" s="52" t="s">
        <v>2355</v>
      </c>
      <c r="C227" s="52" t="s">
        <v>2381</v>
      </c>
    </row>
    <row r="228" customFormat="false" ht="15.75" hidden="false" customHeight="false" outlineLevel="0" collapsed="false">
      <c r="A228" s="52" t="s">
        <v>2553</v>
      </c>
      <c r="B228" s="52" t="s">
        <v>2368</v>
      </c>
      <c r="C228" s="52"/>
    </row>
    <row r="229" customFormat="false" ht="15.75" hidden="false" customHeight="false" outlineLevel="0" collapsed="false">
      <c r="A229" s="52" t="s">
        <v>567</v>
      </c>
      <c r="B229" s="52" t="s">
        <v>2355</v>
      </c>
      <c r="C229" s="52"/>
    </row>
    <row r="230" customFormat="false" ht="15.75" hidden="false" customHeight="false" outlineLevel="0" collapsed="false">
      <c r="A230" s="52" t="s">
        <v>2554</v>
      </c>
      <c r="B230" s="52" t="s">
        <v>2357</v>
      </c>
      <c r="C230" s="52"/>
    </row>
    <row r="231" customFormat="false" ht="15.75" hidden="false" customHeight="false" outlineLevel="0" collapsed="false">
      <c r="A231" s="52" t="s">
        <v>850</v>
      </c>
      <c r="B231" s="52" t="s">
        <v>2357</v>
      </c>
      <c r="C231" s="52"/>
    </row>
    <row r="232" customFormat="false" ht="15.75" hidden="false" customHeight="false" outlineLevel="0" collapsed="false">
      <c r="A232" s="52" t="s">
        <v>2555</v>
      </c>
      <c r="B232" s="52" t="s">
        <v>2357</v>
      </c>
      <c r="C232" s="52"/>
    </row>
    <row r="233" customFormat="false" ht="15.75" hidden="false" customHeight="false" outlineLevel="0" collapsed="false">
      <c r="A233" s="52" t="s">
        <v>174</v>
      </c>
      <c r="B233" s="52" t="s">
        <v>2354</v>
      </c>
      <c r="C233" s="52"/>
    </row>
    <row r="234" customFormat="false" ht="15.75" hidden="false" customHeight="false" outlineLevel="0" collapsed="false">
      <c r="A234" s="52" t="s">
        <v>2454</v>
      </c>
      <c r="B234" s="52" t="s">
        <v>2368</v>
      </c>
      <c r="C234" s="52"/>
    </row>
    <row r="235" customFormat="false" ht="15.75" hidden="false" customHeight="false" outlineLevel="0" collapsed="false">
      <c r="A235" s="52" t="s">
        <v>2454</v>
      </c>
      <c r="B235" s="52" t="s">
        <v>2354</v>
      </c>
      <c r="C235" s="52"/>
    </row>
    <row r="236" customFormat="false" ht="15.75" hidden="false" customHeight="false" outlineLevel="0" collapsed="false">
      <c r="A236" s="52" t="s">
        <v>2440</v>
      </c>
      <c r="B236" s="52" t="s">
        <v>2368</v>
      </c>
      <c r="C236" s="52"/>
    </row>
    <row r="237" customFormat="false" ht="15.75" hidden="false" customHeight="false" outlineLevel="0" collapsed="false">
      <c r="A237" s="52" t="s">
        <v>153</v>
      </c>
      <c r="B237" s="52" t="s">
        <v>2357</v>
      </c>
      <c r="C237" s="52"/>
    </row>
    <row r="238" customFormat="false" ht="15.75" hidden="false" customHeight="false" outlineLevel="0" collapsed="false">
      <c r="A238" s="52" t="s">
        <v>2556</v>
      </c>
      <c r="B238" s="52" t="s">
        <v>2368</v>
      </c>
      <c r="C238" s="52"/>
    </row>
    <row r="239" customFormat="false" ht="15.75" hidden="false" customHeight="false" outlineLevel="0" collapsed="false">
      <c r="A239" s="52" t="s">
        <v>2557</v>
      </c>
      <c r="B239" s="52" t="s">
        <v>2368</v>
      </c>
      <c r="C239" s="52"/>
    </row>
    <row r="240" customFormat="false" ht="15.75" hidden="false" customHeight="false" outlineLevel="0" collapsed="false">
      <c r="A240" s="52" t="s">
        <v>2558</v>
      </c>
      <c r="B240" s="52" t="s">
        <v>2368</v>
      </c>
      <c r="C240" s="52"/>
    </row>
    <row r="241" customFormat="false" ht="15.75" hidden="false" customHeight="false" outlineLevel="0" collapsed="false">
      <c r="A241" s="52" t="s">
        <v>2559</v>
      </c>
      <c r="B241" s="52" t="s">
        <v>2371</v>
      </c>
      <c r="C241" s="52"/>
    </row>
    <row r="242" customFormat="false" ht="15.75" hidden="false" customHeight="false" outlineLevel="0" collapsed="false">
      <c r="A242" s="52" t="s">
        <v>1994</v>
      </c>
      <c r="B242" s="52" t="s">
        <v>2371</v>
      </c>
      <c r="C242" s="52"/>
    </row>
    <row r="243" customFormat="false" ht="15.75" hidden="false" customHeight="false" outlineLevel="0" collapsed="false">
      <c r="A243" s="52" t="s">
        <v>2560</v>
      </c>
      <c r="B243" s="52" t="s">
        <v>2357</v>
      </c>
      <c r="C243" s="52"/>
    </row>
    <row r="244" customFormat="false" ht="15.75" hidden="false" customHeight="false" outlineLevel="0" collapsed="false">
      <c r="A244" s="52" t="s">
        <v>2561</v>
      </c>
      <c r="B244" s="52" t="s">
        <v>2354</v>
      </c>
      <c r="C244" s="52"/>
    </row>
    <row r="245" customFormat="false" ht="15.75" hidden="false" customHeight="false" outlineLevel="0" collapsed="false">
      <c r="A245" s="52" t="s">
        <v>2562</v>
      </c>
      <c r="B245" s="52" t="s">
        <v>2354</v>
      </c>
      <c r="C245" s="52"/>
    </row>
    <row r="246" customFormat="false" ht="15.75" hidden="false" customHeight="false" outlineLevel="0" collapsed="false">
      <c r="A246" s="52" t="s">
        <v>2563</v>
      </c>
      <c r="B246" s="52" t="s">
        <v>2357</v>
      </c>
      <c r="C246" s="52"/>
    </row>
    <row r="247" customFormat="false" ht="15.75" hidden="false" customHeight="false" outlineLevel="0" collapsed="false">
      <c r="A247" s="52" t="s">
        <v>2564</v>
      </c>
      <c r="B247" s="52" t="s">
        <v>2357</v>
      </c>
      <c r="C247" s="52"/>
    </row>
    <row r="248" customFormat="false" ht="15.75" hidden="false" customHeight="false" outlineLevel="0" collapsed="false">
      <c r="A248" s="52" t="s">
        <v>2565</v>
      </c>
      <c r="B248" s="52" t="s">
        <v>2368</v>
      </c>
      <c r="C248" s="52"/>
    </row>
    <row r="249" customFormat="false" ht="15.75" hidden="false" customHeight="false" outlineLevel="0" collapsed="false">
      <c r="A249" s="52" t="s">
        <v>2566</v>
      </c>
      <c r="B249" s="52" t="s">
        <v>2368</v>
      </c>
      <c r="C249" s="52"/>
    </row>
    <row r="250" customFormat="false" ht="15.75" hidden="false" customHeight="false" outlineLevel="0" collapsed="false">
      <c r="A250" s="52" t="s">
        <v>2567</v>
      </c>
      <c r="B250" s="52" t="s">
        <v>2368</v>
      </c>
      <c r="C250" s="52"/>
    </row>
    <row r="251" customFormat="false" ht="15.75" hidden="false" customHeight="false" outlineLevel="0" collapsed="false">
      <c r="A251" s="52" t="s">
        <v>2568</v>
      </c>
      <c r="B251" s="52" t="s">
        <v>2357</v>
      </c>
      <c r="C251" s="52"/>
    </row>
    <row r="252" customFormat="false" ht="15.75" hidden="false" customHeight="false" outlineLevel="0" collapsed="false">
      <c r="A252" s="52" t="s">
        <v>2569</v>
      </c>
      <c r="B252" s="52" t="s">
        <v>2371</v>
      </c>
      <c r="C252" s="52"/>
    </row>
    <row r="253" customFormat="false" ht="15.75" hidden="false" customHeight="false" outlineLevel="0" collapsed="false">
      <c r="A253" s="52" t="s">
        <v>2570</v>
      </c>
      <c r="B253" s="52" t="s">
        <v>2371</v>
      </c>
      <c r="C253" s="52"/>
    </row>
    <row r="254" customFormat="false" ht="15.75" hidden="false" customHeight="false" outlineLevel="0" collapsed="false">
      <c r="A254" s="52" t="s">
        <v>2571</v>
      </c>
      <c r="B254" s="52" t="s">
        <v>2368</v>
      </c>
      <c r="C254" s="52"/>
    </row>
    <row r="255" customFormat="false" ht="15.75" hidden="false" customHeight="false" outlineLevel="0" collapsed="false">
      <c r="A255" s="52" t="s">
        <v>2572</v>
      </c>
      <c r="B255" s="52" t="s">
        <v>2368</v>
      </c>
      <c r="C255" s="52"/>
    </row>
    <row r="256" customFormat="false" ht="15.75" hidden="false" customHeight="false" outlineLevel="0" collapsed="false">
      <c r="A256" s="52" t="s">
        <v>2573</v>
      </c>
      <c r="B256" s="52" t="s">
        <v>2368</v>
      </c>
      <c r="C256" s="52"/>
    </row>
    <row r="257" customFormat="false" ht="15.75" hidden="false" customHeight="false" outlineLevel="0" collapsed="false">
      <c r="A257" s="52" t="s">
        <v>2574</v>
      </c>
      <c r="B257" s="52" t="s">
        <v>2371</v>
      </c>
      <c r="C257" s="52"/>
    </row>
    <row r="258" customFormat="false" ht="15.75" hidden="false" customHeight="false" outlineLevel="0" collapsed="false">
      <c r="A258" s="52" t="s">
        <v>2575</v>
      </c>
      <c r="B258" s="52" t="s">
        <v>2371</v>
      </c>
      <c r="C258" s="52"/>
    </row>
    <row r="259" customFormat="false" ht="15.75" hidden="false" customHeight="false" outlineLevel="0" collapsed="false">
      <c r="A259" s="52" t="s">
        <v>2576</v>
      </c>
      <c r="B259" s="52" t="s">
        <v>2368</v>
      </c>
      <c r="C259" s="52"/>
    </row>
    <row r="260" customFormat="false" ht="15.75" hidden="false" customHeight="false" outlineLevel="0" collapsed="false">
      <c r="A260" s="52" t="s">
        <v>2577</v>
      </c>
      <c r="B260" s="52" t="s">
        <v>2368</v>
      </c>
      <c r="C260" s="52"/>
    </row>
    <row r="261" customFormat="false" ht="15.75" hidden="false" customHeight="false" outlineLevel="0" collapsed="false">
      <c r="A261" s="52" t="s">
        <v>2578</v>
      </c>
      <c r="B261" s="52" t="s">
        <v>2359</v>
      </c>
      <c r="C261" s="52"/>
    </row>
    <row r="262" customFormat="false" ht="15.75" hidden="false" customHeight="false" outlineLevel="0" collapsed="false">
      <c r="A262" s="52" t="s">
        <v>2579</v>
      </c>
      <c r="B262" s="52" t="s">
        <v>2359</v>
      </c>
      <c r="C262" s="52"/>
    </row>
    <row r="263" customFormat="false" ht="15.75" hidden="false" customHeight="false" outlineLevel="0" collapsed="false">
      <c r="A263" s="52" t="s">
        <v>2580</v>
      </c>
      <c r="B263" s="52" t="s">
        <v>2373</v>
      </c>
      <c r="C263" s="52"/>
    </row>
    <row r="264" customFormat="false" ht="15.75" hidden="false" customHeight="false" outlineLevel="0" collapsed="false">
      <c r="A264" s="52" t="s">
        <v>2581</v>
      </c>
      <c r="B264" s="52" t="s">
        <v>2373</v>
      </c>
      <c r="C264" s="52"/>
    </row>
    <row r="265" customFormat="false" ht="15.75" hidden="false" customHeight="false" outlineLevel="0" collapsed="false">
      <c r="A265" s="52" t="s">
        <v>2582</v>
      </c>
      <c r="B265" s="52" t="s">
        <v>2373</v>
      </c>
      <c r="C265" s="52"/>
    </row>
    <row r="266" customFormat="false" ht="15.75" hidden="false" customHeight="false" outlineLevel="0" collapsed="false">
      <c r="A266" s="52" t="s">
        <v>2583</v>
      </c>
      <c r="B266" s="52" t="s">
        <v>2373</v>
      </c>
      <c r="C266" s="52"/>
    </row>
    <row r="267" customFormat="false" ht="15.75" hidden="false" customHeight="false" outlineLevel="0" collapsed="false">
      <c r="A267" s="52" t="s">
        <v>2584</v>
      </c>
      <c r="B267" s="52" t="s">
        <v>2368</v>
      </c>
      <c r="C267" s="52"/>
    </row>
    <row r="268" customFormat="false" ht="15.75" hidden="false" customHeight="false" outlineLevel="0" collapsed="false">
      <c r="A268" s="52" t="s">
        <v>2585</v>
      </c>
      <c r="B268" s="52" t="s">
        <v>2368</v>
      </c>
      <c r="C268" s="52"/>
    </row>
    <row r="269" customFormat="false" ht="15.75" hidden="false" customHeight="false" outlineLevel="0" collapsed="false">
      <c r="A269" s="52" t="s">
        <v>2586</v>
      </c>
      <c r="B269" s="52" t="s">
        <v>2356</v>
      </c>
      <c r="C269" s="52"/>
    </row>
    <row r="270" customFormat="false" ht="15.75" hidden="false" customHeight="false" outlineLevel="0" collapsed="false">
      <c r="A270" s="52" t="s">
        <v>2587</v>
      </c>
      <c r="B270" s="52" t="s">
        <v>2356</v>
      </c>
      <c r="C270" s="52"/>
    </row>
    <row r="271" customFormat="false" ht="15.75" hidden="false" customHeight="false" outlineLevel="0" collapsed="false">
      <c r="A271" s="52" t="s">
        <v>2588</v>
      </c>
      <c r="B271" s="52" t="s">
        <v>2356</v>
      </c>
      <c r="C271" s="52"/>
    </row>
    <row r="272" customFormat="false" ht="15.75" hidden="false" customHeight="false" outlineLevel="0" collapsed="false">
      <c r="A272" s="52" t="s">
        <v>2589</v>
      </c>
      <c r="B272" s="52" t="s">
        <v>2356</v>
      </c>
      <c r="C272" s="52"/>
    </row>
    <row r="273" customFormat="false" ht="15.75" hidden="false" customHeight="false" outlineLevel="0" collapsed="false">
      <c r="A273" s="52" t="s">
        <v>2590</v>
      </c>
      <c r="B273" s="52" t="s">
        <v>2357</v>
      </c>
      <c r="C273" s="52"/>
    </row>
    <row r="274" customFormat="false" ht="15.75" hidden="false" customHeight="false" outlineLevel="0" collapsed="false">
      <c r="A274" s="52" t="s">
        <v>2591</v>
      </c>
      <c r="B274" s="52" t="s">
        <v>2359</v>
      </c>
      <c r="C274" s="52"/>
    </row>
    <row r="275" customFormat="false" ht="15.75" hidden="false" customHeight="false" outlineLevel="0" collapsed="false">
      <c r="A275" s="52" t="s">
        <v>2592</v>
      </c>
      <c r="B275" s="52" t="s">
        <v>2373</v>
      </c>
      <c r="C275" s="52"/>
    </row>
    <row r="276" customFormat="false" ht="15.75" hidden="false" customHeight="false" outlineLevel="0" collapsed="false">
      <c r="A276" s="52" t="s">
        <v>1993</v>
      </c>
      <c r="B276" s="52" t="s">
        <v>2371</v>
      </c>
      <c r="C276" s="52"/>
    </row>
    <row r="277" customFormat="false" ht="15.75" hidden="false" customHeight="false" outlineLevel="0" collapsed="false">
      <c r="A277" s="52" t="s">
        <v>2593</v>
      </c>
      <c r="B277" s="52" t="s">
        <v>2356</v>
      </c>
      <c r="C277" s="52"/>
    </row>
    <row r="278" customFormat="false" ht="15.75" hidden="false" customHeight="false" outlineLevel="0" collapsed="false">
      <c r="A278" s="52" t="s">
        <v>2594</v>
      </c>
      <c r="B278" s="52" t="s">
        <v>2359</v>
      </c>
      <c r="C278" s="52"/>
    </row>
    <row r="279" customFormat="false" ht="15.75" hidden="false" customHeight="false" outlineLevel="0" collapsed="false">
      <c r="A279" s="52" t="s">
        <v>2595</v>
      </c>
      <c r="B279" s="52" t="s">
        <v>2359</v>
      </c>
      <c r="C279" s="52"/>
    </row>
    <row r="280" customFormat="false" ht="15.75" hidden="false" customHeight="false" outlineLevel="0" collapsed="false">
      <c r="A280" s="52" t="s">
        <v>2596</v>
      </c>
      <c r="B280" s="52" t="s">
        <v>2376</v>
      </c>
      <c r="C280" s="52"/>
    </row>
    <row r="281" customFormat="false" ht="15.75" hidden="false" customHeight="false" outlineLevel="0" collapsed="false">
      <c r="A281" s="52" t="s">
        <v>2597</v>
      </c>
      <c r="B281" s="52" t="s">
        <v>2359</v>
      </c>
      <c r="C281" s="52"/>
    </row>
    <row r="282" customFormat="false" ht="15.75" hidden="false" customHeight="false" outlineLevel="0" collapsed="false">
      <c r="A282" s="52" t="s">
        <v>2598</v>
      </c>
      <c r="B282" s="52" t="s">
        <v>2359</v>
      </c>
      <c r="C282" s="52"/>
    </row>
    <row r="283" customFormat="false" ht="15.75" hidden="false" customHeight="false" outlineLevel="0" collapsed="false">
      <c r="A283" s="52" t="s">
        <v>2599</v>
      </c>
      <c r="B283" s="52" t="s">
        <v>2378</v>
      </c>
      <c r="C283" s="52"/>
    </row>
    <row r="284" customFormat="false" ht="15.75" hidden="false" customHeight="false" outlineLevel="0" collapsed="false">
      <c r="A284" s="52" t="s">
        <v>2600</v>
      </c>
      <c r="B284" s="52" t="s">
        <v>2359</v>
      </c>
      <c r="C284" s="52"/>
    </row>
    <row r="285" customFormat="false" ht="15.75" hidden="false" customHeight="false" outlineLevel="0" collapsed="false">
      <c r="A285" s="52" t="s">
        <v>2601</v>
      </c>
      <c r="B285" s="52" t="s">
        <v>2359</v>
      </c>
      <c r="C285" s="52"/>
    </row>
    <row r="286" customFormat="false" ht="15.75" hidden="false" customHeight="false" outlineLevel="0" collapsed="false">
      <c r="A286" s="52" t="s">
        <v>2602</v>
      </c>
      <c r="B286" s="52" t="s">
        <v>2356</v>
      </c>
      <c r="C286" s="52"/>
    </row>
    <row r="287" customFormat="false" ht="15.75" hidden="false" customHeight="false" outlineLevel="0" collapsed="false">
      <c r="A287" s="52" t="s">
        <v>2603</v>
      </c>
      <c r="B287" s="52" t="s">
        <v>2368</v>
      </c>
      <c r="C287" s="52"/>
    </row>
    <row r="288" customFormat="false" ht="15.75" hidden="false" customHeight="false" outlineLevel="0" collapsed="false">
      <c r="A288" s="52" t="s">
        <v>2604</v>
      </c>
      <c r="B288" s="52" t="s">
        <v>2355</v>
      </c>
      <c r="C288" s="52"/>
    </row>
    <row r="289" customFormat="false" ht="15.75" hidden="false" customHeight="false" outlineLevel="0" collapsed="false">
      <c r="A289" s="52" t="s">
        <v>2605</v>
      </c>
      <c r="B289" s="52"/>
      <c r="C289" s="52"/>
    </row>
    <row r="290" customFormat="false" ht="15.75" hidden="false" customHeight="false" outlineLevel="0" collapsed="false">
      <c r="A290" s="52" t="s">
        <v>2606</v>
      </c>
      <c r="B290" s="52"/>
      <c r="C290" s="52"/>
    </row>
    <row r="291" customFormat="false" ht="15.75" hidden="false" customHeight="false" outlineLevel="0" collapsed="false">
      <c r="A291" s="52" t="s">
        <v>2607</v>
      </c>
      <c r="B291" s="52"/>
      <c r="C291" s="52"/>
    </row>
    <row r="292" customFormat="false" ht="15.75" hidden="false" customHeight="false" outlineLevel="0" collapsed="false">
      <c r="A292" s="52" t="s">
        <v>2608</v>
      </c>
      <c r="B292" s="52"/>
      <c r="C292" s="52"/>
    </row>
    <row r="293" customFormat="false" ht="15.75" hidden="false" customHeight="false" outlineLevel="0" collapsed="false">
      <c r="A293" s="52" t="s">
        <v>2609</v>
      </c>
      <c r="B293" s="52"/>
      <c r="C293" s="52"/>
    </row>
    <row r="294" customFormat="false" ht="15.75" hidden="false" customHeight="false" outlineLevel="0" collapsed="false">
      <c r="A294" s="52" t="s">
        <v>2610</v>
      </c>
      <c r="B294" s="52"/>
      <c r="C294" s="52"/>
    </row>
    <row r="295" customFormat="false" ht="15.75" hidden="false" customHeight="false" outlineLevel="0" collapsed="false">
      <c r="A295" s="52" t="s">
        <v>2611</v>
      </c>
      <c r="B295" s="52"/>
      <c r="C295" s="52"/>
    </row>
    <row r="296" customFormat="false" ht="15.75" hidden="false" customHeight="false" outlineLevel="0" collapsed="false">
      <c r="A296" s="52" t="s">
        <v>2612</v>
      </c>
      <c r="B296" s="52"/>
      <c r="C296" s="52"/>
    </row>
    <row r="297" customFormat="false" ht="15.75" hidden="false" customHeight="false" outlineLevel="0" collapsed="false">
      <c r="A297" s="52" t="s">
        <v>2613</v>
      </c>
      <c r="B297" s="52"/>
      <c r="C297" s="52"/>
    </row>
    <row r="298" customFormat="false" ht="15.75" hidden="false" customHeight="false" outlineLevel="0" collapsed="false">
      <c r="A298" s="52" t="s">
        <v>2614</v>
      </c>
      <c r="B298" s="52"/>
      <c r="C298" s="52"/>
    </row>
    <row r="299" customFormat="false" ht="15.75" hidden="false" customHeight="false" outlineLevel="0" collapsed="false">
      <c r="A299" s="52" t="s">
        <v>2615</v>
      </c>
      <c r="B299" s="52"/>
      <c r="C299" s="52"/>
    </row>
    <row r="300" customFormat="false" ht="15.75" hidden="false" customHeight="false" outlineLevel="0" collapsed="false">
      <c r="A300" s="52" t="s">
        <v>2616</v>
      </c>
      <c r="B300" s="52"/>
      <c r="C300" s="52"/>
    </row>
    <row r="301" customFormat="false" ht="15.75" hidden="false" customHeight="false" outlineLevel="0" collapsed="false">
      <c r="A301" s="52" t="s">
        <v>2617</v>
      </c>
      <c r="B301" s="52"/>
      <c r="C301" s="52"/>
    </row>
    <row r="302" customFormat="false" ht="15.75" hidden="false" customHeight="false" outlineLevel="0" collapsed="false">
      <c r="A302" s="52" t="s">
        <v>2618</v>
      </c>
      <c r="B302" s="52"/>
      <c r="C302" s="52"/>
    </row>
    <row r="303" customFormat="false" ht="15.75" hidden="false" customHeight="false" outlineLevel="0" collapsed="false">
      <c r="A303" s="52" t="s">
        <v>2619</v>
      </c>
      <c r="B303" s="52"/>
      <c r="C303" s="52"/>
    </row>
    <row r="304" customFormat="false" ht="15.75" hidden="false" customHeight="false" outlineLevel="0" collapsed="false">
      <c r="A304" s="52" t="s">
        <v>2620</v>
      </c>
      <c r="B304" s="52"/>
      <c r="C304" s="52"/>
    </row>
    <row r="305" customFormat="false" ht="15.75" hidden="false" customHeight="false" outlineLevel="0" collapsed="false">
      <c r="A305" s="52" t="s">
        <v>2621</v>
      </c>
      <c r="B305" s="52"/>
      <c r="C305" s="52"/>
    </row>
    <row r="306" customFormat="false" ht="15.75" hidden="false" customHeight="false" outlineLevel="0" collapsed="false">
      <c r="A306" s="52" t="s">
        <v>2622</v>
      </c>
      <c r="B306" s="52"/>
      <c r="C306" s="52"/>
    </row>
    <row r="307" customFormat="false" ht="15.75" hidden="false" customHeight="false" outlineLevel="0" collapsed="false">
      <c r="A307" s="52" t="s">
        <v>2623</v>
      </c>
      <c r="B307" s="52"/>
      <c r="C307" s="52"/>
    </row>
    <row r="308" customFormat="false" ht="15.75" hidden="false" customHeight="false" outlineLevel="0" collapsed="false">
      <c r="A308" s="52" t="s">
        <v>2624</v>
      </c>
      <c r="B308" s="52"/>
      <c r="C308" s="52"/>
    </row>
    <row r="309" customFormat="false" ht="15.75" hidden="false" customHeight="false" outlineLevel="0" collapsed="false">
      <c r="A309" s="52" t="s">
        <v>2625</v>
      </c>
      <c r="B309" s="52"/>
      <c r="C309" s="52"/>
    </row>
    <row r="310" customFormat="false" ht="15.75" hidden="false" customHeight="false" outlineLevel="0" collapsed="false">
      <c r="A310" s="52" t="s">
        <v>2626</v>
      </c>
      <c r="B310" s="52"/>
      <c r="C310" s="52"/>
    </row>
    <row r="311" customFormat="false" ht="15.75" hidden="false" customHeight="false" outlineLevel="0" collapsed="false">
      <c r="A311" s="52" t="s">
        <v>2627</v>
      </c>
      <c r="B311" s="52"/>
      <c r="C311" s="52"/>
    </row>
    <row r="312" customFormat="false" ht="15.75" hidden="false" customHeight="false" outlineLevel="0" collapsed="false">
      <c r="A312" s="52" t="s">
        <v>2628</v>
      </c>
      <c r="B312" s="52"/>
      <c r="C312" s="52"/>
    </row>
    <row r="313" customFormat="false" ht="15.75" hidden="false" customHeight="false" outlineLevel="0" collapsed="false">
      <c r="A313" s="52" t="s">
        <v>2629</v>
      </c>
      <c r="B313" s="52"/>
      <c r="C313" s="52"/>
    </row>
    <row r="314" customFormat="false" ht="15.75" hidden="false" customHeight="false" outlineLevel="0" collapsed="false">
      <c r="A314" s="52" t="s">
        <v>2630</v>
      </c>
      <c r="B314" s="52"/>
      <c r="C314" s="52"/>
    </row>
    <row r="315" customFormat="false" ht="15.75" hidden="false" customHeight="false" outlineLevel="0" collapsed="false">
      <c r="A315" s="52"/>
      <c r="B315" s="52"/>
      <c r="C315" s="52"/>
    </row>
    <row r="316" customFormat="false" ht="15.75" hidden="false" customHeight="false" outlineLevel="0" collapsed="false">
      <c r="A316" s="52"/>
      <c r="B316" s="52"/>
      <c r="C316" s="52"/>
    </row>
    <row r="317" customFormat="false" ht="15.75" hidden="false" customHeight="false" outlineLevel="0" collapsed="false">
      <c r="A317" s="52"/>
      <c r="B317" s="52"/>
      <c r="C317" s="52"/>
    </row>
    <row r="318" customFormat="false" ht="15.75" hidden="false" customHeight="false" outlineLevel="0" collapsed="false">
      <c r="A318" s="52"/>
      <c r="B318" s="52"/>
      <c r="C318" s="52"/>
    </row>
    <row r="319" customFormat="false" ht="15.75" hidden="false" customHeight="false" outlineLevel="0" collapsed="false">
      <c r="A319" s="52"/>
      <c r="B319" s="52"/>
      <c r="C319" s="52"/>
    </row>
    <row r="320" customFormat="false" ht="15.75" hidden="false" customHeight="false" outlineLevel="0" collapsed="false">
      <c r="A320" s="52"/>
      <c r="B320" s="52"/>
      <c r="C320" s="52"/>
    </row>
    <row r="321" customFormat="false" ht="15.75" hidden="false" customHeight="false" outlineLevel="0" collapsed="false">
      <c r="A321" s="52"/>
      <c r="B321" s="52"/>
      <c r="C321" s="52"/>
    </row>
    <row r="322" customFormat="false" ht="15.75" hidden="false" customHeight="false" outlineLevel="0" collapsed="false">
      <c r="A322" s="52"/>
      <c r="B322" s="52"/>
      <c r="C322" s="52"/>
    </row>
    <row r="323" customFormat="false" ht="15.75" hidden="false" customHeight="false" outlineLevel="0" collapsed="false">
      <c r="A323" s="52"/>
      <c r="B323" s="52"/>
      <c r="C323" s="52"/>
    </row>
    <row r="324" customFormat="false" ht="15.75" hidden="false" customHeight="false" outlineLevel="0" collapsed="false">
      <c r="A324" s="52"/>
      <c r="B324" s="52"/>
      <c r="C324" s="52"/>
    </row>
    <row r="325" customFormat="false" ht="15.75" hidden="false" customHeight="false" outlineLevel="0" collapsed="false">
      <c r="A325" s="52"/>
      <c r="B325" s="52"/>
      <c r="C325" s="52"/>
    </row>
    <row r="326" customFormat="false" ht="15.75" hidden="false" customHeight="false" outlineLevel="0" collapsed="false">
      <c r="A326" s="52"/>
      <c r="B326" s="52"/>
      <c r="C326" s="52"/>
    </row>
    <row r="327" customFormat="false" ht="15.75" hidden="false" customHeight="false" outlineLevel="0" collapsed="false">
      <c r="A327" s="52"/>
      <c r="B327" s="52"/>
      <c r="C327" s="52"/>
    </row>
    <row r="328" customFormat="false" ht="15.75" hidden="false" customHeight="false" outlineLevel="0" collapsed="false">
      <c r="A328" s="52"/>
      <c r="B328" s="52"/>
      <c r="C328" s="52"/>
    </row>
    <row r="329" customFormat="false" ht="15.75" hidden="false" customHeight="false" outlineLevel="0" collapsed="false">
      <c r="A329" s="52"/>
      <c r="B329" s="52"/>
      <c r="C329" s="52"/>
    </row>
    <row r="330" customFormat="false" ht="15.75" hidden="false" customHeight="false" outlineLevel="0" collapsed="false">
      <c r="A330" s="52"/>
      <c r="B330" s="52"/>
      <c r="C330" s="52"/>
    </row>
    <row r="331" customFormat="false" ht="15.75" hidden="false" customHeight="false" outlineLevel="0" collapsed="false">
      <c r="A331" s="52"/>
      <c r="B331" s="52"/>
      <c r="C331" s="52"/>
    </row>
    <row r="332" customFormat="false" ht="15.75" hidden="false" customHeight="false" outlineLevel="0" collapsed="false">
      <c r="A332" s="52"/>
      <c r="B332" s="52"/>
      <c r="C332" s="52"/>
    </row>
    <row r="333" customFormat="false" ht="15.75" hidden="false" customHeight="false" outlineLevel="0" collapsed="false">
      <c r="A333" s="52"/>
      <c r="B333" s="52"/>
      <c r="C333" s="52"/>
    </row>
    <row r="334" customFormat="false" ht="15.75" hidden="false" customHeight="false" outlineLevel="0" collapsed="false">
      <c r="A334" s="52"/>
      <c r="B334" s="52"/>
      <c r="C334" s="52"/>
    </row>
    <row r="335" customFormat="false" ht="15.75" hidden="false" customHeight="false" outlineLevel="0" collapsed="false">
      <c r="A335" s="52"/>
      <c r="B335" s="52"/>
      <c r="C335" s="52"/>
    </row>
    <row r="336" customFormat="false" ht="15.75" hidden="false" customHeight="false" outlineLevel="0" collapsed="false">
      <c r="A336" s="52"/>
      <c r="B336" s="52"/>
      <c r="C336" s="52"/>
    </row>
    <row r="337" customFormat="false" ht="15.75" hidden="false" customHeight="false" outlineLevel="0" collapsed="false">
      <c r="A337" s="52"/>
      <c r="B337" s="52"/>
      <c r="C337" s="52"/>
    </row>
    <row r="338" customFormat="false" ht="15.75" hidden="false" customHeight="false" outlineLevel="0" collapsed="false">
      <c r="A338" s="52"/>
      <c r="B338" s="52"/>
      <c r="C338" s="52"/>
    </row>
    <row r="339" customFormat="false" ht="15.75" hidden="false" customHeight="false" outlineLevel="0" collapsed="false">
      <c r="A339" s="52"/>
      <c r="B339" s="52"/>
      <c r="C339" s="52"/>
    </row>
    <row r="340" customFormat="false" ht="15.75" hidden="false" customHeight="false" outlineLevel="0" collapsed="false">
      <c r="A340" s="52"/>
      <c r="B340" s="52"/>
      <c r="C340" s="52"/>
    </row>
    <row r="341" customFormat="false" ht="15.75" hidden="false" customHeight="false" outlineLevel="0" collapsed="false">
      <c r="A341" s="52"/>
      <c r="B341" s="52"/>
      <c r="C341" s="52"/>
    </row>
    <row r="342" customFormat="false" ht="15.75" hidden="false" customHeight="false" outlineLevel="0" collapsed="false">
      <c r="A342" s="52"/>
      <c r="B342" s="52"/>
      <c r="C342" s="52"/>
    </row>
    <row r="343" customFormat="false" ht="15.75" hidden="false" customHeight="false" outlineLevel="0" collapsed="false">
      <c r="A343" s="52"/>
      <c r="B343" s="52"/>
      <c r="C343" s="52"/>
    </row>
    <row r="344" customFormat="false" ht="15.75" hidden="false" customHeight="false" outlineLevel="0" collapsed="false">
      <c r="A344" s="52"/>
      <c r="B344" s="52"/>
      <c r="C344" s="52"/>
    </row>
    <row r="345" customFormat="false" ht="15.75" hidden="false" customHeight="false" outlineLevel="0" collapsed="false">
      <c r="A345" s="52"/>
      <c r="B345" s="52"/>
      <c r="C345" s="52"/>
    </row>
    <row r="346" customFormat="false" ht="15.75" hidden="false" customHeight="false" outlineLevel="0" collapsed="false">
      <c r="A346" s="52"/>
      <c r="B346" s="52"/>
      <c r="C346" s="52"/>
    </row>
    <row r="347" customFormat="false" ht="15.75" hidden="false" customHeight="false" outlineLevel="0" collapsed="false">
      <c r="A347" s="52"/>
      <c r="B347" s="52"/>
      <c r="C347" s="52"/>
    </row>
    <row r="348" customFormat="false" ht="15.75" hidden="false" customHeight="false" outlineLevel="0" collapsed="false">
      <c r="A348" s="52"/>
      <c r="B348" s="52"/>
      <c r="C348" s="52"/>
    </row>
    <row r="349" customFormat="false" ht="15.75" hidden="false" customHeight="false" outlineLevel="0" collapsed="false">
      <c r="A349" s="52"/>
      <c r="B349" s="52"/>
      <c r="C349" s="52"/>
    </row>
    <row r="350" customFormat="false" ht="15.75" hidden="false" customHeight="false" outlineLevel="0" collapsed="false">
      <c r="A350" s="52"/>
      <c r="B350" s="52"/>
      <c r="C350" s="52"/>
    </row>
    <row r="351" customFormat="false" ht="15.75" hidden="false" customHeight="false" outlineLevel="0" collapsed="false">
      <c r="A351" s="52"/>
      <c r="B351" s="52"/>
      <c r="C351" s="52"/>
    </row>
    <row r="352" customFormat="false" ht="15.75" hidden="false" customHeight="false" outlineLevel="0" collapsed="false">
      <c r="A352" s="52"/>
      <c r="B352" s="52"/>
      <c r="C352" s="52"/>
    </row>
    <row r="353" customFormat="false" ht="15.75" hidden="false" customHeight="false" outlineLevel="0" collapsed="false">
      <c r="A353" s="52"/>
      <c r="B353" s="52"/>
      <c r="C353" s="52"/>
    </row>
    <row r="354" customFormat="false" ht="15.75" hidden="false" customHeight="false" outlineLevel="0" collapsed="false">
      <c r="A354" s="52"/>
      <c r="B354" s="52"/>
      <c r="C354" s="52"/>
    </row>
    <row r="355" customFormat="false" ht="15.75" hidden="false" customHeight="false" outlineLevel="0" collapsed="false">
      <c r="A355" s="52"/>
      <c r="B355" s="52"/>
      <c r="C355" s="52"/>
    </row>
    <row r="356" customFormat="false" ht="15.75" hidden="false" customHeight="false" outlineLevel="0" collapsed="false">
      <c r="A356" s="52"/>
      <c r="B356" s="52"/>
      <c r="C356" s="52"/>
    </row>
    <row r="357" customFormat="false" ht="15.75" hidden="false" customHeight="false" outlineLevel="0" collapsed="false">
      <c r="A357" s="52"/>
      <c r="B357" s="52"/>
      <c r="C357" s="52"/>
    </row>
    <row r="358" customFormat="false" ht="15.75" hidden="false" customHeight="false" outlineLevel="0" collapsed="false">
      <c r="A358" s="52"/>
      <c r="B358" s="52"/>
      <c r="C358" s="52"/>
    </row>
    <row r="359" customFormat="false" ht="15.75" hidden="false" customHeight="false" outlineLevel="0" collapsed="false">
      <c r="A359" s="52"/>
      <c r="B359" s="52"/>
      <c r="C359" s="52"/>
    </row>
    <row r="360" customFormat="false" ht="15.75" hidden="false" customHeight="false" outlineLevel="0" collapsed="false">
      <c r="A360" s="52"/>
      <c r="B360" s="52"/>
      <c r="C360" s="52"/>
    </row>
    <row r="361" customFormat="false" ht="15.75" hidden="false" customHeight="false" outlineLevel="0" collapsed="false">
      <c r="A361" s="52"/>
      <c r="B361" s="52"/>
      <c r="C361" s="52"/>
    </row>
    <row r="362" customFormat="false" ht="15.75" hidden="false" customHeight="false" outlineLevel="0" collapsed="false">
      <c r="A362" s="52"/>
      <c r="B362" s="52"/>
      <c r="C362" s="52"/>
    </row>
    <row r="363" customFormat="false" ht="15.75" hidden="false" customHeight="false" outlineLevel="0" collapsed="false">
      <c r="A363" s="52"/>
      <c r="B363" s="52"/>
      <c r="C363" s="52"/>
    </row>
    <row r="364" customFormat="false" ht="15.75" hidden="false" customHeight="false" outlineLevel="0" collapsed="false">
      <c r="A364" s="52"/>
      <c r="B364" s="52"/>
      <c r="C364" s="52"/>
    </row>
    <row r="365" customFormat="false" ht="15.75" hidden="false" customHeight="false" outlineLevel="0" collapsed="false">
      <c r="A365" s="52"/>
      <c r="B365" s="52"/>
      <c r="C365" s="52"/>
    </row>
    <row r="366" customFormat="false" ht="15.75" hidden="false" customHeight="false" outlineLevel="0" collapsed="false">
      <c r="A366" s="52"/>
      <c r="B366" s="52"/>
      <c r="C366" s="52"/>
    </row>
    <row r="367" customFormat="false" ht="15.75" hidden="false" customHeight="false" outlineLevel="0" collapsed="false">
      <c r="A367" s="52"/>
      <c r="B367" s="52"/>
      <c r="C367" s="52"/>
    </row>
    <row r="368" customFormat="false" ht="15.75" hidden="false" customHeight="false" outlineLevel="0" collapsed="false">
      <c r="A368" s="52"/>
      <c r="B368" s="52"/>
      <c r="C368" s="52"/>
    </row>
    <row r="369" customFormat="false" ht="15.75" hidden="false" customHeight="false" outlineLevel="0" collapsed="false">
      <c r="A369" s="52"/>
      <c r="B369" s="52"/>
      <c r="C369" s="52"/>
    </row>
    <row r="370" customFormat="false" ht="15.75" hidden="false" customHeight="false" outlineLevel="0" collapsed="false">
      <c r="A370" s="52"/>
      <c r="B370" s="52"/>
      <c r="C370" s="52"/>
    </row>
    <row r="371" customFormat="false" ht="15.75" hidden="false" customHeight="false" outlineLevel="0" collapsed="false">
      <c r="A371" s="52"/>
      <c r="B371" s="52"/>
      <c r="C371" s="52"/>
    </row>
    <row r="372" customFormat="false" ht="15.75" hidden="false" customHeight="false" outlineLevel="0" collapsed="false">
      <c r="A372" s="52"/>
      <c r="B372" s="52"/>
      <c r="C372" s="52"/>
    </row>
    <row r="373" customFormat="false" ht="15.75" hidden="false" customHeight="false" outlineLevel="0" collapsed="false">
      <c r="A373" s="52"/>
      <c r="B373" s="52"/>
      <c r="C373" s="52"/>
    </row>
    <row r="374" customFormat="false" ht="15.75" hidden="false" customHeight="false" outlineLevel="0" collapsed="false">
      <c r="A374" s="52"/>
      <c r="B374" s="52"/>
      <c r="C374" s="52"/>
    </row>
    <row r="375" customFormat="false" ht="15.75" hidden="false" customHeight="false" outlineLevel="0" collapsed="false">
      <c r="A375" s="52"/>
      <c r="B375" s="52"/>
      <c r="C375" s="52"/>
    </row>
    <row r="376" customFormat="false" ht="15.75" hidden="false" customHeight="false" outlineLevel="0" collapsed="false">
      <c r="A376" s="52"/>
      <c r="B376" s="52"/>
      <c r="C376" s="52"/>
    </row>
    <row r="377" customFormat="false" ht="15.75" hidden="false" customHeight="false" outlineLevel="0" collapsed="false">
      <c r="A377" s="52"/>
      <c r="B377" s="52"/>
      <c r="C377" s="52"/>
    </row>
    <row r="378" customFormat="false" ht="15.75" hidden="false" customHeight="false" outlineLevel="0" collapsed="false">
      <c r="A378" s="52"/>
      <c r="B378" s="52"/>
      <c r="C378" s="52"/>
    </row>
    <row r="379" customFormat="false" ht="15.75" hidden="false" customHeight="false" outlineLevel="0" collapsed="false">
      <c r="A379" s="52"/>
      <c r="B379" s="52"/>
      <c r="C379" s="52"/>
    </row>
    <row r="380" customFormat="false" ht="15.75" hidden="false" customHeight="false" outlineLevel="0" collapsed="false">
      <c r="A380" s="52"/>
      <c r="B380" s="52"/>
      <c r="C380" s="52"/>
    </row>
    <row r="381" customFormat="false" ht="15.75" hidden="false" customHeight="false" outlineLevel="0" collapsed="false">
      <c r="A381" s="52"/>
      <c r="B381" s="52"/>
      <c r="C381" s="52"/>
    </row>
    <row r="382" customFormat="false" ht="15.75" hidden="false" customHeight="false" outlineLevel="0" collapsed="false">
      <c r="A382" s="52"/>
      <c r="B382" s="52"/>
      <c r="C382" s="52"/>
    </row>
    <row r="383" customFormat="false" ht="15.75" hidden="false" customHeight="false" outlineLevel="0" collapsed="false">
      <c r="A383" s="52"/>
      <c r="B383" s="52"/>
      <c r="C383" s="52"/>
    </row>
    <row r="384" customFormat="false" ht="15.75" hidden="false" customHeight="false" outlineLevel="0" collapsed="false">
      <c r="A384" s="52"/>
      <c r="B384" s="52"/>
      <c r="C384" s="52"/>
    </row>
    <row r="385" customFormat="false" ht="15.75" hidden="false" customHeight="false" outlineLevel="0" collapsed="false">
      <c r="A385" s="52"/>
      <c r="B385" s="52"/>
      <c r="C385" s="52"/>
    </row>
    <row r="386" customFormat="false" ht="15.75" hidden="false" customHeight="false" outlineLevel="0" collapsed="false">
      <c r="A386" s="52"/>
      <c r="B386" s="52"/>
      <c r="C386" s="52"/>
    </row>
    <row r="387" customFormat="false" ht="15.75" hidden="false" customHeight="false" outlineLevel="0" collapsed="false">
      <c r="A387" s="52"/>
      <c r="B387" s="52"/>
      <c r="C387" s="52"/>
    </row>
    <row r="388" customFormat="false" ht="15.75" hidden="false" customHeight="false" outlineLevel="0" collapsed="false">
      <c r="A388" s="52"/>
      <c r="B388" s="52"/>
      <c r="C388" s="52"/>
    </row>
    <row r="389" customFormat="false" ht="15.75" hidden="false" customHeight="false" outlineLevel="0" collapsed="false">
      <c r="A389" s="52"/>
      <c r="B389" s="52"/>
      <c r="C389" s="52"/>
    </row>
    <row r="390" customFormat="false" ht="15.75" hidden="false" customHeight="false" outlineLevel="0" collapsed="false">
      <c r="A390" s="52"/>
      <c r="B390" s="52"/>
      <c r="C390" s="52"/>
    </row>
    <row r="391" customFormat="false" ht="15.75" hidden="false" customHeight="false" outlineLevel="0" collapsed="false">
      <c r="A391" s="52"/>
      <c r="B391" s="52"/>
      <c r="C391" s="52"/>
    </row>
    <row r="392" customFormat="false" ht="15.75" hidden="false" customHeight="false" outlineLevel="0" collapsed="false">
      <c r="A392" s="52"/>
      <c r="B392" s="52"/>
      <c r="C392" s="52"/>
    </row>
    <row r="393" customFormat="false" ht="15.75" hidden="false" customHeight="false" outlineLevel="0" collapsed="false">
      <c r="A393" s="52"/>
      <c r="B393" s="52"/>
      <c r="C393" s="52"/>
    </row>
    <row r="394" customFormat="false" ht="15.75" hidden="false" customHeight="false" outlineLevel="0" collapsed="false">
      <c r="A394" s="52"/>
      <c r="B394" s="52"/>
      <c r="C394" s="52"/>
    </row>
    <row r="395" customFormat="false" ht="15.75" hidden="false" customHeight="false" outlineLevel="0" collapsed="false">
      <c r="A395" s="52"/>
      <c r="B395" s="52"/>
      <c r="C395" s="52"/>
    </row>
    <row r="396" customFormat="false" ht="15.75" hidden="false" customHeight="false" outlineLevel="0" collapsed="false">
      <c r="A396" s="52"/>
      <c r="B396" s="52"/>
      <c r="C396" s="52"/>
    </row>
    <row r="397" customFormat="false" ht="15.75" hidden="false" customHeight="false" outlineLevel="0" collapsed="false">
      <c r="A397" s="52"/>
      <c r="B397" s="52"/>
      <c r="C397" s="52"/>
    </row>
    <row r="398" customFormat="false" ht="15.75" hidden="false" customHeight="false" outlineLevel="0" collapsed="false">
      <c r="A398" s="52"/>
      <c r="B398" s="52"/>
      <c r="C398" s="52"/>
    </row>
    <row r="399" customFormat="false" ht="15.75" hidden="false" customHeight="false" outlineLevel="0" collapsed="false">
      <c r="A399" s="52"/>
      <c r="B399" s="52"/>
      <c r="C399" s="52"/>
    </row>
    <row r="400" customFormat="false" ht="15.75" hidden="false" customHeight="false" outlineLevel="0" collapsed="false">
      <c r="A400" s="52"/>
      <c r="B400" s="52"/>
      <c r="C400" s="52"/>
    </row>
    <row r="401" customFormat="false" ht="15.75" hidden="false" customHeight="false" outlineLevel="0" collapsed="false">
      <c r="A401" s="52"/>
      <c r="B401" s="52"/>
      <c r="C401" s="52"/>
    </row>
    <row r="402" customFormat="false" ht="15.75" hidden="false" customHeight="false" outlineLevel="0" collapsed="false">
      <c r="A402" s="52"/>
      <c r="B402" s="52"/>
      <c r="C402" s="52"/>
    </row>
    <row r="403" customFormat="false" ht="15.75" hidden="false" customHeight="false" outlineLevel="0" collapsed="false">
      <c r="A403" s="52"/>
      <c r="B403" s="52"/>
      <c r="C403" s="52"/>
    </row>
    <row r="404" customFormat="false" ht="15.75" hidden="false" customHeight="false" outlineLevel="0" collapsed="false">
      <c r="A404" s="52"/>
      <c r="B404" s="52"/>
      <c r="C404" s="52"/>
    </row>
    <row r="405" customFormat="false" ht="15.75" hidden="false" customHeight="false" outlineLevel="0" collapsed="false">
      <c r="A405" s="52"/>
      <c r="B405" s="52"/>
      <c r="C405" s="52"/>
    </row>
    <row r="406" customFormat="false" ht="15.75" hidden="false" customHeight="false" outlineLevel="0" collapsed="false">
      <c r="A406" s="52"/>
      <c r="B406" s="52"/>
      <c r="C406" s="52"/>
    </row>
    <row r="407" customFormat="false" ht="15.75" hidden="false" customHeight="false" outlineLevel="0" collapsed="false">
      <c r="A407" s="52"/>
      <c r="B407" s="52"/>
      <c r="C407" s="52"/>
    </row>
    <row r="408" customFormat="false" ht="15.75" hidden="false" customHeight="false" outlineLevel="0" collapsed="false">
      <c r="A408" s="52"/>
      <c r="B408" s="52"/>
      <c r="C408" s="52"/>
    </row>
    <row r="409" customFormat="false" ht="15.75" hidden="false" customHeight="false" outlineLevel="0" collapsed="false">
      <c r="A409" s="52"/>
      <c r="B409" s="52"/>
      <c r="C409" s="52"/>
    </row>
    <row r="410" customFormat="false" ht="15.75" hidden="false" customHeight="false" outlineLevel="0" collapsed="false">
      <c r="A410" s="52"/>
      <c r="B410" s="52"/>
      <c r="C410" s="52"/>
    </row>
    <row r="411" customFormat="false" ht="15.75" hidden="false" customHeight="false" outlineLevel="0" collapsed="false">
      <c r="A411" s="52"/>
      <c r="B411" s="52"/>
      <c r="C411" s="52"/>
    </row>
    <row r="412" customFormat="false" ht="15.75" hidden="false" customHeight="false" outlineLevel="0" collapsed="false">
      <c r="A412" s="52"/>
      <c r="B412" s="52"/>
      <c r="C412" s="52"/>
    </row>
    <row r="413" customFormat="false" ht="15.75" hidden="false" customHeight="false" outlineLevel="0" collapsed="false">
      <c r="A413" s="52"/>
      <c r="B413" s="52"/>
      <c r="C413" s="52"/>
    </row>
    <row r="414" customFormat="false" ht="15.75" hidden="false" customHeight="false" outlineLevel="0" collapsed="false">
      <c r="A414" s="52"/>
      <c r="B414" s="52"/>
      <c r="C414" s="52"/>
    </row>
    <row r="415" customFormat="false" ht="15.75" hidden="false" customHeight="false" outlineLevel="0" collapsed="false">
      <c r="A415" s="52"/>
      <c r="B415" s="52"/>
      <c r="C415" s="52"/>
    </row>
    <row r="416" customFormat="false" ht="15.75" hidden="false" customHeight="false" outlineLevel="0" collapsed="false">
      <c r="A416" s="52"/>
      <c r="B416" s="52"/>
      <c r="C416" s="52"/>
    </row>
    <row r="417" customFormat="false" ht="15.75" hidden="false" customHeight="false" outlineLevel="0" collapsed="false">
      <c r="A417" s="52"/>
      <c r="B417" s="52"/>
      <c r="C417" s="52"/>
    </row>
    <row r="418" customFormat="false" ht="15.75" hidden="false" customHeight="false" outlineLevel="0" collapsed="false">
      <c r="A418" s="52"/>
      <c r="B418" s="52"/>
      <c r="C418" s="52"/>
    </row>
    <row r="419" customFormat="false" ht="15.75" hidden="false" customHeight="false" outlineLevel="0" collapsed="false">
      <c r="A419" s="52"/>
      <c r="B419" s="52"/>
      <c r="C419" s="52"/>
    </row>
    <row r="420" customFormat="false" ht="15.75" hidden="false" customHeight="false" outlineLevel="0" collapsed="false">
      <c r="A420" s="52"/>
      <c r="B420" s="52"/>
      <c r="C420" s="52"/>
    </row>
    <row r="421" customFormat="false" ht="15.75" hidden="false" customHeight="false" outlineLevel="0" collapsed="false">
      <c r="A421" s="52"/>
      <c r="B421" s="52"/>
      <c r="C421" s="52"/>
    </row>
    <row r="422" customFormat="false" ht="15.75" hidden="false" customHeight="false" outlineLevel="0" collapsed="false">
      <c r="A422" s="52"/>
      <c r="B422" s="52"/>
      <c r="C422" s="52"/>
    </row>
    <row r="423" customFormat="false" ht="15.75" hidden="false" customHeight="false" outlineLevel="0" collapsed="false">
      <c r="A423" s="52"/>
      <c r="B423" s="52"/>
      <c r="C423" s="52"/>
    </row>
    <row r="424" customFormat="false" ht="15.75" hidden="false" customHeight="false" outlineLevel="0" collapsed="false">
      <c r="A424" s="52"/>
      <c r="B424" s="52"/>
      <c r="C424" s="52"/>
    </row>
    <row r="425" customFormat="false" ht="15.75" hidden="false" customHeight="false" outlineLevel="0" collapsed="false">
      <c r="A425" s="52"/>
      <c r="B425" s="52"/>
      <c r="C425" s="52"/>
    </row>
    <row r="426" customFormat="false" ht="15.75" hidden="false" customHeight="false" outlineLevel="0" collapsed="false">
      <c r="A426" s="52"/>
      <c r="B426" s="52"/>
      <c r="C426" s="52"/>
    </row>
    <row r="427" customFormat="false" ht="15.75" hidden="false" customHeight="false" outlineLevel="0" collapsed="false">
      <c r="A427" s="52"/>
      <c r="B427" s="52"/>
      <c r="C427" s="52"/>
    </row>
    <row r="428" customFormat="false" ht="15.75" hidden="false" customHeight="false" outlineLevel="0" collapsed="false">
      <c r="A428" s="52"/>
      <c r="B428" s="52"/>
      <c r="C428" s="52"/>
    </row>
    <row r="429" customFormat="false" ht="15.75" hidden="false" customHeight="false" outlineLevel="0" collapsed="false">
      <c r="A429" s="52"/>
      <c r="B429" s="52"/>
      <c r="C429" s="52"/>
    </row>
    <row r="430" customFormat="false" ht="15.75" hidden="false" customHeight="false" outlineLevel="0" collapsed="false">
      <c r="A430" s="52"/>
      <c r="B430" s="52"/>
      <c r="C430" s="52"/>
    </row>
    <row r="431" customFormat="false" ht="15.75" hidden="false" customHeight="false" outlineLevel="0" collapsed="false">
      <c r="A431" s="52"/>
      <c r="B431" s="52"/>
      <c r="C431" s="52"/>
    </row>
    <row r="432" customFormat="false" ht="15.75" hidden="false" customHeight="false" outlineLevel="0" collapsed="false">
      <c r="A432" s="52"/>
      <c r="B432" s="52"/>
      <c r="C432" s="52"/>
    </row>
    <row r="433" customFormat="false" ht="15.75" hidden="false" customHeight="false" outlineLevel="0" collapsed="false">
      <c r="A433" s="52"/>
      <c r="B433" s="52"/>
      <c r="C433" s="52"/>
    </row>
    <row r="434" customFormat="false" ht="15.75" hidden="false" customHeight="false" outlineLevel="0" collapsed="false">
      <c r="A434" s="52"/>
      <c r="B434" s="52"/>
      <c r="C434" s="52"/>
    </row>
    <row r="435" customFormat="false" ht="15.75" hidden="false" customHeight="false" outlineLevel="0" collapsed="false">
      <c r="A435" s="52"/>
      <c r="B435" s="52"/>
      <c r="C435" s="52"/>
    </row>
    <row r="436" customFormat="false" ht="15.75" hidden="false" customHeight="false" outlineLevel="0" collapsed="false">
      <c r="A436" s="52"/>
      <c r="B436" s="52"/>
      <c r="C436" s="52"/>
    </row>
    <row r="437" customFormat="false" ht="15.75" hidden="false" customHeight="false" outlineLevel="0" collapsed="false">
      <c r="A437" s="52"/>
      <c r="B437" s="52"/>
      <c r="C437" s="52"/>
    </row>
    <row r="438" customFormat="false" ht="15.75" hidden="false" customHeight="false" outlineLevel="0" collapsed="false">
      <c r="A438" s="52"/>
      <c r="B438" s="52"/>
      <c r="C438" s="52"/>
    </row>
    <row r="439" customFormat="false" ht="15.75" hidden="false" customHeight="false" outlineLevel="0" collapsed="false">
      <c r="A439" s="52"/>
      <c r="B439" s="52"/>
      <c r="C439" s="52"/>
    </row>
    <row r="440" customFormat="false" ht="15.75" hidden="false" customHeight="false" outlineLevel="0" collapsed="false">
      <c r="A440" s="52"/>
      <c r="B440" s="52"/>
      <c r="C440" s="52"/>
    </row>
    <row r="441" customFormat="false" ht="15.75" hidden="false" customHeight="false" outlineLevel="0" collapsed="false">
      <c r="A441" s="52"/>
      <c r="B441" s="52"/>
      <c r="C441" s="52"/>
    </row>
    <row r="442" customFormat="false" ht="15.75" hidden="false" customHeight="false" outlineLevel="0" collapsed="false">
      <c r="A442" s="52"/>
      <c r="B442" s="52"/>
      <c r="C442" s="52"/>
    </row>
    <row r="443" customFormat="false" ht="15.75" hidden="false" customHeight="false" outlineLevel="0" collapsed="false">
      <c r="A443" s="52"/>
      <c r="B443" s="52"/>
      <c r="C443" s="52"/>
    </row>
    <row r="444" customFormat="false" ht="15.75" hidden="false" customHeight="false" outlineLevel="0" collapsed="false">
      <c r="A444" s="52"/>
      <c r="B444" s="52"/>
      <c r="C444" s="52"/>
    </row>
    <row r="445" customFormat="false" ht="15.75" hidden="false" customHeight="false" outlineLevel="0" collapsed="false">
      <c r="A445" s="52"/>
      <c r="B445" s="52"/>
      <c r="C445" s="52"/>
    </row>
    <row r="446" customFormat="false" ht="15.75" hidden="false" customHeight="false" outlineLevel="0" collapsed="false">
      <c r="A446" s="52"/>
      <c r="B446" s="52"/>
      <c r="C446" s="52"/>
    </row>
    <row r="447" customFormat="false" ht="15.75" hidden="false" customHeight="false" outlineLevel="0" collapsed="false">
      <c r="A447" s="52"/>
      <c r="B447" s="52"/>
      <c r="C447" s="52"/>
    </row>
    <row r="448" customFormat="false" ht="15.75" hidden="false" customHeight="false" outlineLevel="0" collapsed="false">
      <c r="A448" s="52"/>
      <c r="B448" s="52"/>
      <c r="C448" s="52"/>
    </row>
    <row r="449" customFormat="false" ht="15.75" hidden="false" customHeight="false" outlineLevel="0" collapsed="false">
      <c r="A449" s="52"/>
      <c r="B449" s="52"/>
      <c r="C449" s="52"/>
    </row>
    <row r="450" customFormat="false" ht="15.75" hidden="false" customHeight="false" outlineLevel="0" collapsed="false">
      <c r="A450" s="52"/>
      <c r="B450" s="52"/>
      <c r="C450" s="52"/>
    </row>
    <row r="451" customFormat="false" ht="15.75" hidden="false" customHeight="false" outlineLevel="0" collapsed="false">
      <c r="A451" s="52"/>
      <c r="B451" s="52"/>
      <c r="C451" s="52"/>
    </row>
    <row r="452" customFormat="false" ht="15.75" hidden="false" customHeight="false" outlineLevel="0" collapsed="false">
      <c r="A452" s="52"/>
      <c r="B452" s="52"/>
      <c r="C452" s="52"/>
    </row>
    <row r="453" customFormat="false" ht="15.75" hidden="false" customHeight="false" outlineLevel="0" collapsed="false">
      <c r="A453" s="52"/>
      <c r="B453" s="52"/>
      <c r="C453" s="52"/>
    </row>
    <row r="454" customFormat="false" ht="15.75" hidden="false" customHeight="false" outlineLevel="0" collapsed="false">
      <c r="A454" s="52"/>
      <c r="B454" s="52"/>
      <c r="C454" s="52"/>
    </row>
    <row r="455" customFormat="false" ht="15.75" hidden="false" customHeight="false" outlineLevel="0" collapsed="false">
      <c r="A455" s="52"/>
      <c r="B455" s="52"/>
      <c r="C455" s="52"/>
    </row>
    <row r="456" customFormat="false" ht="15.75" hidden="false" customHeight="false" outlineLevel="0" collapsed="false">
      <c r="A456" s="52"/>
      <c r="B456" s="52"/>
      <c r="C456" s="52"/>
    </row>
    <row r="457" customFormat="false" ht="15.75" hidden="false" customHeight="false" outlineLevel="0" collapsed="false">
      <c r="A457" s="52"/>
      <c r="B457" s="52"/>
      <c r="C457" s="52"/>
    </row>
    <row r="458" customFormat="false" ht="15.75" hidden="false" customHeight="false" outlineLevel="0" collapsed="false">
      <c r="A458" s="52"/>
      <c r="B458" s="52"/>
      <c r="C458" s="52"/>
    </row>
    <row r="459" customFormat="false" ht="15.75" hidden="false" customHeight="false" outlineLevel="0" collapsed="false">
      <c r="A459" s="52"/>
      <c r="B459" s="52"/>
      <c r="C459" s="52"/>
    </row>
    <row r="460" customFormat="false" ht="15.75" hidden="false" customHeight="false" outlineLevel="0" collapsed="false">
      <c r="A460" s="52"/>
      <c r="B460" s="52"/>
      <c r="C460" s="52"/>
    </row>
    <row r="461" customFormat="false" ht="15.75" hidden="false" customHeight="false" outlineLevel="0" collapsed="false">
      <c r="A461" s="52"/>
      <c r="B461" s="52"/>
      <c r="C461" s="52"/>
    </row>
    <row r="462" customFormat="false" ht="15.75" hidden="false" customHeight="false" outlineLevel="0" collapsed="false">
      <c r="A462" s="52"/>
      <c r="B462" s="52"/>
      <c r="C462" s="52"/>
    </row>
    <row r="463" customFormat="false" ht="15.75" hidden="false" customHeight="false" outlineLevel="0" collapsed="false">
      <c r="A463" s="52"/>
      <c r="B463" s="52"/>
      <c r="C463" s="52"/>
    </row>
    <row r="464" customFormat="false" ht="15.75" hidden="false" customHeight="false" outlineLevel="0" collapsed="false">
      <c r="A464" s="52"/>
      <c r="B464" s="52"/>
      <c r="C464" s="52"/>
    </row>
    <row r="465" customFormat="false" ht="15.75" hidden="false" customHeight="false" outlineLevel="0" collapsed="false">
      <c r="A465" s="52"/>
      <c r="B465" s="52"/>
      <c r="C465" s="52"/>
    </row>
    <row r="466" customFormat="false" ht="15.75" hidden="false" customHeight="false" outlineLevel="0" collapsed="false">
      <c r="A466" s="52"/>
      <c r="B466" s="52"/>
      <c r="C466" s="52"/>
    </row>
    <row r="467" customFormat="false" ht="15.75" hidden="false" customHeight="false" outlineLevel="0" collapsed="false">
      <c r="A467" s="52"/>
      <c r="B467" s="52"/>
      <c r="C467" s="52"/>
    </row>
    <row r="468" customFormat="false" ht="15.75" hidden="false" customHeight="false" outlineLevel="0" collapsed="false">
      <c r="A468" s="52"/>
      <c r="B468" s="52"/>
      <c r="C468" s="52"/>
    </row>
    <row r="469" customFormat="false" ht="15.75" hidden="false" customHeight="false" outlineLevel="0" collapsed="false">
      <c r="A469" s="52"/>
      <c r="B469" s="52"/>
      <c r="C469" s="52"/>
    </row>
    <row r="470" customFormat="false" ht="15.75" hidden="false" customHeight="false" outlineLevel="0" collapsed="false">
      <c r="A470" s="52"/>
      <c r="B470" s="52"/>
      <c r="C470" s="52"/>
    </row>
    <row r="471" customFormat="false" ht="15.75" hidden="false" customHeight="false" outlineLevel="0" collapsed="false">
      <c r="A471" s="52"/>
      <c r="B471" s="52"/>
      <c r="C471" s="52"/>
    </row>
    <row r="472" customFormat="false" ht="15.75" hidden="false" customHeight="false" outlineLevel="0" collapsed="false">
      <c r="A472" s="52"/>
      <c r="B472" s="52"/>
      <c r="C472" s="52"/>
    </row>
    <row r="473" customFormat="false" ht="15.75" hidden="false" customHeight="false" outlineLevel="0" collapsed="false">
      <c r="A473" s="52"/>
      <c r="B473" s="52"/>
      <c r="C473" s="52"/>
    </row>
    <row r="474" customFormat="false" ht="15.75" hidden="false" customHeight="false" outlineLevel="0" collapsed="false">
      <c r="A474" s="52"/>
      <c r="B474" s="52"/>
      <c r="C474" s="52"/>
    </row>
    <row r="475" customFormat="false" ht="15.75" hidden="false" customHeight="false" outlineLevel="0" collapsed="false">
      <c r="A475" s="52"/>
      <c r="B475" s="52"/>
      <c r="C475" s="52"/>
    </row>
    <row r="476" customFormat="false" ht="15.75" hidden="false" customHeight="false" outlineLevel="0" collapsed="false">
      <c r="A476" s="52"/>
      <c r="B476" s="52"/>
      <c r="C476" s="52"/>
    </row>
    <row r="477" customFormat="false" ht="15.75" hidden="false" customHeight="false" outlineLevel="0" collapsed="false">
      <c r="A477" s="52"/>
      <c r="B477" s="52"/>
      <c r="C477" s="52"/>
    </row>
    <row r="478" customFormat="false" ht="15.75" hidden="false" customHeight="false" outlineLevel="0" collapsed="false">
      <c r="A478" s="52"/>
      <c r="B478" s="52"/>
      <c r="C478" s="52"/>
    </row>
    <row r="479" customFormat="false" ht="15.75" hidden="false" customHeight="false" outlineLevel="0" collapsed="false">
      <c r="A479" s="52"/>
      <c r="B479" s="52"/>
      <c r="C479" s="52"/>
    </row>
    <row r="480" customFormat="false" ht="15.75" hidden="false" customHeight="false" outlineLevel="0" collapsed="false">
      <c r="A480" s="52"/>
      <c r="B480" s="52"/>
      <c r="C480" s="52"/>
    </row>
    <row r="481" customFormat="false" ht="15.75" hidden="false" customHeight="false" outlineLevel="0" collapsed="false">
      <c r="A481" s="52"/>
      <c r="B481" s="52"/>
      <c r="C481" s="52"/>
    </row>
    <row r="482" customFormat="false" ht="15.75" hidden="false" customHeight="false" outlineLevel="0" collapsed="false">
      <c r="A482" s="52"/>
      <c r="B482" s="52"/>
      <c r="C482" s="52"/>
    </row>
    <row r="483" customFormat="false" ht="15.75" hidden="false" customHeight="false" outlineLevel="0" collapsed="false">
      <c r="A483" s="52"/>
      <c r="B483" s="52"/>
      <c r="C483" s="52"/>
    </row>
    <row r="484" customFormat="false" ht="15.75" hidden="false" customHeight="false" outlineLevel="0" collapsed="false">
      <c r="A484" s="52"/>
      <c r="B484" s="52"/>
      <c r="C484" s="52"/>
    </row>
    <row r="485" customFormat="false" ht="15.75" hidden="false" customHeight="false" outlineLevel="0" collapsed="false">
      <c r="A485" s="52"/>
      <c r="B485" s="52"/>
      <c r="C485" s="52"/>
    </row>
    <row r="486" customFormat="false" ht="15.75" hidden="false" customHeight="false" outlineLevel="0" collapsed="false">
      <c r="A486" s="52"/>
      <c r="B486" s="52"/>
      <c r="C486" s="52"/>
    </row>
    <row r="487" customFormat="false" ht="15.75" hidden="false" customHeight="false" outlineLevel="0" collapsed="false">
      <c r="A487" s="52"/>
      <c r="B487" s="52"/>
      <c r="C487" s="52"/>
    </row>
    <row r="488" customFormat="false" ht="15.75" hidden="false" customHeight="false" outlineLevel="0" collapsed="false">
      <c r="A488" s="52"/>
      <c r="B488" s="52"/>
      <c r="C488" s="52"/>
    </row>
    <row r="489" customFormat="false" ht="15.75" hidden="false" customHeight="false" outlineLevel="0" collapsed="false">
      <c r="A489" s="52"/>
      <c r="B489" s="52"/>
      <c r="C489" s="52"/>
    </row>
    <row r="490" customFormat="false" ht="15.75" hidden="false" customHeight="false" outlineLevel="0" collapsed="false">
      <c r="A490" s="52"/>
      <c r="B490" s="52"/>
      <c r="C490" s="52"/>
    </row>
    <row r="491" customFormat="false" ht="15.75" hidden="false" customHeight="false" outlineLevel="0" collapsed="false">
      <c r="A491" s="52"/>
      <c r="B491" s="52"/>
      <c r="C491" s="52"/>
    </row>
    <row r="492" customFormat="false" ht="15.75" hidden="false" customHeight="false" outlineLevel="0" collapsed="false">
      <c r="A492" s="52"/>
      <c r="B492" s="52"/>
      <c r="C492" s="52"/>
    </row>
    <row r="493" customFormat="false" ht="15.75" hidden="false" customHeight="false" outlineLevel="0" collapsed="false">
      <c r="A493" s="52"/>
      <c r="B493" s="52"/>
      <c r="C493" s="52"/>
    </row>
    <row r="494" customFormat="false" ht="15.75" hidden="false" customHeight="false" outlineLevel="0" collapsed="false">
      <c r="A494" s="52"/>
      <c r="B494" s="52"/>
      <c r="C494" s="52"/>
    </row>
    <row r="495" customFormat="false" ht="15.75" hidden="false" customHeight="false" outlineLevel="0" collapsed="false">
      <c r="A495" s="52"/>
      <c r="B495" s="52"/>
      <c r="C495" s="52"/>
    </row>
    <row r="496" customFormat="false" ht="15.75" hidden="false" customHeight="false" outlineLevel="0" collapsed="false">
      <c r="A496" s="52"/>
      <c r="B496" s="52"/>
      <c r="C496" s="52"/>
    </row>
    <row r="497" customFormat="false" ht="15.75" hidden="false" customHeight="false" outlineLevel="0" collapsed="false">
      <c r="A497" s="52"/>
      <c r="B497" s="52"/>
      <c r="C497" s="52"/>
    </row>
    <row r="498" customFormat="false" ht="15.75" hidden="false" customHeight="false" outlineLevel="0" collapsed="false">
      <c r="A498" s="52"/>
      <c r="B498" s="52"/>
      <c r="C498" s="52"/>
    </row>
    <row r="499" customFormat="false" ht="15.75" hidden="false" customHeight="false" outlineLevel="0" collapsed="false">
      <c r="A499" s="52"/>
      <c r="B499" s="52"/>
      <c r="C499" s="52"/>
    </row>
    <row r="500" customFormat="false" ht="15.75" hidden="false" customHeight="false" outlineLevel="0" collapsed="false">
      <c r="A500" s="52"/>
      <c r="B500" s="52"/>
      <c r="C500" s="52"/>
    </row>
    <row r="501" customFormat="false" ht="15.75" hidden="false" customHeight="false" outlineLevel="0" collapsed="false">
      <c r="A501" s="52"/>
      <c r="B501" s="52"/>
      <c r="C501" s="52"/>
    </row>
    <row r="502" customFormat="false" ht="15.75" hidden="false" customHeight="false" outlineLevel="0" collapsed="false">
      <c r="A502" s="52"/>
      <c r="B502" s="52"/>
      <c r="C502" s="52"/>
    </row>
    <row r="503" customFormat="false" ht="15.75" hidden="false" customHeight="false" outlineLevel="0" collapsed="false">
      <c r="A503" s="52"/>
      <c r="B503" s="52"/>
      <c r="C503" s="52"/>
    </row>
    <row r="504" customFormat="false" ht="15.75" hidden="false" customHeight="false" outlineLevel="0" collapsed="false">
      <c r="A504" s="52"/>
      <c r="B504" s="52"/>
      <c r="C504" s="52"/>
    </row>
    <row r="505" customFormat="false" ht="15.75" hidden="false" customHeight="false" outlineLevel="0" collapsed="false">
      <c r="A505" s="52"/>
      <c r="B505" s="52"/>
      <c r="C505" s="52"/>
    </row>
    <row r="506" customFormat="false" ht="15.75" hidden="false" customHeight="false" outlineLevel="0" collapsed="false">
      <c r="A506" s="52"/>
      <c r="B506" s="52"/>
      <c r="C506" s="52"/>
    </row>
    <row r="507" customFormat="false" ht="15.75" hidden="false" customHeight="false" outlineLevel="0" collapsed="false">
      <c r="A507" s="52"/>
      <c r="B507" s="52"/>
      <c r="C507" s="52"/>
    </row>
    <row r="508" customFormat="false" ht="15.75" hidden="false" customHeight="false" outlineLevel="0" collapsed="false">
      <c r="A508" s="52"/>
      <c r="B508" s="52"/>
      <c r="C508" s="52"/>
    </row>
    <row r="509" customFormat="false" ht="15.75" hidden="false" customHeight="false" outlineLevel="0" collapsed="false">
      <c r="A509" s="52"/>
      <c r="B509" s="52"/>
      <c r="C509" s="52"/>
    </row>
    <row r="510" customFormat="false" ht="15.75" hidden="false" customHeight="false" outlineLevel="0" collapsed="false">
      <c r="A510" s="52"/>
      <c r="B510" s="52"/>
      <c r="C510" s="52"/>
    </row>
    <row r="511" customFormat="false" ht="15.75" hidden="false" customHeight="false" outlineLevel="0" collapsed="false">
      <c r="A511" s="52"/>
      <c r="B511" s="52"/>
      <c r="C511" s="52"/>
    </row>
    <row r="512" customFormat="false" ht="15.75" hidden="false" customHeight="false" outlineLevel="0" collapsed="false">
      <c r="A512" s="52"/>
      <c r="B512" s="52"/>
      <c r="C512" s="52"/>
    </row>
    <row r="513" customFormat="false" ht="15.75" hidden="false" customHeight="false" outlineLevel="0" collapsed="false">
      <c r="A513" s="52"/>
      <c r="B513" s="52"/>
      <c r="C513" s="52"/>
    </row>
    <row r="514" customFormat="false" ht="15.75" hidden="false" customHeight="false" outlineLevel="0" collapsed="false">
      <c r="A514" s="52"/>
      <c r="B514" s="52"/>
      <c r="C514" s="52"/>
    </row>
    <row r="515" customFormat="false" ht="15.75" hidden="false" customHeight="false" outlineLevel="0" collapsed="false">
      <c r="A515" s="52"/>
      <c r="B515" s="52"/>
      <c r="C515" s="52"/>
    </row>
    <row r="516" customFormat="false" ht="15.75" hidden="false" customHeight="false" outlineLevel="0" collapsed="false">
      <c r="A516" s="52"/>
      <c r="B516" s="52"/>
      <c r="C516" s="52"/>
    </row>
    <row r="517" customFormat="false" ht="15.75" hidden="false" customHeight="false" outlineLevel="0" collapsed="false">
      <c r="A517" s="52"/>
      <c r="B517" s="52"/>
      <c r="C517" s="52"/>
    </row>
    <row r="518" customFormat="false" ht="15.75" hidden="false" customHeight="false" outlineLevel="0" collapsed="false">
      <c r="A518" s="52"/>
      <c r="B518" s="52"/>
      <c r="C518" s="52"/>
    </row>
    <row r="519" customFormat="false" ht="15.75" hidden="false" customHeight="false" outlineLevel="0" collapsed="false">
      <c r="A519" s="52"/>
      <c r="B519" s="52"/>
      <c r="C519" s="52"/>
    </row>
    <row r="520" customFormat="false" ht="15.75" hidden="false" customHeight="false" outlineLevel="0" collapsed="false">
      <c r="A520" s="52"/>
      <c r="B520" s="52"/>
      <c r="C520" s="52"/>
    </row>
    <row r="521" customFormat="false" ht="15.75" hidden="false" customHeight="false" outlineLevel="0" collapsed="false">
      <c r="A521" s="52"/>
      <c r="B521" s="52"/>
      <c r="C521" s="52"/>
    </row>
    <row r="522" customFormat="false" ht="15.75" hidden="false" customHeight="false" outlineLevel="0" collapsed="false">
      <c r="A522" s="52"/>
      <c r="B522" s="52"/>
      <c r="C522" s="52"/>
    </row>
    <row r="523" customFormat="false" ht="15.75" hidden="false" customHeight="false" outlineLevel="0" collapsed="false">
      <c r="A523" s="52"/>
      <c r="B523" s="52"/>
      <c r="C523" s="52"/>
    </row>
    <row r="524" customFormat="false" ht="15.75" hidden="false" customHeight="false" outlineLevel="0" collapsed="false">
      <c r="A524" s="52"/>
      <c r="B524" s="52"/>
      <c r="C524" s="52"/>
    </row>
    <row r="525" customFormat="false" ht="15.75" hidden="false" customHeight="false" outlineLevel="0" collapsed="false">
      <c r="A525" s="52"/>
      <c r="B525" s="52"/>
      <c r="C525" s="52"/>
    </row>
    <row r="526" customFormat="false" ht="15.75" hidden="false" customHeight="false" outlineLevel="0" collapsed="false">
      <c r="A526" s="52"/>
      <c r="B526" s="52"/>
      <c r="C526" s="52"/>
    </row>
    <row r="527" customFormat="false" ht="15.75" hidden="false" customHeight="false" outlineLevel="0" collapsed="false">
      <c r="A527" s="52"/>
      <c r="B527" s="52"/>
      <c r="C527" s="52"/>
    </row>
    <row r="528" customFormat="false" ht="15.75" hidden="false" customHeight="false" outlineLevel="0" collapsed="false">
      <c r="A528" s="52"/>
      <c r="B528" s="52"/>
      <c r="C528" s="52"/>
    </row>
    <row r="529" customFormat="false" ht="15.75" hidden="false" customHeight="false" outlineLevel="0" collapsed="false">
      <c r="A529" s="52"/>
      <c r="B529" s="52"/>
      <c r="C529" s="52"/>
    </row>
    <row r="530" customFormat="false" ht="15.75" hidden="false" customHeight="false" outlineLevel="0" collapsed="false">
      <c r="A530" s="52"/>
      <c r="B530" s="52"/>
      <c r="C530" s="52"/>
    </row>
    <row r="531" customFormat="false" ht="15.75" hidden="false" customHeight="false" outlineLevel="0" collapsed="false">
      <c r="A531" s="52"/>
      <c r="B531" s="52"/>
      <c r="C531" s="52"/>
    </row>
    <row r="532" customFormat="false" ht="15.75" hidden="false" customHeight="false" outlineLevel="0" collapsed="false">
      <c r="A532" s="52"/>
      <c r="B532" s="52"/>
      <c r="C532" s="52"/>
    </row>
    <row r="533" customFormat="false" ht="15.75" hidden="false" customHeight="false" outlineLevel="0" collapsed="false">
      <c r="A533" s="52"/>
      <c r="B533" s="52"/>
      <c r="C533" s="52"/>
    </row>
    <row r="534" customFormat="false" ht="15.75" hidden="false" customHeight="false" outlineLevel="0" collapsed="false">
      <c r="A534" s="52"/>
      <c r="B534" s="52"/>
      <c r="C534" s="52"/>
    </row>
    <row r="535" customFormat="false" ht="15.75" hidden="false" customHeight="false" outlineLevel="0" collapsed="false">
      <c r="A535" s="52"/>
      <c r="B535" s="52"/>
      <c r="C535" s="52"/>
    </row>
    <row r="536" customFormat="false" ht="15.75" hidden="false" customHeight="false" outlineLevel="0" collapsed="false">
      <c r="A536" s="52"/>
      <c r="B536" s="52"/>
      <c r="C536" s="52"/>
    </row>
    <row r="537" customFormat="false" ht="15.75" hidden="false" customHeight="false" outlineLevel="0" collapsed="false">
      <c r="A537" s="52"/>
      <c r="B537" s="52"/>
      <c r="C537" s="52"/>
    </row>
    <row r="538" customFormat="false" ht="15.75" hidden="false" customHeight="false" outlineLevel="0" collapsed="false">
      <c r="A538" s="52"/>
      <c r="B538" s="52"/>
      <c r="C538" s="52"/>
    </row>
    <row r="539" customFormat="false" ht="15.75" hidden="false" customHeight="false" outlineLevel="0" collapsed="false">
      <c r="A539" s="52"/>
      <c r="B539" s="52"/>
      <c r="C539" s="52"/>
    </row>
    <row r="540" customFormat="false" ht="15.75" hidden="false" customHeight="false" outlineLevel="0" collapsed="false">
      <c r="A540" s="52"/>
      <c r="B540" s="52"/>
      <c r="C540" s="52"/>
    </row>
    <row r="541" customFormat="false" ht="15.75" hidden="false" customHeight="false" outlineLevel="0" collapsed="false">
      <c r="A541" s="52"/>
      <c r="B541" s="52"/>
      <c r="C541" s="52"/>
    </row>
    <row r="542" customFormat="false" ht="15.75" hidden="false" customHeight="false" outlineLevel="0" collapsed="false">
      <c r="A542" s="52"/>
      <c r="B542" s="52"/>
      <c r="C542" s="52"/>
    </row>
    <row r="543" customFormat="false" ht="15.75" hidden="false" customHeight="false" outlineLevel="0" collapsed="false">
      <c r="A543" s="52"/>
      <c r="B543" s="52"/>
      <c r="C543" s="52"/>
    </row>
    <row r="544" customFormat="false" ht="15.75" hidden="false" customHeight="false" outlineLevel="0" collapsed="false">
      <c r="A544" s="52"/>
      <c r="B544" s="52"/>
      <c r="C544" s="52"/>
    </row>
    <row r="545" customFormat="false" ht="15.75" hidden="false" customHeight="false" outlineLevel="0" collapsed="false">
      <c r="A545" s="52"/>
      <c r="B545" s="52"/>
      <c r="C545" s="52"/>
    </row>
    <row r="546" customFormat="false" ht="15.75" hidden="false" customHeight="false" outlineLevel="0" collapsed="false">
      <c r="A546" s="52"/>
      <c r="B546" s="52"/>
      <c r="C546" s="52"/>
    </row>
    <row r="547" customFormat="false" ht="15.75" hidden="false" customHeight="false" outlineLevel="0" collapsed="false">
      <c r="A547" s="52"/>
      <c r="B547" s="52"/>
      <c r="C547" s="52"/>
    </row>
    <row r="548" customFormat="false" ht="15.75" hidden="false" customHeight="false" outlineLevel="0" collapsed="false">
      <c r="A548" s="52"/>
      <c r="B548" s="52"/>
      <c r="C548" s="52"/>
    </row>
    <row r="549" customFormat="false" ht="15.75" hidden="false" customHeight="false" outlineLevel="0" collapsed="false">
      <c r="A549" s="52"/>
      <c r="B549" s="52"/>
      <c r="C549" s="52"/>
    </row>
    <row r="550" customFormat="false" ht="15.75" hidden="false" customHeight="false" outlineLevel="0" collapsed="false">
      <c r="A550" s="52"/>
      <c r="B550" s="52"/>
      <c r="C550" s="52"/>
    </row>
    <row r="551" customFormat="false" ht="15.75" hidden="false" customHeight="false" outlineLevel="0" collapsed="false">
      <c r="A551" s="52"/>
      <c r="B551" s="52"/>
      <c r="C551" s="52"/>
    </row>
    <row r="552" customFormat="false" ht="15.75" hidden="false" customHeight="false" outlineLevel="0" collapsed="false">
      <c r="A552" s="52"/>
      <c r="B552" s="52"/>
      <c r="C552" s="52"/>
    </row>
    <row r="553" customFormat="false" ht="15.75" hidden="false" customHeight="false" outlineLevel="0" collapsed="false">
      <c r="A553" s="52"/>
      <c r="B553" s="52"/>
      <c r="C553" s="52"/>
    </row>
    <row r="554" customFormat="false" ht="15.75" hidden="false" customHeight="false" outlineLevel="0" collapsed="false">
      <c r="A554" s="52"/>
      <c r="B554" s="52"/>
      <c r="C554" s="52"/>
    </row>
    <row r="555" customFormat="false" ht="15.75" hidden="false" customHeight="false" outlineLevel="0" collapsed="false">
      <c r="A555" s="52"/>
      <c r="B555" s="52"/>
      <c r="C555" s="52"/>
    </row>
    <row r="556" customFormat="false" ht="15.75" hidden="false" customHeight="false" outlineLevel="0" collapsed="false">
      <c r="A556" s="52"/>
      <c r="B556" s="52"/>
      <c r="C556" s="52"/>
    </row>
    <row r="557" customFormat="false" ht="15.75" hidden="false" customHeight="false" outlineLevel="0" collapsed="false">
      <c r="A557" s="52"/>
      <c r="B557" s="52"/>
      <c r="C557" s="52"/>
    </row>
    <row r="558" customFormat="false" ht="15.75" hidden="false" customHeight="false" outlineLevel="0" collapsed="false">
      <c r="A558" s="52"/>
      <c r="B558" s="52"/>
      <c r="C558" s="52"/>
    </row>
    <row r="559" customFormat="false" ht="15.75" hidden="false" customHeight="false" outlineLevel="0" collapsed="false">
      <c r="A559" s="52"/>
      <c r="B559" s="52"/>
      <c r="C559" s="52"/>
    </row>
    <row r="560" customFormat="false" ht="15.75" hidden="false" customHeight="false" outlineLevel="0" collapsed="false">
      <c r="A560" s="52"/>
      <c r="B560" s="52"/>
      <c r="C560" s="52"/>
    </row>
    <row r="561" customFormat="false" ht="15.75" hidden="false" customHeight="false" outlineLevel="0" collapsed="false">
      <c r="A561" s="52"/>
      <c r="B561" s="52"/>
      <c r="C561" s="52"/>
    </row>
    <row r="562" customFormat="false" ht="15.75" hidden="false" customHeight="false" outlineLevel="0" collapsed="false">
      <c r="A562" s="52"/>
      <c r="B562" s="52"/>
      <c r="C562" s="52"/>
    </row>
    <row r="563" customFormat="false" ht="15.75" hidden="false" customHeight="false" outlineLevel="0" collapsed="false">
      <c r="A563" s="52"/>
      <c r="B563" s="52"/>
      <c r="C563" s="52"/>
    </row>
    <row r="564" customFormat="false" ht="15.75" hidden="false" customHeight="false" outlineLevel="0" collapsed="false">
      <c r="A564" s="52"/>
      <c r="B564" s="52"/>
      <c r="C564" s="52"/>
    </row>
    <row r="565" customFormat="false" ht="15.75" hidden="false" customHeight="false" outlineLevel="0" collapsed="false">
      <c r="A565" s="52"/>
      <c r="B565" s="52"/>
      <c r="C565" s="52"/>
    </row>
    <row r="566" customFormat="false" ht="15.75" hidden="false" customHeight="false" outlineLevel="0" collapsed="false">
      <c r="A566" s="52"/>
      <c r="B566" s="52"/>
      <c r="C566" s="52"/>
    </row>
    <row r="567" customFormat="false" ht="15.75" hidden="false" customHeight="false" outlineLevel="0" collapsed="false">
      <c r="A567" s="52"/>
      <c r="B567" s="52"/>
      <c r="C567" s="52"/>
    </row>
    <row r="568" customFormat="false" ht="15.75" hidden="false" customHeight="false" outlineLevel="0" collapsed="false">
      <c r="A568" s="52"/>
      <c r="B568" s="52"/>
      <c r="C568" s="52"/>
    </row>
    <row r="569" customFormat="false" ht="15.75" hidden="false" customHeight="false" outlineLevel="0" collapsed="false">
      <c r="A569" s="52"/>
      <c r="B569" s="52"/>
      <c r="C569" s="52"/>
    </row>
    <row r="570" customFormat="false" ht="15.75" hidden="false" customHeight="false" outlineLevel="0" collapsed="false">
      <c r="A570" s="52"/>
      <c r="B570" s="52"/>
      <c r="C570" s="52"/>
    </row>
    <row r="571" customFormat="false" ht="15.75" hidden="false" customHeight="false" outlineLevel="0" collapsed="false">
      <c r="A571" s="52"/>
      <c r="B571" s="52"/>
      <c r="C571" s="52"/>
    </row>
    <row r="572" customFormat="false" ht="15.75" hidden="false" customHeight="false" outlineLevel="0" collapsed="false">
      <c r="A572" s="52"/>
      <c r="B572" s="52"/>
      <c r="C572" s="52"/>
    </row>
    <row r="573" customFormat="false" ht="15.75" hidden="false" customHeight="false" outlineLevel="0" collapsed="false">
      <c r="A573" s="52"/>
      <c r="B573" s="52"/>
      <c r="C573" s="52"/>
    </row>
    <row r="574" customFormat="false" ht="15.75" hidden="false" customHeight="false" outlineLevel="0" collapsed="false">
      <c r="A574" s="52"/>
      <c r="B574" s="52"/>
      <c r="C574" s="52"/>
    </row>
    <row r="575" customFormat="false" ht="15.75" hidden="false" customHeight="false" outlineLevel="0" collapsed="false">
      <c r="A575" s="52"/>
      <c r="B575" s="52"/>
      <c r="C575" s="52"/>
    </row>
    <row r="576" customFormat="false" ht="15.75" hidden="false" customHeight="false" outlineLevel="0" collapsed="false">
      <c r="A576" s="52"/>
      <c r="B576" s="52"/>
      <c r="C576" s="52"/>
    </row>
    <row r="577" customFormat="false" ht="15.75" hidden="false" customHeight="false" outlineLevel="0" collapsed="false">
      <c r="A577" s="52"/>
      <c r="B577" s="52"/>
      <c r="C577" s="52"/>
    </row>
    <row r="578" customFormat="false" ht="15.75" hidden="false" customHeight="false" outlineLevel="0" collapsed="false">
      <c r="A578" s="52"/>
      <c r="B578" s="52"/>
      <c r="C578" s="52"/>
    </row>
    <row r="579" customFormat="false" ht="15.75" hidden="false" customHeight="false" outlineLevel="0" collapsed="false">
      <c r="A579" s="52"/>
      <c r="B579" s="52"/>
      <c r="C579" s="52"/>
    </row>
    <row r="580" customFormat="false" ht="15.75" hidden="false" customHeight="false" outlineLevel="0" collapsed="false">
      <c r="A580" s="52"/>
      <c r="B580" s="52"/>
      <c r="C580" s="52"/>
    </row>
    <row r="581" customFormat="false" ht="15.75" hidden="false" customHeight="false" outlineLevel="0" collapsed="false">
      <c r="A581" s="52"/>
      <c r="B581" s="52"/>
      <c r="C581" s="52"/>
    </row>
    <row r="582" customFormat="false" ht="15.75" hidden="false" customHeight="false" outlineLevel="0" collapsed="false">
      <c r="A582" s="52"/>
      <c r="B582" s="52"/>
      <c r="C582" s="52"/>
    </row>
    <row r="583" customFormat="false" ht="15.75" hidden="false" customHeight="false" outlineLevel="0" collapsed="false">
      <c r="A583" s="52"/>
      <c r="B583" s="52"/>
      <c r="C583" s="52"/>
    </row>
    <row r="584" customFormat="false" ht="15.75" hidden="false" customHeight="false" outlineLevel="0" collapsed="false">
      <c r="A584" s="52"/>
      <c r="B584" s="52"/>
      <c r="C584" s="52"/>
    </row>
    <row r="585" customFormat="false" ht="15.75" hidden="false" customHeight="false" outlineLevel="0" collapsed="false">
      <c r="A585" s="52"/>
      <c r="B585" s="52"/>
      <c r="C585" s="52"/>
    </row>
    <row r="586" customFormat="false" ht="15.75" hidden="false" customHeight="false" outlineLevel="0" collapsed="false">
      <c r="A586" s="52"/>
      <c r="B586" s="52"/>
      <c r="C586" s="52"/>
    </row>
    <row r="587" customFormat="false" ht="15.75" hidden="false" customHeight="false" outlineLevel="0" collapsed="false">
      <c r="A587" s="52"/>
      <c r="B587" s="52"/>
      <c r="C587" s="52"/>
    </row>
    <row r="588" customFormat="false" ht="15.75" hidden="false" customHeight="false" outlineLevel="0" collapsed="false">
      <c r="A588" s="52"/>
      <c r="B588" s="52"/>
      <c r="C588" s="52"/>
    </row>
    <row r="589" customFormat="false" ht="15.75" hidden="false" customHeight="false" outlineLevel="0" collapsed="false">
      <c r="A589" s="52"/>
      <c r="B589" s="52"/>
      <c r="C589" s="52"/>
    </row>
    <row r="590" customFormat="false" ht="15.75" hidden="false" customHeight="false" outlineLevel="0" collapsed="false">
      <c r="A590" s="52"/>
      <c r="B590" s="52"/>
      <c r="C590" s="52"/>
    </row>
    <row r="591" customFormat="false" ht="15.75" hidden="false" customHeight="false" outlineLevel="0" collapsed="false">
      <c r="A591" s="52"/>
      <c r="B591" s="52"/>
      <c r="C591" s="52"/>
    </row>
    <row r="592" customFormat="false" ht="15.75" hidden="false" customHeight="false" outlineLevel="0" collapsed="false">
      <c r="A592" s="52"/>
      <c r="B592" s="52"/>
      <c r="C592" s="52"/>
    </row>
    <row r="593" customFormat="false" ht="15.75" hidden="false" customHeight="false" outlineLevel="0" collapsed="false">
      <c r="A593" s="52"/>
      <c r="B593" s="52"/>
      <c r="C593" s="52"/>
    </row>
    <row r="594" customFormat="false" ht="15.75" hidden="false" customHeight="false" outlineLevel="0" collapsed="false">
      <c r="A594" s="52"/>
      <c r="B594" s="52"/>
      <c r="C594" s="52"/>
    </row>
    <row r="595" customFormat="false" ht="15.75" hidden="false" customHeight="false" outlineLevel="0" collapsed="false">
      <c r="A595" s="52"/>
      <c r="B595" s="52"/>
      <c r="C595" s="52"/>
    </row>
    <row r="596" customFormat="false" ht="15.75" hidden="false" customHeight="false" outlineLevel="0" collapsed="false">
      <c r="A596" s="52"/>
      <c r="B596" s="52"/>
      <c r="C596" s="52"/>
    </row>
    <row r="597" customFormat="false" ht="15.75" hidden="false" customHeight="false" outlineLevel="0" collapsed="false">
      <c r="A597" s="52"/>
      <c r="B597" s="52"/>
      <c r="C597" s="52"/>
    </row>
    <row r="598" customFormat="false" ht="15.75" hidden="false" customHeight="false" outlineLevel="0" collapsed="false">
      <c r="A598" s="52"/>
      <c r="B598" s="52"/>
      <c r="C598" s="52"/>
    </row>
    <row r="599" customFormat="false" ht="15.75" hidden="false" customHeight="false" outlineLevel="0" collapsed="false">
      <c r="A599" s="52"/>
      <c r="B599" s="52"/>
      <c r="C599" s="52"/>
    </row>
    <row r="600" customFormat="false" ht="15.75" hidden="false" customHeight="false" outlineLevel="0" collapsed="false">
      <c r="A600" s="52"/>
      <c r="B600" s="52"/>
      <c r="C600" s="52"/>
    </row>
    <row r="601" customFormat="false" ht="15.75" hidden="false" customHeight="false" outlineLevel="0" collapsed="false">
      <c r="A601" s="52"/>
      <c r="B601" s="52"/>
      <c r="C601" s="52"/>
    </row>
    <row r="602" customFormat="false" ht="15.75" hidden="false" customHeight="false" outlineLevel="0" collapsed="false">
      <c r="A602" s="52"/>
      <c r="B602" s="52"/>
      <c r="C602" s="52"/>
    </row>
    <row r="603" customFormat="false" ht="15.75" hidden="false" customHeight="false" outlineLevel="0" collapsed="false">
      <c r="A603" s="52"/>
      <c r="B603" s="52"/>
      <c r="C603" s="52"/>
    </row>
    <row r="604" customFormat="false" ht="15.75" hidden="false" customHeight="false" outlineLevel="0" collapsed="false">
      <c r="A604" s="52"/>
      <c r="B604" s="52"/>
      <c r="C604" s="52"/>
    </row>
    <row r="605" customFormat="false" ht="15.75" hidden="false" customHeight="false" outlineLevel="0" collapsed="false">
      <c r="A605" s="52"/>
      <c r="B605" s="52"/>
      <c r="C605" s="52"/>
    </row>
    <row r="606" customFormat="false" ht="15.75" hidden="false" customHeight="false" outlineLevel="0" collapsed="false">
      <c r="A606" s="52"/>
      <c r="B606" s="52"/>
      <c r="C606" s="52"/>
    </row>
    <row r="607" customFormat="false" ht="15.75" hidden="false" customHeight="false" outlineLevel="0" collapsed="false">
      <c r="A607" s="52"/>
      <c r="B607" s="52"/>
      <c r="C607" s="52"/>
    </row>
    <row r="608" customFormat="false" ht="15.75" hidden="false" customHeight="false" outlineLevel="0" collapsed="false">
      <c r="A608" s="52"/>
      <c r="B608" s="52"/>
      <c r="C608" s="52"/>
    </row>
    <row r="609" customFormat="false" ht="15.75" hidden="false" customHeight="false" outlineLevel="0" collapsed="false">
      <c r="A609" s="52"/>
      <c r="B609" s="52"/>
      <c r="C609" s="52"/>
    </row>
    <row r="610" customFormat="false" ht="15.75" hidden="false" customHeight="false" outlineLevel="0" collapsed="false">
      <c r="A610" s="52"/>
      <c r="B610" s="52"/>
      <c r="C610" s="52"/>
    </row>
    <row r="611" customFormat="false" ht="15.75" hidden="false" customHeight="false" outlineLevel="0" collapsed="false">
      <c r="A611" s="52"/>
      <c r="B611" s="52"/>
      <c r="C611" s="52"/>
    </row>
    <row r="612" customFormat="false" ht="15.75" hidden="false" customHeight="false" outlineLevel="0" collapsed="false">
      <c r="A612" s="52"/>
      <c r="B612" s="52"/>
      <c r="C612" s="52"/>
    </row>
    <row r="613" customFormat="false" ht="15.75" hidden="false" customHeight="false" outlineLevel="0" collapsed="false">
      <c r="A613" s="52"/>
      <c r="B613" s="52"/>
      <c r="C613" s="52"/>
    </row>
    <row r="614" customFormat="false" ht="15.75" hidden="false" customHeight="false" outlineLevel="0" collapsed="false">
      <c r="A614" s="52"/>
      <c r="B614" s="52"/>
      <c r="C614" s="52"/>
    </row>
    <row r="615" customFormat="false" ht="15.75" hidden="false" customHeight="false" outlineLevel="0" collapsed="false">
      <c r="A615" s="52"/>
      <c r="B615" s="52"/>
      <c r="C615" s="52"/>
    </row>
    <row r="616" customFormat="false" ht="15.75" hidden="false" customHeight="false" outlineLevel="0" collapsed="false">
      <c r="A616" s="52"/>
      <c r="B616" s="52"/>
      <c r="C616" s="52"/>
    </row>
    <row r="617" customFormat="false" ht="15.75" hidden="false" customHeight="false" outlineLevel="0" collapsed="false">
      <c r="A617" s="52"/>
      <c r="B617" s="52"/>
      <c r="C617" s="52"/>
    </row>
    <row r="618" customFormat="false" ht="15.75" hidden="false" customHeight="false" outlineLevel="0" collapsed="false">
      <c r="A618" s="52"/>
      <c r="B618" s="52"/>
      <c r="C618" s="52"/>
    </row>
    <row r="619" customFormat="false" ht="15.75" hidden="false" customHeight="false" outlineLevel="0" collapsed="false">
      <c r="A619" s="52"/>
      <c r="B619" s="52"/>
      <c r="C619" s="52"/>
    </row>
    <row r="620" customFormat="false" ht="15.75" hidden="false" customHeight="false" outlineLevel="0" collapsed="false">
      <c r="A620" s="52"/>
      <c r="B620" s="52"/>
      <c r="C620" s="52"/>
    </row>
    <row r="621" customFormat="false" ht="15.75" hidden="false" customHeight="false" outlineLevel="0" collapsed="false">
      <c r="A621" s="52"/>
      <c r="B621" s="52"/>
      <c r="C621" s="52"/>
    </row>
    <row r="622" customFormat="false" ht="15.75" hidden="false" customHeight="false" outlineLevel="0" collapsed="false">
      <c r="A622" s="52"/>
      <c r="B622" s="52"/>
      <c r="C622" s="52"/>
    </row>
    <row r="623" customFormat="false" ht="15.75" hidden="false" customHeight="false" outlineLevel="0" collapsed="false">
      <c r="A623" s="52"/>
      <c r="B623" s="52"/>
      <c r="C623" s="52"/>
    </row>
    <row r="624" customFormat="false" ht="15.75" hidden="false" customHeight="false" outlineLevel="0" collapsed="false">
      <c r="A624" s="52"/>
      <c r="B624" s="52"/>
      <c r="C624" s="52"/>
    </row>
    <row r="625" customFormat="false" ht="15.75" hidden="false" customHeight="false" outlineLevel="0" collapsed="false">
      <c r="A625" s="52"/>
      <c r="B625" s="52"/>
      <c r="C625" s="52"/>
    </row>
    <row r="626" customFormat="false" ht="15.75" hidden="false" customHeight="false" outlineLevel="0" collapsed="false">
      <c r="A626" s="52"/>
      <c r="B626" s="52"/>
      <c r="C626" s="52"/>
    </row>
    <row r="627" customFormat="false" ht="15.75" hidden="false" customHeight="false" outlineLevel="0" collapsed="false">
      <c r="A627" s="52"/>
      <c r="B627" s="52"/>
      <c r="C627" s="52"/>
    </row>
    <row r="628" customFormat="false" ht="15.75" hidden="false" customHeight="false" outlineLevel="0" collapsed="false">
      <c r="A628" s="52"/>
      <c r="B628" s="52"/>
      <c r="C628" s="52"/>
    </row>
    <row r="629" customFormat="false" ht="15.75" hidden="false" customHeight="false" outlineLevel="0" collapsed="false">
      <c r="A629" s="52"/>
      <c r="B629" s="52"/>
      <c r="C629" s="52"/>
    </row>
    <row r="630" customFormat="false" ht="15.75" hidden="false" customHeight="false" outlineLevel="0" collapsed="false">
      <c r="A630" s="52"/>
      <c r="B630" s="52"/>
      <c r="C630" s="52"/>
    </row>
    <row r="631" customFormat="false" ht="15.75" hidden="false" customHeight="false" outlineLevel="0" collapsed="false">
      <c r="A631" s="52"/>
      <c r="B631" s="52"/>
      <c r="C631" s="52"/>
    </row>
    <row r="632" customFormat="false" ht="15.75" hidden="false" customHeight="false" outlineLevel="0" collapsed="false">
      <c r="A632" s="52"/>
      <c r="B632" s="52"/>
      <c r="C632" s="52"/>
    </row>
    <row r="633" customFormat="false" ht="15.75" hidden="false" customHeight="false" outlineLevel="0" collapsed="false">
      <c r="A633" s="52"/>
      <c r="B633" s="52"/>
      <c r="C633" s="52"/>
    </row>
    <row r="634" customFormat="false" ht="15.75" hidden="false" customHeight="false" outlineLevel="0" collapsed="false">
      <c r="A634" s="52"/>
      <c r="B634" s="52"/>
      <c r="C634" s="52"/>
    </row>
    <row r="635" customFormat="false" ht="15.75" hidden="false" customHeight="false" outlineLevel="0" collapsed="false">
      <c r="A635" s="52"/>
      <c r="B635" s="52"/>
      <c r="C635" s="52"/>
    </row>
    <row r="636" customFormat="false" ht="15.75" hidden="false" customHeight="false" outlineLevel="0" collapsed="false">
      <c r="A636" s="52"/>
      <c r="B636" s="52"/>
      <c r="C636" s="52"/>
    </row>
    <row r="637" customFormat="false" ht="15.75" hidden="false" customHeight="false" outlineLevel="0" collapsed="false">
      <c r="A637" s="52"/>
      <c r="B637" s="52"/>
      <c r="C637" s="52"/>
    </row>
    <row r="638" customFormat="false" ht="15.75" hidden="false" customHeight="false" outlineLevel="0" collapsed="false">
      <c r="A638" s="52"/>
      <c r="B638" s="52"/>
      <c r="C638" s="52"/>
    </row>
    <row r="639" customFormat="false" ht="15.75" hidden="false" customHeight="false" outlineLevel="0" collapsed="false">
      <c r="A639" s="52"/>
      <c r="B639" s="52"/>
      <c r="C639" s="52"/>
    </row>
    <row r="640" customFormat="false" ht="15.75" hidden="false" customHeight="false" outlineLevel="0" collapsed="false">
      <c r="A640" s="52"/>
      <c r="B640" s="52"/>
      <c r="C640" s="52"/>
    </row>
    <row r="641" customFormat="false" ht="15.75" hidden="false" customHeight="false" outlineLevel="0" collapsed="false">
      <c r="A641" s="52"/>
      <c r="B641" s="52"/>
      <c r="C641" s="52"/>
    </row>
    <row r="642" customFormat="false" ht="15.75" hidden="false" customHeight="false" outlineLevel="0" collapsed="false">
      <c r="A642" s="52"/>
      <c r="B642" s="52"/>
      <c r="C642" s="52"/>
    </row>
    <row r="643" customFormat="false" ht="15.75" hidden="false" customHeight="false" outlineLevel="0" collapsed="false">
      <c r="A643" s="52"/>
      <c r="B643" s="52"/>
      <c r="C643" s="52"/>
    </row>
    <row r="644" customFormat="false" ht="15.75" hidden="false" customHeight="false" outlineLevel="0" collapsed="false">
      <c r="A644" s="52"/>
      <c r="B644" s="52"/>
      <c r="C644" s="52"/>
    </row>
    <row r="645" customFormat="false" ht="15.75" hidden="false" customHeight="false" outlineLevel="0" collapsed="false">
      <c r="A645" s="52"/>
      <c r="B645" s="52"/>
      <c r="C645" s="52"/>
    </row>
    <row r="646" customFormat="false" ht="15.75" hidden="false" customHeight="false" outlineLevel="0" collapsed="false">
      <c r="A646" s="52"/>
      <c r="B646" s="52"/>
      <c r="C646" s="52"/>
    </row>
    <row r="647" customFormat="false" ht="15.75" hidden="false" customHeight="false" outlineLevel="0" collapsed="false">
      <c r="A647" s="52"/>
      <c r="B647" s="52"/>
      <c r="C647" s="52"/>
    </row>
    <row r="648" customFormat="false" ht="15.75" hidden="false" customHeight="false" outlineLevel="0" collapsed="false">
      <c r="A648" s="52"/>
      <c r="B648" s="52"/>
      <c r="C648" s="52"/>
    </row>
    <row r="649" customFormat="false" ht="15.75" hidden="false" customHeight="false" outlineLevel="0" collapsed="false">
      <c r="A649" s="52"/>
      <c r="B649" s="52"/>
      <c r="C649" s="52"/>
    </row>
    <row r="650" customFormat="false" ht="15.75" hidden="false" customHeight="false" outlineLevel="0" collapsed="false">
      <c r="A650" s="52"/>
      <c r="B650" s="52"/>
      <c r="C650" s="52"/>
    </row>
    <row r="651" customFormat="false" ht="15.75" hidden="false" customHeight="false" outlineLevel="0" collapsed="false">
      <c r="A651" s="52"/>
      <c r="B651" s="52"/>
      <c r="C651" s="52"/>
    </row>
    <row r="652" customFormat="false" ht="15.75" hidden="false" customHeight="false" outlineLevel="0" collapsed="false">
      <c r="A652" s="52"/>
      <c r="B652" s="52"/>
      <c r="C652" s="52"/>
    </row>
    <row r="653" customFormat="false" ht="15.75" hidden="false" customHeight="false" outlineLevel="0" collapsed="false">
      <c r="A653" s="52"/>
      <c r="B653" s="52"/>
      <c r="C653" s="52"/>
    </row>
    <row r="654" customFormat="false" ht="15.75" hidden="false" customHeight="false" outlineLevel="0" collapsed="false">
      <c r="A654" s="52"/>
      <c r="B654" s="52"/>
      <c r="C654" s="52"/>
    </row>
    <row r="655" customFormat="false" ht="15.75" hidden="false" customHeight="false" outlineLevel="0" collapsed="false">
      <c r="A655" s="52"/>
      <c r="B655" s="52"/>
      <c r="C655" s="52"/>
    </row>
    <row r="656" customFormat="false" ht="15.75" hidden="false" customHeight="false" outlineLevel="0" collapsed="false">
      <c r="A656" s="52"/>
      <c r="B656" s="52"/>
      <c r="C656" s="52"/>
    </row>
    <row r="657" customFormat="false" ht="15.75" hidden="false" customHeight="false" outlineLevel="0" collapsed="false">
      <c r="A657" s="52"/>
      <c r="B657" s="52"/>
      <c r="C657" s="52"/>
    </row>
    <row r="658" customFormat="false" ht="15.75" hidden="false" customHeight="false" outlineLevel="0" collapsed="false">
      <c r="A658" s="52"/>
      <c r="B658" s="52"/>
      <c r="C658" s="52"/>
    </row>
    <row r="659" customFormat="false" ht="15.75" hidden="false" customHeight="false" outlineLevel="0" collapsed="false">
      <c r="A659" s="52"/>
      <c r="B659" s="52"/>
      <c r="C659" s="52"/>
    </row>
    <row r="660" customFormat="false" ht="15.75" hidden="false" customHeight="false" outlineLevel="0" collapsed="false">
      <c r="A660" s="52"/>
      <c r="B660" s="52"/>
      <c r="C660" s="52"/>
    </row>
    <row r="661" customFormat="false" ht="15.75" hidden="false" customHeight="false" outlineLevel="0" collapsed="false">
      <c r="A661" s="52"/>
      <c r="B661" s="52"/>
      <c r="C661" s="52"/>
    </row>
    <row r="662" customFormat="false" ht="15.75" hidden="false" customHeight="false" outlineLevel="0" collapsed="false">
      <c r="A662" s="52"/>
      <c r="B662" s="52"/>
      <c r="C662" s="52"/>
    </row>
    <row r="663" customFormat="false" ht="15.75" hidden="false" customHeight="false" outlineLevel="0" collapsed="false">
      <c r="A663" s="52"/>
      <c r="B663" s="52"/>
      <c r="C663" s="52"/>
    </row>
    <row r="664" customFormat="false" ht="15.75" hidden="false" customHeight="false" outlineLevel="0" collapsed="false">
      <c r="A664" s="52"/>
      <c r="B664" s="52"/>
      <c r="C664" s="52"/>
    </row>
    <row r="665" customFormat="false" ht="15.75" hidden="false" customHeight="false" outlineLevel="0" collapsed="false">
      <c r="A665" s="52"/>
      <c r="B665" s="52"/>
      <c r="C665" s="52"/>
    </row>
    <row r="666" customFormat="false" ht="15.75" hidden="false" customHeight="false" outlineLevel="0" collapsed="false">
      <c r="A666" s="52"/>
      <c r="B666" s="52"/>
      <c r="C666" s="52"/>
    </row>
    <row r="667" customFormat="false" ht="15.75" hidden="false" customHeight="false" outlineLevel="0" collapsed="false">
      <c r="A667" s="52"/>
      <c r="B667" s="52"/>
      <c r="C667" s="52"/>
    </row>
    <row r="668" customFormat="false" ht="15.75" hidden="false" customHeight="false" outlineLevel="0" collapsed="false">
      <c r="A668" s="52"/>
      <c r="B668" s="52"/>
      <c r="C668" s="52"/>
    </row>
    <row r="669" customFormat="false" ht="15.75" hidden="false" customHeight="false" outlineLevel="0" collapsed="false">
      <c r="A669" s="52"/>
      <c r="B669" s="52"/>
      <c r="C669" s="52"/>
    </row>
    <row r="670" customFormat="false" ht="15.75" hidden="false" customHeight="false" outlineLevel="0" collapsed="false">
      <c r="A670" s="52"/>
      <c r="B670" s="52"/>
      <c r="C670" s="52"/>
    </row>
    <row r="671" customFormat="false" ht="15.75" hidden="false" customHeight="false" outlineLevel="0" collapsed="false">
      <c r="A671" s="52"/>
      <c r="B671" s="52"/>
      <c r="C671" s="52"/>
    </row>
    <row r="672" customFormat="false" ht="15.75" hidden="false" customHeight="false" outlineLevel="0" collapsed="false">
      <c r="A672" s="52"/>
      <c r="B672" s="52"/>
      <c r="C672" s="52"/>
    </row>
    <row r="673" customFormat="false" ht="15.75" hidden="false" customHeight="false" outlineLevel="0" collapsed="false">
      <c r="A673" s="52"/>
      <c r="B673" s="52"/>
      <c r="C673" s="52"/>
    </row>
    <row r="674" customFormat="false" ht="15.75" hidden="false" customHeight="false" outlineLevel="0" collapsed="false">
      <c r="A674" s="52"/>
      <c r="B674" s="52"/>
      <c r="C674" s="52"/>
    </row>
    <row r="675" customFormat="false" ht="15.75" hidden="false" customHeight="false" outlineLevel="0" collapsed="false">
      <c r="A675" s="52"/>
      <c r="B675" s="52"/>
      <c r="C675" s="52"/>
    </row>
    <row r="676" customFormat="false" ht="15.75" hidden="false" customHeight="false" outlineLevel="0" collapsed="false">
      <c r="A676" s="52"/>
      <c r="B676" s="52"/>
      <c r="C676" s="52"/>
    </row>
    <row r="677" customFormat="false" ht="15.75" hidden="false" customHeight="false" outlineLevel="0" collapsed="false">
      <c r="A677" s="52"/>
      <c r="B677" s="52"/>
      <c r="C677" s="52"/>
    </row>
    <row r="678" customFormat="false" ht="15.75" hidden="false" customHeight="false" outlineLevel="0" collapsed="false">
      <c r="A678" s="52"/>
      <c r="B678" s="52"/>
      <c r="C678" s="52"/>
    </row>
    <row r="679" customFormat="false" ht="15.75" hidden="false" customHeight="false" outlineLevel="0" collapsed="false">
      <c r="A679" s="52"/>
      <c r="B679" s="52"/>
      <c r="C679" s="52"/>
    </row>
    <row r="680" customFormat="false" ht="15.75" hidden="false" customHeight="false" outlineLevel="0" collapsed="false">
      <c r="A680" s="52"/>
      <c r="B680" s="52"/>
      <c r="C680" s="52"/>
    </row>
    <row r="681" customFormat="false" ht="15.75" hidden="false" customHeight="false" outlineLevel="0" collapsed="false">
      <c r="A681" s="52"/>
      <c r="B681" s="52"/>
      <c r="C681" s="52"/>
    </row>
    <row r="682" customFormat="false" ht="15.75" hidden="false" customHeight="false" outlineLevel="0" collapsed="false">
      <c r="A682" s="52"/>
      <c r="B682" s="52"/>
      <c r="C682" s="52"/>
    </row>
    <row r="683" customFormat="false" ht="15.75" hidden="false" customHeight="false" outlineLevel="0" collapsed="false">
      <c r="A683" s="52"/>
      <c r="B683" s="52"/>
      <c r="C683" s="52"/>
    </row>
    <row r="684" customFormat="false" ht="15.75" hidden="false" customHeight="false" outlineLevel="0" collapsed="false">
      <c r="A684" s="52"/>
      <c r="B684" s="52"/>
      <c r="C684" s="52"/>
    </row>
    <row r="685" customFormat="false" ht="15.75" hidden="false" customHeight="false" outlineLevel="0" collapsed="false">
      <c r="A685" s="52"/>
      <c r="B685" s="52"/>
      <c r="C685" s="52"/>
    </row>
    <row r="686" customFormat="false" ht="15.75" hidden="false" customHeight="false" outlineLevel="0" collapsed="false">
      <c r="A686" s="52"/>
      <c r="B686" s="52"/>
      <c r="C686" s="52"/>
    </row>
    <row r="687" customFormat="false" ht="15.75" hidden="false" customHeight="false" outlineLevel="0" collapsed="false">
      <c r="A687" s="52"/>
      <c r="B687" s="52"/>
      <c r="C687" s="52"/>
    </row>
    <row r="688" customFormat="false" ht="15.75" hidden="false" customHeight="false" outlineLevel="0" collapsed="false">
      <c r="A688" s="52"/>
      <c r="B688" s="52"/>
      <c r="C688" s="52"/>
    </row>
    <row r="689" customFormat="false" ht="15.75" hidden="false" customHeight="false" outlineLevel="0" collapsed="false">
      <c r="A689" s="52"/>
      <c r="B689" s="52"/>
      <c r="C689" s="52"/>
    </row>
    <row r="690" customFormat="false" ht="15.75" hidden="false" customHeight="false" outlineLevel="0" collapsed="false">
      <c r="A690" s="52"/>
      <c r="B690" s="52"/>
      <c r="C690" s="52"/>
    </row>
    <row r="691" customFormat="false" ht="15.75" hidden="false" customHeight="false" outlineLevel="0" collapsed="false">
      <c r="A691" s="52"/>
      <c r="B691" s="52"/>
      <c r="C691" s="52"/>
    </row>
    <row r="692" customFormat="false" ht="15.75" hidden="false" customHeight="false" outlineLevel="0" collapsed="false">
      <c r="A692" s="52"/>
      <c r="B692" s="52"/>
      <c r="C692" s="52"/>
    </row>
    <row r="693" customFormat="false" ht="15.75" hidden="false" customHeight="false" outlineLevel="0" collapsed="false">
      <c r="A693" s="52"/>
      <c r="B693" s="52"/>
      <c r="C693" s="52"/>
    </row>
    <row r="694" customFormat="false" ht="15.75" hidden="false" customHeight="false" outlineLevel="0" collapsed="false">
      <c r="A694" s="52"/>
      <c r="B694" s="52"/>
      <c r="C694" s="52"/>
    </row>
    <row r="695" customFormat="false" ht="15.75" hidden="false" customHeight="false" outlineLevel="0" collapsed="false">
      <c r="A695" s="52"/>
      <c r="B695" s="52"/>
      <c r="C695" s="52"/>
    </row>
    <row r="696" customFormat="false" ht="15.75" hidden="false" customHeight="false" outlineLevel="0" collapsed="false">
      <c r="A696" s="52"/>
      <c r="B696" s="52"/>
      <c r="C696" s="52"/>
    </row>
    <row r="697" customFormat="false" ht="15.75" hidden="false" customHeight="false" outlineLevel="0" collapsed="false">
      <c r="A697" s="52"/>
      <c r="B697" s="52"/>
      <c r="C697" s="52"/>
    </row>
    <row r="698" customFormat="false" ht="15.75" hidden="false" customHeight="false" outlineLevel="0" collapsed="false">
      <c r="A698" s="52"/>
      <c r="B698" s="52"/>
      <c r="C698" s="52"/>
    </row>
    <row r="699" customFormat="false" ht="15.75" hidden="false" customHeight="false" outlineLevel="0" collapsed="false">
      <c r="A699" s="52"/>
      <c r="B699" s="52"/>
      <c r="C699" s="52"/>
    </row>
    <row r="700" customFormat="false" ht="15.75" hidden="false" customHeight="false" outlineLevel="0" collapsed="false">
      <c r="A700" s="52"/>
      <c r="B700" s="52"/>
      <c r="C700" s="52"/>
    </row>
    <row r="701" customFormat="false" ht="15.75" hidden="false" customHeight="false" outlineLevel="0" collapsed="false">
      <c r="A701" s="52"/>
      <c r="B701" s="52"/>
      <c r="C701" s="52"/>
    </row>
    <row r="702" customFormat="false" ht="15.75" hidden="false" customHeight="false" outlineLevel="0" collapsed="false">
      <c r="A702" s="52"/>
      <c r="B702" s="52"/>
      <c r="C702" s="52"/>
    </row>
    <row r="703" customFormat="false" ht="15.75" hidden="false" customHeight="false" outlineLevel="0" collapsed="false">
      <c r="A703" s="52"/>
      <c r="B703" s="52"/>
      <c r="C703" s="52"/>
    </row>
    <row r="704" customFormat="false" ht="15.75" hidden="false" customHeight="false" outlineLevel="0" collapsed="false">
      <c r="A704" s="52"/>
      <c r="B704" s="52"/>
      <c r="C704" s="52"/>
    </row>
    <row r="705" customFormat="false" ht="15.75" hidden="false" customHeight="false" outlineLevel="0" collapsed="false">
      <c r="A705" s="52"/>
      <c r="B705" s="52"/>
      <c r="C705" s="52"/>
    </row>
    <row r="706" customFormat="false" ht="15.75" hidden="false" customHeight="false" outlineLevel="0" collapsed="false">
      <c r="A706" s="52"/>
      <c r="B706" s="52"/>
      <c r="C706" s="52"/>
    </row>
    <row r="707" customFormat="false" ht="15.75" hidden="false" customHeight="false" outlineLevel="0" collapsed="false">
      <c r="A707" s="52"/>
      <c r="B707" s="52"/>
      <c r="C707" s="52"/>
    </row>
    <row r="708" customFormat="false" ht="15.75" hidden="false" customHeight="false" outlineLevel="0" collapsed="false">
      <c r="A708" s="52"/>
      <c r="B708" s="52"/>
      <c r="C708" s="52"/>
    </row>
    <row r="709" customFormat="false" ht="15.75" hidden="false" customHeight="false" outlineLevel="0" collapsed="false">
      <c r="A709" s="52"/>
      <c r="B709" s="52"/>
      <c r="C709" s="52"/>
    </row>
    <row r="710" customFormat="false" ht="15.75" hidden="false" customHeight="false" outlineLevel="0" collapsed="false">
      <c r="A710" s="52"/>
      <c r="B710" s="52"/>
      <c r="C710" s="52"/>
    </row>
    <row r="711" customFormat="false" ht="15.75" hidden="false" customHeight="false" outlineLevel="0" collapsed="false">
      <c r="A711" s="52"/>
      <c r="B711" s="52"/>
      <c r="C711" s="52"/>
    </row>
    <row r="712" customFormat="false" ht="15.75" hidden="false" customHeight="false" outlineLevel="0" collapsed="false">
      <c r="A712" s="52"/>
      <c r="B712" s="52"/>
      <c r="C712" s="52"/>
    </row>
    <row r="713" customFormat="false" ht="15.75" hidden="false" customHeight="false" outlineLevel="0" collapsed="false">
      <c r="A713" s="52"/>
      <c r="B713" s="52"/>
      <c r="C713" s="52"/>
    </row>
    <row r="714" customFormat="false" ht="15.75" hidden="false" customHeight="false" outlineLevel="0" collapsed="false">
      <c r="A714" s="52"/>
      <c r="B714" s="52"/>
      <c r="C714" s="52"/>
    </row>
    <row r="715" customFormat="false" ht="15.75" hidden="false" customHeight="false" outlineLevel="0" collapsed="false">
      <c r="A715" s="52"/>
      <c r="B715" s="52"/>
      <c r="C715" s="52"/>
    </row>
    <row r="716" customFormat="false" ht="15.75" hidden="false" customHeight="false" outlineLevel="0" collapsed="false">
      <c r="A716" s="52"/>
      <c r="B716" s="52"/>
      <c r="C716" s="52"/>
    </row>
    <row r="717" customFormat="false" ht="15.75" hidden="false" customHeight="false" outlineLevel="0" collapsed="false">
      <c r="A717" s="52"/>
      <c r="B717" s="52"/>
      <c r="C717" s="52"/>
    </row>
    <row r="718" customFormat="false" ht="15.75" hidden="false" customHeight="false" outlineLevel="0" collapsed="false">
      <c r="A718" s="52"/>
      <c r="B718" s="52"/>
      <c r="C718" s="52"/>
    </row>
    <row r="719" customFormat="false" ht="15.75" hidden="false" customHeight="false" outlineLevel="0" collapsed="false">
      <c r="A719" s="52"/>
      <c r="B719" s="52"/>
      <c r="C719" s="52"/>
    </row>
    <row r="720" customFormat="false" ht="15.75" hidden="false" customHeight="false" outlineLevel="0" collapsed="false">
      <c r="A720" s="52"/>
      <c r="B720" s="52"/>
      <c r="C720" s="52"/>
    </row>
    <row r="721" customFormat="false" ht="15.75" hidden="false" customHeight="false" outlineLevel="0" collapsed="false">
      <c r="A721" s="52"/>
      <c r="B721" s="52"/>
      <c r="C721" s="52"/>
    </row>
    <row r="722" customFormat="false" ht="15.75" hidden="false" customHeight="false" outlineLevel="0" collapsed="false">
      <c r="A722" s="52"/>
      <c r="B722" s="52"/>
      <c r="C722" s="52"/>
    </row>
    <row r="723" customFormat="false" ht="15.75" hidden="false" customHeight="false" outlineLevel="0" collapsed="false">
      <c r="A723" s="52"/>
      <c r="B723" s="52"/>
      <c r="C723" s="52"/>
    </row>
    <row r="724" customFormat="false" ht="15.75" hidden="false" customHeight="false" outlineLevel="0" collapsed="false">
      <c r="A724" s="52"/>
      <c r="B724" s="52"/>
      <c r="C724" s="52"/>
    </row>
    <row r="725" customFormat="false" ht="15.75" hidden="false" customHeight="false" outlineLevel="0" collapsed="false">
      <c r="A725" s="52"/>
      <c r="B725" s="52"/>
      <c r="C725" s="52"/>
    </row>
    <row r="726" customFormat="false" ht="15.75" hidden="false" customHeight="false" outlineLevel="0" collapsed="false">
      <c r="A726" s="52"/>
      <c r="B726" s="52"/>
      <c r="C726" s="52"/>
    </row>
    <row r="727" customFormat="false" ht="15.75" hidden="false" customHeight="false" outlineLevel="0" collapsed="false">
      <c r="A727" s="52"/>
      <c r="B727" s="52"/>
      <c r="C727" s="52"/>
    </row>
    <row r="728" customFormat="false" ht="15.75" hidden="false" customHeight="false" outlineLevel="0" collapsed="false">
      <c r="A728" s="52"/>
      <c r="B728" s="52"/>
      <c r="C728" s="52"/>
    </row>
    <row r="729" customFormat="false" ht="15.75" hidden="false" customHeight="false" outlineLevel="0" collapsed="false">
      <c r="A729" s="52"/>
      <c r="B729" s="52"/>
      <c r="C729" s="52"/>
    </row>
    <row r="730" customFormat="false" ht="15.75" hidden="false" customHeight="false" outlineLevel="0" collapsed="false">
      <c r="A730" s="52"/>
      <c r="B730" s="52"/>
      <c r="C730" s="52"/>
    </row>
    <row r="731" customFormat="false" ht="15.75" hidden="false" customHeight="false" outlineLevel="0" collapsed="false">
      <c r="A731" s="52"/>
      <c r="B731" s="52"/>
      <c r="C731" s="52"/>
    </row>
    <row r="732" customFormat="false" ht="15.75" hidden="false" customHeight="false" outlineLevel="0" collapsed="false">
      <c r="A732" s="52"/>
      <c r="B732" s="52"/>
      <c r="C732" s="52"/>
    </row>
    <row r="733" customFormat="false" ht="15.75" hidden="false" customHeight="false" outlineLevel="0" collapsed="false">
      <c r="A733" s="52"/>
      <c r="B733" s="52"/>
      <c r="C733" s="52"/>
    </row>
    <row r="734" customFormat="false" ht="15.75" hidden="false" customHeight="false" outlineLevel="0" collapsed="false">
      <c r="A734" s="52"/>
      <c r="B734" s="52"/>
      <c r="C734" s="52"/>
    </row>
    <row r="735" customFormat="false" ht="15.75" hidden="false" customHeight="false" outlineLevel="0" collapsed="false">
      <c r="A735" s="52"/>
      <c r="B735" s="52"/>
      <c r="C735" s="52"/>
    </row>
    <row r="736" customFormat="false" ht="15.75" hidden="false" customHeight="false" outlineLevel="0" collapsed="false">
      <c r="A736" s="52"/>
      <c r="B736" s="52"/>
      <c r="C736" s="52"/>
    </row>
    <row r="737" customFormat="false" ht="15.75" hidden="false" customHeight="false" outlineLevel="0" collapsed="false">
      <c r="A737" s="52"/>
      <c r="B737" s="52"/>
      <c r="C737" s="52"/>
    </row>
    <row r="738" customFormat="false" ht="15.75" hidden="false" customHeight="false" outlineLevel="0" collapsed="false">
      <c r="A738" s="52"/>
      <c r="B738" s="52"/>
      <c r="C738" s="52"/>
    </row>
    <row r="739" customFormat="false" ht="15.75" hidden="false" customHeight="false" outlineLevel="0" collapsed="false">
      <c r="A739" s="52"/>
      <c r="B739" s="52"/>
      <c r="C739" s="52"/>
    </row>
    <row r="740" customFormat="false" ht="15.75" hidden="false" customHeight="false" outlineLevel="0" collapsed="false">
      <c r="A740" s="52"/>
      <c r="B740" s="52"/>
      <c r="C740" s="52"/>
    </row>
    <row r="741" customFormat="false" ht="15.75" hidden="false" customHeight="false" outlineLevel="0" collapsed="false">
      <c r="A741" s="52"/>
      <c r="B741" s="52"/>
      <c r="C741" s="52"/>
    </row>
    <row r="742" customFormat="false" ht="15.75" hidden="false" customHeight="false" outlineLevel="0" collapsed="false">
      <c r="A742" s="52"/>
      <c r="B742" s="52"/>
      <c r="C742" s="52"/>
    </row>
    <row r="743" customFormat="false" ht="15.75" hidden="false" customHeight="false" outlineLevel="0" collapsed="false">
      <c r="A743" s="52"/>
      <c r="B743" s="52"/>
      <c r="C743" s="52"/>
    </row>
    <row r="744" customFormat="false" ht="15.75" hidden="false" customHeight="false" outlineLevel="0" collapsed="false">
      <c r="A744" s="52"/>
      <c r="B744" s="52"/>
      <c r="C744" s="52"/>
    </row>
    <row r="745" customFormat="false" ht="15.75" hidden="false" customHeight="false" outlineLevel="0" collapsed="false">
      <c r="A745" s="52"/>
      <c r="B745" s="52"/>
      <c r="C745" s="52"/>
    </row>
    <row r="746" customFormat="false" ht="15.75" hidden="false" customHeight="false" outlineLevel="0" collapsed="false">
      <c r="A746" s="52"/>
      <c r="B746" s="52"/>
      <c r="C746" s="52"/>
    </row>
    <row r="747" customFormat="false" ht="15.75" hidden="false" customHeight="false" outlineLevel="0" collapsed="false">
      <c r="A747" s="52"/>
      <c r="B747" s="52"/>
      <c r="C747" s="52"/>
    </row>
    <row r="748" customFormat="false" ht="15.75" hidden="false" customHeight="false" outlineLevel="0" collapsed="false">
      <c r="A748" s="52"/>
      <c r="B748" s="52"/>
      <c r="C748" s="52"/>
    </row>
    <row r="749" customFormat="false" ht="15.75" hidden="false" customHeight="false" outlineLevel="0" collapsed="false">
      <c r="A749" s="52"/>
      <c r="B749" s="52"/>
      <c r="C749" s="52"/>
    </row>
    <row r="750" customFormat="false" ht="15.75" hidden="false" customHeight="false" outlineLevel="0" collapsed="false">
      <c r="A750" s="52"/>
      <c r="B750" s="52"/>
      <c r="C750" s="52"/>
    </row>
    <row r="751" customFormat="false" ht="15.75" hidden="false" customHeight="false" outlineLevel="0" collapsed="false">
      <c r="A751" s="52"/>
      <c r="B751" s="52"/>
      <c r="C751" s="52"/>
    </row>
    <row r="752" customFormat="false" ht="15.75" hidden="false" customHeight="false" outlineLevel="0" collapsed="false">
      <c r="A752" s="52"/>
      <c r="B752" s="52"/>
      <c r="C752" s="52"/>
    </row>
    <row r="753" customFormat="false" ht="15.75" hidden="false" customHeight="false" outlineLevel="0" collapsed="false">
      <c r="A753" s="52"/>
      <c r="B753" s="52"/>
      <c r="C753" s="52"/>
    </row>
    <row r="754" customFormat="false" ht="15.75" hidden="false" customHeight="false" outlineLevel="0" collapsed="false">
      <c r="A754" s="52"/>
      <c r="B754" s="52"/>
      <c r="C754" s="52"/>
    </row>
    <row r="755" customFormat="false" ht="15.75" hidden="false" customHeight="false" outlineLevel="0" collapsed="false">
      <c r="A755" s="52"/>
      <c r="B755" s="52"/>
      <c r="C755" s="52"/>
    </row>
    <row r="756" customFormat="false" ht="15.75" hidden="false" customHeight="false" outlineLevel="0" collapsed="false">
      <c r="A756" s="52"/>
      <c r="B756" s="52"/>
      <c r="C756" s="52"/>
    </row>
    <row r="757" customFormat="false" ht="15.75" hidden="false" customHeight="false" outlineLevel="0" collapsed="false">
      <c r="A757" s="52"/>
      <c r="B757" s="52"/>
      <c r="C757" s="52"/>
    </row>
    <row r="758" customFormat="false" ht="15.75" hidden="false" customHeight="false" outlineLevel="0" collapsed="false">
      <c r="A758" s="52"/>
      <c r="B758" s="52"/>
      <c r="C758" s="52"/>
    </row>
    <row r="759" customFormat="false" ht="15.75" hidden="false" customHeight="false" outlineLevel="0" collapsed="false">
      <c r="A759" s="52"/>
      <c r="B759" s="52"/>
      <c r="C759" s="52"/>
    </row>
    <row r="760" customFormat="false" ht="15.75" hidden="false" customHeight="false" outlineLevel="0" collapsed="false">
      <c r="A760" s="52"/>
      <c r="B760" s="52"/>
      <c r="C760" s="52"/>
    </row>
    <row r="761" customFormat="false" ht="15.75" hidden="false" customHeight="false" outlineLevel="0" collapsed="false">
      <c r="A761" s="52"/>
      <c r="B761" s="52"/>
      <c r="C761" s="52"/>
    </row>
    <row r="762" customFormat="false" ht="15.75" hidden="false" customHeight="false" outlineLevel="0" collapsed="false">
      <c r="A762" s="52"/>
      <c r="B762" s="52"/>
      <c r="C762" s="52"/>
    </row>
    <row r="763" customFormat="false" ht="15.75" hidden="false" customHeight="false" outlineLevel="0" collapsed="false">
      <c r="A763" s="52"/>
      <c r="B763" s="52"/>
      <c r="C763" s="52"/>
    </row>
    <row r="764" customFormat="false" ht="15.75" hidden="false" customHeight="false" outlineLevel="0" collapsed="false">
      <c r="A764" s="52"/>
      <c r="B764" s="52"/>
      <c r="C764" s="52"/>
    </row>
    <row r="765" customFormat="false" ht="15.75" hidden="false" customHeight="false" outlineLevel="0" collapsed="false">
      <c r="A765" s="52"/>
      <c r="B765" s="52"/>
      <c r="C765" s="52"/>
    </row>
    <row r="766" customFormat="false" ht="15.75" hidden="false" customHeight="false" outlineLevel="0" collapsed="false">
      <c r="A766" s="52"/>
      <c r="B766" s="52"/>
      <c r="C766" s="52"/>
    </row>
    <row r="767" customFormat="false" ht="15.75" hidden="false" customHeight="false" outlineLevel="0" collapsed="false">
      <c r="A767" s="52"/>
      <c r="B767" s="52"/>
      <c r="C767" s="52"/>
    </row>
    <row r="768" customFormat="false" ht="15.75" hidden="false" customHeight="false" outlineLevel="0" collapsed="false">
      <c r="A768" s="52"/>
      <c r="B768" s="52"/>
      <c r="C768" s="52"/>
    </row>
    <row r="769" customFormat="false" ht="15.75" hidden="false" customHeight="false" outlineLevel="0" collapsed="false">
      <c r="A769" s="52"/>
      <c r="B769" s="52"/>
      <c r="C769" s="52"/>
    </row>
    <row r="770" customFormat="false" ht="15.75" hidden="false" customHeight="false" outlineLevel="0" collapsed="false">
      <c r="A770" s="52"/>
      <c r="B770" s="52"/>
      <c r="C770" s="52"/>
    </row>
    <row r="771" customFormat="false" ht="15.75" hidden="false" customHeight="false" outlineLevel="0" collapsed="false">
      <c r="A771" s="52"/>
      <c r="B771" s="52"/>
      <c r="C771" s="52"/>
    </row>
    <row r="772" customFormat="false" ht="15.75" hidden="false" customHeight="false" outlineLevel="0" collapsed="false">
      <c r="A772" s="52"/>
      <c r="B772" s="52"/>
      <c r="C772" s="52"/>
    </row>
    <row r="773" customFormat="false" ht="15.75" hidden="false" customHeight="false" outlineLevel="0" collapsed="false">
      <c r="A773" s="52"/>
      <c r="B773" s="52"/>
      <c r="C773" s="52"/>
    </row>
    <row r="774" customFormat="false" ht="15.75" hidden="false" customHeight="false" outlineLevel="0" collapsed="false">
      <c r="A774" s="52"/>
      <c r="B774" s="52"/>
      <c r="C774" s="52"/>
    </row>
    <row r="775" customFormat="false" ht="15.75" hidden="false" customHeight="false" outlineLevel="0" collapsed="false">
      <c r="A775" s="52"/>
      <c r="B775" s="52"/>
      <c r="C775" s="52"/>
    </row>
    <row r="776" customFormat="false" ht="15.75" hidden="false" customHeight="false" outlineLevel="0" collapsed="false">
      <c r="A776" s="52"/>
      <c r="B776" s="52"/>
      <c r="C776" s="52"/>
    </row>
    <row r="777" customFormat="false" ht="15.75" hidden="false" customHeight="false" outlineLevel="0" collapsed="false">
      <c r="A777" s="52"/>
      <c r="B777" s="52"/>
      <c r="C777" s="52"/>
    </row>
    <row r="778" customFormat="false" ht="15.75" hidden="false" customHeight="false" outlineLevel="0" collapsed="false">
      <c r="A778" s="52"/>
      <c r="B778" s="52"/>
      <c r="C778" s="52"/>
    </row>
    <row r="779" customFormat="false" ht="15.75" hidden="false" customHeight="false" outlineLevel="0" collapsed="false">
      <c r="A779" s="52"/>
      <c r="B779" s="52"/>
      <c r="C779" s="52"/>
    </row>
    <row r="780" customFormat="false" ht="15.75" hidden="false" customHeight="false" outlineLevel="0" collapsed="false">
      <c r="A780" s="52"/>
      <c r="B780" s="52"/>
      <c r="C780" s="52"/>
    </row>
    <row r="781" customFormat="false" ht="15.75" hidden="false" customHeight="false" outlineLevel="0" collapsed="false">
      <c r="A781" s="52"/>
      <c r="B781" s="52"/>
      <c r="C781" s="52"/>
    </row>
    <row r="782" customFormat="false" ht="15.75" hidden="false" customHeight="false" outlineLevel="0" collapsed="false">
      <c r="A782" s="52"/>
      <c r="B782" s="52"/>
      <c r="C782" s="52"/>
    </row>
    <row r="783" customFormat="false" ht="15.75" hidden="false" customHeight="false" outlineLevel="0" collapsed="false">
      <c r="A783" s="52"/>
      <c r="B783" s="52"/>
      <c r="C783" s="52"/>
    </row>
    <row r="784" customFormat="false" ht="15.75" hidden="false" customHeight="false" outlineLevel="0" collapsed="false">
      <c r="A784" s="52"/>
      <c r="B784" s="52"/>
      <c r="C784" s="52"/>
    </row>
    <row r="785" customFormat="false" ht="15.75" hidden="false" customHeight="false" outlineLevel="0" collapsed="false">
      <c r="A785" s="52"/>
      <c r="B785" s="52"/>
      <c r="C785" s="52"/>
    </row>
    <row r="786" customFormat="false" ht="15.75" hidden="false" customHeight="false" outlineLevel="0" collapsed="false">
      <c r="A786" s="52"/>
      <c r="B786" s="52"/>
      <c r="C786" s="52"/>
    </row>
    <row r="787" customFormat="false" ht="15.75" hidden="false" customHeight="false" outlineLevel="0" collapsed="false">
      <c r="A787" s="52"/>
      <c r="B787" s="52"/>
      <c r="C787" s="52"/>
    </row>
    <row r="788" customFormat="false" ht="15.75" hidden="false" customHeight="false" outlineLevel="0" collapsed="false">
      <c r="A788" s="52"/>
      <c r="B788" s="52"/>
      <c r="C788" s="52"/>
    </row>
    <row r="789" customFormat="false" ht="15.75" hidden="false" customHeight="false" outlineLevel="0" collapsed="false">
      <c r="A789" s="52"/>
      <c r="B789" s="52"/>
      <c r="C789" s="52"/>
    </row>
    <row r="790" customFormat="false" ht="15.75" hidden="false" customHeight="false" outlineLevel="0" collapsed="false">
      <c r="A790" s="52"/>
      <c r="B790" s="52"/>
      <c r="C790" s="52"/>
    </row>
    <row r="791" customFormat="false" ht="15.75" hidden="false" customHeight="false" outlineLevel="0" collapsed="false">
      <c r="A791" s="52"/>
      <c r="B791" s="52"/>
      <c r="C791" s="52"/>
    </row>
    <row r="792" customFormat="false" ht="15.75" hidden="false" customHeight="false" outlineLevel="0" collapsed="false">
      <c r="A792" s="52"/>
      <c r="B792" s="52"/>
      <c r="C792" s="52"/>
    </row>
    <row r="793" customFormat="false" ht="15.75" hidden="false" customHeight="false" outlineLevel="0" collapsed="false">
      <c r="A793" s="52"/>
      <c r="B793" s="52"/>
      <c r="C793" s="52"/>
    </row>
    <row r="794" customFormat="false" ht="15.75" hidden="false" customHeight="false" outlineLevel="0" collapsed="false">
      <c r="A794" s="52"/>
      <c r="B794" s="52"/>
      <c r="C794" s="52"/>
    </row>
    <row r="795" customFormat="false" ht="15.75" hidden="false" customHeight="false" outlineLevel="0" collapsed="false">
      <c r="A795" s="52"/>
      <c r="B795" s="52"/>
      <c r="C795" s="52"/>
    </row>
    <row r="796" customFormat="false" ht="15.75" hidden="false" customHeight="false" outlineLevel="0" collapsed="false">
      <c r="A796" s="52"/>
      <c r="B796" s="52"/>
      <c r="C796" s="52"/>
    </row>
    <row r="797" customFormat="false" ht="15.75" hidden="false" customHeight="false" outlineLevel="0" collapsed="false">
      <c r="A797" s="52"/>
      <c r="B797" s="52"/>
      <c r="C797" s="52"/>
    </row>
    <row r="798" customFormat="false" ht="15.75" hidden="false" customHeight="false" outlineLevel="0" collapsed="false">
      <c r="A798" s="52"/>
      <c r="B798" s="52"/>
      <c r="C798" s="52"/>
    </row>
    <row r="799" customFormat="false" ht="15.75" hidden="false" customHeight="false" outlineLevel="0" collapsed="false">
      <c r="A799" s="52"/>
      <c r="B799" s="52"/>
      <c r="C799" s="52"/>
    </row>
    <row r="800" customFormat="false" ht="15.75" hidden="false" customHeight="false" outlineLevel="0" collapsed="false">
      <c r="A800" s="52"/>
      <c r="B800" s="52"/>
      <c r="C800" s="52"/>
    </row>
    <row r="801" customFormat="false" ht="15.75" hidden="false" customHeight="false" outlineLevel="0" collapsed="false">
      <c r="A801" s="52"/>
      <c r="B801" s="52"/>
      <c r="C801" s="52"/>
    </row>
    <row r="802" customFormat="false" ht="15.75" hidden="false" customHeight="false" outlineLevel="0" collapsed="false">
      <c r="A802" s="52"/>
      <c r="B802" s="52"/>
      <c r="C802" s="52"/>
    </row>
    <row r="803" customFormat="false" ht="15.75" hidden="false" customHeight="false" outlineLevel="0" collapsed="false">
      <c r="A803" s="52"/>
      <c r="B803" s="52"/>
      <c r="C803" s="52"/>
    </row>
    <row r="804" customFormat="false" ht="15.75" hidden="false" customHeight="false" outlineLevel="0" collapsed="false">
      <c r="A804" s="52"/>
      <c r="B804" s="52"/>
      <c r="C804" s="52"/>
    </row>
    <row r="805" customFormat="false" ht="15.75" hidden="false" customHeight="false" outlineLevel="0" collapsed="false">
      <c r="A805" s="52"/>
      <c r="B805" s="52"/>
      <c r="C805" s="52"/>
    </row>
    <row r="806" customFormat="false" ht="15.75" hidden="false" customHeight="false" outlineLevel="0" collapsed="false">
      <c r="A806" s="52"/>
      <c r="B806" s="52"/>
      <c r="C806" s="52"/>
    </row>
    <row r="807" customFormat="false" ht="15.75" hidden="false" customHeight="false" outlineLevel="0" collapsed="false">
      <c r="A807" s="52"/>
      <c r="B807" s="52"/>
      <c r="C807" s="52"/>
    </row>
    <row r="808" customFormat="false" ht="15.75" hidden="false" customHeight="false" outlineLevel="0" collapsed="false">
      <c r="A808" s="52"/>
      <c r="B808" s="52"/>
      <c r="C808" s="52"/>
    </row>
    <row r="809" customFormat="false" ht="15.75" hidden="false" customHeight="false" outlineLevel="0" collapsed="false">
      <c r="A809" s="52"/>
      <c r="B809" s="52"/>
      <c r="C809" s="52"/>
    </row>
    <row r="810" customFormat="false" ht="15.75" hidden="false" customHeight="false" outlineLevel="0" collapsed="false">
      <c r="A810" s="52"/>
      <c r="B810" s="52"/>
      <c r="C810" s="52"/>
    </row>
    <row r="811" customFormat="false" ht="15.75" hidden="false" customHeight="false" outlineLevel="0" collapsed="false">
      <c r="A811" s="52"/>
      <c r="B811" s="52"/>
      <c r="C811" s="52"/>
    </row>
    <row r="812" customFormat="false" ht="15.75" hidden="false" customHeight="false" outlineLevel="0" collapsed="false">
      <c r="A812" s="52"/>
      <c r="B812" s="52"/>
      <c r="C812" s="52"/>
    </row>
    <row r="813" customFormat="false" ht="15.75" hidden="false" customHeight="false" outlineLevel="0" collapsed="false">
      <c r="A813" s="52"/>
      <c r="B813" s="52"/>
      <c r="C813" s="52"/>
    </row>
    <row r="814" customFormat="false" ht="15.75" hidden="false" customHeight="false" outlineLevel="0" collapsed="false">
      <c r="A814" s="52"/>
      <c r="B814" s="52"/>
      <c r="C814" s="52"/>
    </row>
    <row r="815" customFormat="false" ht="15.75" hidden="false" customHeight="false" outlineLevel="0" collapsed="false">
      <c r="A815" s="52"/>
      <c r="B815" s="52"/>
      <c r="C815" s="52"/>
    </row>
    <row r="816" customFormat="false" ht="15.75" hidden="false" customHeight="false" outlineLevel="0" collapsed="false">
      <c r="A816" s="52"/>
      <c r="B816" s="52"/>
      <c r="C816" s="52"/>
    </row>
    <row r="817" customFormat="false" ht="15.75" hidden="false" customHeight="false" outlineLevel="0" collapsed="false">
      <c r="A817" s="52"/>
      <c r="B817" s="52"/>
      <c r="C817" s="52"/>
    </row>
    <row r="818" customFormat="false" ht="15.75" hidden="false" customHeight="false" outlineLevel="0" collapsed="false">
      <c r="A818" s="52"/>
      <c r="B818" s="52"/>
      <c r="C818" s="52"/>
    </row>
    <row r="819" customFormat="false" ht="15.75" hidden="false" customHeight="false" outlineLevel="0" collapsed="false">
      <c r="A819" s="52"/>
      <c r="B819" s="52"/>
      <c r="C819" s="52"/>
    </row>
    <row r="820" customFormat="false" ht="15.75" hidden="false" customHeight="false" outlineLevel="0" collapsed="false">
      <c r="A820" s="52"/>
      <c r="B820" s="52"/>
      <c r="C820" s="52"/>
    </row>
    <row r="821" customFormat="false" ht="15.75" hidden="false" customHeight="false" outlineLevel="0" collapsed="false">
      <c r="A821" s="52"/>
      <c r="B821" s="52"/>
      <c r="C821" s="52"/>
    </row>
    <row r="822" customFormat="false" ht="15.75" hidden="false" customHeight="false" outlineLevel="0" collapsed="false">
      <c r="A822" s="52"/>
      <c r="B822" s="52"/>
      <c r="C822" s="52"/>
    </row>
    <row r="823" customFormat="false" ht="15.75" hidden="false" customHeight="false" outlineLevel="0" collapsed="false">
      <c r="A823" s="52"/>
      <c r="B823" s="52"/>
      <c r="C823" s="52"/>
    </row>
    <row r="824" customFormat="false" ht="15.75" hidden="false" customHeight="false" outlineLevel="0" collapsed="false">
      <c r="A824" s="52"/>
      <c r="B824" s="52"/>
      <c r="C824" s="52"/>
    </row>
    <row r="825" customFormat="false" ht="15.75" hidden="false" customHeight="false" outlineLevel="0" collapsed="false">
      <c r="A825" s="52"/>
      <c r="B825" s="52"/>
      <c r="C825" s="52"/>
    </row>
    <row r="826" customFormat="false" ht="15.75" hidden="false" customHeight="false" outlineLevel="0" collapsed="false">
      <c r="A826" s="52"/>
      <c r="B826" s="52"/>
      <c r="C826" s="52"/>
    </row>
    <row r="827" customFormat="false" ht="15.75" hidden="false" customHeight="false" outlineLevel="0" collapsed="false">
      <c r="A827" s="52"/>
      <c r="B827" s="52"/>
      <c r="C827" s="52"/>
    </row>
    <row r="828" customFormat="false" ht="15.75" hidden="false" customHeight="false" outlineLevel="0" collapsed="false">
      <c r="A828" s="52"/>
      <c r="B828" s="52"/>
      <c r="C828" s="52"/>
    </row>
    <row r="829" customFormat="false" ht="15.75" hidden="false" customHeight="false" outlineLevel="0" collapsed="false">
      <c r="A829" s="52"/>
      <c r="B829" s="52"/>
      <c r="C829" s="52"/>
    </row>
    <row r="830" customFormat="false" ht="15.75" hidden="false" customHeight="false" outlineLevel="0" collapsed="false">
      <c r="A830" s="52"/>
      <c r="B830" s="52"/>
      <c r="C830" s="52"/>
    </row>
    <row r="831" customFormat="false" ht="15.75" hidden="false" customHeight="false" outlineLevel="0" collapsed="false">
      <c r="A831" s="52"/>
      <c r="B831" s="52"/>
      <c r="C831" s="52"/>
    </row>
    <row r="832" customFormat="false" ht="15.75" hidden="false" customHeight="false" outlineLevel="0" collapsed="false">
      <c r="A832" s="52"/>
      <c r="B832" s="52"/>
      <c r="C832" s="52"/>
    </row>
    <row r="833" customFormat="false" ht="15.75" hidden="false" customHeight="false" outlineLevel="0" collapsed="false">
      <c r="A833" s="52"/>
      <c r="B833" s="52"/>
      <c r="C833" s="52"/>
    </row>
    <row r="834" customFormat="false" ht="15.75" hidden="false" customHeight="false" outlineLevel="0" collapsed="false">
      <c r="A834" s="52"/>
      <c r="B834" s="52"/>
      <c r="C834" s="52"/>
    </row>
    <row r="835" customFormat="false" ht="15.75" hidden="false" customHeight="false" outlineLevel="0" collapsed="false">
      <c r="A835" s="52"/>
      <c r="B835" s="52"/>
      <c r="C835" s="52"/>
    </row>
    <row r="836" customFormat="false" ht="15.75" hidden="false" customHeight="false" outlineLevel="0" collapsed="false">
      <c r="A836" s="52"/>
      <c r="B836" s="52"/>
      <c r="C836" s="52"/>
    </row>
    <row r="837" customFormat="false" ht="15.75" hidden="false" customHeight="false" outlineLevel="0" collapsed="false">
      <c r="A837" s="52"/>
      <c r="B837" s="52"/>
      <c r="C837" s="52"/>
    </row>
    <row r="838" customFormat="false" ht="15.75" hidden="false" customHeight="false" outlineLevel="0" collapsed="false">
      <c r="A838" s="52"/>
      <c r="B838" s="52"/>
      <c r="C838" s="52"/>
    </row>
    <row r="839" customFormat="false" ht="15.75" hidden="false" customHeight="false" outlineLevel="0" collapsed="false">
      <c r="A839" s="52"/>
      <c r="B839" s="52"/>
      <c r="C839" s="52"/>
    </row>
    <row r="840" customFormat="false" ht="15.75" hidden="false" customHeight="false" outlineLevel="0" collapsed="false">
      <c r="A840" s="52"/>
      <c r="B840" s="52"/>
      <c r="C840" s="52"/>
    </row>
    <row r="841" customFormat="false" ht="15.75" hidden="false" customHeight="false" outlineLevel="0" collapsed="false">
      <c r="A841" s="52"/>
      <c r="B841" s="52"/>
      <c r="C841" s="52"/>
    </row>
    <row r="842" customFormat="false" ht="15.75" hidden="false" customHeight="false" outlineLevel="0" collapsed="false">
      <c r="A842" s="52"/>
      <c r="B842" s="52"/>
      <c r="C842" s="52"/>
    </row>
    <row r="843" customFormat="false" ht="15.75" hidden="false" customHeight="false" outlineLevel="0" collapsed="false">
      <c r="A843" s="52"/>
      <c r="B843" s="52"/>
      <c r="C843" s="52"/>
    </row>
    <row r="844" customFormat="false" ht="15.75" hidden="false" customHeight="false" outlineLevel="0" collapsed="false">
      <c r="A844" s="52"/>
      <c r="B844" s="52"/>
      <c r="C844" s="52"/>
    </row>
    <row r="845" customFormat="false" ht="15.75" hidden="false" customHeight="false" outlineLevel="0" collapsed="false">
      <c r="A845" s="52"/>
      <c r="B845" s="52"/>
      <c r="C845" s="52"/>
    </row>
    <row r="846" customFormat="false" ht="15.75" hidden="false" customHeight="false" outlineLevel="0" collapsed="false">
      <c r="A846" s="52"/>
      <c r="B846" s="52"/>
      <c r="C846" s="52"/>
    </row>
    <row r="847" customFormat="false" ht="15.75" hidden="false" customHeight="false" outlineLevel="0" collapsed="false">
      <c r="A847" s="52"/>
      <c r="B847" s="52"/>
      <c r="C847" s="52"/>
    </row>
    <row r="848" customFormat="false" ht="15.75" hidden="false" customHeight="false" outlineLevel="0" collapsed="false">
      <c r="A848" s="52"/>
      <c r="B848" s="52"/>
      <c r="C848" s="52"/>
    </row>
    <row r="849" customFormat="false" ht="15.75" hidden="false" customHeight="false" outlineLevel="0" collapsed="false">
      <c r="A849" s="52"/>
      <c r="B849" s="52"/>
      <c r="C849" s="52"/>
    </row>
    <row r="850" customFormat="false" ht="15.75" hidden="false" customHeight="false" outlineLevel="0" collapsed="false">
      <c r="A850" s="52"/>
      <c r="B850" s="52"/>
      <c r="C850" s="52"/>
    </row>
    <row r="851" customFormat="false" ht="15.75" hidden="false" customHeight="false" outlineLevel="0" collapsed="false">
      <c r="A851" s="52"/>
      <c r="B851" s="52"/>
      <c r="C851" s="52"/>
    </row>
    <row r="852" customFormat="false" ht="15.75" hidden="false" customHeight="false" outlineLevel="0" collapsed="false">
      <c r="A852" s="52"/>
      <c r="B852" s="52"/>
      <c r="C852" s="52"/>
    </row>
    <row r="853" customFormat="false" ht="15.75" hidden="false" customHeight="false" outlineLevel="0" collapsed="false">
      <c r="A853" s="52"/>
      <c r="B853" s="52"/>
      <c r="C853" s="52"/>
    </row>
    <row r="854" customFormat="false" ht="15.75" hidden="false" customHeight="false" outlineLevel="0" collapsed="false">
      <c r="A854" s="52"/>
      <c r="B854" s="52"/>
      <c r="C854" s="52"/>
    </row>
    <row r="855" customFormat="false" ht="15.75" hidden="false" customHeight="false" outlineLevel="0" collapsed="false">
      <c r="A855" s="52"/>
      <c r="B855" s="52"/>
      <c r="C855" s="52"/>
    </row>
    <row r="856" customFormat="false" ht="15.75" hidden="false" customHeight="false" outlineLevel="0" collapsed="false">
      <c r="A856" s="52"/>
      <c r="B856" s="52"/>
      <c r="C856" s="52"/>
    </row>
    <row r="857" customFormat="false" ht="15.75" hidden="false" customHeight="false" outlineLevel="0" collapsed="false">
      <c r="A857" s="52"/>
      <c r="B857" s="52"/>
      <c r="C857" s="52"/>
    </row>
    <row r="858" customFormat="false" ht="15.75" hidden="false" customHeight="false" outlineLevel="0" collapsed="false">
      <c r="A858" s="52"/>
      <c r="B858" s="52"/>
      <c r="C858" s="52"/>
    </row>
    <row r="859" customFormat="false" ht="15.75" hidden="false" customHeight="false" outlineLevel="0" collapsed="false">
      <c r="A859" s="52"/>
      <c r="B859" s="52"/>
      <c r="C859" s="52"/>
    </row>
    <row r="860" customFormat="false" ht="15.75" hidden="false" customHeight="false" outlineLevel="0" collapsed="false">
      <c r="A860" s="52"/>
      <c r="B860" s="52"/>
      <c r="C860" s="52"/>
    </row>
    <row r="861" customFormat="false" ht="15.75" hidden="false" customHeight="false" outlineLevel="0" collapsed="false">
      <c r="A861" s="52"/>
      <c r="B861" s="52"/>
      <c r="C861" s="52"/>
    </row>
    <row r="862" customFormat="false" ht="15.75" hidden="false" customHeight="false" outlineLevel="0" collapsed="false">
      <c r="A862" s="52"/>
      <c r="B862" s="52"/>
      <c r="C862" s="52"/>
    </row>
    <row r="863" customFormat="false" ht="15.75" hidden="false" customHeight="false" outlineLevel="0" collapsed="false">
      <c r="A863" s="52"/>
      <c r="B863" s="52"/>
      <c r="C863" s="52"/>
    </row>
    <row r="864" customFormat="false" ht="15.75" hidden="false" customHeight="false" outlineLevel="0" collapsed="false">
      <c r="A864" s="52"/>
      <c r="B864" s="52"/>
      <c r="C864" s="52"/>
    </row>
    <row r="865" customFormat="false" ht="15.75" hidden="false" customHeight="false" outlineLevel="0" collapsed="false">
      <c r="A865" s="52"/>
      <c r="B865" s="52"/>
      <c r="C865" s="52"/>
    </row>
    <row r="866" customFormat="false" ht="15.75" hidden="false" customHeight="false" outlineLevel="0" collapsed="false">
      <c r="A866" s="52"/>
      <c r="B866" s="52"/>
      <c r="C866" s="52"/>
    </row>
    <row r="867" customFormat="false" ht="15.75" hidden="false" customHeight="false" outlineLevel="0" collapsed="false">
      <c r="A867" s="52"/>
      <c r="B867" s="52"/>
      <c r="C867" s="52"/>
    </row>
    <row r="868" customFormat="false" ht="15.75" hidden="false" customHeight="false" outlineLevel="0" collapsed="false">
      <c r="A868" s="52"/>
      <c r="B868" s="52"/>
      <c r="C868" s="52"/>
    </row>
    <row r="869" customFormat="false" ht="15.75" hidden="false" customHeight="false" outlineLevel="0" collapsed="false">
      <c r="A869" s="52"/>
      <c r="B869" s="52"/>
      <c r="C869" s="52"/>
    </row>
    <row r="870" customFormat="false" ht="15.75" hidden="false" customHeight="false" outlineLevel="0" collapsed="false">
      <c r="A870" s="52"/>
      <c r="B870" s="52"/>
      <c r="C870" s="52"/>
    </row>
    <row r="871" customFormat="false" ht="15.75" hidden="false" customHeight="false" outlineLevel="0" collapsed="false">
      <c r="A871" s="52"/>
      <c r="B871" s="52"/>
      <c r="C871" s="52"/>
    </row>
    <row r="872" customFormat="false" ht="15.75" hidden="false" customHeight="false" outlineLevel="0" collapsed="false">
      <c r="A872" s="52"/>
      <c r="B872" s="52"/>
      <c r="C872" s="52"/>
    </row>
    <row r="873" customFormat="false" ht="15.75" hidden="false" customHeight="false" outlineLevel="0" collapsed="false">
      <c r="A873" s="52"/>
      <c r="B873" s="52"/>
      <c r="C873" s="52"/>
    </row>
    <row r="874" customFormat="false" ht="15.75" hidden="false" customHeight="false" outlineLevel="0" collapsed="false">
      <c r="A874" s="52"/>
      <c r="B874" s="52"/>
      <c r="C874" s="52"/>
    </row>
    <row r="875" customFormat="false" ht="15.75" hidden="false" customHeight="false" outlineLevel="0" collapsed="false">
      <c r="A875" s="52"/>
      <c r="B875" s="52"/>
      <c r="C875" s="52"/>
    </row>
    <row r="876" customFormat="false" ht="15.75" hidden="false" customHeight="false" outlineLevel="0" collapsed="false">
      <c r="A876" s="52"/>
      <c r="B876" s="52"/>
      <c r="C876" s="52"/>
    </row>
    <row r="877" customFormat="false" ht="15.75" hidden="false" customHeight="false" outlineLevel="0" collapsed="false">
      <c r="A877" s="52"/>
      <c r="B877" s="52"/>
      <c r="C877" s="52"/>
    </row>
    <row r="878" customFormat="false" ht="15.75" hidden="false" customHeight="false" outlineLevel="0" collapsed="false">
      <c r="A878" s="52"/>
      <c r="B878" s="52"/>
      <c r="C878" s="52"/>
    </row>
    <row r="879" customFormat="false" ht="15.75" hidden="false" customHeight="false" outlineLevel="0" collapsed="false">
      <c r="A879" s="52"/>
      <c r="B879" s="52"/>
      <c r="C879" s="52"/>
    </row>
    <row r="880" customFormat="false" ht="15.75" hidden="false" customHeight="false" outlineLevel="0" collapsed="false">
      <c r="A880" s="52"/>
      <c r="B880" s="52"/>
      <c r="C880" s="52"/>
    </row>
    <row r="881" customFormat="false" ht="15.75" hidden="false" customHeight="false" outlineLevel="0" collapsed="false">
      <c r="A881" s="52"/>
      <c r="B881" s="52"/>
      <c r="C881" s="52"/>
    </row>
    <row r="882" customFormat="false" ht="15.75" hidden="false" customHeight="false" outlineLevel="0" collapsed="false">
      <c r="A882" s="52"/>
      <c r="B882" s="52"/>
      <c r="C882" s="52"/>
    </row>
    <row r="883" customFormat="false" ht="15.75" hidden="false" customHeight="false" outlineLevel="0" collapsed="false">
      <c r="A883" s="52"/>
      <c r="B883" s="52"/>
      <c r="C883" s="52"/>
    </row>
    <row r="884" customFormat="false" ht="15.75" hidden="false" customHeight="false" outlineLevel="0" collapsed="false">
      <c r="A884" s="52"/>
      <c r="B884" s="52"/>
      <c r="C884" s="52"/>
    </row>
    <row r="885" customFormat="false" ht="15.75" hidden="false" customHeight="false" outlineLevel="0" collapsed="false">
      <c r="A885" s="52"/>
      <c r="B885" s="52"/>
      <c r="C885" s="52"/>
    </row>
    <row r="886" customFormat="false" ht="15.75" hidden="false" customHeight="false" outlineLevel="0" collapsed="false">
      <c r="A886" s="52"/>
      <c r="B886" s="52"/>
      <c r="C886" s="52"/>
    </row>
    <row r="887" customFormat="false" ht="15.75" hidden="false" customHeight="false" outlineLevel="0" collapsed="false">
      <c r="A887" s="52"/>
      <c r="B887" s="52"/>
      <c r="C887" s="52"/>
    </row>
    <row r="888" customFormat="false" ht="15.75" hidden="false" customHeight="false" outlineLevel="0" collapsed="false">
      <c r="A888" s="52"/>
      <c r="B888" s="52"/>
      <c r="C888" s="52"/>
    </row>
    <row r="889" customFormat="false" ht="15.75" hidden="false" customHeight="false" outlineLevel="0" collapsed="false">
      <c r="A889" s="52"/>
      <c r="B889" s="52"/>
      <c r="C889" s="52"/>
    </row>
    <row r="890" customFormat="false" ht="15.75" hidden="false" customHeight="false" outlineLevel="0" collapsed="false">
      <c r="A890" s="52"/>
      <c r="B890" s="52"/>
      <c r="C890" s="52"/>
    </row>
    <row r="891" customFormat="false" ht="15.75" hidden="false" customHeight="false" outlineLevel="0" collapsed="false">
      <c r="A891" s="52"/>
      <c r="B891" s="52"/>
      <c r="C891" s="52"/>
    </row>
    <row r="892" customFormat="false" ht="15.75" hidden="false" customHeight="false" outlineLevel="0" collapsed="false">
      <c r="A892" s="52"/>
      <c r="B892" s="52"/>
      <c r="C892" s="52"/>
    </row>
    <row r="893" customFormat="false" ht="15.75" hidden="false" customHeight="false" outlineLevel="0" collapsed="false">
      <c r="A893" s="52"/>
      <c r="B893" s="52"/>
      <c r="C893" s="52"/>
    </row>
    <row r="894" customFormat="false" ht="15.75" hidden="false" customHeight="false" outlineLevel="0" collapsed="false">
      <c r="A894" s="52"/>
      <c r="B894" s="52"/>
      <c r="C894" s="52"/>
    </row>
    <row r="895" customFormat="false" ht="15.75" hidden="false" customHeight="false" outlineLevel="0" collapsed="false">
      <c r="A895" s="52"/>
      <c r="B895" s="52"/>
      <c r="C895" s="52"/>
    </row>
    <row r="896" customFormat="false" ht="15.75" hidden="false" customHeight="false" outlineLevel="0" collapsed="false">
      <c r="A896" s="52"/>
      <c r="B896" s="52"/>
      <c r="C896" s="52"/>
    </row>
    <row r="897" customFormat="false" ht="15.75" hidden="false" customHeight="false" outlineLevel="0" collapsed="false">
      <c r="A897" s="52"/>
      <c r="B897" s="52"/>
      <c r="C897" s="52"/>
    </row>
    <row r="898" customFormat="false" ht="15.75" hidden="false" customHeight="false" outlineLevel="0" collapsed="false">
      <c r="A898" s="52"/>
      <c r="B898" s="52"/>
      <c r="C898" s="52"/>
    </row>
    <row r="899" customFormat="false" ht="15.75" hidden="false" customHeight="false" outlineLevel="0" collapsed="false">
      <c r="A899" s="52"/>
      <c r="B899" s="52"/>
      <c r="C899" s="52"/>
    </row>
    <row r="900" customFormat="false" ht="15.75" hidden="false" customHeight="false" outlineLevel="0" collapsed="false">
      <c r="A900" s="52"/>
      <c r="B900" s="52"/>
      <c r="C900" s="52"/>
    </row>
    <row r="901" customFormat="false" ht="15.75" hidden="false" customHeight="false" outlineLevel="0" collapsed="false">
      <c r="A901" s="52"/>
      <c r="B901" s="52"/>
      <c r="C901" s="52"/>
    </row>
    <row r="902" customFormat="false" ht="15.75" hidden="false" customHeight="false" outlineLevel="0" collapsed="false">
      <c r="A902" s="52"/>
      <c r="B902" s="52"/>
      <c r="C902" s="52"/>
    </row>
    <row r="903" customFormat="false" ht="15.75" hidden="false" customHeight="false" outlineLevel="0" collapsed="false">
      <c r="A903" s="52"/>
      <c r="B903" s="52"/>
      <c r="C903" s="52"/>
    </row>
    <row r="904" customFormat="false" ht="15.75" hidden="false" customHeight="false" outlineLevel="0" collapsed="false">
      <c r="A904" s="52"/>
      <c r="B904" s="52"/>
      <c r="C904" s="52"/>
    </row>
    <row r="905" customFormat="false" ht="15.75" hidden="false" customHeight="false" outlineLevel="0" collapsed="false">
      <c r="A905" s="52"/>
      <c r="B905" s="52"/>
      <c r="C905" s="52"/>
    </row>
    <row r="906" customFormat="false" ht="15.75" hidden="false" customHeight="false" outlineLevel="0" collapsed="false">
      <c r="A906" s="52"/>
      <c r="B906" s="52"/>
      <c r="C906" s="52"/>
    </row>
    <row r="907" customFormat="false" ht="15.75" hidden="false" customHeight="false" outlineLevel="0" collapsed="false">
      <c r="A907" s="52"/>
      <c r="B907" s="52"/>
      <c r="C907" s="52"/>
    </row>
    <row r="908" customFormat="false" ht="15.75" hidden="false" customHeight="false" outlineLevel="0" collapsed="false">
      <c r="A908" s="52"/>
      <c r="B908" s="52"/>
      <c r="C908" s="52"/>
    </row>
    <row r="909" customFormat="false" ht="15.75" hidden="false" customHeight="false" outlineLevel="0" collapsed="false">
      <c r="A909" s="52"/>
      <c r="B909" s="52"/>
      <c r="C909" s="52"/>
    </row>
    <row r="910" customFormat="false" ht="15.75" hidden="false" customHeight="false" outlineLevel="0" collapsed="false">
      <c r="A910" s="52"/>
      <c r="B910" s="52"/>
      <c r="C910" s="52"/>
    </row>
    <row r="911" customFormat="false" ht="15.75" hidden="false" customHeight="false" outlineLevel="0" collapsed="false">
      <c r="A911" s="52"/>
      <c r="B911" s="52"/>
      <c r="C911" s="52"/>
    </row>
    <row r="912" customFormat="false" ht="15.75" hidden="false" customHeight="false" outlineLevel="0" collapsed="false">
      <c r="A912" s="52"/>
      <c r="B912" s="52"/>
      <c r="C912" s="52"/>
    </row>
    <row r="913" customFormat="false" ht="15.75" hidden="false" customHeight="false" outlineLevel="0" collapsed="false">
      <c r="A913" s="52"/>
      <c r="B913" s="52"/>
      <c r="C913" s="52"/>
    </row>
    <row r="914" customFormat="false" ht="15.75" hidden="false" customHeight="false" outlineLevel="0" collapsed="false">
      <c r="A914" s="52"/>
      <c r="B914" s="52"/>
      <c r="C914" s="52"/>
    </row>
    <row r="915" customFormat="false" ht="15.75" hidden="false" customHeight="false" outlineLevel="0" collapsed="false">
      <c r="A915" s="52"/>
      <c r="B915" s="52"/>
      <c r="C915" s="52"/>
    </row>
    <row r="916" customFormat="false" ht="15.75" hidden="false" customHeight="false" outlineLevel="0" collapsed="false">
      <c r="A916" s="52"/>
      <c r="B916" s="52"/>
      <c r="C916" s="52"/>
    </row>
    <row r="917" customFormat="false" ht="15.75" hidden="false" customHeight="false" outlineLevel="0" collapsed="false">
      <c r="A917" s="52"/>
      <c r="B917" s="52"/>
      <c r="C917" s="52"/>
    </row>
    <row r="918" customFormat="false" ht="15.75" hidden="false" customHeight="false" outlineLevel="0" collapsed="false">
      <c r="A918" s="52"/>
      <c r="B918" s="52"/>
      <c r="C918" s="52"/>
    </row>
    <row r="919" customFormat="false" ht="15.75" hidden="false" customHeight="false" outlineLevel="0" collapsed="false">
      <c r="A919" s="52"/>
      <c r="B919" s="52"/>
      <c r="C919" s="52"/>
    </row>
    <row r="920" customFormat="false" ht="15.75" hidden="false" customHeight="false" outlineLevel="0" collapsed="false">
      <c r="A920" s="52"/>
      <c r="B920" s="52"/>
      <c r="C920" s="52"/>
    </row>
    <row r="921" customFormat="false" ht="15.75" hidden="false" customHeight="false" outlineLevel="0" collapsed="false">
      <c r="A921" s="52"/>
      <c r="B921" s="52"/>
      <c r="C921" s="52"/>
    </row>
    <row r="922" customFormat="false" ht="15.75" hidden="false" customHeight="false" outlineLevel="0" collapsed="false">
      <c r="A922" s="52"/>
      <c r="B922" s="52"/>
      <c r="C922" s="52"/>
    </row>
    <row r="923" customFormat="false" ht="15.75" hidden="false" customHeight="false" outlineLevel="0" collapsed="false">
      <c r="A923" s="52"/>
      <c r="B923" s="52"/>
      <c r="C923" s="52"/>
    </row>
    <row r="924" customFormat="false" ht="15.75" hidden="false" customHeight="false" outlineLevel="0" collapsed="false">
      <c r="A924" s="52"/>
      <c r="B924" s="52"/>
      <c r="C924" s="52"/>
    </row>
    <row r="925" customFormat="false" ht="15.75" hidden="false" customHeight="false" outlineLevel="0" collapsed="false">
      <c r="A925" s="52"/>
      <c r="B925" s="52"/>
      <c r="C925" s="52"/>
    </row>
    <row r="926" customFormat="false" ht="15.75" hidden="false" customHeight="false" outlineLevel="0" collapsed="false">
      <c r="A926" s="52"/>
      <c r="B926" s="52"/>
      <c r="C926" s="52"/>
    </row>
    <row r="927" customFormat="false" ht="15.75" hidden="false" customHeight="false" outlineLevel="0" collapsed="false">
      <c r="A927" s="52"/>
      <c r="B927" s="52"/>
      <c r="C927" s="52"/>
    </row>
    <row r="928" customFormat="false" ht="15.75" hidden="false" customHeight="false" outlineLevel="0" collapsed="false">
      <c r="A928" s="52"/>
      <c r="B928" s="52"/>
      <c r="C928" s="52"/>
    </row>
    <row r="929" customFormat="false" ht="15.75" hidden="false" customHeight="false" outlineLevel="0" collapsed="false">
      <c r="A929" s="52"/>
      <c r="B929" s="52"/>
      <c r="C929" s="52"/>
    </row>
    <row r="930" customFormat="false" ht="15.75" hidden="false" customHeight="false" outlineLevel="0" collapsed="false">
      <c r="A930" s="52"/>
      <c r="B930" s="52"/>
      <c r="C930" s="52"/>
    </row>
    <row r="931" customFormat="false" ht="15.75" hidden="false" customHeight="false" outlineLevel="0" collapsed="false">
      <c r="A931" s="52"/>
      <c r="B931" s="52"/>
      <c r="C931" s="52"/>
    </row>
    <row r="932" customFormat="false" ht="15.75" hidden="false" customHeight="false" outlineLevel="0" collapsed="false">
      <c r="A932" s="52"/>
      <c r="B932" s="52"/>
      <c r="C932" s="52"/>
    </row>
    <row r="933" customFormat="false" ht="15.75" hidden="false" customHeight="false" outlineLevel="0" collapsed="false">
      <c r="A933" s="52"/>
      <c r="B933" s="52"/>
      <c r="C933" s="52"/>
    </row>
    <row r="934" customFormat="false" ht="15.75" hidden="false" customHeight="false" outlineLevel="0" collapsed="false">
      <c r="A934" s="52"/>
      <c r="B934" s="52"/>
      <c r="C934" s="52"/>
    </row>
    <row r="935" customFormat="false" ht="15.75" hidden="false" customHeight="false" outlineLevel="0" collapsed="false">
      <c r="A935" s="52"/>
      <c r="B935" s="52"/>
      <c r="C935" s="52"/>
    </row>
    <row r="936" customFormat="false" ht="15.75" hidden="false" customHeight="false" outlineLevel="0" collapsed="false">
      <c r="A936" s="52"/>
      <c r="B936" s="52"/>
      <c r="C936" s="52"/>
    </row>
    <row r="937" customFormat="false" ht="15.75" hidden="false" customHeight="false" outlineLevel="0" collapsed="false">
      <c r="A937" s="52"/>
      <c r="B937" s="52"/>
      <c r="C937" s="52"/>
    </row>
    <row r="938" customFormat="false" ht="15.75" hidden="false" customHeight="false" outlineLevel="0" collapsed="false">
      <c r="A938" s="52"/>
      <c r="B938" s="52"/>
      <c r="C938" s="52"/>
    </row>
    <row r="939" customFormat="false" ht="15.75" hidden="false" customHeight="false" outlineLevel="0" collapsed="false">
      <c r="A939" s="52"/>
      <c r="B939" s="52"/>
      <c r="C939" s="52"/>
    </row>
    <row r="940" customFormat="false" ht="15.75" hidden="false" customHeight="false" outlineLevel="0" collapsed="false">
      <c r="A940" s="52"/>
      <c r="B940" s="52"/>
      <c r="C940" s="52"/>
    </row>
    <row r="941" customFormat="false" ht="15.75" hidden="false" customHeight="false" outlineLevel="0" collapsed="false">
      <c r="A941" s="52"/>
      <c r="B941" s="52"/>
      <c r="C941" s="52"/>
    </row>
    <row r="942" customFormat="false" ht="15.75" hidden="false" customHeight="false" outlineLevel="0" collapsed="false">
      <c r="A942" s="52"/>
      <c r="B942" s="52"/>
      <c r="C942" s="52"/>
    </row>
    <row r="943" customFormat="false" ht="15.75" hidden="false" customHeight="false" outlineLevel="0" collapsed="false">
      <c r="A943" s="52"/>
      <c r="B943" s="52"/>
      <c r="C943" s="52"/>
    </row>
    <row r="944" customFormat="false" ht="15.75" hidden="false" customHeight="false" outlineLevel="0" collapsed="false">
      <c r="A944" s="52"/>
      <c r="B944" s="52"/>
      <c r="C944" s="52"/>
    </row>
    <row r="945" customFormat="false" ht="15.75" hidden="false" customHeight="false" outlineLevel="0" collapsed="false">
      <c r="A945" s="52"/>
      <c r="B945" s="52"/>
      <c r="C945" s="52"/>
    </row>
    <row r="946" customFormat="false" ht="15.75" hidden="false" customHeight="false" outlineLevel="0" collapsed="false">
      <c r="A946" s="52"/>
      <c r="B946" s="52"/>
      <c r="C946" s="52"/>
    </row>
    <row r="947" customFormat="false" ht="15.75" hidden="false" customHeight="false" outlineLevel="0" collapsed="false">
      <c r="A947" s="52"/>
      <c r="B947" s="52"/>
      <c r="C947" s="52"/>
    </row>
    <row r="948" customFormat="false" ht="15.75" hidden="false" customHeight="false" outlineLevel="0" collapsed="false">
      <c r="A948" s="52"/>
      <c r="B948" s="52"/>
      <c r="C948" s="52"/>
    </row>
    <row r="949" customFormat="false" ht="15.75" hidden="false" customHeight="false" outlineLevel="0" collapsed="false">
      <c r="A949" s="52"/>
      <c r="B949" s="52"/>
      <c r="C949" s="52"/>
    </row>
    <row r="950" customFormat="false" ht="15.75" hidden="false" customHeight="false" outlineLevel="0" collapsed="false">
      <c r="A950" s="52"/>
      <c r="B950" s="52"/>
      <c r="C950" s="52"/>
    </row>
    <row r="951" customFormat="false" ht="15.75" hidden="false" customHeight="false" outlineLevel="0" collapsed="false">
      <c r="A951" s="52"/>
      <c r="B951" s="52"/>
      <c r="C951" s="52"/>
    </row>
    <row r="952" customFormat="false" ht="15.75" hidden="false" customHeight="false" outlineLevel="0" collapsed="false">
      <c r="A952" s="52"/>
      <c r="B952" s="52"/>
      <c r="C952" s="52"/>
    </row>
    <row r="953" customFormat="false" ht="15.75" hidden="false" customHeight="false" outlineLevel="0" collapsed="false">
      <c r="A953" s="52"/>
      <c r="B953" s="52"/>
      <c r="C953" s="52"/>
    </row>
    <row r="954" customFormat="false" ht="15.75" hidden="false" customHeight="false" outlineLevel="0" collapsed="false">
      <c r="A954" s="52"/>
      <c r="B954" s="52"/>
      <c r="C954" s="52"/>
    </row>
    <row r="955" customFormat="false" ht="15.75" hidden="false" customHeight="false" outlineLevel="0" collapsed="false">
      <c r="A955" s="52"/>
      <c r="B955" s="52"/>
      <c r="C955" s="52"/>
    </row>
    <row r="956" customFormat="false" ht="15.75" hidden="false" customHeight="false" outlineLevel="0" collapsed="false">
      <c r="A956" s="52"/>
      <c r="B956" s="52"/>
      <c r="C956" s="52"/>
    </row>
    <row r="957" customFormat="false" ht="15.75" hidden="false" customHeight="false" outlineLevel="0" collapsed="false">
      <c r="A957" s="52"/>
      <c r="B957" s="52"/>
      <c r="C957" s="52"/>
    </row>
    <row r="958" customFormat="false" ht="15.75" hidden="false" customHeight="false" outlineLevel="0" collapsed="false">
      <c r="A958" s="52"/>
      <c r="B958" s="52"/>
      <c r="C958" s="52"/>
    </row>
    <row r="959" customFormat="false" ht="15.75" hidden="false" customHeight="false" outlineLevel="0" collapsed="false">
      <c r="A959" s="52"/>
      <c r="B959" s="52"/>
      <c r="C959" s="52"/>
    </row>
    <row r="960" customFormat="false" ht="15.75" hidden="false" customHeight="false" outlineLevel="0" collapsed="false">
      <c r="A960" s="52"/>
      <c r="B960" s="52"/>
      <c r="C960" s="52"/>
    </row>
    <row r="961" customFormat="false" ht="15.75" hidden="false" customHeight="false" outlineLevel="0" collapsed="false">
      <c r="A961" s="52"/>
      <c r="B961" s="52"/>
      <c r="C961" s="52"/>
    </row>
    <row r="962" customFormat="false" ht="15.75" hidden="false" customHeight="false" outlineLevel="0" collapsed="false">
      <c r="A962" s="52"/>
      <c r="B962" s="52"/>
      <c r="C962" s="52"/>
    </row>
    <row r="963" customFormat="false" ht="15.75" hidden="false" customHeight="false" outlineLevel="0" collapsed="false">
      <c r="A963" s="52"/>
      <c r="B963" s="52"/>
      <c r="C963" s="52"/>
    </row>
    <row r="964" customFormat="false" ht="15.75" hidden="false" customHeight="false" outlineLevel="0" collapsed="false">
      <c r="A964" s="52"/>
      <c r="B964" s="52"/>
      <c r="C964" s="52"/>
    </row>
    <row r="965" customFormat="false" ht="15.75" hidden="false" customHeight="false" outlineLevel="0" collapsed="false">
      <c r="A965" s="52"/>
      <c r="B965" s="52"/>
      <c r="C965" s="52"/>
    </row>
    <row r="966" customFormat="false" ht="15.75" hidden="false" customHeight="false" outlineLevel="0" collapsed="false">
      <c r="A966" s="52"/>
      <c r="B966" s="52"/>
      <c r="C966" s="52"/>
    </row>
    <row r="967" customFormat="false" ht="15.75" hidden="false" customHeight="false" outlineLevel="0" collapsed="false">
      <c r="A967" s="52"/>
      <c r="B967" s="52"/>
      <c r="C967" s="52"/>
    </row>
    <row r="968" customFormat="false" ht="15.75" hidden="false" customHeight="false" outlineLevel="0" collapsed="false">
      <c r="A968" s="52"/>
      <c r="B968" s="52"/>
      <c r="C968" s="52"/>
    </row>
    <row r="969" customFormat="false" ht="15.75" hidden="false" customHeight="false" outlineLevel="0" collapsed="false">
      <c r="A969" s="52"/>
      <c r="B969" s="52"/>
      <c r="C969" s="52"/>
    </row>
    <row r="970" customFormat="false" ht="15.75" hidden="false" customHeight="false" outlineLevel="0" collapsed="false">
      <c r="A970" s="52"/>
      <c r="B970" s="52"/>
      <c r="C970" s="52"/>
    </row>
    <row r="971" customFormat="false" ht="15.75" hidden="false" customHeight="false" outlineLevel="0" collapsed="false">
      <c r="A971" s="52"/>
      <c r="B971" s="52"/>
      <c r="C971" s="52"/>
    </row>
    <row r="972" customFormat="false" ht="15.75" hidden="false" customHeight="false" outlineLevel="0" collapsed="false">
      <c r="A972" s="52"/>
      <c r="B972" s="52"/>
      <c r="C972" s="52"/>
    </row>
    <row r="973" customFormat="false" ht="15.75" hidden="false" customHeight="false" outlineLevel="0" collapsed="false">
      <c r="A973" s="52"/>
      <c r="B973" s="52"/>
      <c r="C973" s="52"/>
    </row>
    <row r="974" customFormat="false" ht="15.75" hidden="false" customHeight="false" outlineLevel="0" collapsed="false">
      <c r="A974" s="52"/>
      <c r="B974" s="52"/>
      <c r="C974" s="52"/>
    </row>
    <row r="975" customFormat="false" ht="15.75" hidden="false" customHeight="false" outlineLevel="0" collapsed="false">
      <c r="A975" s="52"/>
      <c r="B975" s="52"/>
      <c r="C975" s="52"/>
    </row>
    <row r="976" customFormat="false" ht="15.75" hidden="false" customHeight="false" outlineLevel="0" collapsed="false">
      <c r="A976" s="52"/>
      <c r="B976" s="52"/>
      <c r="C976" s="52"/>
    </row>
    <row r="977" customFormat="false" ht="15.75" hidden="false" customHeight="false" outlineLevel="0" collapsed="false">
      <c r="A977" s="52"/>
      <c r="B977" s="52"/>
      <c r="C977" s="52"/>
    </row>
    <row r="978" customFormat="false" ht="15.75" hidden="false" customHeight="false" outlineLevel="0" collapsed="false">
      <c r="A978" s="52"/>
      <c r="B978" s="52"/>
      <c r="C978" s="52"/>
    </row>
    <row r="979" customFormat="false" ht="15.75" hidden="false" customHeight="false" outlineLevel="0" collapsed="false">
      <c r="A979" s="52"/>
      <c r="B979" s="52"/>
      <c r="C979" s="52"/>
    </row>
    <row r="980" customFormat="false" ht="15.75" hidden="false" customHeight="false" outlineLevel="0" collapsed="false">
      <c r="A980" s="52"/>
      <c r="B980" s="52"/>
      <c r="C980" s="52"/>
    </row>
    <row r="981" customFormat="false" ht="15.75" hidden="false" customHeight="false" outlineLevel="0" collapsed="false">
      <c r="A981" s="52"/>
      <c r="B981" s="52"/>
      <c r="C981" s="52"/>
    </row>
    <row r="982" customFormat="false" ht="15.75" hidden="false" customHeight="false" outlineLevel="0" collapsed="false">
      <c r="A982" s="52"/>
      <c r="B982" s="52"/>
      <c r="C982" s="52"/>
    </row>
    <row r="983" customFormat="false" ht="15.75" hidden="false" customHeight="false" outlineLevel="0" collapsed="false">
      <c r="A983" s="52"/>
      <c r="B983" s="52"/>
      <c r="C983" s="52"/>
    </row>
    <row r="984" customFormat="false" ht="15.75" hidden="false" customHeight="false" outlineLevel="0" collapsed="false">
      <c r="A984" s="52"/>
      <c r="B984" s="52"/>
      <c r="C984" s="52"/>
    </row>
    <row r="985" customFormat="false" ht="15.75" hidden="false" customHeight="false" outlineLevel="0" collapsed="false">
      <c r="A985" s="52"/>
      <c r="B985" s="52"/>
      <c r="C985" s="52"/>
    </row>
    <row r="986" customFormat="false" ht="15.75" hidden="false" customHeight="false" outlineLevel="0" collapsed="false">
      <c r="A986" s="52"/>
      <c r="B986" s="52"/>
      <c r="C986" s="52"/>
    </row>
    <row r="987" customFormat="false" ht="15.75" hidden="false" customHeight="false" outlineLevel="0" collapsed="false">
      <c r="A987" s="52"/>
      <c r="B987" s="52"/>
      <c r="C987" s="52"/>
    </row>
    <row r="988" customFormat="false" ht="15.75" hidden="false" customHeight="false" outlineLevel="0" collapsed="false">
      <c r="A988" s="52"/>
      <c r="B988" s="52"/>
      <c r="C988" s="52"/>
    </row>
    <row r="989" customFormat="false" ht="15.75" hidden="false" customHeight="false" outlineLevel="0" collapsed="false">
      <c r="A989" s="52"/>
      <c r="B989" s="52"/>
      <c r="C989" s="52"/>
    </row>
    <row r="990" customFormat="false" ht="15.75" hidden="false" customHeight="false" outlineLevel="0" collapsed="false">
      <c r="A990" s="52"/>
      <c r="B990" s="52"/>
      <c r="C990" s="52"/>
    </row>
    <row r="991" customFormat="false" ht="15.75" hidden="false" customHeight="false" outlineLevel="0" collapsed="false">
      <c r="A991" s="52"/>
      <c r="B991" s="52"/>
      <c r="C991" s="52"/>
    </row>
    <row r="992" customFormat="false" ht="15.75" hidden="false" customHeight="false" outlineLevel="0" collapsed="false">
      <c r="A992" s="52"/>
      <c r="B992" s="52"/>
      <c r="C992" s="52"/>
    </row>
    <row r="993" customFormat="false" ht="15.75" hidden="false" customHeight="false" outlineLevel="0" collapsed="false">
      <c r="A993" s="52"/>
      <c r="B993" s="52"/>
      <c r="C993" s="52"/>
    </row>
    <row r="994" customFormat="false" ht="15.75" hidden="false" customHeight="false" outlineLevel="0" collapsed="false">
      <c r="A994" s="52"/>
      <c r="B994" s="52"/>
      <c r="C994" s="52"/>
    </row>
    <row r="995" customFormat="false" ht="15.75" hidden="false" customHeight="false" outlineLevel="0" collapsed="false">
      <c r="A995" s="52"/>
      <c r="B995" s="52"/>
      <c r="C995" s="52"/>
    </row>
    <row r="996" customFormat="false" ht="15.75" hidden="false" customHeight="false" outlineLevel="0" collapsed="false">
      <c r="A996" s="52"/>
      <c r="B996" s="52"/>
      <c r="C996" s="52"/>
    </row>
    <row r="997" customFormat="false" ht="15.75" hidden="false" customHeight="false" outlineLevel="0" collapsed="false">
      <c r="A997" s="52"/>
      <c r="B997" s="52"/>
      <c r="C997" s="52"/>
    </row>
    <row r="998" customFormat="false" ht="15.75" hidden="false" customHeight="false" outlineLevel="0" collapsed="false">
      <c r="A998" s="52"/>
      <c r="B998" s="52"/>
      <c r="C998" s="52"/>
    </row>
    <row r="999" customFormat="false" ht="15.75" hidden="false" customHeight="false" outlineLevel="0" collapsed="false">
      <c r="A999" s="52"/>
      <c r="B999" s="52"/>
      <c r="C999" s="52"/>
    </row>
    <row r="1000" customFormat="false" ht="15.75" hidden="false" customHeight="false" outlineLevel="0" collapsed="false">
      <c r="A1000" s="52"/>
      <c r="B1000" s="52"/>
      <c r="C1000" s="5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2023-11-26T17:19:06Z</dcterms:modified>
  <cp:revision>1</cp:revision>
  <dc:subject/>
  <dc:title/>
</cp:coreProperties>
</file>